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h Sorin\Challenges Worldwide\Monitoring and Evaluation - Methodologies &amp; Compliance\Ratings Marketplace Project\"/>
    </mc:Choice>
  </mc:AlternateContent>
  <xr:revisionPtr revIDLastSave="264" documentId="8_{EBA072F7-4DFB-45EF-96A9-5524C440E281}" xr6:coauthVersionLast="32" xr6:coauthVersionMax="32" xr10:uidLastSave="{173031CF-0376-42FD-A0F1-E363C4E62314}"/>
  <bookViews>
    <workbookView xWindow="0" yWindow="0" windowWidth="15200" windowHeight="7610" firstSheet="1" activeTab="1" xr2:uid="{6FD5D796-C42B-4876-903C-4614BEB8B141}"/>
  </bookViews>
  <sheets>
    <sheet name="DiagnosticData" sheetId="12" r:id="rId1"/>
    <sheet name="For Luca" sheetId="11" r:id="rId2"/>
    <sheet name="Finance Statements" sheetId="1" r:id="rId3"/>
    <sheet name="Input Sheet" sheetId="2" r:id="rId4"/>
    <sheet name="INPUT old" sheetId="6" state="hidden" r:id="rId5"/>
    <sheet name="Dashboard" sheetId="8" r:id="rId6"/>
    <sheet name="OLD Calc IS" sheetId="4" r:id="rId7"/>
    <sheet name="19. Financial Ratios" sheetId="9" r:id="rId8"/>
    <sheet name=" Marketplace Credit Rating" sheetId="10" r:id="rId9"/>
    <sheet name="old Calc BS" sheetId="3" state="hidden" r:id="rId10"/>
    <sheet name="OLD Monthly Figures" sheetId="5" state="hidden" r:id="rId11"/>
  </sheets>
  <externalReferences>
    <externalReference r:id="rId12"/>
    <externalReference r:id="rId13"/>
    <externalReference r:id="rId14"/>
    <externalReference r:id="rId15"/>
    <externalReference r:id="rId16"/>
  </externalReferences>
  <definedNames>
    <definedName name="A.01F">#REF!</definedName>
    <definedName name="A.01I">#REF!</definedName>
    <definedName name="A.02F">#REF!</definedName>
    <definedName name="A.02I">#REF!</definedName>
    <definedName name="A.03F">#REF!</definedName>
    <definedName name="A.03I">#REF!</definedName>
    <definedName name="A.04F">#REF!</definedName>
    <definedName name="A.04I">#REF!</definedName>
    <definedName name="A.05F">#REF!</definedName>
    <definedName name="A.05I">#REF!</definedName>
    <definedName name="A.06F">#REF!</definedName>
    <definedName name="A.06I">#REF!</definedName>
    <definedName name="A.TF">#REF!</definedName>
    <definedName name="A.TI">#REF!</definedName>
    <definedName name="B.01F">#REF!</definedName>
    <definedName name="B.01I">#REF!</definedName>
    <definedName name="B.02F">#REF!</definedName>
    <definedName name="B.02I">#REF!</definedName>
    <definedName name="B.03F">#REF!</definedName>
    <definedName name="B.03I">#REF!</definedName>
    <definedName name="B.04F">#REF!</definedName>
    <definedName name="B.04I">#REF!</definedName>
    <definedName name="B.05F">#REF!</definedName>
    <definedName name="B.05I">#REF!</definedName>
    <definedName name="B.06F">#REF!</definedName>
    <definedName name="B.06I">#REF!</definedName>
    <definedName name="B.07F">#REF!</definedName>
    <definedName name="B.07I">#REF!</definedName>
    <definedName name="B.08F">#REF!</definedName>
    <definedName name="B.08I">#REF!</definedName>
    <definedName name="B.09F">#REF!</definedName>
    <definedName name="B.09I">#REF!</definedName>
    <definedName name="B.10F">#REF!</definedName>
    <definedName name="B.10I">#REF!</definedName>
    <definedName name="B.11F">#REF!</definedName>
    <definedName name="B.11I">#REF!</definedName>
    <definedName name="B.12F">#REF!</definedName>
    <definedName name="B.12I">#REF!</definedName>
    <definedName name="B.13F">#REF!</definedName>
    <definedName name="B.13I">#REF!</definedName>
    <definedName name="B.TF">#REF!</definedName>
    <definedName name="B.TI">#REF!</definedName>
    <definedName name="C.01F">#REF!</definedName>
    <definedName name="C.01I">#REF!</definedName>
    <definedName name="C.02F">#REF!</definedName>
    <definedName name="C.02I">#REF!</definedName>
    <definedName name="C.03F">#REF!</definedName>
    <definedName name="C.03I">#REF!</definedName>
    <definedName name="C.04F">#REF!</definedName>
    <definedName name="C.04I">#REF!</definedName>
    <definedName name="C.05F">#REF!</definedName>
    <definedName name="C.05I">#REF!</definedName>
    <definedName name="C.06F">#REF!</definedName>
    <definedName name="C.06I">#REF!</definedName>
    <definedName name="C.07F">#REF!</definedName>
    <definedName name="C.07I">#REF!</definedName>
    <definedName name="C.08F">#REF!</definedName>
    <definedName name="C.08I">#REF!</definedName>
    <definedName name="C.09F">#REF!</definedName>
    <definedName name="C.09I">#REF!</definedName>
    <definedName name="C.10F">#REF!</definedName>
    <definedName name="C.10I">#REF!</definedName>
    <definedName name="C.11F">#REF!</definedName>
    <definedName name="C.11I">#REF!</definedName>
    <definedName name="C.12F">#REF!</definedName>
    <definedName name="C.12I">#REF!</definedName>
    <definedName name="C.TF">#REF!</definedName>
    <definedName name="C.TI">#REF!</definedName>
    <definedName name="Customers">#REF!</definedName>
    <definedName name="D.01F">#REF!</definedName>
    <definedName name="D.01I">#REF!</definedName>
    <definedName name="D.02F">#REF!</definedName>
    <definedName name="D.02I">#REF!</definedName>
    <definedName name="D.03F">#REF!</definedName>
    <definedName name="D.03I">#REF!</definedName>
    <definedName name="D.04F">#REF!</definedName>
    <definedName name="D.04I">#REF!</definedName>
    <definedName name="D.05F">#REF!</definedName>
    <definedName name="D.05I">#REF!</definedName>
    <definedName name="D.06F">#REF!</definedName>
    <definedName name="D.06I">#REF!</definedName>
    <definedName name="D.07F">#REF!</definedName>
    <definedName name="D.07I">#REF!</definedName>
    <definedName name="D.08F">#REF!</definedName>
    <definedName name="D.08I">#REF!</definedName>
    <definedName name="D.TF">#REF!</definedName>
    <definedName name="D.TI">#REF!</definedName>
    <definedName name="E.01F">#REF!</definedName>
    <definedName name="E.01I">#REF!</definedName>
    <definedName name="E.02F">#REF!</definedName>
    <definedName name="E.02I">#REF!</definedName>
    <definedName name="E.03F">#REF!</definedName>
    <definedName name="E.03I">#REF!</definedName>
    <definedName name="E.04F">#REF!</definedName>
    <definedName name="E.04I">#REF!</definedName>
    <definedName name="E.05F">#REF!</definedName>
    <definedName name="E.05I">#REF!</definedName>
    <definedName name="E.06F">#REF!</definedName>
    <definedName name="E.06I">#REF!</definedName>
    <definedName name="E.07F">#REF!</definedName>
    <definedName name="E.07I">#REF!</definedName>
    <definedName name="E.08F">#REF!</definedName>
    <definedName name="E.08I">#REF!</definedName>
    <definedName name="E.TF">#REF!</definedName>
    <definedName name="E.TI">#REF!</definedName>
    <definedName name="Experience">'[1]User Attributes Factors'!$B$3:$B$8</definedName>
    <definedName name="F.01F">#REF!</definedName>
    <definedName name="F.01I">#REF!</definedName>
    <definedName name="F.02F">#REF!</definedName>
    <definedName name="F.02I">#REF!</definedName>
    <definedName name="F.03F">#REF!</definedName>
    <definedName name="F.03I">#REF!</definedName>
    <definedName name="F.04F">#REF!</definedName>
    <definedName name="F.04I">#REF!</definedName>
    <definedName name="F.TF">#REF!</definedName>
    <definedName name="F.TI">#REF!</definedName>
    <definedName name="FTE">#REF!</definedName>
    <definedName name="FTE_F">#REF!</definedName>
    <definedName name="Information_Not_Gathered" localSheetId="8">#REF!</definedName>
    <definedName name="Information_Not_Gathered" localSheetId="7">#REF!</definedName>
    <definedName name="Information_Not_Gathered">'[2]2. Diagnostic'!#REF!</definedName>
    <definedName name="Interest">'[1]User Attributes Factors'!$D$3:$D$8</definedName>
    <definedName name="N_A" localSheetId="8">#REF!</definedName>
    <definedName name="N_A" localSheetId="7">#REF!</definedName>
    <definedName name="N_A">'[2]2. Diagnostic'!#REF!</definedName>
    <definedName name="Potential">#REF!</definedName>
    <definedName name="_xlnm.Print_Area" localSheetId="5">Dashboard!$A$1:$L$46</definedName>
    <definedName name="_xlnm.Print_Area" localSheetId="9">'old Calc BS'!$A$1:$D$36</definedName>
    <definedName name="_xlnm.Print_Area" localSheetId="10">'OLD Monthly Figures'!$A$1:$G$41</definedName>
    <definedName name="PTE">#REF!</definedName>
    <definedName name="PTE_F">#REF!</definedName>
    <definedName name="Score">'[3]2. Scoring'!$Z$5:$Z$8</definedName>
    <definedName name="Sector">#REF!</definedName>
    <definedName name="Suppliers">#REF!</definedName>
    <definedName name="T.TF">#REF!</definedName>
    <definedName name="T.TI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8" i="12" l="1"/>
  <c r="BN8" i="12"/>
  <c r="BO8" i="12"/>
  <c r="BP8" i="12"/>
  <c r="BQ8" i="12"/>
  <c r="BR8" i="12"/>
  <c r="BS8" i="12"/>
  <c r="DZ8" i="12"/>
  <c r="EA8" i="12"/>
  <c r="EB8" i="12"/>
  <c r="EC8" i="12"/>
  <c r="ED8" i="12"/>
  <c r="EE8" i="12"/>
  <c r="EF8" i="12"/>
  <c r="EG8" i="12" s="1"/>
  <c r="BM7" i="12"/>
  <c r="BN7" i="12"/>
  <c r="BO7" i="12"/>
  <c r="BP7" i="12"/>
  <c r="BQ7" i="12"/>
  <c r="BR7" i="12"/>
  <c r="BS7" i="12"/>
  <c r="DZ7" i="12"/>
  <c r="EA7" i="12"/>
  <c r="EB7" i="12"/>
  <c r="EC7" i="12"/>
  <c r="ED7" i="12"/>
  <c r="EE7" i="12"/>
  <c r="EF7" i="12"/>
  <c r="EW6" i="12"/>
  <c r="FL6" i="12" s="1"/>
  <c r="EV6" i="12"/>
  <c r="FK6" i="12" s="1"/>
  <c r="EU6" i="12"/>
  <c r="FJ6" i="12" s="1"/>
  <c r="ET6" i="12"/>
  <c r="FI6" i="12" s="1"/>
  <c r="ES6" i="12"/>
  <c r="FH6" i="12" s="1"/>
  <c r="ER6" i="12"/>
  <c r="FG6" i="12" s="1"/>
  <c r="EQ6" i="12"/>
  <c r="FF6" i="12" s="1"/>
  <c r="EP6" i="12"/>
  <c r="FE6" i="12" s="1"/>
  <c r="EO6" i="12"/>
  <c r="FD6" i="12" s="1"/>
  <c r="EN6" i="12"/>
  <c r="FC6" i="12" s="1"/>
  <c r="EM6" i="12"/>
  <c r="FB6" i="12" s="1"/>
  <c r="EL6" i="12"/>
  <c r="DZ6" i="12"/>
  <c r="DX6" i="12"/>
  <c r="EE6" i="12" s="1"/>
  <c r="DW6" i="12"/>
  <c r="ED6" i="12" s="1"/>
  <c r="DV6" i="12"/>
  <c r="EC6" i="12" s="1"/>
  <c r="DU6" i="12"/>
  <c r="EB6" i="12" s="1"/>
  <c r="DT6" i="12"/>
  <c r="EA6" i="12" s="1"/>
  <c r="DS6" i="12"/>
  <c r="BK6" i="12"/>
  <c r="BR6" i="12" s="1"/>
  <c r="BJ6" i="12"/>
  <c r="BQ6" i="12" s="1"/>
  <c r="BI6" i="12"/>
  <c r="BP6" i="12" s="1"/>
  <c r="BH6" i="12"/>
  <c r="BG6" i="12"/>
  <c r="BN6" i="12" s="1"/>
  <c r="BF6" i="12"/>
  <c r="BM6" i="12" s="1"/>
  <c r="EW5" i="12"/>
  <c r="FL5" i="12" s="1"/>
  <c r="EV5" i="12"/>
  <c r="FK5" i="12" s="1"/>
  <c r="EU5" i="12"/>
  <c r="FJ5" i="12" s="1"/>
  <c r="ET5" i="12"/>
  <c r="FI5" i="12" s="1"/>
  <c r="ES5" i="12"/>
  <c r="FH5" i="12" s="1"/>
  <c r="ER5" i="12"/>
  <c r="FG5" i="12" s="1"/>
  <c r="EQ5" i="12"/>
  <c r="FF5" i="12" s="1"/>
  <c r="EP5" i="12"/>
  <c r="FE5" i="12" s="1"/>
  <c r="EO5" i="12"/>
  <c r="FD5" i="12" s="1"/>
  <c r="EN5" i="12"/>
  <c r="FC5" i="12" s="1"/>
  <c r="EM5" i="12"/>
  <c r="EL5" i="12"/>
  <c r="FA5" i="12" s="1"/>
  <c r="DX5" i="12"/>
  <c r="EE5" i="12" s="1"/>
  <c r="DW5" i="12"/>
  <c r="ED5" i="12" s="1"/>
  <c r="DV5" i="12"/>
  <c r="EC5" i="12" s="1"/>
  <c r="DU5" i="12"/>
  <c r="EB5" i="12" s="1"/>
  <c r="DT5" i="12"/>
  <c r="EA5" i="12" s="1"/>
  <c r="DS5" i="12"/>
  <c r="DZ5" i="12" s="1"/>
  <c r="BK5" i="12"/>
  <c r="BR5" i="12" s="1"/>
  <c r="BJ5" i="12"/>
  <c r="BQ5" i="12" s="1"/>
  <c r="BI5" i="12"/>
  <c r="BP5" i="12" s="1"/>
  <c r="BH5" i="12"/>
  <c r="BO5" i="12" s="1"/>
  <c r="BG5" i="12"/>
  <c r="BN5" i="12" s="1"/>
  <c r="BF5" i="12"/>
  <c r="BM5" i="12" s="1"/>
  <c r="EW4" i="12"/>
  <c r="EV4" i="12"/>
  <c r="FK4" i="12" s="1"/>
  <c r="EU4" i="12"/>
  <c r="FJ4" i="12" s="1"/>
  <c r="ET4" i="12"/>
  <c r="FI4" i="12" s="1"/>
  <c r="ES4" i="12"/>
  <c r="ER4" i="12"/>
  <c r="EQ4" i="12"/>
  <c r="FF4" i="12" s="1"/>
  <c r="EP4" i="12"/>
  <c r="EO4" i="12"/>
  <c r="EN4" i="12"/>
  <c r="EM4" i="12"/>
  <c r="FB4" i="12" s="1"/>
  <c r="EL4" i="12"/>
  <c r="DZ4" i="12"/>
  <c r="DX4" i="12"/>
  <c r="EE4" i="12" s="1"/>
  <c r="DW4" i="12"/>
  <c r="ED4" i="12" s="1"/>
  <c r="DV4" i="12"/>
  <c r="EC4" i="12" s="1"/>
  <c r="DU4" i="12"/>
  <c r="EB4" i="12" s="1"/>
  <c r="DT4" i="12"/>
  <c r="DY4" i="12" s="1"/>
  <c r="EF4" i="12" s="1"/>
  <c r="DS4" i="12"/>
  <c r="BK4" i="12"/>
  <c r="BR4" i="12" s="1"/>
  <c r="BJ4" i="12"/>
  <c r="BQ4" i="12" s="1"/>
  <c r="BI4" i="12"/>
  <c r="BP4" i="12" s="1"/>
  <c r="BH4" i="12"/>
  <c r="BO4" i="12" s="1"/>
  <c r="BG4" i="12"/>
  <c r="BN4" i="12" s="1"/>
  <c r="BF4" i="12"/>
  <c r="BM4" i="12" s="1"/>
  <c r="FN2" i="12"/>
  <c r="FM2" i="12"/>
  <c r="EK2" i="12"/>
  <c r="EG7" i="12" l="1"/>
  <c r="EY5" i="12"/>
  <c r="FN5" i="12" s="1"/>
  <c r="EX6" i="12"/>
  <c r="FM6" i="12" s="1"/>
  <c r="FA6" i="12"/>
  <c r="BL4" i="12"/>
  <c r="BS4" i="12" s="1"/>
  <c r="EG4" i="12" s="1"/>
  <c r="FB5" i="12"/>
  <c r="BL6" i="12"/>
  <c r="BS6" i="12" s="1"/>
  <c r="EA4" i="12"/>
  <c r="EY4" i="12"/>
  <c r="FA4" i="12"/>
  <c r="EX5" i="12"/>
  <c r="FM5" i="12" s="1"/>
  <c r="BO6" i="12"/>
  <c r="DY6" i="12"/>
  <c r="EF6" i="12" s="1"/>
  <c r="FG4" i="12"/>
  <c r="BL5" i="12"/>
  <c r="BS5" i="12" s="1"/>
  <c r="DY5" i="12"/>
  <c r="EF5" i="12" s="1"/>
  <c r="EY6" i="12"/>
  <c r="FN6" i="12" s="1"/>
  <c r="FD4" i="12"/>
  <c r="FH4" i="12"/>
  <c r="FL4" i="12"/>
  <c r="FC4" i="12"/>
  <c r="EX4" i="12"/>
  <c r="FE4" i="12"/>
  <c r="EG5" i="12" l="1"/>
  <c r="EG6" i="12"/>
  <c r="FM4" i="12"/>
  <c r="FN4" i="12"/>
  <c r="C74" i="9"/>
  <c r="C73" i="9"/>
  <c r="C72" i="9"/>
  <c r="C71" i="9"/>
  <c r="C70" i="9"/>
  <c r="C75" i="9" s="1"/>
  <c r="B45" i="8" l="1"/>
  <c r="B44" i="8"/>
  <c r="B43" i="8"/>
  <c r="B10" i="8"/>
  <c r="B12" i="8"/>
  <c r="B11" i="8"/>
  <c r="L68" i="1"/>
  <c r="M68" i="1"/>
  <c r="M71" i="1" s="1"/>
  <c r="N68" i="1"/>
  <c r="N71" i="1" s="1"/>
  <c r="O68" i="1"/>
  <c r="O80" i="1" s="1"/>
  <c r="H11" i="8" s="1"/>
  <c r="L71" i="1"/>
  <c r="K68" i="1"/>
  <c r="K71" i="1" s="1"/>
  <c r="J68" i="1"/>
  <c r="J71" i="1" s="1"/>
  <c r="O29" i="1"/>
  <c r="K22" i="1"/>
  <c r="L22" i="1"/>
  <c r="M22" i="1"/>
  <c r="N22" i="1"/>
  <c r="J22" i="1"/>
  <c r="G22" i="1"/>
  <c r="H22" i="1"/>
  <c r="F22" i="1"/>
  <c r="I91" i="1"/>
  <c r="I89" i="1"/>
  <c r="I88" i="1"/>
  <c r="I85" i="1"/>
  <c r="G68" i="1"/>
  <c r="G71" i="1" s="1"/>
  <c r="H68" i="1"/>
  <c r="H71" i="1"/>
  <c r="F68" i="1"/>
  <c r="F80" i="1" s="1"/>
  <c r="F50" i="1"/>
  <c r="F57" i="1" s="1"/>
  <c r="F59" i="1" s="1"/>
  <c r="H80" i="1"/>
  <c r="G80" i="1"/>
  <c r="F24" i="1"/>
  <c r="G12" i="1"/>
  <c r="C44" i="8" s="1"/>
  <c r="H12" i="1"/>
  <c r="B7" i="8" s="1"/>
  <c r="F12" i="1"/>
  <c r="F17" i="1" s="1"/>
  <c r="C43" i="8"/>
  <c r="G17" i="1"/>
  <c r="G33" i="1" s="1"/>
  <c r="G85" i="1"/>
  <c r="H17" i="1"/>
  <c r="H85" i="1"/>
  <c r="B20" i="6"/>
  <c r="B22" i="6"/>
  <c r="L18" i="6"/>
  <c r="K18" i="6"/>
  <c r="J18" i="6"/>
  <c r="I18" i="6"/>
  <c r="H18" i="6"/>
  <c r="G18" i="6"/>
  <c r="F18" i="6"/>
  <c r="E18" i="6"/>
  <c r="D18" i="6"/>
  <c r="C18" i="6"/>
  <c r="B18" i="6"/>
  <c r="K7" i="6"/>
  <c r="I7" i="6"/>
  <c r="G7" i="6"/>
  <c r="E7" i="6"/>
  <c r="C7" i="6"/>
  <c r="C4" i="6"/>
  <c r="C20" i="6"/>
  <c r="C22" i="6"/>
  <c r="B18" i="5"/>
  <c r="B20" i="5"/>
  <c r="L17" i="5"/>
  <c r="K17" i="5"/>
  <c r="J17" i="5"/>
  <c r="I17" i="5"/>
  <c r="H17" i="5"/>
  <c r="G17" i="5"/>
  <c r="F17" i="5"/>
  <c r="E17" i="5"/>
  <c r="D17" i="5"/>
  <c r="C17" i="5"/>
  <c r="B17" i="5"/>
  <c r="K7" i="5"/>
  <c r="I7" i="5"/>
  <c r="G7" i="5"/>
  <c r="E7" i="5"/>
  <c r="C7" i="5"/>
  <c r="C4" i="5"/>
  <c r="D4" i="5"/>
  <c r="E28" i="4"/>
  <c r="B28" i="4"/>
  <c r="E21" i="4"/>
  <c r="E22" i="4"/>
  <c r="D21" i="4"/>
  <c r="D22" i="4"/>
  <c r="C21" i="4"/>
  <c r="C22" i="4"/>
  <c r="B21" i="4"/>
  <c r="B22" i="4"/>
  <c r="E14" i="4"/>
  <c r="F41" i="4"/>
  <c r="D14" i="4"/>
  <c r="D31" i="4"/>
  <c r="E41" i="4"/>
  <c r="C14" i="4"/>
  <c r="C31" i="4"/>
  <c r="D41" i="4"/>
  <c r="B14" i="4"/>
  <c r="B31" i="4"/>
  <c r="C41" i="4"/>
  <c r="E11" i="4"/>
  <c r="B11" i="4"/>
  <c r="D10" i="4"/>
  <c r="C10" i="4"/>
  <c r="D9" i="4"/>
  <c r="C9" i="4"/>
  <c r="D8" i="4"/>
  <c r="C8" i="4"/>
  <c r="D7" i="4"/>
  <c r="C7" i="4"/>
  <c r="D35" i="3"/>
  <c r="C35" i="3"/>
  <c r="B35" i="3"/>
  <c r="D33" i="3"/>
  <c r="C33" i="3"/>
  <c r="B33" i="3"/>
  <c r="D32" i="3"/>
  <c r="C32" i="3"/>
  <c r="B32" i="3"/>
  <c r="D15" i="3"/>
  <c r="D30" i="3"/>
  <c r="C15" i="3"/>
  <c r="C30" i="3"/>
  <c r="B15" i="3"/>
  <c r="B30" i="3"/>
  <c r="O35" i="1"/>
  <c r="O28" i="1"/>
  <c r="O26" i="1"/>
  <c r="O24" i="1"/>
  <c r="O20" i="1"/>
  <c r="O22" i="1" s="1"/>
  <c r="O16" i="1"/>
  <c r="U14" i="1"/>
  <c r="O7" i="1"/>
  <c r="O8" i="1"/>
  <c r="O9" i="1"/>
  <c r="O10" i="1"/>
  <c r="O11" i="1"/>
  <c r="O6" i="1"/>
  <c r="E44" i="2"/>
  <c r="F40" i="2"/>
  <c r="F44" i="2"/>
  <c r="F11" i="2"/>
  <c r="F27" i="2"/>
  <c r="F31" i="2"/>
  <c r="O37" i="1"/>
  <c r="D11" i="4"/>
  <c r="D4" i="6"/>
  <c r="D20" i="6"/>
  <c r="D22" i="6"/>
  <c r="D28" i="4"/>
  <c r="H18" i="1"/>
  <c r="H88" i="1"/>
  <c r="H33" i="1"/>
  <c r="H37" i="1" s="1"/>
  <c r="H39" i="1" s="1"/>
  <c r="C28" i="4"/>
  <c r="C11" i="4"/>
  <c r="E35" i="4"/>
  <c r="E23" i="4"/>
  <c r="B35" i="4"/>
  <c r="B23" i="4"/>
  <c r="B33" i="4"/>
  <c r="C42" i="4"/>
  <c r="D31" i="3"/>
  <c r="C35" i="4"/>
  <c r="C23" i="4"/>
  <c r="C33" i="4"/>
  <c r="D42" i="4"/>
  <c r="C31" i="3"/>
  <c r="D18" i="5"/>
  <c r="D20" i="5"/>
  <c r="E4" i="5"/>
  <c r="B31" i="3"/>
  <c r="D35" i="4"/>
  <c r="D23" i="4"/>
  <c r="D33" i="4"/>
  <c r="E42" i="4"/>
  <c r="E31" i="4"/>
  <c r="C18" i="5"/>
  <c r="C20" i="5"/>
  <c r="E4" i="6"/>
  <c r="E18" i="5"/>
  <c r="F4" i="5"/>
  <c r="F42" i="4"/>
  <c r="E33" i="4"/>
  <c r="F4" i="6"/>
  <c r="E20" i="6"/>
  <c r="F33" i="2"/>
  <c r="F34" i="2"/>
  <c r="E21" i="6"/>
  <c r="E22" i="6"/>
  <c r="G4" i="5"/>
  <c r="F18" i="5"/>
  <c r="G4" i="6"/>
  <c r="F20" i="6"/>
  <c r="E19" i="5"/>
  <c r="E20" i="5"/>
  <c r="E50" i="1"/>
  <c r="J46" i="1"/>
  <c r="J50" i="1" s="1"/>
  <c r="F19" i="5"/>
  <c r="F20" i="5"/>
  <c r="H4" i="5"/>
  <c r="G18" i="5"/>
  <c r="G20" i="5"/>
  <c r="F21" i="6"/>
  <c r="F22" i="6"/>
  <c r="G20" i="6"/>
  <c r="G22" i="6"/>
  <c r="H4" i="6"/>
  <c r="K12" i="1"/>
  <c r="K17" i="1"/>
  <c r="L12" i="1"/>
  <c r="B4" i="8" s="1"/>
  <c r="M12" i="1"/>
  <c r="M17" i="1"/>
  <c r="M18" i="1" s="1"/>
  <c r="N12" i="1"/>
  <c r="N17" i="1" s="1"/>
  <c r="O12" i="1"/>
  <c r="O17" i="1"/>
  <c r="O18" i="1" s="1"/>
  <c r="J12" i="1"/>
  <c r="J17" i="1"/>
  <c r="J33" i="1"/>
  <c r="J37" i="1" s="1"/>
  <c r="K18" i="1"/>
  <c r="K33" i="1"/>
  <c r="H20" i="6"/>
  <c r="H22" i="6"/>
  <c r="I4" i="6"/>
  <c r="I4" i="5"/>
  <c r="H18" i="5"/>
  <c r="H20" i="5"/>
  <c r="J18" i="1"/>
  <c r="I20" i="6"/>
  <c r="J4" i="6"/>
  <c r="I18" i="5"/>
  <c r="J4" i="5"/>
  <c r="K37" i="1"/>
  <c r="K39" i="1" s="1"/>
  <c r="K40" i="1" s="1"/>
  <c r="K4" i="6"/>
  <c r="J20" i="6"/>
  <c r="J22" i="6"/>
  <c r="J18" i="5"/>
  <c r="J20" i="5"/>
  <c r="K4" i="5"/>
  <c r="I19" i="5"/>
  <c r="I20" i="5"/>
  <c r="I21" i="6"/>
  <c r="I22" i="6"/>
  <c r="L4" i="5"/>
  <c r="L18" i="5"/>
  <c r="K18" i="5"/>
  <c r="L4" i="6"/>
  <c r="L20" i="6"/>
  <c r="K20" i="6"/>
  <c r="K21" i="6"/>
  <c r="K22" i="6"/>
  <c r="L21" i="6"/>
  <c r="L22" i="6"/>
  <c r="K19" i="5"/>
  <c r="K20" i="5"/>
  <c r="L19" i="5"/>
  <c r="L20" i="5"/>
  <c r="G37" i="1" l="1"/>
  <c r="G39" i="1"/>
  <c r="C7" i="8"/>
  <c r="F62" i="1"/>
  <c r="F77" i="1"/>
  <c r="F75" i="1"/>
  <c r="N18" i="1"/>
  <c r="N33" i="1"/>
  <c r="K46" i="1"/>
  <c r="K50" i="1" s="1"/>
  <c r="J57" i="1"/>
  <c r="J59" i="1" s="1"/>
  <c r="J62" i="1" s="1"/>
  <c r="J72" i="1" s="1"/>
  <c r="H91" i="1"/>
  <c r="H76" i="1"/>
  <c r="H40" i="1"/>
  <c r="H89" i="1" s="1"/>
  <c r="J39" i="1"/>
  <c r="J40" i="1" s="1"/>
  <c r="M33" i="1"/>
  <c r="G18" i="1"/>
  <c r="G88" i="1" s="1"/>
  <c r="G46" i="1"/>
  <c r="G50" i="1" s="1"/>
  <c r="F71" i="1"/>
  <c r="O71" i="1"/>
  <c r="O33" i="1"/>
  <c r="O39" i="1" s="1"/>
  <c r="O40" i="1" s="1"/>
  <c r="L17" i="1"/>
  <c r="C45" i="8"/>
  <c r="F85" i="1"/>
  <c r="F18" i="1"/>
  <c r="F88" i="1" s="1"/>
  <c r="F33" i="1"/>
  <c r="F37" i="1" s="1"/>
  <c r="F39" i="1" s="1"/>
  <c r="N39" i="1" l="1"/>
  <c r="N40" i="1" s="1"/>
  <c r="N37" i="1"/>
  <c r="F72" i="1"/>
  <c r="F78" i="1" s="1"/>
  <c r="M37" i="1"/>
  <c r="M39" i="1"/>
  <c r="M40" i="1" s="1"/>
  <c r="G40" i="1"/>
  <c r="G89" i="1" s="1"/>
  <c r="G91" i="1"/>
  <c r="G76" i="1"/>
  <c r="L18" i="1"/>
  <c r="L33" i="1"/>
  <c r="H46" i="1"/>
  <c r="H50" i="1" s="1"/>
  <c r="H57" i="1" s="1"/>
  <c r="H59" i="1" s="1"/>
  <c r="G57" i="1"/>
  <c r="G59" i="1" s="1"/>
  <c r="L46" i="1"/>
  <c r="L50" i="1" s="1"/>
  <c r="K57" i="1"/>
  <c r="K59" i="1" s="1"/>
  <c r="K62" i="1" s="1"/>
  <c r="K72" i="1" s="1"/>
  <c r="F91" i="1"/>
  <c r="F76" i="1"/>
  <c r="F40" i="1"/>
  <c r="F89" i="1" s="1"/>
  <c r="M46" i="1" l="1"/>
  <c r="M50" i="1" s="1"/>
  <c r="L57" i="1"/>
  <c r="L59" i="1" s="1"/>
  <c r="L62" i="1" s="1"/>
  <c r="L72" i="1" s="1"/>
  <c r="G77" i="1"/>
  <c r="G75" i="1"/>
  <c r="G62" i="1"/>
  <c r="G72" i="1" s="1"/>
  <c r="G78" i="1" s="1"/>
  <c r="H75" i="1"/>
  <c r="H62" i="1"/>
  <c r="H72" i="1" s="1"/>
  <c r="H78" i="1" s="1"/>
  <c r="H77" i="1"/>
  <c r="L37" i="1"/>
  <c r="L39" i="1" s="1"/>
  <c r="L40" i="1" s="1"/>
  <c r="M57" i="1" l="1"/>
  <c r="M59" i="1" s="1"/>
  <c r="M62" i="1" s="1"/>
  <c r="M72" i="1" s="1"/>
  <c r="N46" i="1"/>
  <c r="N50" i="1" s="1"/>
  <c r="N57" i="1" l="1"/>
  <c r="N59" i="1" s="1"/>
  <c r="N62" i="1" s="1"/>
  <c r="N72" i="1" s="1"/>
  <c r="O46" i="1"/>
  <c r="O50" i="1" s="1"/>
  <c r="O57" i="1" s="1"/>
  <c r="O59" i="1" s="1"/>
  <c r="O62" i="1" l="1"/>
  <c r="O72" i="1" s="1"/>
  <c r="O78" i="1" s="1"/>
  <c r="O75" i="1"/>
  <c r="H12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13" authorId="0" shapeId="0" xr:uid="{31A20D6A-00C8-4320-89A3-A820776B02C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</t>
        </r>
      </text>
    </comment>
  </commentList>
</comments>
</file>

<file path=xl/sharedStrings.xml><?xml version="1.0" encoding="utf-8"?>
<sst xmlns="http://schemas.openxmlformats.org/spreadsheetml/2006/main" count="791" uniqueCount="568">
  <si>
    <t>Income Statement Information</t>
  </si>
  <si>
    <t>Customer A</t>
  </si>
  <si>
    <t>Customer B</t>
  </si>
  <si>
    <t>Customer C</t>
  </si>
  <si>
    <t>Customer D</t>
  </si>
  <si>
    <t>Customer E</t>
  </si>
  <si>
    <t>All Other Customers</t>
  </si>
  <si>
    <t>Total Sales</t>
  </si>
  <si>
    <t>$  Sales by top customers</t>
  </si>
  <si>
    <t>$ Sales projections for 6 M out</t>
  </si>
  <si>
    <t>Cost of Goods Sold</t>
  </si>
  <si>
    <t>Profit Margin %</t>
  </si>
  <si>
    <t>Payroll Costs</t>
  </si>
  <si>
    <t>Gross Profit</t>
  </si>
  <si>
    <t>Rent/ Leases</t>
  </si>
  <si>
    <t>Sales, General &amp; Administrative</t>
  </si>
  <si>
    <t>Interest Expense</t>
  </si>
  <si>
    <t>Other &amp; Miscellaneous</t>
  </si>
  <si>
    <t>Taxes</t>
  </si>
  <si>
    <t>EBIT</t>
  </si>
  <si>
    <t>Net Income</t>
  </si>
  <si>
    <t>Net Profit Margin %</t>
  </si>
  <si>
    <t>PRODUCTION INFORMATION</t>
  </si>
  <si>
    <t>Inventory</t>
  </si>
  <si>
    <t>If Pos +Beginning inventory/ If Neg (Outstanding Orders)</t>
  </si>
  <si>
    <t>+ Ending Inventory/ -Outstanding Orders</t>
  </si>
  <si>
    <t>+ Ending Inventory / - Outstanding Orders</t>
  </si>
  <si>
    <t>in UNITS!!!</t>
  </si>
  <si>
    <t>Accounts Receivable</t>
  </si>
  <si>
    <t># Made (Added to inventory)</t>
  </si>
  <si>
    <t># Sold (removed from inventory)</t>
  </si>
  <si>
    <t>Additional Orders Placed (demand not met)</t>
  </si>
  <si>
    <t>CURRENT MONTH</t>
  </si>
  <si>
    <t>Rate</t>
  </si>
  <si>
    <t>Fiscal Year Ending</t>
  </si>
  <si>
    <t>Cash &amp; Equivalents</t>
  </si>
  <si>
    <t>Fixed Assets</t>
  </si>
  <si>
    <t>Current Liabilities/Debt (ask how to phrase)</t>
  </si>
  <si>
    <t>Inventory of Product A (in local currency)</t>
  </si>
  <si>
    <t>Inventory of Product B  (in local currency)</t>
  </si>
  <si>
    <t>Inventory of Product C  (in local currency)</t>
  </si>
  <si>
    <t>Inventory of Product D  (in local currency)</t>
  </si>
  <si>
    <t>Inventory of Product E  (in local currency)</t>
  </si>
  <si>
    <t>All other inventory (in local currency)</t>
  </si>
  <si>
    <t>Total Inventory</t>
  </si>
  <si>
    <t>Inventory of Product A (#Units)</t>
  </si>
  <si>
    <t>Inventory of Product B  (#Units)</t>
  </si>
  <si>
    <t>Inventory of Product C  (#Units)</t>
  </si>
  <si>
    <t>Inventory of Product D  (#Units)</t>
  </si>
  <si>
    <t>Inventory of Product E  (#Units)</t>
  </si>
  <si>
    <t>Valuation of other assets (besides cash/equiv. and inventories)</t>
  </si>
  <si>
    <t>ST Debt</t>
  </si>
  <si>
    <t>LT Debt</t>
  </si>
  <si>
    <t>% of Equity the Owner has</t>
  </si>
  <si>
    <t>Total Equity</t>
  </si>
  <si>
    <t>CALCULATED FIELDS</t>
  </si>
  <si>
    <t>current ratio (annual for 3 years) (=Current Assets/Current Liabilities)</t>
  </si>
  <si>
    <t>3 year trend of cash generated from operations?  (NI + D+A ?????)</t>
  </si>
  <si>
    <t>Assets Employed (3 years of data) = Fixed assets + Current Assets - Current Liabilities</t>
  </si>
  <si>
    <t>debt/equity ratio</t>
  </si>
  <si>
    <t>Quick ratio = (cash and equivalents + marketable securities + accounts receivable) / current liabilities</t>
  </si>
  <si>
    <t>Fiscal Year Ends</t>
  </si>
  <si>
    <t>Actual</t>
  </si>
  <si>
    <t>Projected</t>
  </si>
  <si>
    <t>Revenues (Total)</t>
  </si>
  <si>
    <t>Gross Margin</t>
  </si>
  <si>
    <t>Payroll Expenses</t>
  </si>
  <si>
    <t>Lease/Rent Expenses</t>
  </si>
  <si>
    <t>Management, General &amp; Administrative Expense</t>
  </si>
  <si>
    <t>Other Expenses</t>
  </si>
  <si>
    <t>Depreciation &amp; Amortization Expense</t>
  </si>
  <si>
    <t>Total Expenses</t>
  </si>
  <si>
    <t>Net Margin</t>
  </si>
  <si>
    <t>2015</t>
  </si>
  <si>
    <t>2016</t>
  </si>
  <si>
    <t>2017</t>
  </si>
  <si>
    <t>2018</t>
  </si>
  <si>
    <t>What is the 3 year trend of percentage of revenues concentrated in top 5 customers</t>
  </si>
  <si>
    <t>(revenue from customer/total gross revenue)?</t>
  </si>
  <si>
    <t xml:space="preserve">What is the 3 year trend of  Gross Margin </t>
  </si>
  <si>
    <t>What is the 3 year trend of Net Margin</t>
  </si>
  <si>
    <t>Calculated Graphs</t>
  </si>
  <si>
    <t>2018E</t>
  </si>
  <si>
    <t>from when they started, not backwards looking</t>
  </si>
  <si>
    <t>Sales</t>
  </si>
  <si>
    <t>Sales Projection (6 months out?)</t>
  </si>
  <si>
    <t>Cash and other financial Reserve Levels</t>
  </si>
  <si>
    <t>Volume of production</t>
  </si>
  <si>
    <t>Volume of orders for (future) production</t>
  </si>
  <si>
    <t>Sales $ in future</t>
  </si>
  <si>
    <t>$ of orders received</t>
  </si>
  <si>
    <t>Accts receivable</t>
  </si>
  <si>
    <t>Accts Payable</t>
  </si>
  <si>
    <t>Total Revenues</t>
  </si>
  <si>
    <t>Total Costs (excluding D&amp;A)</t>
  </si>
  <si>
    <t>Cash Flow</t>
  </si>
  <si>
    <t>Do MONTHLY IS (with recurring costs)</t>
  </si>
  <si>
    <t>space to add lines for new people</t>
  </si>
  <si>
    <t>new costs….</t>
  </si>
  <si>
    <t>Financial Model MONTHLY</t>
  </si>
  <si>
    <t>Assume it is September, 2018</t>
  </si>
  <si>
    <t>Sales Orders $ booked during month for delivery in future</t>
  </si>
  <si>
    <t>Total of $  Orders Booked/ not yet delivered</t>
  </si>
  <si>
    <t>Employees</t>
  </si>
  <si>
    <t>Eoghan's Super Cool Widgets Company</t>
  </si>
  <si>
    <t>Revenue - Current YTD</t>
  </si>
  <si>
    <t>8 Total, 3 Women</t>
  </si>
  <si>
    <t>Revenue Target</t>
  </si>
  <si>
    <t>Previous Yr.</t>
  </si>
  <si>
    <t>% Change</t>
  </si>
  <si>
    <t>Trend</t>
  </si>
  <si>
    <t>Number of widgets</t>
  </si>
  <si>
    <t>Cash in Bank</t>
  </si>
  <si>
    <t>Quick Ratio:</t>
  </si>
  <si>
    <t>Accounts Payable</t>
  </si>
  <si>
    <t xml:space="preserve"> 30/60/90</t>
  </si>
  <si>
    <t>Current Ratio:</t>
  </si>
  <si>
    <t>Orders</t>
  </si>
  <si>
    <t>Employees:</t>
  </si>
  <si>
    <t xml:space="preserve">       Sales Concentration in Top 5 Customers</t>
  </si>
  <si>
    <t>Balance Sheet Information</t>
  </si>
  <si>
    <t>Short Term Debt &amp; Current portion of LT Debt</t>
  </si>
  <si>
    <t>Long Term Debt</t>
  </si>
  <si>
    <t>FY 2015</t>
  </si>
  <si>
    <t>FY 2016</t>
  </si>
  <si>
    <t>FY 2017</t>
  </si>
  <si>
    <t>Tax Rate</t>
  </si>
  <si>
    <t>TOTAL CURRENT ASSETS</t>
  </si>
  <si>
    <t>Other Current Assets</t>
  </si>
  <si>
    <t>per item</t>
  </si>
  <si>
    <t>Total Assets</t>
  </si>
  <si>
    <t>Fixed Assets (Property, Plant &amp; Equip - NET of Depreciation)</t>
  </si>
  <si>
    <t>Other Payables</t>
  </si>
  <si>
    <t>Liabilities</t>
  </si>
  <si>
    <t>Assets</t>
  </si>
  <si>
    <t xml:space="preserve">Inventory </t>
  </si>
  <si>
    <t xml:space="preserve">levels should </t>
  </si>
  <si>
    <t>match</t>
  </si>
  <si>
    <t>FY 17</t>
  </si>
  <si>
    <t>dec 2017 &amp;</t>
  </si>
  <si>
    <t>Total Liabilities</t>
  </si>
  <si>
    <t>Current Liabilities</t>
  </si>
  <si>
    <t>Equity</t>
  </si>
  <si>
    <t>Depreciation and Amortization</t>
  </si>
  <si>
    <t>Other Fields</t>
  </si>
  <si>
    <t>% Equity the Owner Has</t>
  </si>
  <si>
    <t>Total Payroll Costs</t>
  </si>
  <si>
    <t>Additional People costs</t>
  </si>
  <si>
    <t>Other costs #2</t>
  </si>
  <si>
    <t>Other #2 ______________</t>
  </si>
  <si>
    <t>EMPLOYMENT INFORMATION</t>
  </si>
  <si>
    <t># Women</t>
  </si>
  <si>
    <t># Total</t>
  </si>
  <si>
    <t>$ Sales projections for 6 Months out</t>
  </si>
  <si>
    <t>Industry-Specific KPIs</t>
  </si>
  <si>
    <t>??????</t>
  </si>
  <si>
    <t>Financial Ratios</t>
  </si>
  <si>
    <t>RATIOS</t>
  </si>
  <si>
    <t>FORMULAR</t>
  </si>
  <si>
    <t>VALUE</t>
  </si>
  <si>
    <t>Profitability Ratios</t>
  </si>
  <si>
    <t xml:space="preserve">Return on Assets </t>
  </si>
  <si>
    <t>Profit before taxes/ Total Asset</t>
  </si>
  <si>
    <t>Return on Equity</t>
  </si>
  <si>
    <t>Net income/Shareholder's Equity</t>
  </si>
  <si>
    <t>Return on capital</t>
  </si>
  <si>
    <t>(Net income - Dividends)/(Debt + Equity)</t>
  </si>
  <si>
    <t>Return on capital employed</t>
  </si>
  <si>
    <t>Net operating profit/(Total assets - Current liabilities)</t>
  </si>
  <si>
    <t>Cash flow return on investment</t>
  </si>
  <si>
    <t>Cash flow/ Market value of capital employed</t>
  </si>
  <si>
    <t>Efficiency ratio</t>
  </si>
  <si>
    <t>Non-interest expense/ revenue</t>
  </si>
  <si>
    <t>Gross profit margin</t>
  </si>
  <si>
    <t>Gross income/Sales</t>
  </si>
  <si>
    <t>Operating profit margin</t>
  </si>
  <si>
    <t>Operating income/ Sales</t>
  </si>
  <si>
    <t>Net profit margin</t>
  </si>
  <si>
    <t>Net income/ Sales</t>
  </si>
  <si>
    <t>Liquidity Ratios</t>
  </si>
  <si>
    <t>Current Ratio</t>
  </si>
  <si>
    <t>Current assets/Current liabilities</t>
  </si>
  <si>
    <t>Quick Ratio</t>
  </si>
  <si>
    <t>(Current assets-Inventory)/ Current liabilities</t>
  </si>
  <si>
    <t>Net working capital to sales ratio</t>
  </si>
  <si>
    <t>(Current assets - Current liabilities)/ Sales</t>
  </si>
  <si>
    <t>Net Operating cycle</t>
  </si>
  <si>
    <t>Accounts receivable days+ Inventory days - Accounts payable days</t>
  </si>
  <si>
    <t>49 Days</t>
  </si>
  <si>
    <t>Operating cycle</t>
  </si>
  <si>
    <t>Inventory days + Account receivable days</t>
  </si>
  <si>
    <t>Activitiy Ratios</t>
  </si>
  <si>
    <t>Inventory turnover</t>
  </si>
  <si>
    <t>Cost of goods sold/ Inventory</t>
  </si>
  <si>
    <t>19x</t>
  </si>
  <si>
    <t>Accounts Receivable Turnover Ratio</t>
  </si>
  <si>
    <t>Sales on credit/Accounts receivable</t>
  </si>
  <si>
    <t>Inventory Days on Hand</t>
  </si>
  <si>
    <t>Inventory/Average day's cost of goods sold</t>
  </si>
  <si>
    <t>19 Days</t>
  </si>
  <si>
    <t xml:space="preserve">Accounts Receivable Days </t>
  </si>
  <si>
    <t>365days/Account receivable turnover ratio</t>
  </si>
  <si>
    <t>0 Days</t>
  </si>
  <si>
    <t>Account Payable Turnover Ratio</t>
  </si>
  <si>
    <t>Cost of Goods sold/Inventory</t>
  </si>
  <si>
    <t>12x</t>
  </si>
  <si>
    <t>Accounts Payable Days on Hand</t>
  </si>
  <si>
    <t>365days/ Accounts payable turnover ratio</t>
  </si>
  <si>
    <t>30 Days</t>
  </si>
  <si>
    <t>Total asset turnover</t>
  </si>
  <si>
    <t>Sales/Total assets</t>
  </si>
  <si>
    <t>Fixed asset turnover</t>
  </si>
  <si>
    <t>Sales/Fixed assets</t>
  </si>
  <si>
    <t>Financial Leverage ratios</t>
  </si>
  <si>
    <t>Total debt to asset ratio</t>
  </si>
  <si>
    <t>Total debt/ Total assets</t>
  </si>
  <si>
    <t>Long-term debt to assets ratio</t>
  </si>
  <si>
    <t>Long-term debt/ Total assets</t>
  </si>
  <si>
    <t>Total debt to equity ratio</t>
  </si>
  <si>
    <t>Total debts/ Total shareholders' equity</t>
  </si>
  <si>
    <t>Equity to debt</t>
  </si>
  <si>
    <t>Market Value of Equity/ Total Liabilities</t>
  </si>
  <si>
    <t>Coverage Financial Leverage ratios</t>
  </si>
  <si>
    <t>Times -interest-coverage ration</t>
  </si>
  <si>
    <t>Earnings before interest and taxes/ Interest</t>
  </si>
  <si>
    <t>Fixed-chareg coverage ratio</t>
  </si>
  <si>
    <t>(Earnings before interest and taxes + Lease payment) / (Interest + Lease payment)</t>
  </si>
  <si>
    <t>Shareholder ratios</t>
  </si>
  <si>
    <t>Earnings per share</t>
  </si>
  <si>
    <t>Net income available to shareholders/ Number of shares outstanding</t>
  </si>
  <si>
    <t>Price-earning ratio</t>
  </si>
  <si>
    <t>Market price per share/ Earnings per share</t>
  </si>
  <si>
    <t>Dividend payout ratio</t>
  </si>
  <si>
    <t>Dividends/Earnings</t>
  </si>
  <si>
    <t>Retention ratio</t>
  </si>
  <si>
    <t>(Earnings - Dividend)/ Earnings</t>
  </si>
  <si>
    <t>Dividend yield</t>
  </si>
  <si>
    <t>Dividends per share/ Market per share</t>
  </si>
  <si>
    <t>Retained Earnings to Total Assets</t>
  </si>
  <si>
    <t>Retained earnings/ Total assets</t>
  </si>
  <si>
    <t>Solvency Ratios</t>
  </si>
  <si>
    <t>Working Capital</t>
  </si>
  <si>
    <t>Total current asset - Total current liabilities</t>
  </si>
  <si>
    <t>Net Sales to Working Capital</t>
  </si>
  <si>
    <t>Net sales/ Net working capital</t>
  </si>
  <si>
    <t>Other Ratios</t>
  </si>
  <si>
    <t>Working capital to Total Assets</t>
  </si>
  <si>
    <t>Working capital/Total assets</t>
  </si>
  <si>
    <t>Operating leverage</t>
  </si>
  <si>
    <t>Contribution margin/ Fixed costs</t>
  </si>
  <si>
    <t>Fincnacial leverage</t>
  </si>
  <si>
    <t>Total capital employed/Shareholder's equity</t>
  </si>
  <si>
    <t>Total leverage</t>
  </si>
  <si>
    <t>Operating leverage X Financial leverage</t>
  </si>
  <si>
    <t>Z-Score</t>
  </si>
  <si>
    <t>Weighting Factor</t>
  </si>
  <si>
    <t>Return on Assets</t>
  </si>
  <si>
    <t>Sales to Total Assets</t>
  </si>
  <si>
    <t>Equity to Debt</t>
  </si>
  <si>
    <t>Working Capital to Total Assets</t>
  </si>
  <si>
    <t>Marketplace Credit Rating Matrix VI</t>
  </si>
  <si>
    <t>TRENDS OVER 3 YEARS</t>
  </si>
  <si>
    <t>Improving</t>
  </si>
  <si>
    <t>Stable</t>
  </si>
  <si>
    <t>Declining</t>
  </si>
  <si>
    <t>n/a [see notes]</t>
  </si>
  <si>
    <t>TOTAL REVENUES</t>
  </si>
  <si>
    <t>REVENUES % CONCENTRATION</t>
  </si>
  <si>
    <t>GROSS MARGIN</t>
  </si>
  <si>
    <t>NET MARGIN</t>
  </si>
  <si>
    <t>ASSETS EMPLOYED</t>
  </si>
  <si>
    <t>CURRENT RATIO [General Liquidity]</t>
  </si>
  <si>
    <t>OWNER’S EQUITY</t>
  </si>
  <si>
    <t>DEBT TO EQUITY RATIO</t>
  </si>
  <si>
    <t>CASH GENERATED FROM OPERATIONS</t>
  </si>
  <si>
    <t>OTHER TREND MEASUREMENTS</t>
  </si>
  <si>
    <t>Over 5 years</t>
  </si>
  <si>
    <t>Over 3 years</t>
  </si>
  <si>
    <t>1 year</t>
  </si>
  <si>
    <t>Unavailable</t>
  </si>
  <si>
    <t>GOOD REPAYMENT RECORD</t>
  </si>
  <si>
    <t>ORGANISED FINANCIALS  AVAILABLE</t>
  </si>
  <si>
    <t>AUDITED FINANCIALS  AVAILABLE</t>
  </si>
  <si>
    <t>ABSOLUTE  MEASURES</t>
  </si>
  <si>
    <t>More Than USD2ML</t>
  </si>
  <si>
    <t>USD500K – USD2ML</t>
  </si>
  <si>
    <t>USD100K – USD499K</t>
  </si>
  <si>
    <t>USD50K – USD99K</t>
  </si>
  <si>
    <t>Annual Revenues</t>
  </si>
  <si>
    <t>Total Assets Employed</t>
  </si>
  <si>
    <t>Owners / X-Co Supported G’tees Available</t>
  </si>
  <si>
    <t>RECORDS / ENVIRON [NON-FINANCIAL]</t>
  </si>
  <si>
    <t>Over 7 years</t>
  </si>
  <si>
    <t>Over 4 years</t>
  </si>
  <si>
    <t>Over 2 years</t>
  </si>
  <si>
    <t>Start-Up [see notes]</t>
  </si>
  <si>
    <t>Business Longevity</t>
  </si>
  <si>
    <t>Organisational Structure &amp; Policies</t>
  </si>
  <si>
    <t>Business Sector Stability</t>
  </si>
  <si>
    <t>Increasing Employment Trend</t>
  </si>
  <si>
    <t>TOTAL</t>
  </si>
  <si>
    <t>1)</t>
  </si>
  <si>
    <t>Sales Actual vs Forecast</t>
  </si>
  <si>
    <t>Monthly data comes from:</t>
  </si>
  <si>
    <t>='Finance Statements'!O12</t>
  </si>
  <si>
    <t>Actual month</t>
  </si>
  <si>
    <t>Forecast month</t>
  </si>
  <si>
    <t>='Finance Statements'!O14</t>
  </si>
  <si>
    <t xml:space="preserve">2) </t>
  </si>
  <si>
    <t>Cash Flow by Month</t>
  </si>
  <si>
    <t>Revenue</t>
  </si>
  <si>
    <t>Expenses</t>
  </si>
  <si>
    <t>='Finance Statements'!M14-'Finance Statements'!M39</t>
  </si>
  <si>
    <t>Month 1</t>
  </si>
  <si>
    <t>Month 2</t>
  </si>
  <si>
    <t>Month 3</t>
  </si>
  <si>
    <t>='Finance Statements'!M12</t>
  </si>
  <si>
    <t>'Finance Statements'!M31+'Finance Statements'!M39</t>
  </si>
  <si>
    <t>='Finance Statements'!N12</t>
  </si>
  <si>
    <t>='Finance Statements'!N14-'Finance Statements'!N39</t>
  </si>
  <si>
    <t>='Finance Statements'!O14-'Finance Statements'!O39</t>
  </si>
  <si>
    <t>'Finance Statements'!N31+'Finance Statements'!N39</t>
  </si>
  <si>
    <t>'Finance Statements'!O31+'Finance Statements'!O39</t>
  </si>
  <si>
    <t>3)</t>
  </si>
  <si>
    <t>Profit Margins by Year</t>
  </si>
  <si>
    <t>3 Years Ago (ie 2015)</t>
  </si>
  <si>
    <t>Year Before Last (2016)</t>
  </si>
  <si>
    <t>Last Year (2017)</t>
  </si>
  <si>
    <t>'Finance Statements'!F18 (formatted as %)</t>
  </si>
  <si>
    <t>'Finance Statements'!F40 (%)</t>
  </si>
  <si>
    <t>='Finance Statements'!G18</t>
  </si>
  <si>
    <t>='Finance Statements'!H18</t>
  </si>
  <si>
    <t>='Finance Statements'!G40</t>
  </si>
  <si>
    <t>='Finance Statements'!H40</t>
  </si>
  <si>
    <t>4)</t>
  </si>
  <si>
    <t>Sales Concentration by Customer</t>
  </si>
  <si>
    <t>last year (2017)</t>
  </si>
  <si>
    <t>All other Customers</t>
  </si>
  <si>
    <t>='Finance Statements'!H6/'Finance Statements'!H12 (in %)</t>
  </si>
  <si>
    <t>='Finance Statements'!H7/'Finance Statements'!H12 (in %)</t>
  </si>
  <si>
    <t>='Finance Statements'!H8/'Finance Statements'!H12 (in %)</t>
  </si>
  <si>
    <t>='Finance Statements'!H9/'Finance Statements'!H12 (in %)</t>
  </si>
  <si>
    <t>='Finance Statements'!H10/'Finance Statements'!H12 (in %)</t>
  </si>
  <si>
    <t>='Finance Statements'!H11/'Finance Statements'!H12 (in %)</t>
  </si>
  <si>
    <t>5)</t>
  </si>
  <si>
    <t>Business Diagnostics</t>
  </si>
  <si>
    <t>CHANGEABLE DURING PLACEMENTS?</t>
  </si>
  <si>
    <t>NO</t>
  </si>
  <si>
    <t>YES</t>
  </si>
  <si>
    <t>ACTIONABLE ONLY!!!!!</t>
  </si>
  <si>
    <t>Average of As</t>
  </si>
  <si>
    <t>Average of Bs</t>
  </si>
  <si>
    <t>Average of Cs</t>
  </si>
  <si>
    <t>Average of Ds</t>
  </si>
  <si>
    <t>Average of Es</t>
  </si>
  <si>
    <t>Average of Fs</t>
  </si>
  <si>
    <t>Average of ALL (Actionable Only)</t>
  </si>
  <si>
    <t>UIN</t>
  </si>
  <si>
    <t>Enterprise Name</t>
  </si>
  <si>
    <t>Sector</t>
  </si>
  <si>
    <t>Cycle</t>
  </si>
  <si>
    <t>Country</t>
  </si>
  <si>
    <t>City</t>
  </si>
  <si>
    <t>A.01I</t>
  </si>
  <si>
    <t>A.02I</t>
  </si>
  <si>
    <t>A.03I</t>
  </si>
  <si>
    <t>A.04I</t>
  </si>
  <si>
    <t>A.05I</t>
  </si>
  <si>
    <t>A.06I</t>
  </si>
  <si>
    <t>B.01I</t>
  </si>
  <si>
    <t>B.02I</t>
  </si>
  <si>
    <t>B.03I</t>
  </si>
  <si>
    <t>B.04I</t>
  </si>
  <si>
    <t>B.05I</t>
  </si>
  <si>
    <t>B.06I</t>
  </si>
  <si>
    <t>B.07I</t>
  </si>
  <si>
    <t>B.08I</t>
  </si>
  <si>
    <t>B.09I</t>
  </si>
  <si>
    <t>B.10I</t>
  </si>
  <si>
    <t>B.11I</t>
  </si>
  <si>
    <t>B.12I</t>
  </si>
  <si>
    <t>B.13I</t>
  </si>
  <si>
    <t>C.01I</t>
  </si>
  <si>
    <t>C.02I</t>
  </si>
  <si>
    <t>C.03I</t>
  </si>
  <si>
    <t>C.04I</t>
  </si>
  <si>
    <t>C.05I</t>
  </si>
  <si>
    <t>C.06I</t>
  </si>
  <si>
    <t>C.07I</t>
  </si>
  <si>
    <t>C.08I</t>
  </si>
  <si>
    <t>C.09I</t>
  </si>
  <si>
    <t>C.10I</t>
  </si>
  <si>
    <t>C.11I</t>
  </si>
  <si>
    <t>C.12I</t>
  </si>
  <si>
    <t>D.01I</t>
  </si>
  <si>
    <t>D.02I</t>
  </si>
  <si>
    <t>D.03I</t>
  </si>
  <si>
    <t>D.04I</t>
  </si>
  <si>
    <t>D.05I</t>
  </si>
  <si>
    <t>D.06I</t>
  </si>
  <si>
    <t>D.07I</t>
  </si>
  <si>
    <t>D.08I</t>
  </si>
  <si>
    <t>E.01I</t>
  </si>
  <si>
    <t>E.02I</t>
  </si>
  <si>
    <t>E.03I</t>
  </si>
  <si>
    <t>E.04I</t>
  </si>
  <si>
    <t>E.05I</t>
  </si>
  <si>
    <t>E.06I</t>
  </si>
  <si>
    <t>E.07I</t>
  </si>
  <si>
    <t>E.08I</t>
  </si>
  <si>
    <t>F.01I</t>
  </si>
  <si>
    <t>F.02I</t>
  </si>
  <si>
    <t>F.03I</t>
  </si>
  <si>
    <t>F.04I</t>
  </si>
  <si>
    <t>A.TI</t>
  </si>
  <si>
    <t>B.TI</t>
  </si>
  <si>
    <t>C.TI</t>
  </si>
  <si>
    <t>D.TI</t>
  </si>
  <si>
    <t>E.TI</t>
  </si>
  <si>
    <t>F.TI</t>
  </si>
  <si>
    <t>T.TI</t>
  </si>
  <si>
    <t>A.TI%</t>
  </si>
  <si>
    <t>B.TI%</t>
  </si>
  <si>
    <t>C.TI%</t>
  </si>
  <si>
    <t>D.TI%</t>
  </si>
  <si>
    <t>E.TI%</t>
  </si>
  <si>
    <t>F.TI%</t>
  </si>
  <si>
    <t>T.TI%</t>
  </si>
  <si>
    <t>A.01U</t>
  </si>
  <si>
    <t>A.02U</t>
  </si>
  <si>
    <t>A.03U</t>
  </si>
  <si>
    <t>A.04U</t>
  </si>
  <si>
    <t>A.05U</t>
  </si>
  <si>
    <t>A.06U</t>
  </si>
  <si>
    <t>B.01U</t>
  </si>
  <si>
    <t>B.02U</t>
  </si>
  <si>
    <t>B.03U</t>
  </si>
  <si>
    <t>B.04U</t>
  </si>
  <si>
    <t>B.05U</t>
  </si>
  <si>
    <t>B.06U</t>
  </si>
  <si>
    <t>B.07U</t>
  </si>
  <si>
    <t>B.08U</t>
  </si>
  <si>
    <t>B.09U</t>
  </si>
  <si>
    <t>B.10U</t>
  </si>
  <si>
    <t>B.11U</t>
  </si>
  <si>
    <t>B.12U</t>
  </si>
  <si>
    <t>B.13U</t>
  </si>
  <si>
    <t>C.01U</t>
  </si>
  <si>
    <t>C.02U</t>
  </si>
  <si>
    <t>C.03U</t>
  </si>
  <si>
    <t>C.04U</t>
  </si>
  <si>
    <t>C.05U</t>
  </si>
  <si>
    <t>C.06U</t>
  </si>
  <si>
    <t>C.07U</t>
  </si>
  <si>
    <t>C.08U</t>
  </si>
  <si>
    <t>C.09U</t>
  </si>
  <si>
    <t>C.10U</t>
  </si>
  <si>
    <t>C.11U</t>
  </si>
  <si>
    <t>C.12U</t>
  </si>
  <si>
    <t>D.01U</t>
  </si>
  <si>
    <t>D.02U</t>
  </si>
  <si>
    <t>D.03U</t>
  </si>
  <si>
    <t>D.04U</t>
  </si>
  <si>
    <t>D.05U</t>
  </si>
  <si>
    <t>D.06U</t>
  </si>
  <si>
    <t>D.07U</t>
  </si>
  <si>
    <t>D.08U</t>
  </si>
  <si>
    <t>E.01U</t>
  </si>
  <si>
    <t>E.02U</t>
  </si>
  <si>
    <t>E.03U</t>
  </si>
  <si>
    <t>E.04U</t>
  </si>
  <si>
    <t>E.05U</t>
  </si>
  <si>
    <t>E.06U</t>
  </si>
  <si>
    <t>E.07U</t>
  </si>
  <si>
    <t>E.08U</t>
  </si>
  <si>
    <t>F.01U</t>
  </si>
  <si>
    <t>F.02U</t>
  </si>
  <si>
    <t>F.03U</t>
  </si>
  <si>
    <t>F.04U</t>
  </si>
  <si>
    <t>A.TU</t>
  </si>
  <si>
    <t>B.TU</t>
  </si>
  <si>
    <t>C.TU</t>
  </si>
  <si>
    <t>D.TU</t>
  </si>
  <si>
    <t>E.TU</t>
  </si>
  <si>
    <t>F.TU</t>
  </si>
  <si>
    <t>T.TU</t>
  </si>
  <si>
    <t>A.TU%</t>
  </si>
  <si>
    <t>B.TU%</t>
  </si>
  <si>
    <t>C.TU%</t>
  </si>
  <si>
    <t>D.TU%</t>
  </si>
  <si>
    <t>E.TU%</t>
  </si>
  <si>
    <t>F.TU%</t>
  </si>
  <si>
    <t>T.TU%</t>
  </si>
  <si>
    <t>Column1</t>
  </si>
  <si>
    <t>BEFORE A</t>
  </si>
  <si>
    <t>AFTER A</t>
  </si>
  <si>
    <t>BEFORE B</t>
  </si>
  <si>
    <t>AFTER B</t>
  </si>
  <si>
    <t>BEFORE C</t>
  </si>
  <si>
    <t>AFTER C</t>
  </si>
  <si>
    <t>BEFORE D</t>
  </si>
  <si>
    <t>AFTER D</t>
  </si>
  <si>
    <t>BEFORE E</t>
  </si>
  <si>
    <t>AFTER E</t>
  </si>
  <si>
    <t>BEFORE F</t>
  </si>
  <si>
    <t>AFTER F</t>
  </si>
  <si>
    <t>BEFORE ALL</t>
  </si>
  <si>
    <t>AFTER ALL</t>
  </si>
  <si>
    <t>ICS2_Q11_ACC_E01</t>
  </si>
  <si>
    <t>21st CENTURY INITIATIVE</t>
  </si>
  <si>
    <t>Waste Management</t>
  </si>
  <si>
    <t>ICS2Q11</t>
  </si>
  <si>
    <t>Ghana</t>
  </si>
  <si>
    <t>Accra</t>
  </si>
  <si>
    <t>ICS2_Q11_KLA_E01</t>
  </si>
  <si>
    <t>21st CSOL</t>
  </si>
  <si>
    <t>Uganda</t>
  </si>
  <si>
    <t>Kampala</t>
  </si>
  <si>
    <t>ICS2_Q09_LSK_E01</t>
  </si>
  <si>
    <t>ABC Bikes</t>
  </si>
  <si>
    <t>Other</t>
  </si>
  <si>
    <t>ICS2Q09</t>
  </si>
  <si>
    <t>Zambia</t>
  </si>
  <si>
    <t>Lusaka</t>
  </si>
  <si>
    <t>Craft</t>
  </si>
  <si>
    <t>A</t>
  </si>
  <si>
    <t>B</t>
  </si>
  <si>
    <t>C</t>
  </si>
  <si>
    <t>D</t>
  </si>
  <si>
    <t>E</t>
  </si>
  <si>
    <t>F</t>
  </si>
  <si>
    <t>Leadership</t>
  </si>
  <si>
    <t>Organisation and Staff</t>
  </si>
  <si>
    <t>Product/Service &amp; Processing</t>
  </si>
  <si>
    <t>Sales &amp; Marketing</t>
  </si>
  <si>
    <t>Financial Management</t>
  </si>
  <si>
    <t>Environmental &amp; Social</t>
  </si>
  <si>
    <t>Initial Number</t>
  </si>
  <si>
    <t>Current Number</t>
  </si>
  <si>
    <t>=DiagnosticData!BM$4</t>
  </si>
  <si>
    <t>=DiagnosticData!DZ$4</t>
  </si>
  <si>
    <t>=DiagnosticData!EA$4</t>
  </si>
  <si>
    <t>=DiagnosticData!EB$4</t>
  </si>
  <si>
    <t>=DiagnosticData!EC$4</t>
  </si>
  <si>
    <t>=DiagnosticData!ED$4</t>
  </si>
  <si>
    <t>=DiagnosticData!EE$4</t>
  </si>
  <si>
    <t>=DiagnosticData!Bn$4</t>
  </si>
  <si>
    <t>=DiagnosticData!Bo$4</t>
  </si>
  <si>
    <t>=DiagnosticData!Bp$4</t>
  </si>
  <si>
    <t>=DiagnosticData!Bq$4</t>
  </si>
  <si>
    <t>=DiagnosticData!Br$4</t>
  </si>
  <si>
    <t>6 segments, 2 numbers per segment (initial and current)</t>
  </si>
  <si>
    <t>6)</t>
  </si>
  <si>
    <t>Employees by Gender</t>
  </si>
  <si>
    <t># women</t>
  </si>
  <si>
    <t># men</t>
  </si>
  <si>
    <t>='Input Sheet'!C47</t>
  </si>
  <si>
    <t>='Input Sheet'!C48-'Input Sheet'!C47</t>
  </si>
  <si>
    <t>Ratios to Add to Dashboard</t>
  </si>
  <si>
    <t>='Finance Statements'!O75</t>
  </si>
  <si>
    <t>='Finance Statements'!O80</t>
  </si>
  <si>
    <t>(Latest MONTH)</t>
  </si>
  <si>
    <t>Debt to Equity Ratio:</t>
  </si>
  <si>
    <t>='Finance Statements'!O78</t>
  </si>
  <si>
    <t>Others to add to Dashboard</t>
  </si>
  <si>
    <t>='Finance Statements'!O55</t>
  </si>
  <si>
    <t>='Finance Statements'!O56</t>
  </si>
  <si>
    <t>='Finance Statements'!O66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</si>
</sst>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0.0%"/>
    <numFmt numFmtId="166" formatCode="&quot;$&quot;#,##0.00"/>
    <numFmt numFmtId="167" formatCode="0.00\x"/>
    <numFmt numFmtId="168" formatCode="#,##0.00\ \t\o\ \1"/>
    <numFmt numFmtId="169" formatCode="_(* #,##0_);_(* \(#,##0\);_(* &quot;-&quot;??_);_(@_)"/>
    <numFmt numFmtId="170" formatCode="0\x"/>
    <numFmt numFmtId="171" formatCode="#,##0.0\ \t\o\ \1"/>
    <numFmt numFmtId="173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8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8"/>
      <color rgb="FF202020"/>
      <name val="Arial"/>
      <family val="2"/>
    </font>
    <font>
      <i/>
      <sz val="8"/>
      <color rgb="FF202020"/>
      <name val="Arial"/>
      <family val="2"/>
    </font>
    <font>
      <b/>
      <sz val="20"/>
      <color theme="1"/>
      <name val="Calibri"/>
      <family val="2"/>
      <scheme val="minor"/>
    </font>
    <font>
      <sz val="7"/>
      <color rgb="FF333333"/>
      <name val="Arial"/>
      <family val="2"/>
    </font>
    <font>
      <b/>
      <sz val="22"/>
      <name val="Calibri"/>
      <family val="2"/>
      <scheme val="minor"/>
    </font>
    <font>
      <b/>
      <sz val="22"/>
      <color rgb="FF00AAD3"/>
      <name val="Rockwell"/>
      <family val="1"/>
    </font>
    <font>
      <sz val="11"/>
      <color theme="1"/>
      <name val="Rockwell"/>
      <family val="1"/>
    </font>
    <font>
      <b/>
      <i/>
      <sz val="12"/>
      <color theme="0"/>
      <name val="Rockwell"/>
      <family val="1"/>
    </font>
    <font>
      <sz val="12"/>
      <color theme="1"/>
      <name val="Rockwell"/>
      <family val="1"/>
    </font>
    <font>
      <b/>
      <sz val="12"/>
      <color theme="0"/>
      <name val="Rockwell"/>
      <family val="1"/>
    </font>
    <font>
      <b/>
      <sz val="12"/>
      <color theme="1"/>
      <name val="Rockwell"/>
      <family val="1"/>
    </font>
    <font>
      <sz val="11"/>
      <color rgb="FF000000"/>
      <name val="Rockwell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70C0"/>
      <name val="Calibri"/>
      <family val="2"/>
      <scheme val="minor"/>
    </font>
    <font>
      <sz val="1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E6F8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189">
    <xf numFmtId="0" fontId="0" fillId="0" borderId="0" xfId="0"/>
    <xf numFmtId="17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165" fontId="4" fillId="0" borderId="0" xfId="1" applyNumberFormat="1" applyFont="1"/>
    <xf numFmtId="0" fontId="3" fillId="2" borderId="0" xfId="0" applyFont="1" applyFill="1"/>
    <xf numFmtId="164" fontId="3" fillId="0" borderId="0" xfId="0" applyNumberFormat="1" applyFont="1" applyFill="1"/>
    <xf numFmtId="0" fontId="3" fillId="0" borderId="0" xfId="0" applyFont="1" applyFill="1"/>
    <xf numFmtId="166" fontId="0" fillId="0" borderId="0" xfId="0" applyNumberFormat="1"/>
    <xf numFmtId="166" fontId="3" fillId="0" borderId="0" xfId="0" applyNumberFormat="1" applyFont="1"/>
    <xf numFmtId="0" fontId="0" fillId="2" borderId="0" xfId="0" applyFill="1"/>
    <xf numFmtId="0" fontId="5" fillId="2" borderId="0" xfId="0" applyFont="1" applyFill="1"/>
    <xf numFmtId="0" fontId="0" fillId="2" borderId="0" xfId="0" quotePrefix="1" applyFill="1"/>
    <xf numFmtId="0" fontId="0" fillId="0" borderId="0" xfId="0" applyFill="1"/>
    <xf numFmtId="0" fontId="6" fillId="0" borderId="0" xfId="0" applyFont="1"/>
    <xf numFmtId="164" fontId="8" fillId="0" borderId="0" xfId="0" applyNumberFormat="1" applyFont="1"/>
    <xf numFmtId="164" fontId="7" fillId="0" borderId="0" xfId="0" applyNumberFormat="1" applyFont="1"/>
    <xf numFmtId="164" fontId="9" fillId="0" borderId="0" xfId="0" applyNumberFormat="1" applyFont="1"/>
    <xf numFmtId="164" fontId="7" fillId="0" borderId="0" xfId="0" applyNumberFormat="1" applyFont="1" applyFill="1"/>
    <xf numFmtId="0" fontId="0" fillId="0" borderId="1" xfId="0" applyBorder="1" applyAlignment="1">
      <alignment horizontal="right"/>
    </xf>
    <xf numFmtId="166" fontId="10" fillId="0" borderId="0" xfId="0" applyNumberFormat="1" applyFont="1"/>
    <xf numFmtId="9" fontId="3" fillId="0" borderId="2" xfId="1" applyFont="1" applyBorder="1"/>
    <xf numFmtId="166" fontId="7" fillId="0" borderId="0" xfId="0" applyNumberFormat="1" applyFont="1"/>
    <xf numFmtId="0" fontId="11" fillId="0" borderId="0" xfId="2"/>
    <xf numFmtId="0" fontId="12" fillId="0" borderId="0" xfId="2" applyFont="1"/>
    <xf numFmtId="17" fontId="11" fillId="0" borderId="0" xfId="2" applyNumberFormat="1"/>
    <xf numFmtId="164" fontId="13" fillId="0" borderId="0" xfId="2" applyNumberFormat="1" applyFont="1"/>
    <xf numFmtId="0" fontId="11" fillId="0" borderId="0" xfId="2" applyFont="1"/>
    <xf numFmtId="0" fontId="13" fillId="0" borderId="0" xfId="2" applyFont="1"/>
    <xf numFmtId="164" fontId="11" fillId="0" borderId="0" xfId="2" applyNumberFormat="1" applyFont="1"/>
    <xf numFmtId="3" fontId="13" fillId="0" borderId="0" xfId="2" applyNumberFormat="1" applyFont="1"/>
    <xf numFmtId="9" fontId="13" fillId="0" borderId="0" xfId="2" applyNumberFormat="1" applyFont="1"/>
    <xf numFmtId="167" fontId="0" fillId="0" borderId="0" xfId="3" applyNumberFormat="1" applyFont="1"/>
    <xf numFmtId="164" fontId="11" fillId="0" borderId="0" xfId="2" applyNumberFormat="1"/>
    <xf numFmtId="9" fontId="14" fillId="0" borderId="0" xfId="2" applyNumberFormat="1" applyFont="1"/>
    <xf numFmtId="0" fontId="11" fillId="2" borderId="0" xfId="2" applyFill="1"/>
    <xf numFmtId="0" fontId="15" fillId="0" borderId="0" xfId="2" applyFont="1"/>
    <xf numFmtId="168" fontId="11" fillId="0" borderId="0" xfId="2" applyNumberFormat="1"/>
    <xf numFmtId="0" fontId="16" fillId="0" borderId="0" xfId="4"/>
    <xf numFmtId="0" fontId="11" fillId="0" borderId="0" xfId="2" applyAlignment="1">
      <alignment horizontal="right"/>
    </xf>
    <xf numFmtId="0" fontId="17" fillId="0" borderId="0" xfId="2" applyFont="1"/>
    <xf numFmtId="165" fontId="18" fillId="0" borderId="0" xfId="3" applyNumberFormat="1" applyFont="1"/>
    <xf numFmtId="0" fontId="11" fillId="3" borderId="0" xfId="2" applyFill="1" applyAlignment="1">
      <alignment horizontal="left" vertical="center" wrapText="1"/>
    </xf>
    <xf numFmtId="0" fontId="19" fillId="3" borderId="0" xfId="2" applyFont="1" applyFill="1" applyAlignment="1">
      <alignment horizontal="left" vertical="center" wrapText="1"/>
    </xf>
    <xf numFmtId="3" fontId="19" fillId="3" borderId="0" xfId="2" applyNumberFormat="1" applyFont="1" applyFill="1" applyAlignment="1">
      <alignment horizontal="left" vertical="center" wrapText="1"/>
    </xf>
    <xf numFmtId="165" fontId="17" fillId="0" borderId="0" xfId="3" applyNumberFormat="1" applyFont="1"/>
    <xf numFmtId="0" fontId="20" fillId="3" borderId="0" xfId="2" applyFont="1" applyFill="1" applyAlignment="1">
      <alignment horizontal="left" vertical="center" wrapText="1"/>
    </xf>
    <xf numFmtId="3" fontId="20" fillId="3" borderId="0" xfId="2" applyNumberFormat="1" applyFont="1" applyFill="1" applyAlignment="1">
      <alignment horizontal="left" vertical="center" wrapText="1"/>
    </xf>
    <xf numFmtId="17" fontId="11" fillId="0" borderId="0" xfId="2" quotePrefix="1" applyNumberFormat="1" applyAlignment="1">
      <alignment horizontal="right"/>
    </xf>
    <xf numFmtId="165" fontId="0" fillId="0" borderId="0" xfId="3" applyNumberFormat="1" applyFont="1"/>
    <xf numFmtId="165" fontId="11" fillId="0" borderId="0" xfId="2" applyNumberFormat="1"/>
    <xf numFmtId="17" fontId="11" fillId="0" borderId="0" xfId="2" applyNumberFormat="1" applyAlignment="1">
      <alignment horizontal="right"/>
    </xf>
    <xf numFmtId="169" fontId="13" fillId="0" borderId="0" xfId="5" applyNumberFormat="1" applyFont="1"/>
    <xf numFmtId="0" fontId="11" fillId="4" borderId="0" xfId="2" applyFill="1"/>
    <xf numFmtId="164" fontId="13" fillId="4" borderId="0" xfId="2" applyNumberFormat="1" applyFont="1" applyFill="1"/>
    <xf numFmtId="0" fontId="21" fillId="0" borderId="0" xfId="2" applyFont="1"/>
    <xf numFmtId="0" fontId="12" fillId="0" borderId="3" xfId="2" applyFont="1" applyBorder="1"/>
    <xf numFmtId="0" fontId="11" fillId="0" borderId="4" xfId="2" applyBorder="1"/>
    <xf numFmtId="0" fontId="11" fillId="0" borderId="5" xfId="2" applyBorder="1"/>
    <xf numFmtId="0" fontId="11" fillId="0" borderId="0" xfId="2" applyBorder="1"/>
    <xf numFmtId="0" fontId="11" fillId="0" borderId="7" xfId="2" applyBorder="1"/>
    <xf numFmtId="0" fontId="11" fillId="0" borderId="6" xfId="2" applyBorder="1"/>
    <xf numFmtId="0" fontId="12" fillId="0" borderId="6" xfId="2" applyFont="1" applyBorder="1"/>
    <xf numFmtId="0" fontId="12" fillId="0" borderId="0" xfId="2" applyFont="1" applyBorder="1" applyAlignment="1">
      <alignment horizontal="right"/>
    </xf>
    <xf numFmtId="0" fontId="12" fillId="0" borderId="0" xfId="2" applyFont="1" applyBorder="1" applyAlignment="1">
      <alignment horizontal="center"/>
    </xf>
    <xf numFmtId="165" fontId="0" fillId="0" borderId="0" xfId="3" applyNumberFormat="1" applyFont="1" applyBorder="1"/>
    <xf numFmtId="0" fontId="11" fillId="0" borderId="8" xfId="2" applyBorder="1"/>
    <xf numFmtId="0" fontId="11" fillId="0" borderId="9" xfId="2" applyBorder="1"/>
    <xf numFmtId="0" fontId="11" fillId="0" borderId="10" xfId="2" applyBorder="1"/>
    <xf numFmtId="6" fontId="13" fillId="0" borderId="0" xfId="2" applyNumberFormat="1" applyFont="1"/>
    <xf numFmtId="0" fontId="12" fillId="0" borderId="0" xfId="2" applyFont="1" applyAlignment="1">
      <alignment horizontal="right"/>
    </xf>
    <xf numFmtId="0" fontId="11" fillId="0" borderId="0" xfId="2" applyAlignment="1">
      <alignment horizontal="center"/>
    </xf>
    <xf numFmtId="0" fontId="22" fillId="0" borderId="0" xfId="2" applyFont="1" applyAlignment="1">
      <alignment horizontal="left" vertical="center" wrapText="1" indent="1"/>
    </xf>
    <xf numFmtId="0" fontId="12" fillId="0" borderId="0" xfId="2" applyFont="1" applyAlignment="1">
      <alignment horizontal="left"/>
    </xf>
    <xf numFmtId="9" fontId="11" fillId="0" borderId="0" xfId="2" applyNumberFormat="1" applyAlignment="1">
      <alignment horizontal="center"/>
    </xf>
    <xf numFmtId="0" fontId="6" fillId="0" borderId="0" xfId="0" applyFont="1" applyFill="1"/>
    <xf numFmtId="17" fontId="6" fillId="0" borderId="0" xfId="0" applyNumberFormat="1" applyFont="1"/>
    <xf numFmtId="9" fontId="3" fillId="0" borderId="0" xfId="1" applyFont="1"/>
    <xf numFmtId="164" fontId="10" fillId="0" borderId="0" xfId="0" applyNumberFormat="1" applyFont="1"/>
    <xf numFmtId="6" fontId="3" fillId="0" borderId="0" xfId="0" applyNumberFormat="1" applyFont="1" applyFill="1"/>
    <xf numFmtId="0" fontId="0" fillId="2" borderId="11" xfId="0" applyFill="1" applyBorder="1"/>
    <xf numFmtId="0" fontId="0" fillId="2" borderId="12" xfId="0" applyFill="1" applyBorder="1"/>
    <xf numFmtId="0" fontId="3" fillId="2" borderId="12" xfId="0" applyFont="1" applyFill="1" applyBorder="1"/>
    <xf numFmtId="0" fontId="0" fillId="2" borderId="13" xfId="0" applyFill="1" applyBorder="1"/>
    <xf numFmtId="164" fontId="0" fillId="0" borderId="0" xfId="0" applyNumberFormat="1" applyFill="1"/>
    <xf numFmtId="170" fontId="0" fillId="0" borderId="0" xfId="3" applyNumberFormat="1" applyFont="1"/>
    <xf numFmtId="171" fontId="11" fillId="0" borderId="0" xfId="2" applyNumberFormat="1"/>
    <xf numFmtId="9" fontId="14" fillId="4" borderId="0" xfId="2" applyNumberFormat="1" applyFont="1" applyFill="1"/>
    <xf numFmtId="165" fontId="0" fillId="2" borderId="0" xfId="3" applyNumberFormat="1" applyFont="1" applyFill="1"/>
    <xf numFmtId="17" fontId="11" fillId="2" borderId="0" xfId="2" applyNumberFormat="1" applyFill="1"/>
    <xf numFmtId="17" fontId="12" fillId="0" borderId="0" xfId="2" quotePrefix="1" applyNumberFormat="1" applyFont="1" applyAlignment="1">
      <alignment horizontal="right"/>
    </xf>
    <xf numFmtId="17" fontId="12" fillId="2" borderId="0" xfId="2" quotePrefix="1" applyNumberFormat="1" applyFont="1" applyFill="1" applyAlignment="1">
      <alignment horizontal="right"/>
    </xf>
    <xf numFmtId="0" fontId="11" fillId="0" borderId="0" xfId="2" applyFill="1"/>
    <xf numFmtId="9" fontId="3" fillId="0" borderId="0" xfId="0" applyNumberFormat="1" applyFont="1"/>
    <xf numFmtId="164" fontId="3" fillId="5" borderId="0" xfId="0" applyNumberFormat="1" applyFont="1" applyFill="1"/>
    <xf numFmtId="164" fontId="0" fillId="5" borderId="0" xfId="0" applyNumberFormat="1" applyFill="1"/>
    <xf numFmtId="165" fontId="4" fillId="5" borderId="0" xfId="1" applyNumberFormat="1" applyFont="1" applyFill="1"/>
    <xf numFmtId="0" fontId="0" fillId="5" borderId="0" xfId="0" applyFill="1"/>
    <xf numFmtId="0" fontId="3" fillId="5" borderId="0" xfId="0" applyFont="1" applyFill="1"/>
    <xf numFmtId="166" fontId="3" fillId="5" borderId="0" xfId="0" applyNumberFormat="1" applyFont="1" applyFill="1"/>
    <xf numFmtId="166" fontId="0" fillId="5" borderId="0" xfId="0" applyNumberFormat="1" applyFill="1"/>
    <xf numFmtId="0" fontId="0" fillId="0" borderId="0" xfId="0" quotePrefix="1" applyFill="1"/>
    <xf numFmtId="165" fontId="4" fillId="0" borderId="0" xfId="1" applyNumberFormat="1" applyFont="1" applyFill="1"/>
    <xf numFmtId="0" fontId="5" fillId="0" borderId="0" xfId="0" applyFont="1" applyFill="1"/>
    <xf numFmtId="164" fontId="14" fillId="0" borderId="0" xfId="2" applyNumberFormat="1" applyFont="1" applyFill="1"/>
    <xf numFmtId="0" fontId="6" fillId="0" borderId="0" xfId="0" applyFont="1" applyAlignment="1">
      <alignment horizontal="center"/>
    </xf>
    <xf numFmtId="6" fontId="14" fillId="4" borderId="0" xfId="2" applyNumberFormat="1" applyFont="1" applyFill="1"/>
    <xf numFmtId="6" fontId="14" fillId="0" borderId="6" xfId="2" applyNumberFormat="1" applyFont="1" applyBorder="1"/>
    <xf numFmtId="6" fontId="14" fillId="0" borderId="0" xfId="2" applyNumberFormat="1" applyFont="1"/>
    <xf numFmtId="171" fontId="12" fillId="0" borderId="0" xfId="2" applyNumberFormat="1" applyFont="1"/>
    <xf numFmtId="6" fontId="23" fillId="0" borderId="6" xfId="2" applyNumberFormat="1" applyFont="1" applyBorder="1"/>
    <xf numFmtId="0" fontId="24" fillId="0" borderId="0" xfId="0" applyFont="1"/>
    <xf numFmtId="0" fontId="25" fillId="0" borderId="0" xfId="0" applyFont="1" applyAlignment="1">
      <alignment wrapText="1"/>
    </xf>
    <xf numFmtId="0" fontId="25" fillId="0" borderId="0" xfId="0" applyFont="1"/>
    <xf numFmtId="0" fontId="26" fillId="6" borderId="0" xfId="0" applyFont="1" applyFill="1" applyAlignment="1">
      <alignment horizontal="center" vertical="center"/>
    </xf>
    <xf numFmtId="0" fontId="26" fillId="6" borderId="0" xfId="0" applyFont="1" applyFill="1" applyAlignment="1">
      <alignment horizontal="center" vertical="center" wrapText="1"/>
    </xf>
    <xf numFmtId="0" fontId="26" fillId="6" borderId="0" xfId="0" applyFont="1" applyFill="1"/>
    <xf numFmtId="0" fontId="27" fillId="0" borderId="0" xfId="0" applyFont="1"/>
    <xf numFmtId="0" fontId="26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 wrapText="1"/>
    </xf>
    <xf numFmtId="0" fontId="27" fillId="0" borderId="0" xfId="0" applyFont="1" applyFill="1"/>
    <xf numFmtId="0" fontId="25" fillId="0" borderId="0" xfId="0" applyFont="1" applyFill="1"/>
    <xf numFmtId="0" fontId="28" fillId="6" borderId="0" xfId="0" applyFont="1" applyFill="1"/>
    <xf numFmtId="0" fontId="27" fillId="0" borderId="0" xfId="0" applyFont="1" applyAlignment="1">
      <alignment wrapText="1"/>
    </xf>
    <xf numFmtId="0" fontId="27" fillId="0" borderId="14" xfId="0" applyFont="1" applyBorder="1" applyAlignment="1">
      <alignment horizontal="left" indent="1"/>
    </xf>
    <xf numFmtId="0" fontId="27" fillId="0" borderId="14" xfId="0" applyFont="1" applyBorder="1" applyAlignment="1">
      <alignment wrapText="1"/>
    </xf>
    <xf numFmtId="0" fontId="27" fillId="0" borderId="14" xfId="0" applyFont="1" applyBorder="1"/>
    <xf numFmtId="0" fontId="29" fillId="0" borderId="14" xfId="0" applyFont="1" applyBorder="1" applyAlignment="1">
      <alignment horizontal="left" indent="1"/>
    </xf>
    <xf numFmtId="10" fontId="27" fillId="0" borderId="14" xfId="0" applyNumberFormat="1" applyFont="1" applyBorder="1"/>
    <xf numFmtId="0" fontId="27" fillId="0" borderId="0" xfId="0" applyFont="1" applyAlignment="1">
      <alignment horizontal="left" indent="1"/>
    </xf>
    <xf numFmtId="0" fontId="28" fillId="6" borderId="0" xfId="0" applyFont="1" applyFill="1" applyAlignment="1">
      <alignment horizontal="left"/>
    </xf>
    <xf numFmtId="0" fontId="30" fillId="0" borderId="0" xfId="0" applyFont="1"/>
    <xf numFmtId="0" fontId="27" fillId="0" borderId="14" xfId="0" applyFont="1" applyBorder="1" applyAlignment="1">
      <alignment vertical="center" wrapText="1"/>
    </xf>
    <xf numFmtId="3" fontId="27" fillId="0" borderId="14" xfId="0" applyNumberFormat="1" applyFont="1" applyBorder="1"/>
    <xf numFmtId="0" fontId="29" fillId="0" borderId="0" xfId="0" applyFont="1"/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24" fillId="0" borderId="0" xfId="0" applyFont="1" applyFill="1" applyBorder="1" applyAlignment="1">
      <alignment vertical="center"/>
    </xf>
    <xf numFmtId="0" fontId="28" fillId="6" borderId="0" xfId="0" applyFont="1" applyFill="1" applyAlignment="1">
      <alignment horizontal="center"/>
    </xf>
    <xf numFmtId="0" fontId="0" fillId="7" borderId="0" xfId="0" applyFill="1" applyBorder="1" applyAlignment="1">
      <alignment vertical="center" wrapText="1"/>
    </xf>
    <xf numFmtId="49" fontId="0" fillId="0" borderId="0" xfId="0" quotePrefix="1" applyNumberFormat="1"/>
    <xf numFmtId="0" fontId="0" fillId="0" borderId="0" xfId="0" quotePrefix="1"/>
    <xf numFmtId="0" fontId="0" fillId="0" borderId="15" xfId="0" applyBorder="1" applyAlignment="1">
      <alignment horizontal="center"/>
    </xf>
    <xf numFmtId="0" fontId="33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34" fillId="0" borderId="14" xfId="0" applyFont="1" applyBorder="1"/>
    <xf numFmtId="0" fontId="34" fillId="0" borderId="14" xfId="0" applyFont="1" applyBorder="1" applyAlignment="1">
      <alignment wrapText="1"/>
    </xf>
    <xf numFmtId="0" fontId="34" fillId="8" borderId="16" xfId="0" applyFont="1" applyFill="1" applyBorder="1" applyAlignment="1">
      <alignment horizontal="center" vertical="center" wrapText="1"/>
    </xf>
    <xf numFmtId="0" fontId="34" fillId="8" borderId="17" xfId="0" applyFont="1" applyFill="1" applyBorder="1" applyAlignment="1">
      <alignment horizontal="center" vertical="center" wrapText="1"/>
    </xf>
    <xf numFmtId="0" fontId="34" fillId="8" borderId="14" xfId="0" applyFont="1" applyFill="1" applyBorder="1" applyAlignment="1">
      <alignment horizontal="center" vertical="center" wrapText="1"/>
    </xf>
    <xf numFmtId="0" fontId="34" fillId="2" borderId="17" xfId="0" applyFont="1" applyFill="1" applyBorder="1" applyAlignment="1">
      <alignment horizontal="center" vertical="center" wrapText="1"/>
    </xf>
    <xf numFmtId="0" fontId="34" fillId="2" borderId="14" xfId="0" applyFont="1" applyFill="1" applyBorder="1" applyAlignment="1">
      <alignment horizontal="center" vertical="center" wrapText="1"/>
    </xf>
    <xf numFmtId="0" fontId="34" fillId="9" borderId="17" xfId="0" applyFont="1" applyFill="1" applyBorder="1" applyAlignment="1">
      <alignment horizontal="center" vertical="center" wrapText="1"/>
    </xf>
    <xf numFmtId="0" fontId="34" fillId="9" borderId="14" xfId="0" applyFont="1" applyFill="1" applyBorder="1" applyAlignment="1">
      <alignment horizontal="center" vertical="center" wrapText="1"/>
    </xf>
    <xf numFmtId="0" fontId="34" fillId="10" borderId="14" xfId="0" applyFont="1" applyFill="1" applyBorder="1" applyAlignment="1">
      <alignment horizontal="center" vertical="center" wrapText="1"/>
    </xf>
    <xf numFmtId="0" fontId="34" fillId="11" borderId="14" xfId="0" applyFont="1" applyFill="1" applyBorder="1" applyAlignment="1">
      <alignment horizontal="center" vertical="center" wrapText="1"/>
    </xf>
    <xf numFmtId="0" fontId="34" fillId="12" borderId="14" xfId="0" applyFont="1" applyFill="1" applyBorder="1" applyAlignment="1">
      <alignment horizontal="center" vertical="center" wrapText="1"/>
    </xf>
    <xf numFmtId="0" fontId="34" fillId="13" borderId="17" xfId="0" applyFont="1" applyFill="1" applyBorder="1" applyAlignment="1">
      <alignment horizontal="center" vertical="center" wrapText="1"/>
    </xf>
    <xf numFmtId="0" fontId="34" fillId="0" borderId="17" xfId="0" applyFont="1" applyFill="1" applyBorder="1" applyAlignment="1">
      <alignment horizontal="center" vertical="center" wrapText="1"/>
    </xf>
    <xf numFmtId="0" fontId="34" fillId="11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0" fillId="14" borderId="0" xfId="0" applyFont="1" applyFill="1" applyBorder="1" applyAlignment="1">
      <alignment wrapText="1"/>
    </xf>
    <xf numFmtId="0" fontId="0" fillId="14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Border="1"/>
    <xf numFmtId="9" fontId="0" fillId="0" borderId="0" xfId="1" applyFont="1" applyFill="1" applyBorder="1"/>
    <xf numFmtId="9" fontId="0" fillId="0" borderId="0" xfId="1" applyFont="1"/>
    <xf numFmtId="173" fontId="0" fillId="0" borderId="0" xfId="0" applyNumberFormat="1" applyAlignment="1">
      <alignment horizontal="center"/>
    </xf>
    <xf numFmtId="173" fontId="0" fillId="0" borderId="0" xfId="0" applyNumberFormat="1"/>
    <xf numFmtId="9" fontId="0" fillId="0" borderId="0" xfId="1" applyFont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0" xfId="0" applyFont="1"/>
    <xf numFmtId="9" fontId="1" fillId="0" borderId="0" xfId="1" applyFont="1"/>
    <xf numFmtId="0" fontId="0" fillId="0" borderId="0" xfId="0" applyAlignment="1"/>
    <xf numFmtId="9" fontId="0" fillId="0" borderId="0" xfId="0" quotePrefix="1" applyNumberFormat="1"/>
    <xf numFmtId="6" fontId="14" fillId="0" borderId="6" xfId="2" quotePrefix="1" applyNumberFormat="1" applyFont="1" applyBorder="1"/>
    <xf numFmtId="6" fontId="14" fillId="4" borderId="0" xfId="2" quotePrefix="1" applyNumberFormat="1" applyFont="1" applyFill="1"/>
  </cellXfs>
  <cellStyles count="6">
    <cellStyle name="Comma 2" xfId="5" xr:uid="{01EC8536-58E9-4858-87BB-69A3988C2E53}"/>
    <cellStyle name="Hyperlink" xfId="4" builtinId="8"/>
    <cellStyle name="Normal" xfId="0" builtinId="0"/>
    <cellStyle name="Normal 2" xfId="2" xr:uid="{6CE02AE2-8EB4-498F-9CB8-54DF52A0A9D4}"/>
    <cellStyle name="Percent" xfId="1" builtinId="5"/>
    <cellStyle name="Percent 2" xfId="3" xr:uid="{6370D04F-59E6-48D4-877F-C2D92D31ED96}"/>
  </cellStyles>
  <dxfs count="20">
    <dxf>
      <font>
        <color theme="1"/>
      </font>
      <fill>
        <patternFill>
          <bgColor rgb="FFC0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2017 Sales Concentration</a:t>
            </a:r>
          </a:p>
        </c:rich>
      </c:tx>
      <c:layout>
        <c:manualLayout>
          <c:xMode val="edge"/>
          <c:yMode val="edge"/>
          <c:x val="0.10363748829589818"/>
          <c:y val="3.80147835269271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7144471353344"/>
          <c:y val="0.17831109652960048"/>
          <c:w val="0.39954937971778487"/>
          <c:h val="0.6432137649460484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CBB-4C53-8459-A1A28B6109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CBB-4C53-8459-A1A28B6109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CBB-4C53-8459-A1A28B6109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CBB-4C53-8459-A1A28B6109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CBB-4C53-8459-A1A28B6109D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CBB-4C53-8459-A1A28B6109D5}"/>
              </c:ext>
            </c:extLst>
          </c:dPt>
          <c:cat>
            <c:strRef>
              <c:f>'OLD Calc IS'!$A$6:$A$11</c:f>
              <c:strCache>
                <c:ptCount val="6"/>
                <c:pt idx="0">
                  <c:v>Customer A</c:v>
                </c:pt>
                <c:pt idx="1">
                  <c:v>Customer B</c:v>
                </c:pt>
                <c:pt idx="2">
                  <c:v>Customer C</c:v>
                </c:pt>
                <c:pt idx="3">
                  <c:v>Customer D</c:v>
                </c:pt>
                <c:pt idx="4">
                  <c:v>Customer E</c:v>
                </c:pt>
                <c:pt idx="5">
                  <c:v>All Other Customers</c:v>
                </c:pt>
              </c:strCache>
            </c:strRef>
          </c:cat>
          <c:val>
            <c:numRef>
              <c:f>'OLD Calc IS'!$B$6:$B$11</c:f>
              <c:numCache>
                <c:formatCode>"$"#,##0</c:formatCode>
                <c:ptCount val="6"/>
                <c:pt idx="0">
                  <c:v>75000</c:v>
                </c:pt>
                <c:pt idx="1">
                  <c:v>69000</c:v>
                </c:pt>
                <c:pt idx="2">
                  <c:v>67000</c:v>
                </c:pt>
                <c:pt idx="3">
                  <c:v>54000</c:v>
                </c:pt>
                <c:pt idx="4">
                  <c:v>19000</c:v>
                </c:pt>
                <c:pt idx="5">
                  <c:v>716000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CBB-4C53-8459-A1A28B610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114443362945155"/>
          <c:y val="0.12293142871396619"/>
          <c:w val="0.4243658189323391"/>
          <c:h val="0.877068671814433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Business Fundamentals</a:t>
            </a:r>
            <a:r>
              <a:rPr lang="en-US" baseline="0"/>
              <a:t> Improvement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122457282419226"/>
          <c:y val="0.1920438286070941"/>
          <c:w val="0.33860731820870965"/>
          <c:h val="0.6683277444768948"/>
        </c:manualLayout>
      </c:layout>
      <c:doughnutChart>
        <c:varyColors val="1"/>
        <c:ser>
          <c:idx val="0"/>
          <c:order val="0"/>
          <c:tx>
            <c:strRef>
              <c:f>'[4]3. Enterprise Scores'!$D$4</c:f>
              <c:strCache>
                <c:ptCount val="1"/>
                <c:pt idx="0">
                  <c:v>Leadership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01-4163-9054-AA16D1CD5C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01-4163-9054-AA16D1CD5C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01-4163-9054-AA16D1CD5CAD}"/>
              </c:ext>
            </c:extLst>
          </c:dPt>
          <c:cat>
            <c:strRef>
              <c:f>'[4]3. Enterprise Scores'!$C$5:$C$7</c:f>
              <c:strCache>
                <c:ptCount val="3"/>
                <c:pt idx="0">
                  <c:v>First Score</c:v>
                </c:pt>
                <c:pt idx="1">
                  <c:v>Improvement</c:v>
                </c:pt>
                <c:pt idx="2">
                  <c:v>missing</c:v>
                </c:pt>
              </c:strCache>
            </c:strRef>
          </c:cat>
          <c:val>
            <c:numRef>
              <c:f>'[4]3. Enterprise Scores'!$D$5:$D$7</c:f>
              <c:numCache>
                <c:formatCode>General</c:formatCode>
                <c:ptCount val="3"/>
                <c:pt idx="0">
                  <c:v>0.19</c:v>
                </c:pt>
                <c:pt idx="1">
                  <c:v>0.12</c:v>
                </c:pt>
                <c:pt idx="2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01-4163-9054-AA16D1CD5CAD}"/>
            </c:ext>
          </c:extLst>
        </c:ser>
        <c:ser>
          <c:idx val="1"/>
          <c:order val="1"/>
          <c:tx>
            <c:strRef>
              <c:f>'[4]3. Enterprise Scores'!$E$4</c:f>
              <c:strCache>
                <c:ptCount val="1"/>
                <c:pt idx="0">
                  <c:v>Organization/Staff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901-4163-9054-AA16D1CD5C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6901-4163-9054-AA16D1CD5C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6901-4163-9054-AA16D1CD5CAD}"/>
              </c:ext>
            </c:extLst>
          </c:dPt>
          <c:cat>
            <c:strRef>
              <c:f>'[4]3. Enterprise Scores'!$C$5:$C$7</c:f>
              <c:strCache>
                <c:ptCount val="3"/>
                <c:pt idx="0">
                  <c:v>First Score</c:v>
                </c:pt>
                <c:pt idx="1">
                  <c:v>Improvement</c:v>
                </c:pt>
                <c:pt idx="2">
                  <c:v>missing</c:v>
                </c:pt>
              </c:strCache>
            </c:strRef>
          </c:cat>
          <c:val>
            <c:numRef>
              <c:f>'[4]3. Enterprise Scores'!$E$5:$E$7</c:f>
              <c:numCache>
                <c:formatCode>General</c:formatCode>
                <c:ptCount val="3"/>
                <c:pt idx="0">
                  <c:v>0.12</c:v>
                </c:pt>
                <c:pt idx="1">
                  <c:v>0.18</c:v>
                </c:pt>
                <c:pt idx="2">
                  <c:v>0.70000000000000007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901-4163-9054-AA16D1CD5CAD}"/>
            </c:ext>
          </c:extLst>
        </c:ser>
        <c:ser>
          <c:idx val="2"/>
          <c:order val="2"/>
          <c:tx>
            <c:strRef>
              <c:f>'[4]3. Enterprise Scores'!$F$4</c:f>
              <c:strCache>
                <c:ptCount val="1"/>
                <c:pt idx="0">
                  <c:v>Product/Service &amp; Processing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901-4163-9054-AA16D1CD5C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901-4163-9054-AA16D1CD5C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901-4163-9054-AA16D1CD5CAD}"/>
              </c:ext>
            </c:extLst>
          </c:dPt>
          <c:cat>
            <c:strRef>
              <c:f>'[4]3. Enterprise Scores'!$C$5:$C$7</c:f>
              <c:strCache>
                <c:ptCount val="3"/>
                <c:pt idx="0">
                  <c:v>First Score</c:v>
                </c:pt>
                <c:pt idx="1">
                  <c:v>Improvement</c:v>
                </c:pt>
                <c:pt idx="2">
                  <c:v>missing</c:v>
                </c:pt>
              </c:strCache>
            </c:strRef>
          </c:cat>
          <c:val>
            <c:numRef>
              <c:f>'[4]3. Enterprise Scores'!$F$5:$F$7</c:f>
              <c:numCache>
                <c:formatCode>General</c:formatCode>
                <c:ptCount val="3"/>
                <c:pt idx="0">
                  <c:v>0.35</c:v>
                </c:pt>
                <c:pt idx="1">
                  <c:v>0.12</c:v>
                </c:pt>
                <c:pt idx="2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901-4163-9054-AA16D1CD5CAD}"/>
            </c:ext>
          </c:extLst>
        </c:ser>
        <c:ser>
          <c:idx val="3"/>
          <c:order val="3"/>
          <c:tx>
            <c:strRef>
              <c:f>'[4]3. Enterprise Scores'!$G$4</c:f>
              <c:strCache>
                <c:ptCount val="1"/>
                <c:pt idx="0">
                  <c:v>Sales &amp; Marketing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6901-4163-9054-AA16D1CD5C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6901-4163-9054-AA16D1CD5C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6901-4163-9054-AA16D1CD5CAD}"/>
              </c:ext>
            </c:extLst>
          </c:dPt>
          <c:dLbls>
            <c:dLbl>
              <c:idx val="0"/>
              <c:layout>
                <c:manualLayout>
                  <c:x val="0.20712954686719137"/>
                  <c:y val="-0.12151714635639926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4790374660158324"/>
                      <c:h val="0.1167031978661265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6-6901-4163-9054-AA16D1CD5CAD}"/>
                </c:ext>
              </c:extLst>
            </c:dLbl>
            <c:dLbl>
              <c:idx val="1"/>
              <c:layout>
                <c:manualLayout>
                  <c:x val="0.33045317228348259"/>
                  <c:y val="0.11216967355975317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953310084952546"/>
                      <c:h val="0.1167031978661265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8-6901-4163-9054-AA16D1CD5CAD}"/>
                </c:ext>
              </c:extLst>
            </c:dLbl>
            <c:dLbl>
              <c:idx val="2"/>
              <c:layout>
                <c:manualLayout>
                  <c:x val="-0.15818898353534799"/>
                  <c:y val="-0.10749593716143016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6901-4163-9054-AA16D1CD5C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'[4]3. Enterprise Scores'!$C$5:$C$7</c:f>
              <c:strCache>
                <c:ptCount val="3"/>
                <c:pt idx="0">
                  <c:v>First Score</c:v>
                </c:pt>
                <c:pt idx="1">
                  <c:v>Improvement</c:v>
                </c:pt>
                <c:pt idx="2">
                  <c:v>missing</c:v>
                </c:pt>
              </c:strCache>
            </c:strRef>
          </c:cat>
          <c:val>
            <c:numRef>
              <c:f>'[4]3. Enterprise Scores'!$G$5:$G$7</c:f>
              <c:numCache>
                <c:formatCode>General</c:formatCode>
                <c:ptCount val="3"/>
                <c:pt idx="0">
                  <c:v>0.42</c:v>
                </c:pt>
                <c:pt idx="1">
                  <c:v>0.09</c:v>
                </c:pt>
                <c:pt idx="2">
                  <c:v>0.49000000000000005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901-4163-9054-AA16D1CD5CAD}"/>
            </c:ext>
          </c:extLst>
        </c:ser>
        <c:ser>
          <c:idx val="4"/>
          <c:order val="4"/>
          <c:tx>
            <c:strRef>
              <c:f>'[4]3. Enterprise Scores'!$H$4</c:f>
              <c:strCache>
                <c:ptCount val="1"/>
                <c:pt idx="0">
                  <c:v>Financial Management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901-4163-9054-AA16D1CD5C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901-4163-9054-AA16D1CD5C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901-4163-9054-AA16D1CD5CAD}"/>
              </c:ext>
            </c:extLst>
          </c:dPt>
          <c:dLbls>
            <c:dLbl>
              <c:idx val="0"/>
              <c:layout>
                <c:manualLayout>
                  <c:x val="0.22293758010558179"/>
                  <c:y val="-8.8800807562767939E-2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7333316326785976"/>
                      <c:h val="0.1680443762070752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D-6901-4163-9054-AA16D1CD5CAD}"/>
                </c:ext>
              </c:extLst>
            </c:dLbl>
            <c:dLbl>
              <c:idx val="1"/>
              <c:layout>
                <c:manualLayout>
                  <c:x val="0.16921632270304321"/>
                  <c:y val="6.5432309576522601E-2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0743914817863913"/>
                      <c:h val="0.1167031978661265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F-6901-4163-9054-AA16D1CD5CAD}"/>
                </c:ext>
              </c:extLst>
            </c:dLbl>
            <c:dLbl>
              <c:idx val="2"/>
              <c:layout>
                <c:manualLayout>
                  <c:x val="-0.19875589571520577"/>
                  <c:y val="-1.4021209194969146E-2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002590538471956"/>
                      <c:h val="0.1167031978661265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1-6901-4163-9054-AA16D1CD5C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'[4]3. Enterprise Scores'!$C$5:$C$7</c:f>
              <c:strCache>
                <c:ptCount val="3"/>
                <c:pt idx="0">
                  <c:v>First Score</c:v>
                </c:pt>
                <c:pt idx="1">
                  <c:v>Improvement</c:v>
                </c:pt>
                <c:pt idx="2">
                  <c:v>missing</c:v>
                </c:pt>
              </c:strCache>
            </c:strRef>
          </c:cat>
          <c:val>
            <c:numRef>
              <c:f>'[4]3. Enterprise Scores'!$H$5:$H$7</c:f>
              <c:numCache>
                <c:formatCode>General</c:formatCode>
                <c:ptCount val="3"/>
                <c:pt idx="0">
                  <c:v>0.28999999999999998</c:v>
                </c:pt>
                <c:pt idx="1">
                  <c:v>0.09</c:v>
                </c:pt>
                <c:pt idx="2">
                  <c:v>0.62000000000000011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901-4163-9054-AA16D1CD5CAD}"/>
            </c:ext>
          </c:extLst>
        </c:ser>
        <c:ser>
          <c:idx val="5"/>
          <c:order val="5"/>
          <c:tx>
            <c:strRef>
              <c:f>'[4]3. Enterprise Scores'!$I$4</c:f>
              <c:strCache>
                <c:ptCount val="1"/>
                <c:pt idx="0">
                  <c:v>Environmental &amp; Social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6901-4163-9054-AA16D1CD5C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6901-4163-9054-AA16D1CD5C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6901-4163-9054-AA16D1CD5CAD}"/>
              </c:ext>
            </c:extLst>
          </c:dPt>
          <c:dLbls>
            <c:dLbl>
              <c:idx val="0"/>
              <c:layout>
                <c:manualLayout>
                  <c:x val="0.20060089744510684"/>
                  <c:y val="-9.8148280359414003E-2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360616033116271"/>
                      <c:h val="0.1680443762070752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4-6901-4163-9054-AA16D1CD5CAD}"/>
                </c:ext>
              </c:extLst>
            </c:dLbl>
            <c:dLbl>
              <c:idx val="1"/>
              <c:layout>
                <c:manualLayout>
                  <c:x val="0.21348935491970075"/>
                  <c:y val="4.6737363983230487E-2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292687577508277"/>
                      <c:h val="0.2193851865372838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6-6901-4163-9054-AA16D1CD5CAD}"/>
                </c:ext>
              </c:extLst>
            </c:dLbl>
            <c:dLbl>
              <c:idx val="2"/>
              <c:layout>
                <c:manualLayout>
                  <c:x val="-0.19995283912199072"/>
                  <c:y val="8.8800991568137921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557970180310838"/>
                      <c:h val="0.1167031978661265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8-6901-4163-9054-AA16D1CD5C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'[4]3. Enterprise Scores'!$C$5:$C$7</c:f>
              <c:strCache>
                <c:ptCount val="3"/>
                <c:pt idx="0">
                  <c:v>First Score</c:v>
                </c:pt>
                <c:pt idx="1">
                  <c:v>Improvement</c:v>
                </c:pt>
                <c:pt idx="2">
                  <c:v>missing</c:v>
                </c:pt>
              </c:strCache>
            </c:strRef>
          </c:cat>
          <c:val>
            <c:numRef>
              <c:f>'[4]3. Enterprise Scores'!$I$5:$I$7</c:f>
              <c:numCache>
                <c:formatCode>General</c:formatCode>
                <c:ptCount val="3"/>
                <c:pt idx="0">
                  <c:v>0.19</c:v>
                </c:pt>
                <c:pt idx="1">
                  <c:v>0.12</c:v>
                </c:pt>
                <c:pt idx="2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6901-4163-9054-AA16D1CD5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2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Gross and Net Margins</a:t>
            </a:r>
            <a:endParaRPr lang="en-US" b="1"/>
          </a:p>
        </c:rich>
      </c:tx>
      <c:layout>
        <c:manualLayout>
          <c:xMode val="edge"/>
          <c:yMode val="edge"/>
          <c:x val="0.2456318897637795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'Finance Statements'!$F$83:$H$83</c:f>
              <c:strCache>
                <c:ptCount val="3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</c:strCache>
            </c:strRef>
          </c:cat>
          <c:val>
            <c:numRef>
              <c:f>'Finance Statements'!$F$88:$H$88</c:f>
              <c:numCache>
                <c:formatCode>0.0%</c:formatCode>
                <c:ptCount val="3"/>
                <c:pt idx="0">
                  <c:v>0.38364401683704147</c:v>
                </c:pt>
                <c:pt idx="1">
                  <c:v>0.40607822076198902</c:v>
                </c:pt>
                <c:pt idx="2">
                  <c:v>0.41724941724941728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C-4F82-BC80-C80CF49837F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'Finance Statements'!$F$83:$H$83</c:f>
              <c:strCache>
                <c:ptCount val="3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</c:strCache>
            </c:strRef>
          </c:cat>
          <c:val>
            <c:numRef>
              <c:f>'Finance Statements'!$F$89:$H$89</c:f>
              <c:numCache>
                <c:formatCode>0.0%</c:formatCode>
                <c:ptCount val="3"/>
                <c:pt idx="0">
                  <c:v>4.194227300060132E-2</c:v>
                </c:pt>
                <c:pt idx="1">
                  <c:v>6.6042206356226707E-2</c:v>
                </c:pt>
                <c:pt idx="2">
                  <c:v>0.11030982905982906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C-4F82-BC80-C80CF4983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0649032"/>
        <c:axId val="6806487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'Finance Statements'!$F$83:$H$83</c15:sqref>
                        </c15:formulaRef>
                      </c:ext>
                    </c:extLst>
                    <c:strCache>
                      <c:ptCount val="3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'Finance Statements'!#REF!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2AC-4F82-BC80-C80CF49837F1}"/>
                  </c:ext>
                </c:extLst>
              </c15:ser>
            </c15:filteredBarSeries>
          </c:ext>
        </c:extLst>
      </c:barChart>
      <c:catAx>
        <c:axId val="680649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648704"/>
        <c:crosses val="autoZero"/>
        <c:auto val="1"/>
        <c:lblAlgn val="ctr"/>
        <c:lblOffset val="100"/>
        <c:noMultiLvlLbl val="0"/>
      </c:catAx>
      <c:valAx>
        <c:axId val="68064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64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chart" Target="../charts/chart3.xml"/><Relationship Id="rId2" Type="http://schemas.openxmlformats.org/officeDocument/2006/relationships/image" Target="../media/image1.jpg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27</xdr:row>
      <xdr:rowOff>120649</xdr:rowOff>
    </xdr:from>
    <xdr:to>
      <xdr:col>5</xdr:col>
      <xdr:colOff>158460</xdr:colOff>
      <xdr:row>40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A0756C-BC9C-4B01-8CF7-BEB1F7F23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187324</xdr:colOff>
      <xdr:row>36</xdr:row>
      <xdr:rowOff>85336</xdr:rowOff>
    </xdr:from>
    <xdr:to>
      <xdr:col>11</xdr:col>
      <xdr:colOff>7939</xdr:colOff>
      <xdr:row>44</xdr:row>
      <xdr:rowOff>150284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F16BA1-CE0D-4E76-ABC2-C965BA357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8074" y="7406886"/>
          <a:ext cx="3592515" cy="1639748"/>
        </a:xfrm>
        <a:prstGeom prst="rect">
          <a:avLst/>
        </a:prstGeom>
      </xdr:spPr>
    </xdr:pic>
    <xdr:clientData/>
  </xdr:twoCellAnchor>
  <xdr:twoCellAnchor editAs="oneCell">
    <xdr:from>
      <xdr:col>6</xdr:col>
      <xdr:colOff>222249</xdr:colOff>
      <xdr:row>1</xdr:row>
      <xdr:rowOff>84668</xdr:rowOff>
    </xdr:from>
    <xdr:to>
      <xdr:col>8</xdr:col>
      <xdr:colOff>640290</xdr:colOff>
      <xdr:row>6</xdr:row>
      <xdr:rowOff>152819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67D8A4-C2C0-440E-8720-D0609A0BB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7649" y="338668"/>
          <a:ext cx="1802341" cy="1223851"/>
        </a:xfrm>
        <a:prstGeom prst="rect">
          <a:avLst/>
        </a:prstGeom>
      </xdr:spPr>
    </xdr:pic>
    <xdr:clientData/>
  </xdr:twoCellAnchor>
  <xdr:twoCellAnchor>
    <xdr:from>
      <xdr:col>6</xdr:col>
      <xdr:colOff>301625</xdr:colOff>
      <xdr:row>4</xdr:row>
      <xdr:rowOff>188384</xdr:rowOff>
    </xdr:from>
    <xdr:to>
      <xdr:col>8</xdr:col>
      <xdr:colOff>560917</xdr:colOff>
      <xdr:row>6</xdr:row>
      <xdr:rowOff>41275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FF85BD2-E5B9-47D7-95A1-5D090CEC476A}"/>
            </a:ext>
          </a:extLst>
        </xdr:cNvPr>
        <xdr:cNvSpPr txBox="1"/>
      </xdr:nvSpPr>
      <xdr:spPr>
        <a:xfrm>
          <a:off x="4137025" y="1204384"/>
          <a:ext cx="1643592" cy="246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Sales:  Meeting</a:t>
          </a:r>
          <a:r>
            <a:rPr lang="en-US" sz="1100" b="1" baseline="0"/>
            <a:t> Targets</a:t>
          </a:r>
          <a:endParaRPr lang="en-US" sz="1100" b="1"/>
        </a:p>
      </xdr:txBody>
    </xdr:sp>
    <xdr:clientData/>
  </xdr:twoCellAnchor>
  <xdr:twoCellAnchor>
    <xdr:from>
      <xdr:col>3</xdr:col>
      <xdr:colOff>222250</xdr:colOff>
      <xdr:row>6</xdr:row>
      <xdr:rowOff>19050</xdr:rowOff>
    </xdr:from>
    <xdr:to>
      <xdr:col>3</xdr:col>
      <xdr:colOff>527050</xdr:colOff>
      <xdr:row>7</xdr:row>
      <xdr:rowOff>63500</xdr:rowOff>
    </xdr:to>
    <xdr:sp macro="" textlink="">
      <xdr:nvSpPr>
        <xdr:cNvPr id="7" name="Arrow: Up 6">
          <a:extLst>
            <a:ext uri="{FF2B5EF4-FFF2-40B4-BE49-F238E27FC236}">
              <a16:creationId xmlns:a16="http://schemas.microsoft.com/office/drawing/2014/main" id="{F2753F7B-FA7B-4D96-BD9F-7314453D6ECE}"/>
            </a:ext>
          </a:extLst>
        </xdr:cNvPr>
        <xdr:cNvSpPr/>
      </xdr:nvSpPr>
      <xdr:spPr>
        <a:xfrm>
          <a:off x="2749550" y="1428750"/>
          <a:ext cx="304800" cy="2413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12</xdr:row>
      <xdr:rowOff>169334</xdr:rowOff>
    </xdr:from>
    <xdr:to>
      <xdr:col>8</xdr:col>
      <xdr:colOff>406354</xdr:colOff>
      <xdr:row>26</xdr:row>
      <xdr:rowOff>55563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35AB3AD-0764-45F1-9695-724028DE14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690561</xdr:colOff>
      <xdr:row>4</xdr:row>
      <xdr:rowOff>55562</xdr:rowOff>
    </xdr:from>
    <xdr:to>
      <xdr:col>9</xdr:col>
      <xdr:colOff>334961</xdr:colOff>
      <xdr:row>7</xdr:row>
      <xdr:rowOff>150003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B2B9AC4-92DF-41D9-A084-BD5DB1402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0261" y="1071562"/>
          <a:ext cx="336550" cy="684991"/>
        </a:xfrm>
        <a:prstGeom prst="rect">
          <a:avLst/>
        </a:prstGeom>
      </xdr:spPr>
    </xdr:pic>
    <xdr:clientData/>
  </xdr:twoCellAnchor>
  <xdr:twoCellAnchor editAs="oneCell">
    <xdr:from>
      <xdr:col>9</xdr:col>
      <xdr:colOff>357189</xdr:colOff>
      <xdr:row>4</xdr:row>
      <xdr:rowOff>103188</xdr:rowOff>
    </xdr:from>
    <xdr:to>
      <xdr:col>10</xdr:col>
      <xdr:colOff>34926</xdr:colOff>
      <xdr:row>7</xdr:row>
      <xdr:rowOff>197629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D79BB9C-F4FB-400A-A396-08B9CC1E4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9039" y="1119188"/>
          <a:ext cx="338137" cy="684991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4</xdr:row>
      <xdr:rowOff>87311</xdr:rowOff>
    </xdr:from>
    <xdr:to>
      <xdr:col>10</xdr:col>
      <xdr:colOff>385763</xdr:colOff>
      <xdr:row>7</xdr:row>
      <xdr:rowOff>181752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7F79BCB-B60A-45C8-86DC-898B06E00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9875" y="1103311"/>
          <a:ext cx="338138" cy="684991"/>
        </a:xfrm>
        <a:prstGeom prst="rect">
          <a:avLst/>
        </a:prstGeom>
      </xdr:spPr>
    </xdr:pic>
    <xdr:clientData/>
  </xdr:twoCellAnchor>
  <xdr:twoCellAnchor editAs="oneCell">
    <xdr:from>
      <xdr:col>9</xdr:col>
      <xdr:colOff>293688</xdr:colOff>
      <xdr:row>8</xdr:row>
      <xdr:rowOff>31751</xdr:rowOff>
    </xdr:from>
    <xdr:to>
      <xdr:col>10</xdr:col>
      <xdr:colOff>3402</xdr:colOff>
      <xdr:row>11</xdr:row>
      <xdr:rowOff>101109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153DD79-285E-48A4-9B45-F18EAE387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5538" y="1841501"/>
          <a:ext cx="330199" cy="659908"/>
        </a:xfrm>
        <a:prstGeom prst="rect">
          <a:avLst/>
        </a:prstGeom>
      </xdr:spPr>
    </xdr:pic>
    <xdr:clientData/>
  </xdr:twoCellAnchor>
  <xdr:twoCellAnchor editAs="oneCell">
    <xdr:from>
      <xdr:col>9</xdr:col>
      <xdr:colOff>96839</xdr:colOff>
      <xdr:row>12</xdr:row>
      <xdr:rowOff>128589</xdr:rowOff>
    </xdr:from>
    <xdr:to>
      <xdr:col>9</xdr:col>
      <xdr:colOff>427038</xdr:colOff>
      <xdr:row>16</xdr:row>
      <xdr:rowOff>1097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BA5A942-2FD7-4C78-BE9A-9F3512E99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8689" y="2725739"/>
          <a:ext cx="330199" cy="659908"/>
        </a:xfrm>
        <a:prstGeom prst="rect">
          <a:avLst/>
        </a:prstGeom>
      </xdr:spPr>
    </xdr:pic>
    <xdr:clientData/>
  </xdr:twoCellAnchor>
  <xdr:twoCellAnchor editAs="oneCell">
    <xdr:from>
      <xdr:col>9</xdr:col>
      <xdr:colOff>650874</xdr:colOff>
      <xdr:row>8</xdr:row>
      <xdr:rowOff>63500</xdr:rowOff>
    </xdr:from>
    <xdr:to>
      <xdr:col>10</xdr:col>
      <xdr:colOff>322260</xdr:colOff>
      <xdr:row>11</xdr:row>
      <xdr:rowOff>131271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2F3FA1A-C4FC-40FD-B6CC-9ED1B51D8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4" y="1873250"/>
          <a:ext cx="331786" cy="658321"/>
        </a:xfrm>
        <a:prstGeom prst="rect">
          <a:avLst/>
        </a:prstGeom>
      </xdr:spPr>
    </xdr:pic>
    <xdr:clientData/>
  </xdr:twoCellAnchor>
  <xdr:twoCellAnchor editAs="oneCell">
    <xdr:from>
      <xdr:col>9</xdr:col>
      <xdr:colOff>555625</xdr:colOff>
      <xdr:row>12</xdr:row>
      <xdr:rowOff>182562</xdr:rowOff>
    </xdr:from>
    <xdr:to>
      <xdr:col>10</xdr:col>
      <xdr:colOff>227011</xdr:colOff>
      <xdr:row>16</xdr:row>
      <xdr:rowOff>51896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92269CA-8893-4318-9577-A23B13DED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7475" y="2779712"/>
          <a:ext cx="331786" cy="656734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635000</xdr:colOff>
      <xdr:row>7</xdr:row>
      <xdr:rowOff>150812</xdr:rowOff>
    </xdr:from>
    <xdr:to>
      <xdr:col>9</xdr:col>
      <xdr:colOff>274637</xdr:colOff>
      <xdr:row>11</xdr:row>
      <xdr:rowOff>12208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7496A5A-D762-41F5-8697-824EDDA8F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4700" y="1757362"/>
          <a:ext cx="331787" cy="655146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27</xdr:row>
      <xdr:rowOff>0</xdr:rowOff>
    </xdr:from>
    <xdr:to>
      <xdr:col>19</xdr:col>
      <xdr:colOff>317500</xdr:colOff>
      <xdr:row>40</xdr:row>
      <xdr:rowOff>148772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86E44A3-F8DD-4E02-A160-751807258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</xdr:row>
      <xdr:rowOff>38100</xdr:rowOff>
    </xdr:from>
    <xdr:to>
      <xdr:col>3</xdr:col>
      <xdr:colOff>254000</xdr:colOff>
      <xdr:row>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F5CA94-061F-4468-AB8D-B7DD7EB741A7}"/>
            </a:ext>
          </a:extLst>
        </xdr:cNvPr>
        <xdr:cNvSpPr txBox="1"/>
      </xdr:nvSpPr>
      <xdr:spPr>
        <a:xfrm>
          <a:off x="12700" y="400050"/>
          <a:ext cx="63246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latin typeface="Rockwell" charset="0"/>
              <a:ea typeface="Rockwell" charset="0"/>
              <a:cs typeface="Rockwell" charset="0"/>
            </a:rPr>
            <a:t>Financial Ratios is the quantitative analysis of financial information from statements which provides input for evaluating and comparing a company to its peers or industry benchmark.</a:t>
          </a:r>
        </a:p>
        <a:p>
          <a:r>
            <a:rPr lang="en-US" sz="1100" baseline="0">
              <a:latin typeface="Rockwell" charset="0"/>
              <a:ea typeface="Rockwell" charset="0"/>
              <a:cs typeface="Rockwell" charset="0"/>
            </a:rPr>
            <a:t>Liquidity - measures the availabiity of cash to pay debt</a:t>
          </a:r>
        </a:p>
        <a:p>
          <a:r>
            <a:rPr lang="en-US" sz="1100" baseline="0">
              <a:latin typeface="Rockwell" charset="0"/>
              <a:ea typeface="Rockwell" charset="0"/>
              <a:cs typeface="Rockwell" charset="0"/>
            </a:rPr>
            <a:t>Activity - effectiveness of convertion on non-cash assets to cash assets</a:t>
          </a:r>
        </a:p>
        <a:p>
          <a:r>
            <a:rPr lang="en-US" sz="1100" baseline="0">
              <a:latin typeface="Rockwell" charset="0"/>
              <a:ea typeface="Rockwell" charset="0"/>
              <a:cs typeface="Rockwell" charset="0"/>
            </a:rPr>
            <a:t>Leverage - quantify the ability to repay long term debt</a:t>
          </a:r>
        </a:p>
        <a:p>
          <a:r>
            <a:rPr lang="en-US" sz="1100" baseline="0">
              <a:latin typeface="Rockwell" charset="0"/>
              <a:ea typeface="Rockwell" charset="0"/>
              <a:cs typeface="Rockwell" charset="0"/>
            </a:rPr>
            <a:t>Shareholder/Market - investor response to owning a company's stock</a:t>
          </a:r>
        </a:p>
        <a:p>
          <a:r>
            <a:rPr lang="en-US" sz="1100" baseline="0">
              <a:latin typeface="Rockwell" charset="0"/>
              <a:ea typeface="Rockwell" charset="0"/>
              <a:cs typeface="Rockwell" charset="0"/>
            </a:rPr>
            <a:t>Profitability = use of assets &amp; control of expenses to generate profit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3</xdr:row>
      <xdr:rowOff>101600</xdr:rowOff>
    </xdr:from>
    <xdr:to>
      <xdr:col>9</xdr:col>
      <xdr:colOff>107950</xdr:colOff>
      <xdr:row>12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073402-91A8-4338-A8F6-2F42AB49AEDE}"/>
            </a:ext>
          </a:extLst>
        </xdr:cNvPr>
        <xdr:cNvSpPr txBox="1"/>
      </xdr:nvSpPr>
      <xdr:spPr>
        <a:xfrm>
          <a:off x="8293100" y="692150"/>
          <a:ext cx="2540000" cy="172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Receivables</a:t>
          </a:r>
        </a:p>
        <a:p>
          <a:endParaRPr lang="en-US" sz="1100"/>
        </a:p>
        <a:p>
          <a:r>
            <a:rPr lang="en-US" sz="1100"/>
            <a:t>Total Inventory</a:t>
          </a:r>
        </a:p>
        <a:p>
          <a:endParaRPr lang="en-US" sz="1100"/>
        </a:p>
        <a:p>
          <a:endParaRPr lang="en-US" sz="1100" baseline="0"/>
        </a:p>
        <a:p>
          <a:r>
            <a:rPr lang="en-US" sz="1100" baseline="0"/>
            <a:t>Leave it in local currency</a:t>
          </a: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llengesworldwide.sharepoint.com/Users/user/Downloads/Diagnosis%20Question%20for%20Accelerator%20v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borah%20Sorin\Downloads\final_asjad_mavis_be_my_honey_workbo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borah%20Sorin\Downloads\Accelerator%20Diagnosis%20Workbo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llengesworldwide.sharepoint.com/sites/teams/m&amp;e/Methodologies%20and%20Compliance/Ratings%20Marketplace%20Project/Diagnostic%20Data%20Room%20Merged-Deborah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borah%20Sorin\Challenges%20Worldwide\Data%20Centre%20-%20International%20Citizen%20Service\ICS%20Enterprise%20Diagnostic%20Scores-INCLUDING%20NONACTION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ing"/>
      <sheetName val="Visual Representation"/>
      <sheetName val="master"/>
      <sheetName val="Graphical Rep 4"/>
      <sheetName val="Graphical Rep 3"/>
      <sheetName val="User Attributes"/>
      <sheetName val="User Attributes Factors"/>
      <sheetName val="User Suitability"/>
    </sheetNames>
    <sheetDataSet>
      <sheetData sheetId="0">
        <row r="5">
          <cell r="Y5" t="str">
            <v>N/A</v>
          </cell>
        </row>
      </sheetData>
      <sheetData sheetId="1"/>
      <sheetData sheetId="2"/>
      <sheetData sheetId="3"/>
      <sheetData sheetId="4"/>
      <sheetData sheetId="5"/>
      <sheetData sheetId="6">
        <row r="3">
          <cell r="B3" t="str">
            <v>Not Applicable</v>
          </cell>
          <cell r="D3" t="str">
            <v>Not Applicable</v>
          </cell>
        </row>
        <row r="4">
          <cell r="B4" t="str">
            <v>None</v>
          </cell>
          <cell r="D4" t="str">
            <v>None</v>
          </cell>
        </row>
        <row r="5">
          <cell r="B5" t="str">
            <v>A Little</v>
          </cell>
          <cell r="D5" t="str">
            <v>A little</v>
          </cell>
        </row>
        <row r="6">
          <cell r="B6" t="str">
            <v>Some</v>
          </cell>
          <cell r="D6" t="str">
            <v>Some</v>
          </cell>
        </row>
        <row r="7">
          <cell r="B7" t="str">
            <v>Significant</v>
          </cell>
          <cell r="D7" t="str">
            <v>Keen</v>
          </cell>
        </row>
        <row r="8">
          <cell r="B8" t="str">
            <v>Massive Amount</v>
          </cell>
          <cell r="D8" t="str">
            <v>Really Keen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use this Workbook"/>
      <sheetName val="1. Initial Enterprise Info"/>
      <sheetName val="2. Diagnostic"/>
      <sheetName val="3. Enterprise Scores"/>
      <sheetName val="5. Additional Tools "/>
      <sheetName val="4. SDGs"/>
      <sheetName val="6. Team &amp; Org Structure"/>
      <sheetName val="7. PEST"/>
      <sheetName val="8. Supply Chain"/>
      <sheetName val="9. SWOT"/>
      <sheetName val="10. Competitor Analysis"/>
      <sheetName val="11. Market analysis"/>
      <sheetName val="DATA"/>
    </sheetNames>
    <sheetDataSet>
      <sheetData sheetId="0"/>
      <sheetData sheetId="1"/>
      <sheetData sheetId="2">
        <row r="7">
          <cell r="C7">
            <v>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use this Workbook"/>
      <sheetName val="1. Initial Enterprise Info"/>
      <sheetName val="2. Scoring"/>
      <sheetName val=" 3. Enterprise Scores"/>
      <sheetName val="4. Visual Representation"/>
      <sheetName val="5. Graphical Linkages"/>
      <sheetName val="6. SDGs"/>
      <sheetName val="7. PESTLE"/>
      <sheetName val="8. SWOT"/>
      <sheetName val="9. Supply Chain"/>
      <sheetName val="10. Quality Assurance"/>
      <sheetName val="11. Potential Supply Chain "/>
      <sheetName val="12. Team &amp; Org Structure"/>
      <sheetName val="13. Competitor Analysis"/>
      <sheetName val="14. Market analysis"/>
      <sheetName val="DATA"/>
      <sheetName val="15. Porter Five Forces"/>
      <sheetName val="16.Financial Statements Figures"/>
      <sheetName val="17. Financial Trend Analysis"/>
      <sheetName val="18. Vertical Analysis "/>
      <sheetName val="19. Financial Ratios"/>
      <sheetName val=" Marketplace Credit Rating"/>
      <sheetName val="20. Product Profitabiity"/>
      <sheetName val="21. Band Analysis"/>
      <sheetName val="22. SNAP"/>
      <sheetName val="23. Risk Assessment"/>
      <sheetName val="24. Value chain profitability"/>
      <sheetName val="25. Innovation grid"/>
      <sheetName val="26. Additional Tools "/>
      <sheetName val="Marketplace Engagement Rating"/>
      <sheetName val="Presentation"/>
    </sheetNames>
    <sheetDataSet>
      <sheetData sheetId="0"/>
      <sheetData sheetId="1"/>
      <sheetData sheetId="2">
        <row r="5">
          <cell r="Z5">
            <v>1</v>
          </cell>
        </row>
        <row r="6">
          <cell r="Z6">
            <v>2</v>
          </cell>
        </row>
        <row r="7">
          <cell r="Z7">
            <v>3</v>
          </cell>
        </row>
        <row r="8">
          <cell r="Z8">
            <v>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Questions Database"/>
      <sheetName val="Questions Database (Deb)"/>
      <sheetName val="Data Points"/>
      <sheetName val="Calc BS"/>
      <sheetName val="Calc IS"/>
      <sheetName val="Monthly Figures"/>
      <sheetName val="INPUT Sheet"/>
      <sheetName val="Other Data"/>
      <sheetName val="Dashboard"/>
      <sheetName val="3. Enterprise Scores"/>
      <sheetName val="Meeting Notes"/>
      <sheetName val="Dashboard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D4" t="str">
            <v xml:space="preserve">Leadership </v>
          </cell>
          <cell r="E4" t="str">
            <v>Organization/Staff</v>
          </cell>
          <cell r="F4" t="str">
            <v>Product/Service &amp; Processing</v>
          </cell>
          <cell r="G4" t="str">
            <v xml:space="preserve">Sales &amp; Marketing </v>
          </cell>
          <cell r="H4" t="str">
            <v xml:space="preserve">Financial Management </v>
          </cell>
          <cell r="I4" t="str">
            <v xml:space="preserve">Environmental &amp; Social </v>
          </cell>
        </row>
        <row r="5">
          <cell r="C5" t="str">
            <v>First Score</v>
          </cell>
          <cell r="D5">
            <v>0.19</v>
          </cell>
          <cell r="E5">
            <v>0.12</v>
          </cell>
          <cell r="F5">
            <v>0.35</v>
          </cell>
          <cell r="G5">
            <v>0.42</v>
          </cell>
          <cell r="H5">
            <v>0.28999999999999998</v>
          </cell>
          <cell r="I5">
            <v>0.19</v>
          </cell>
        </row>
        <row r="6">
          <cell r="C6" t="str">
            <v>Improvement</v>
          </cell>
          <cell r="D6">
            <v>0.12</v>
          </cell>
          <cell r="E6">
            <v>0.18</v>
          </cell>
          <cell r="F6">
            <v>0.12</v>
          </cell>
          <cell r="G6">
            <v>0.09</v>
          </cell>
          <cell r="H6">
            <v>0.09</v>
          </cell>
          <cell r="I6">
            <v>0.12</v>
          </cell>
        </row>
        <row r="7">
          <cell r="C7" t="str">
            <v>missing</v>
          </cell>
          <cell r="D7">
            <v>0.69</v>
          </cell>
          <cell r="E7">
            <v>0.70000000000000007</v>
          </cell>
          <cell r="F7">
            <v>0.53</v>
          </cell>
          <cell r="G7">
            <v>0.49000000000000005</v>
          </cell>
          <cell r="H7">
            <v>0.62000000000000011</v>
          </cell>
          <cell r="I7">
            <v>0.69</v>
          </cell>
        </row>
      </sheetData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 DiagnosticEXAMPLE"/>
      <sheetName val="Glossary"/>
      <sheetName val="Pivots"/>
      <sheetName val="Pivots-Actionable"/>
      <sheetName val="#ENTs"/>
      <sheetName val="DATAold"/>
      <sheetName val="DataAll"/>
      <sheetName val="DataACTIONABLE"/>
      <sheetName val="DataAll no consscoresonl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499E5-F739-4F2C-925A-952D0649AE7C}" name="EnterpriseScores" displayName="EnterpriseScores" ref="A3:EH8" totalsRowShown="0" headerRowDxfId="19">
  <autoFilter ref="A3:EH8" xr:uid="{04FF72FA-DAB2-4BEF-AD83-579232F47594}"/>
  <sortState ref="A4:EG6">
    <sortCondition ref="B3:B6"/>
  </sortState>
  <tableColumns count="138">
    <tableColumn id="1" xr3:uid="{F48A1192-C0E3-4C65-A2E3-542B8C040C80}" name="UIN"/>
    <tableColumn id="2" xr3:uid="{09874182-E4C7-4CC1-8BD5-0FC2D3D77DF2}" name="Enterprise Name"/>
    <tableColumn id="3" xr3:uid="{81151B1E-C199-4C20-B615-EB9A20AF308A}" name="Sector"/>
    <tableColumn id="5" xr3:uid="{783ABA2C-5995-4430-9E08-198C7BD03562}" name="Cycle"/>
    <tableColumn id="6" xr3:uid="{0B385CDE-85F7-4397-B6E7-8D62ABB179BD}" name="Country"/>
    <tableColumn id="7" xr3:uid="{89885FDA-F699-4292-852C-9BF4C300A34B}" name="City"/>
    <tableColumn id="21" xr3:uid="{84D00796-4F64-49A1-96BF-20CD1B41BCC6}" name="A.01I"/>
    <tableColumn id="22" xr3:uid="{B176D3BD-5750-49DB-9EBC-A75B2A5333C7}" name="A.02I"/>
    <tableColumn id="23" xr3:uid="{27D2BB12-8D60-4026-B42E-CD3407D4F7D6}" name="A.03I"/>
    <tableColumn id="24" xr3:uid="{33F6B395-D596-4C2E-98FE-D71CC30A0E37}" name="A.04I"/>
    <tableColumn id="25" xr3:uid="{024DF8FA-0B6F-45BD-A889-627D8CA9BBDA}" name="A.05I"/>
    <tableColumn id="26" xr3:uid="{41A53E54-A8FE-496E-B96C-21D8B54FE27A}" name="A.06I"/>
    <tableColumn id="27" xr3:uid="{6A7BEE10-A901-44E4-9630-E5B31A843B68}" name="B.01I"/>
    <tableColumn id="28" xr3:uid="{044E4749-7F58-4C51-85CE-A92D1144D36F}" name="B.02I"/>
    <tableColumn id="29" xr3:uid="{3053BCEE-3007-47D1-8E1A-D8784FE2E929}" name="B.03I"/>
    <tableColumn id="30" xr3:uid="{E1470D9A-BAA5-45FC-8FAB-008C5CB03F2D}" name="B.04I"/>
    <tableColumn id="31" xr3:uid="{5A80669C-2083-4B26-B519-7618111BCA0E}" name="B.05I"/>
    <tableColumn id="32" xr3:uid="{0DBDA6EE-281D-487D-8F7A-7314A5D83985}" name="B.06I"/>
    <tableColumn id="33" xr3:uid="{64E76A77-E015-4C4F-A213-89B433455D99}" name="B.07I"/>
    <tableColumn id="34" xr3:uid="{202947B1-2868-45F4-A29D-BF6296E3C979}" name="B.08I"/>
    <tableColumn id="35" xr3:uid="{1AAE7C50-23E9-4735-A431-89F5F28FF80F}" name="B.09I"/>
    <tableColumn id="36" xr3:uid="{CBA0EF7D-C676-4C65-86E9-285CCF8496C7}" name="B.10I"/>
    <tableColumn id="37" xr3:uid="{F6EAA7B1-FA75-4EA2-8BC1-FF2CD8527D90}" name="B.11I"/>
    <tableColumn id="38" xr3:uid="{6F37815D-68C0-437E-B53F-15D798D8A107}" name="B.12I"/>
    <tableColumn id="39" xr3:uid="{D10162DD-0C34-4909-94E5-57B8F7365871}" name="B.13I"/>
    <tableColumn id="40" xr3:uid="{4E1CBD40-287E-41BE-A4DB-92957AA70ED6}" name="C.01I"/>
    <tableColumn id="41" xr3:uid="{01A7B008-A408-4DAA-A01B-8472D4FE7F42}" name="C.02I"/>
    <tableColumn id="42" xr3:uid="{79C35B58-5AEE-444C-BB4F-BC2B415AF536}" name="C.03I"/>
    <tableColumn id="43" xr3:uid="{CC51BBFC-26B7-4FAD-AAB4-0D26D195C131}" name="C.04I"/>
    <tableColumn id="44" xr3:uid="{5AE2CE5D-B03D-424C-A504-1B428231B99A}" name="C.05I"/>
    <tableColumn id="45" xr3:uid="{2E6FAC94-A020-421D-855A-911E3B0971F2}" name="C.06I"/>
    <tableColumn id="46" xr3:uid="{7B3B98D7-0CD5-4FC2-8F94-E037AFCC9868}" name="C.07I"/>
    <tableColumn id="47" xr3:uid="{ECAB57C1-DBF5-445D-8BA0-17C5B0709923}" name="C.08I"/>
    <tableColumn id="48" xr3:uid="{30F2C517-1A05-463F-B1CE-7D084E58C28C}" name="C.09I"/>
    <tableColumn id="49" xr3:uid="{386F97E8-87BB-45A9-8308-1F19361A24D9}" name="C.10I"/>
    <tableColumn id="50" xr3:uid="{5584C3DD-1D60-4F48-B1AF-B2F91A9D6ACB}" name="C.11I"/>
    <tableColumn id="51" xr3:uid="{B7834EF3-12FC-418A-A9E0-753511133AA8}" name="C.12I"/>
    <tableColumn id="53" xr3:uid="{A08D92C7-8FFB-4F99-8925-3A5EB89B4E63}" name="D.01I"/>
    <tableColumn id="54" xr3:uid="{AA9BBBF2-1C10-495F-A4D0-8CD2DCD34D5F}" name="D.02I"/>
    <tableColumn id="55" xr3:uid="{4436BCB9-56AE-4D0A-ACA5-0CA702DCB37F}" name="D.03I"/>
    <tableColumn id="56" xr3:uid="{5E7A696C-4C13-4E8F-9D2F-DDA65B2B77F8}" name="D.04I"/>
    <tableColumn id="57" xr3:uid="{7BBC75A4-0B0D-4F4B-AF8B-17D4C78F1300}" name="D.05I"/>
    <tableColumn id="58" xr3:uid="{12D8B4A1-682B-4786-BA1F-9EE2D548A6F1}" name="D.06I"/>
    <tableColumn id="59" xr3:uid="{35389393-82EE-48B6-99FE-8CF019D8F9BD}" name="D.07I"/>
    <tableColumn id="60" xr3:uid="{C19B14FE-A7C1-4363-9A07-49E03AF98E9C}" name="D.08I"/>
    <tableColumn id="61" xr3:uid="{1DC60002-3464-4470-A15F-073A0C9DE0FC}" name="E.01I"/>
    <tableColumn id="62" xr3:uid="{24041C7A-75FF-4CB1-9D47-BAAB5C88D25E}" name="E.02I"/>
    <tableColumn id="63" xr3:uid="{E02B8CD1-2F96-460C-AFD7-07101A28DE34}" name="E.03I"/>
    <tableColumn id="64" xr3:uid="{A56BD50F-3304-4BF4-946F-0744414F42D9}" name="E.04I"/>
    <tableColumn id="65" xr3:uid="{E4CBBB73-E09F-4D7D-A900-AF207FF55338}" name="E.05I"/>
    <tableColumn id="66" xr3:uid="{55B01851-B659-4AED-898D-D36534525A2B}" name="E.06I"/>
    <tableColumn id="67" xr3:uid="{08837E20-D6D0-426D-9FE6-00FA99A4B9B4}" name="E.07I"/>
    <tableColumn id="68" xr3:uid="{6303105B-CFED-4D57-9A2C-956EAAA5CB62}" name="E.08I"/>
    <tableColumn id="69" xr3:uid="{132D5F53-74DE-4763-8762-F7A080B7AEB6}" name="F.01I"/>
    <tableColumn id="70" xr3:uid="{96E7D37B-59A7-437E-9A23-65D69625C17C}" name="F.02I"/>
    <tableColumn id="71" xr3:uid="{2DE1177B-7055-4976-AE59-40264ADF6302}" name="F.03I"/>
    <tableColumn id="72" xr3:uid="{606DEFD2-BA4F-43DB-B600-C3E540223108}" name="F.04I"/>
    <tableColumn id="73" xr3:uid="{2E64ECE2-133E-43AC-B654-BDA75898D995}" name="A.TI"/>
    <tableColumn id="74" xr3:uid="{C582EB2E-16B2-446E-AEE3-D91997307D5B}" name="B.TI"/>
    <tableColumn id="75" xr3:uid="{6A01763D-4371-43B0-988E-B818BD3BD77F}" name="C.TI"/>
    <tableColumn id="76" xr3:uid="{DC3264A7-D3F4-427D-81CA-D1B148415B09}" name="D.TI"/>
    <tableColumn id="77" xr3:uid="{D8293CCE-C548-436D-84FD-28AAC1C7A15D}" name="E.TI"/>
    <tableColumn id="78" xr3:uid="{DC09144C-02BC-4550-92AB-CB8E5C6EE2DB}" name="F.TI"/>
    <tableColumn id="79" xr3:uid="{87C6D500-9B1F-42B4-9C98-80CF3CCFB763}" name="T.TI"/>
    <tableColumn id="13" xr3:uid="{C51A3020-7AEB-4271-9CE4-07778FDE159D}" name="A.TI%" dataDxfId="18" dataCellStyle="Percent">
      <calculatedColumnFormula>EnterpriseScores[[#This Row],[A.TI]]/24</calculatedColumnFormula>
    </tableColumn>
    <tableColumn id="12" xr3:uid="{251907B0-BB90-47AB-BA66-0B7345BB0950}" name="B.TI%" dataDxfId="17" dataCellStyle="Percent">
      <calculatedColumnFormula>EnterpriseScores[[#This Row],[B.TI]]/52</calculatedColumnFormula>
    </tableColumn>
    <tableColumn id="11" xr3:uid="{5914879F-6CC7-46E3-86DC-636D9C03F496}" name="C.TI%" dataDxfId="16" dataCellStyle="Percent">
      <calculatedColumnFormula>EnterpriseScores[[#This Row],[C.TI]]/48</calculatedColumnFormula>
    </tableColumn>
    <tableColumn id="10" xr3:uid="{BDDC3813-C291-4646-8FCB-BB61E1192E3B}" name="D.TI%" dataDxfId="15" dataCellStyle="Percent">
      <calculatedColumnFormula>EnterpriseScores[[#This Row],[D.TI]]/32</calculatedColumnFormula>
    </tableColumn>
    <tableColumn id="9" xr3:uid="{7004EA65-8AC1-4232-A2D6-768AB7952E24}" name="E.TI%" dataDxfId="14" dataCellStyle="Percent">
      <calculatedColumnFormula>EnterpriseScores[[#This Row],[E.TI]]/32</calculatedColumnFormula>
    </tableColumn>
    <tableColumn id="8" xr3:uid="{ABF8C895-559F-420A-A78B-3487F3664139}" name="F.TI%" dataDxfId="13" dataCellStyle="Percent">
      <calculatedColumnFormula>EnterpriseScores[[#This Row],[F.TI]]/16</calculatedColumnFormula>
    </tableColumn>
    <tableColumn id="4" xr3:uid="{1D13597E-DC0C-4126-9D0D-42D6BCDE7BB1}" name="T.TI%" dataDxfId="12" dataCellStyle="Percent">
      <calculatedColumnFormula>EnterpriseScores[[#This Row],[T.TI]]/204</calculatedColumnFormula>
    </tableColumn>
    <tableColumn id="80" xr3:uid="{4C0FFFDD-3D20-4BCB-B142-E87F58B0BDBF}" name="A.01U"/>
    <tableColumn id="81" xr3:uid="{EDAE0342-CF7C-4C6F-BDD7-1B99A75EB364}" name="A.02U"/>
    <tableColumn id="82" xr3:uid="{0B5A8672-C085-46A5-BB5E-28C00D8350C8}" name="A.03U"/>
    <tableColumn id="83" xr3:uid="{3ACA39B6-ED05-459D-9F87-10036C47D940}" name="A.04U"/>
    <tableColumn id="84" xr3:uid="{3BCE3438-5CDA-4BE6-AC35-F4FD07D49C6A}" name="A.05U"/>
    <tableColumn id="85" xr3:uid="{3D179429-704D-4285-9053-333CF588B7E4}" name="A.06U"/>
    <tableColumn id="86" xr3:uid="{47C2FAB0-88F1-4FB2-8E6E-55DD44FE09FE}" name="B.01U"/>
    <tableColumn id="87" xr3:uid="{568EE63E-D560-4C57-854B-18077417CA45}" name="B.02U"/>
    <tableColumn id="88" xr3:uid="{8D70E4BD-E984-4EFD-8100-8391CB27DCE3}" name="B.03U"/>
    <tableColumn id="89" xr3:uid="{7016A2AB-6C77-4ADC-850B-3D040C5FE7D1}" name="B.04U"/>
    <tableColumn id="90" xr3:uid="{3B2753D0-D7EE-4FF9-8FBD-C2975EFEFB6E}" name="B.05U"/>
    <tableColumn id="91" xr3:uid="{22F3A2AA-1491-46E9-B186-F9954C34B29D}" name="B.06U"/>
    <tableColumn id="92" xr3:uid="{F87F5A18-A78F-4502-B4E3-14D9C509ACFF}" name="B.07U"/>
    <tableColumn id="93" xr3:uid="{EF347DA6-1832-46F3-8EC0-DD0CB1CA50CA}" name="B.08U"/>
    <tableColumn id="94" xr3:uid="{E39C8FD5-8B2A-4E19-B428-C33D892E75FA}" name="B.09U"/>
    <tableColumn id="95" xr3:uid="{2F95B259-188B-4E6E-8140-BB8E7F6BFAB6}" name="B.10U"/>
    <tableColumn id="96" xr3:uid="{46E23723-081F-4729-9E8F-DE2C8192EE02}" name="B.11U"/>
    <tableColumn id="97" xr3:uid="{32FB72AC-3F6D-4BFB-BAE8-04AF9BC8100F}" name="B.12U"/>
    <tableColumn id="98" xr3:uid="{5E3F5E2A-77BF-4380-965F-CD50A5D88CE6}" name="B.13U"/>
    <tableColumn id="99" xr3:uid="{81D2D216-B60C-44AC-A235-5811A189A187}" name="C.01U"/>
    <tableColumn id="100" xr3:uid="{607D5CE6-9899-42B8-9489-6B3DB1835140}" name="C.02U"/>
    <tableColumn id="101" xr3:uid="{13747563-92DF-475A-9BB6-B6795AC5A519}" name="C.03U"/>
    <tableColumn id="102" xr3:uid="{9E60D437-FA50-4823-AC38-5CA09F6EC414}" name="C.04U"/>
    <tableColumn id="103" xr3:uid="{CE852849-54F7-4254-AE3F-18EEC2052E01}" name="C.05U"/>
    <tableColumn id="104" xr3:uid="{7341603D-2AE4-444C-B0D1-673D5744760F}" name="C.06U"/>
    <tableColumn id="105" xr3:uid="{D445E4E8-BCFD-4A61-970A-E6573249DBDC}" name="C.07U"/>
    <tableColumn id="106" xr3:uid="{51F975F3-6D1C-4C0D-AD62-CD21D734862F}" name="C.08U"/>
    <tableColumn id="107" xr3:uid="{4358B016-524A-44C3-A8C0-74B4481BCAB3}" name="C.09U"/>
    <tableColumn id="108" xr3:uid="{6E76D156-FA8E-48EC-A97B-07DC5E6E830B}" name="C.10U"/>
    <tableColumn id="109" xr3:uid="{91EB9A3F-CD7D-436B-A81D-46F3339D1C91}" name="C.11U"/>
    <tableColumn id="110" xr3:uid="{2A97F708-7719-45CD-A4C5-C275EDF7E92C}" name="C.12U"/>
    <tableColumn id="111" xr3:uid="{638F01D5-C977-49A3-861B-F507CDEF7CA3}" name="D.01U"/>
    <tableColumn id="112" xr3:uid="{38735090-96C5-4236-9FB0-A55A61BD171B}" name="D.02U"/>
    <tableColumn id="113" xr3:uid="{FF748BC2-0676-44C5-BD89-3EA32AEB6F9B}" name="D.03U"/>
    <tableColumn id="114" xr3:uid="{0E970564-A907-4577-86A7-77DBDCCE788E}" name="D.04U"/>
    <tableColumn id="115" xr3:uid="{F20D1315-5C17-44CE-BE99-72DB4F996CC1}" name="D.05U"/>
    <tableColumn id="116" xr3:uid="{B21AF557-717D-470D-AC61-F512EE06D269}" name="D.06U"/>
    <tableColumn id="117" xr3:uid="{0931D8E1-4988-4DFA-9355-A8B4EF00A502}" name="D.07U"/>
    <tableColumn id="118" xr3:uid="{1C15F701-4835-40CA-B58F-612A8487D577}" name="D.08U"/>
    <tableColumn id="119" xr3:uid="{53EC692A-A4A4-4055-884A-49059DA5A28B}" name="E.01U"/>
    <tableColumn id="120" xr3:uid="{DB19629F-D5B9-4EA0-A0FC-08C20C1A6099}" name="E.02U"/>
    <tableColumn id="121" xr3:uid="{1D8B4039-75AC-4334-8CB8-55EDD24E6A53}" name="E.03U"/>
    <tableColumn id="122" xr3:uid="{37FCD951-C035-4D18-B6FE-33F7072F10E9}" name="E.04U"/>
    <tableColumn id="123" xr3:uid="{98C54F40-5656-4414-BC14-69C5BB8778D1}" name="E.05U"/>
    <tableColumn id="124" xr3:uid="{2733FF2C-25A2-44F4-96D6-4D0864F02027}" name="E.06U"/>
    <tableColumn id="125" xr3:uid="{100D5787-05BE-41F0-A71C-FDD5EF5D71D8}" name="E.07U"/>
    <tableColumn id="126" xr3:uid="{2C1FFC2E-BC2C-4092-AE52-CD437746C06C}" name="E.08U"/>
    <tableColumn id="127" xr3:uid="{8EC33926-9AAF-4FCC-81E7-D70E2AD0DDC0}" name="F.01U"/>
    <tableColumn id="128" xr3:uid="{D7D9CA6C-F4FA-4743-A968-30351776A358}" name="F.02U"/>
    <tableColumn id="129" xr3:uid="{2698A579-E2EE-44F3-8A46-F230D9BD3C0C}" name="F.03U"/>
    <tableColumn id="130" xr3:uid="{01FD2A81-931A-4E0E-8448-0139185833B5}" name="F.04U"/>
    <tableColumn id="131" xr3:uid="{E68316E3-7C11-42A0-82BC-E8D32F3CA533}" name="A.TU"/>
    <tableColumn id="132" xr3:uid="{4CE95488-3B2B-4FE7-8C21-90EE5B93181C}" name="B.TU"/>
    <tableColumn id="133" xr3:uid="{BCCAE8DC-C3CD-4F6B-8DF7-FF6EDECFEF23}" name="C.TU"/>
    <tableColumn id="134" xr3:uid="{C11634AF-93EA-4526-A52C-A48F78F523E8}" name="D.TU"/>
    <tableColumn id="135" xr3:uid="{DCF2C62B-331E-4352-9CD1-D47F8874FD40}" name="E.TU"/>
    <tableColumn id="136" xr3:uid="{EAEB8F57-5BFE-4C2D-BC3B-73E3EFBE9A60}" name="F.TU"/>
    <tableColumn id="137" xr3:uid="{65E7500C-40D8-42F6-89FF-FDCD9543B3FA}" name="T.TU"/>
    <tableColumn id="14" xr3:uid="{020E1524-CEFF-4B26-BD25-B7430AEDDE50}" name="A.TU%" dataDxfId="11" dataCellStyle="Percent">
      <calculatedColumnFormula>EnterpriseScores[[#This Row],[A.TU]]/24</calculatedColumnFormula>
    </tableColumn>
    <tableColumn id="15" xr3:uid="{16F38AA9-2334-4F39-9DB2-AFC6B853B406}" name="B.TU%" dataDxfId="10" dataCellStyle="Percent">
      <calculatedColumnFormula>EnterpriseScores[[#This Row],[B.TU]]/52</calculatedColumnFormula>
    </tableColumn>
    <tableColumn id="16" xr3:uid="{72ECD462-8340-40CE-BB4F-69CF5DB5FE8E}" name="C.TU%" dataDxfId="9" dataCellStyle="Percent">
      <calculatedColumnFormula>EnterpriseScores[[#This Row],[C.TU]]/48</calculatedColumnFormula>
    </tableColumn>
    <tableColumn id="17" xr3:uid="{8BD2111D-11E7-4523-A599-C10C454BD66B}" name="D.TU%" dataDxfId="8" dataCellStyle="Percent">
      <calculatedColumnFormula>EnterpriseScores[[#This Row],[D.TU]]/32</calculatedColumnFormula>
    </tableColumn>
    <tableColumn id="18" xr3:uid="{09708DC5-E447-4FAB-BDE3-B006B03281EB}" name="E.TU%" dataDxfId="7" dataCellStyle="Percent">
      <calculatedColumnFormula>EnterpriseScores[[#This Row],[E.TU]]/32</calculatedColumnFormula>
    </tableColumn>
    <tableColumn id="19" xr3:uid="{7B8229E1-CA03-4B7F-82A6-A266B7A6869B}" name="F.TU%" dataDxfId="6" dataCellStyle="Percent">
      <calculatedColumnFormula>EnterpriseScores[[#This Row],[F.TU]]/16</calculatedColumnFormula>
    </tableColumn>
    <tableColumn id="20" xr3:uid="{E79EDF2C-FAF0-4293-BDDD-25B1DF7DC326}" name="T.TU%" dataDxfId="5" dataCellStyle="Percent">
      <calculatedColumnFormula>EnterpriseScores[[#This Row],[T.TU]]/204</calculatedColumnFormula>
    </tableColumn>
    <tableColumn id="52" xr3:uid="{ACDFBF4F-6929-44D5-9B16-2D6FCD080456}" name="Column1" dataDxfId="4" dataCellStyle="Percent">
      <calculatedColumnFormula>EnterpriseScores[[#This Row],[T.TU%]]-EnterpriseScores[[#This Row],[T.TI%]]</calculatedColumnFormula>
    </tableColumn>
    <tableColumn id="138" xr3:uid="{8449513F-FC60-4947-8BF4-F68E14F57D8C}" name="A" dataDxfId="3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5DE2-6944-4A12-B86D-0FBDAF3FD071}">
  <dimension ref="A1:FN8"/>
  <sheetViews>
    <sheetView topLeftCell="BO1" zoomScale="110" zoomScaleNormal="110" workbookViewId="0">
      <selection activeCell="EI4" sqref="EI4"/>
    </sheetView>
  </sheetViews>
  <sheetFormatPr defaultRowHeight="14.5" outlineLevelCol="1" x14ac:dyDescent="0.35"/>
  <cols>
    <col min="1" max="1" width="17.90625" customWidth="1"/>
    <col min="5" max="5" width="10.81640625" customWidth="1"/>
    <col min="7" max="64" width="8.7265625" hidden="1" customWidth="1" outlineLevel="1"/>
    <col min="65" max="65" width="8.7265625" collapsed="1"/>
    <col min="72" max="128" width="8.7265625" hidden="1" customWidth="1" outlineLevel="1"/>
    <col min="129" max="129" width="8.7265625" collapsed="1"/>
    <col min="137" max="137" width="12.7265625" customWidth="1"/>
    <col min="141" max="141" width="8.7265625" style="149"/>
    <col min="142" max="147" width="9.36328125" bestFit="1" customWidth="1"/>
    <col min="154" max="155" width="10.26953125" customWidth="1"/>
    <col min="157" max="162" width="9.36328125" bestFit="1" customWidth="1"/>
    <col min="169" max="170" width="10.26953125" customWidth="1"/>
  </cols>
  <sheetData>
    <row r="1" spans="1:170" ht="15.5" thickTop="1" thickBot="1" x14ac:dyDescent="0.4">
      <c r="A1" t="s">
        <v>346</v>
      </c>
      <c r="G1" s="146" t="s">
        <v>347</v>
      </c>
      <c r="H1" s="147" t="s">
        <v>348</v>
      </c>
      <c r="I1" s="146" t="s">
        <v>347</v>
      </c>
      <c r="J1" s="147" t="s">
        <v>348</v>
      </c>
      <c r="K1" s="146" t="s">
        <v>347</v>
      </c>
      <c r="L1" s="147" t="s">
        <v>348</v>
      </c>
      <c r="M1" s="147" t="s">
        <v>348</v>
      </c>
      <c r="N1" s="147" t="s">
        <v>348</v>
      </c>
      <c r="O1" s="147" t="s">
        <v>348</v>
      </c>
      <c r="P1" s="147" t="s">
        <v>348</v>
      </c>
      <c r="Q1" s="147" t="s">
        <v>348</v>
      </c>
      <c r="R1" s="147" t="s">
        <v>348</v>
      </c>
      <c r="S1" s="147" t="s">
        <v>348</v>
      </c>
      <c r="T1" s="147" t="s">
        <v>348</v>
      </c>
      <c r="U1" s="147" t="s">
        <v>348</v>
      </c>
      <c r="V1" s="147" t="s">
        <v>348</v>
      </c>
      <c r="W1" s="147" t="s">
        <v>348</v>
      </c>
      <c r="X1" s="147" t="s">
        <v>348</v>
      </c>
      <c r="Y1" s="147" t="s">
        <v>348</v>
      </c>
      <c r="Z1" s="147" t="s">
        <v>348</v>
      </c>
      <c r="AA1" s="147" t="s">
        <v>348</v>
      </c>
      <c r="AB1" s="147" t="s">
        <v>348</v>
      </c>
      <c r="AC1" s="147" t="s">
        <v>348</v>
      </c>
      <c r="AD1" s="147" t="s">
        <v>348</v>
      </c>
      <c r="AE1" s="147" t="s">
        <v>348</v>
      </c>
      <c r="AF1" s="147" t="s">
        <v>348</v>
      </c>
      <c r="AG1" s="147" t="s">
        <v>348</v>
      </c>
      <c r="AH1" s="147" t="s">
        <v>348</v>
      </c>
      <c r="AI1" s="146" t="s">
        <v>347</v>
      </c>
      <c r="AJ1" s="147" t="s">
        <v>348</v>
      </c>
      <c r="AK1" s="147" t="s">
        <v>348</v>
      </c>
      <c r="AL1" s="147" t="s">
        <v>348</v>
      </c>
      <c r="AM1" s="147" t="s">
        <v>348</v>
      </c>
      <c r="AN1" s="147" t="s">
        <v>348</v>
      </c>
      <c r="AO1" s="147" t="s">
        <v>348</v>
      </c>
      <c r="AP1" s="147" t="s">
        <v>348</v>
      </c>
      <c r="AQ1" s="147" t="s">
        <v>348</v>
      </c>
      <c r="AR1" s="147" t="s">
        <v>348</v>
      </c>
      <c r="AS1" s="147" t="s">
        <v>348</v>
      </c>
      <c r="AT1" s="146" t="s">
        <v>347</v>
      </c>
      <c r="AU1" s="147" t="s">
        <v>348</v>
      </c>
      <c r="AV1" s="147" t="s">
        <v>348</v>
      </c>
      <c r="AW1" s="147" t="s">
        <v>348</v>
      </c>
      <c r="AX1" s="147" t="s">
        <v>348</v>
      </c>
      <c r="AY1" s="147" t="s">
        <v>348</v>
      </c>
      <c r="AZ1" s="147" t="s">
        <v>348</v>
      </c>
      <c r="BA1" s="147" t="s">
        <v>348</v>
      </c>
      <c r="BB1" s="147" t="s">
        <v>348</v>
      </c>
      <c r="BC1" s="147" t="s">
        <v>348</v>
      </c>
      <c r="BD1" s="147" t="s">
        <v>348</v>
      </c>
      <c r="BE1" s="147" t="s">
        <v>348</v>
      </c>
      <c r="BT1" s="146" t="s">
        <v>347</v>
      </c>
      <c r="BU1" s="147" t="s">
        <v>348</v>
      </c>
      <c r="BV1" s="146" t="s">
        <v>347</v>
      </c>
      <c r="BW1" s="147" t="s">
        <v>348</v>
      </c>
      <c r="BX1" s="146" t="s">
        <v>347</v>
      </c>
      <c r="BY1" s="147" t="s">
        <v>348</v>
      </c>
      <c r="BZ1" s="147" t="s">
        <v>348</v>
      </c>
      <c r="CA1" s="147" t="s">
        <v>348</v>
      </c>
      <c r="CB1" s="147" t="s">
        <v>348</v>
      </c>
      <c r="CC1" s="147" t="s">
        <v>348</v>
      </c>
      <c r="CD1" s="147" t="s">
        <v>348</v>
      </c>
      <c r="CE1" s="147" t="s">
        <v>348</v>
      </c>
      <c r="CF1" s="147" t="s">
        <v>348</v>
      </c>
      <c r="CG1" s="147" t="s">
        <v>348</v>
      </c>
      <c r="CH1" s="147" t="s">
        <v>348</v>
      </c>
      <c r="CI1" s="147" t="s">
        <v>348</v>
      </c>
      <c r="CJ1" s="147" t="s">
        <v>348</v>
      </c>
      <c r="CK1" s="147" t="s">
        <v>348</v>
      </c>
      <c r="CL1" s="147" t="s">
        <v>348</v>
      </c>
      <c r="CM1" s="147" t="s">
        <v>348</v>
      </c>
      <c r="CN1" s="147" t="s">
        <v>348</v>
      </c>
      <c r="CO1" s="147" t="s">
        <v>348</v>
      </c>
      <c r="CP1" s="147" t="s">
        <v>348</v>
      </c>
      <c r="CQ1" s="147" t="s">
        <v>348</v>
      </c>
      <c r="CR1" s="147" t="s">
        <v>348</v>
      </c>
      <c r="CS1" s="147" t="s">
        <v>348</v>
      </c>
      <c r="CT1" s="147" t="s">
        <v>348</v>
      </c>
      <c r="CU1" s="147" t="s">
        <v>348</v>
      </c>
      <c r="CV1" s="146" t="s">
        <v>347</v>
      </c>
      <c r="CW1" s="147" t="s">
        <v>348</v>
      </c>
      <c r="CX1" s="147" t="s">
        <v>348</v>
      </c>
      <c r="CY1" s="147" t="s">
        <v>348</v>
      </c>
      <c r="CZ1" s="147" t="s">
        <v>348</v>
      </c>
      <c r="DA1" s="147" t="s">
        <v>348</v>
      </c>
      <c r="DB1" s="147" t="s">
        <v>348</v>
      </c>
      <c r="DC1" s="147" t="s">
        <v>348</v>
      </c>
      <c r="DD1" s="147" t="s">
        <v>348</v>
      </c>
      <c r="DE1" s="147" t="s">
        <v>348</v>
      </c>
      <c r="DF1" s="147" t="s">
        <v>348</v>
      </c>
      <c r="DG1" s="146" t="s">
        <v>347</v>
      </c>
      <c r="DH1" s="147" t="s">
        <v>348</v>
      </c>
      <c r="DI1" s="147" t="s">
        <v>348</v>
      </c>
      <c r="DJ1" s="147" t="s">
        <v>348</v>
      </c>
      <c r="DK1" s="147" t="s">
        <v>348</v>
      </c>
      <c r="DL1" s="147" t="s">
        <v>348</v>
      </c>
      <c r="DM1" s="147" t="s">
        <v>348</v>
      </c>
      <c r="DN1" s="147" t="s">
        <v>348</v>
      </c>
      <c r="DO1" s="147" t="s">
        <v>348</v>
      </c>
      <c r="DP1" s="147" t="s">
        <v>348</v>
      </c>
      <c r="DQ1" s="147" t="s">
        <v>348</v>
      </c>
      <c r="DR1" s="147" t="s">
        <v>348</v>
      </c>
      <c r="EK1" s="148" t="s">
        <v>349</v>
      </c>
      <c r="EM1" s="149" t="s">
        <v>350</v>
      </c>
      <c r="EO1" s="149" t="s">
        <v>351</v>
      </c>
      <c r="EQ1" s="149" t="s">
        <v>352</v>
      </c>
      <c r="ES1" s="149" t="s">
        <v>353</v>
      </c>
      <c r="EU1" s="149" t="s">
        <v>354</v>
      </c>
      <c r="EW1" s="149" t="s">
        <v>355</v>
      </c>
      <c r="EX1" t="s">
        <v>356</v>
      </c>
      <c r="FB1" s="149" t="s">
        <v>350</v>
      </c>
      <c r="FD1" s="149" t="s">
        <v>351</v>
      </c>
      <c r="FF1" s="149" t="s">
        <v>352</v>
      </c>
      <c r="FH1" s="149" t="s">
        <v>353</v>
      </c>
      <c r="FJ1" s="149" t="s">
        <v>354</v>
      </c>
      <c r="FL1" s="149" t="s">
        <v>355</v>
      </c>
      <c r="FM1" t="s">
        <v>356</v>
      </c>
    </row>
    <row r="2" spans="1:170" ht="15" thickTop="1" x14ac:dyDescent="0.35">
      <c r="G2" s="150"/>
      <c r="H2" s="147"/>
      <c r="I2" s="150"/>
      <c r="J2" s="147"/>
      <c r="K2" s="150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50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50"/>
      <c r="AU2" s="147"/>
      <c r="AV2" s="147"/>
      <c r="AW2" s="147"/>
      <c r="AX2" s="147"/>
      <c r="AY2" s="147"/>
      <c r="AZ2" s="147"/>
      <c r="BA2" s="147"/>
      <c r="BB2" s="147"/>
      <c r="BC2" s="147"/>
      <c r="BD2" s="147"/>
      <c r="BE2" s="147"/>
      <c r="BT2" s="150"/>
      <c r="BU2" s="147"/>
      <c r="BV2" s="150"/>
      <c r="BW2" s="147"/>
      <c r="BX2" s="150"/>
      <c r="BY2" s="147"/>
      <c r="BZ2" s="147"/>
      <c r="CA2" s="147"/>
      <c r="CB2" s="147"/>
      <c r="CC2" s="147"/>
      <c r="CD2" s="147"/>
      <c r="CE2" s="147"/>
      <c r="CF2" s="147"/>
      <c r="CG2" s="147"/>
      <c r="CH2" s="147"/>
      <c r="CI2" s="147"/>
      <c r="CJ2" s="147"/>
      <c r="CK2" s="147"/>
      <c r="CL2" s="147"/>
      <c r="CM2" s="147"/>
      <c r="CN2" s="147"/>
      <c r="CO2" s="147"/>
      <c r="CP2" s="147"/>
      <c r="CQ2" s="147"/>
      <c r="CR2" s="147"/>
      <c r="CS2" s="147"/>
      <c r="CT2" s="147"/>
      <c r="CU2" s="147"/>
      <c r="CV2" s="150"/>
      <c r="CW2" s="147"/>
      <c r="CX2" s="147"/>
      <c r="CY2" s="147"/>
      <c r="CZ2" s="147"/>
      <c r="DA2" s="147"/>
      <c r="DB2" s="147"/>
      <c r="DC2" s="147"/>
      <c r="DD2" s="147"/>
      <c r="DE2" s="147"/>
      <c r="DF2" s="147"/>
      <c r="DG2" s="150"/>
      <c r="DH2" s="147"/>
      <c r="DI2" s="147"/>
      <c r="DJ2" s="147"/>
      <c r="DK2" s="147"/>
      <c r="DL2" s="147"/>
      <c r="DM2" s="147"/>
      <c r="DN2" s="147"/>
      <c r="DO2" s="147"/>
      <c r="DP2" s="147"/>
      <c r="DQ2" s="147"/>
      <c r="DR2" s="147"/>
      <c r="EK2" s="148">
        <f>184/4</f>
        <v>46</v>
      </c>
      <c r="EM2" s="149"/>
      <c r="EO2" s="149"/>
      <c r="EQ2" s="149"/>
      <c r="ES2" s="149"/>
      <c r="EU2" s="149"/>
      <c r="EW2" s="149"/>
      <c r="FA2">
        <v>12</v>
      </c>
      <c r="FB2" s="149">
        <v>12</v>
      </c>
      <c r="FC2">
        <v>52</v>
      </c>
      <c r="FD2" s="149">
        <v>52</v>
      </c>
      <c r="FE2">
        <v>44</v>
      </c>
      <c r="FF2" s="149">
        <v>44</v>
      </c>
      <c r="FG2">
        <v>32</v>
      </c>
      <c r="FH2" s="149">
        <v>32</v>
      </c>
      <c r="FI2">
        <v>28</v>
      </c>
      <c r="FJ2" s="149">
        <v>28</v>
      </c>
      <c r="FK2">
        <v>16</v>
      </c>
      <c r="FL2" s="149">
        <v>16</v>
      </c>
      <c r="FM2">
        <f>FA2+FC2+FE2+FG2+FI2+FK2</f>
        <v>184</v>
      </c>
      <c r="FN2">
        <f>FB2+FD2+FF2+FH2+FJ2+FL2</f>
        <v>184</v>
      </c>
    </row>
    <row r="3" spans="1:170" x14ac:dyDescent="0.35">
      <c r="A3" s="151" t="s">
        <v>357</v>
      </c>
      <c r="B3" s="151" t="s">
        <v>358</v>
      </c>
      <c r="C3" s="152" t="s">
        <v>359</v>
      </c>
      <c r="D3" s="152" t="s">
        <v>360</v>
      </c>
      <c r="E3" s="152" t="s">
        <v>361</v>
      </c>
      <c r="F3" s="152" t="s">
        <v>362</v>
      </c>
      <c r="G3" s="153" t="s">
        <v>363</v>
      </c>
      <c r="H3" s="154" t="s">
        <v>364</v>
      </c>
      <c r="I3" s="154" t="s">
        <v>365</v>
      </c>
      <c r="J3" s="154" t="s">
        <v>366</v>
      </c>
      <c r="K3" s="154" t="s">
        <v>367</v>
      </c>
      <c r="L3" s="155" t="s">
        <v>368</v>
      </c>
      <c r="M3" s="156" t="s">
        <v>369</v>
      </c>
      <c r="N3" s="157" t="s">
        <v>370</v>
      </c>
      <c r="O3" s="156" t="s">
        <v>371</v>
      </c>
      <c r="P3" s="156" t="s">
        <v>372</v>
      </c>
      <c r="Q3" s="156" t="s">
        <v>373</v>
      </c>
      <c r="R3" s="156" t="s">
        <v>374</v>
      </c>
      <c r="S3" s="156" t="s">
        <v>375</v>
      </c>
      <c r="T3" s="156" t="s">
        <v>376</v>
      </c>
      <c r="U3" s="156" t="s">
        <v>377</v>
      </c>
      <c r="V3" s="156" t="s">
        <v>378</v>
      </c>
      <c r="W3" s="156" t="s">
        <v>379</v>
      </c>
      <c r="X3" s="156" t="s">
        <v>380</v>
      </c>
      <c r="Y3" s="156" t="s">
        <v>381</v>
      </c>
      <c r="Z3" s="158" t="s">
        <v>382</v>
      </c>
      <c r="AA3" s="159" t="s">
        <v>383</v>
      </c>
      <c r="AB3" s="158" t="s">
        <v>384</v>
      </c>
      <c r="AC3" s="158" t="s">
        <v>385</v>
      </c>
      <c r="AD3" s="158" t="s">
        <v>386</v>
      </c>
      <c r="AE3" s="158" t="s">
        <v>387</v>
      </c>
      <c r="AF3" s="158" t="s">
        <v>388</v>
      </c>
      <c r="AG3" s="158" t="s">
        <v>389</v>
      </c>
      <c r="AH3" s="158" t="s">
        <v>390</v>
      </c>
      <c r="AI3" s="158" t="s">
        <v>391</v>
      </c>
      <c r="AJ3" s="158" t="s">
        <v>392</v>
      </c>
      <c r="AK3" s="158" t="s">
        <v>393</v>
      </c>
      <c r="AL3" s="160" t="s">
        <v>394</v>
      </c>
      <c r="AM3" s="160" t="s">
        <v>395</v>
      </c>
      <c r="AN3" s="160" t="s">
        <v>396</v>
      </c>
      <c r="AO3" s="160" t="s">
        <v>397</v>
      </c>
      <c r="AP3" s="160" t="s">
        <v>398</v>
      </c>
      <c r="AQ3" s="160" t="s">
        <v>399</v>
      </c>
      <c r="AR3" s="160" t="s">
        <v>400</v>
      </c>
      <c r="AS3" s="160" t="s">
        <v>401</v>
      </c>
      <c r="AT3" s="161" t="s">
        <v>402</v>
      </c>
      <c r="AU3" s="161" t="s">
        <v>403</v>
      </c>
      <c r="AV3" s="161" t="s">
        <v>404</v>
      </c>
      <c r="AW3" s="161" t="s">
        <v>405</v>
      </c>
      <c r="AX3" s="161" t="s">
        <v>406</v>
      </c>
      <c r="AY3" s="161" t="s">
        <v>407</v>
      </c>
      <c r="AZ3" s="161" t="s">
        <v>408</v>
      </c>
      <c r="BA3" s="161" t="s">
        <v>409</v>
      </c>
      <c r="BB3" s="162" t="s">
        <v>410</v>
      </c>
      <c r="BC3" s="163" t="s">
        <v>411</v>
      </c>
      <c r="BD3" s="163" t="s">
        <v>412</v>
      </c>
      <c r="BE3" s="163" t="s">
        <v>413</v>
      </c>
      <c r="BF3" s="154" t="s">
        <v>414</v>
      </c>
      <c r="BG3" s="156" t="s">
        <v>415</v>
      </c>
      <c r="BH3" s="158" t="s">
        <v>416</v>
      </c>
      <c r="BI3" s="160" t="s">
        <v>417</v>
      </c>
      <c r="BJ3" s="161" t="s">
        <v>418</v>
      </c>
      <c r="BK3" s="163" t="s">
        <v>419</v>
      </c>
      <c r="BL3" s="164" t="s">
        <v>420</v>
      </c>
      <c r="BM3" s="154" t="s">
        <v>421</v>
      </c>
      <c r="BN3" s="156" t="s">
        <v>422</v>
      </c>
      <c r="BO3" s="158" t="s">
        <v>423</v>
      </c>
      <c r="BP3" s="160" t="s">
        <v>424</v>
      </c>
      <c r="BQ3" s="161" t="s">
        <v>425</v>
      </c>
      <c r="BR3" s="163" t="s">
        <v>426</v>
      </c>
      <c r="BS3" s="164" t="s">
        <v>427</v>
      </c>
      <c r="BT3" s="154" t="s">
        <v>428</v>
      </c>
      <c r="BU3" s="154" t="s">
        <v>429</v>
      </c>
      <c r="BV3" s="154" t="s">
        <v>430</v>
      </c>
      <c r="BW3" s="154" t="s">
        <v>431</v>
      </c>
      <c r="BX3" s="154" t="s">
        <v>432</v>
      </c>
      <c r="BY3" s="154" t="s">
        <v>433</v>
      </c>
      <c r="BZ3" s="156" t="s">
        <v>434</v>
      </c>
      <c r="CA3" s="156" t="s">
        <v>435</v>
      </c>
      <c r="CB3" s="156" t="s">
        <v>436</v>
      </c>
      <c r="CC3" s="156" t="s">
        <v>437</v>
      </c>
      <c r="CD3" s="156" t="s">
        <v>438</v>
      </c>
      <c r="CE3" s="156" t="s">
        <v>439</v>
      </c>
      <c r="CF3" s="156" t="s">
        <v>440</v>
      </c>
      <c r="CG3" s="156" t="s">
        <v>441</v>
      </c>
      <c r="CH3" s="156" t="s">
        <v>442</v>
      </c>
      <c r="CI3" s="156" t="s">
        <v>443</v>
      </c>
      <c r="CJ3" s="156" t="s">
        <v>444</v>
      </c>
      <c r="CK3" s="156" t="s">
        <v>445</v>
      </c>
      <c r="CL3" s="156" t="s">
        <v>446</v>
      </c>
      <c r="CM3" s="158" t="s">
        <v>447</v>
      </c>
      <c r="CN3" s="158" t="s">
        <v>448</v>
      </c>
      <c r="CO3" s="158" t="s">
        <v>449</v>
      </c>
      <c r="CP3" s="158" t="s">
        <v>450</v>
      </c>
      <c r="CQ3" s="158" t="s">
        <v>451</v>
      </c>
      <c r="CR3" s="158" t="s">
        <v>452</v>
      </c>
      <c r="CS3" s="158" t="s">
        <v>453</v>
      </c>
      <c r="CT3" s="158" t="s">
        <v>454</v>
      </c>
      <c r="CU3" s="158" t="s">
        <v>455</v>
      </c>
      <c r="CV3" s="158" t="s">
        <v>456</v>
      </c>
      <c r="CW3" s="158" t="s">
        <v>457</v>
      </c>
      <c r="CX3" s="158" t="s">
        <v>458</v>
      </c>
      <c r="CY3" s="160" t="s">
        <v>459</v>
      </c>
      <c r="CZ3" s="160" t="s">
        <v>460</v>
      </c>
      <c r="DA3" s="160" t="s">
        <v>461</v>
      </c>
      <c r="DB3" s="160" t="s">
        <v>462</v>
      </c>
      <c r="DC3" s="160" t="s">
        <v>463</v>
      </c>
      <c r="DD3" s="160" t="s">
        <v>464</v>
      </c>
      <c r="DE3" s="160" t="s">
        <v>465</v>
      </c>
      <c r="DF3" s="160" t="s">
        <v>466</v>
      </c>
      <c r="DG3" s="165" t="s">
        <v>467</v>
      </c>
      <c r="DH3" s="161" t="s">
        <v>468</v>
      </c>
      <c r="DI3" s="161" t="s">
        <v>469</v>
      </c>
      <c r="DJ3" s="161" t="s">
        <v>470</v>
      </c>
      <c r="DK3" s="161" t="s">
        <v>471</v>
      </c>
      <c r="DL3" s="161" t="s">
        <v>472</v>
      </c>
      <c r="DM3" s="161" t="s">
        <v>473</v>
      </c>
      <c r="DN3" s="161" t="s">
        <v>474</v>
      </c>
      <c r="DO3" s="163" t="s">
        <v>475</v>
      </c>
      <c r="DP3" s="163" t="s">
        <v>476</v>
      </c>
      <c r="DQ3" s="163" t="s">
        <v>477</v>
      </c>
      <c r="DR3" s="163" t="s">
        <v>478</v>
      </c>
      <c r="DS3" s="154" t="s">
        <v>479</v>
      </c>
      <c r="DT3" s="156" t="s">
        <v>480</v>
      </c>
      <c r="DU3" s="158" t="s">
        <v>481</v>
      </c>
      <c r="DV3" s="160" t="s">
        <v>482</v>
      </c>
      <c r="DW3" s="161" t="s">
        <v>483</v>
      </c>
      <c r="DX3" s="163" t="s">
        <v>484</v>
      </c>
      <c r="DY3" s="166" t="s">
        <v>485</v>
      </c>
      <c r="DZ3" s="154" t="s">
        <v>486</v>
      </c>
      <c r="EA3" s="156" t="s">
        <v>487</v>
      </c>
      <c r="EB3" s="158" t="s">
        <v>488</v>
      </c>
      <c r="EC3" s="160" t="s">
        <v>489</v>
      </c>
      <c r="ED3" s="161" t="s">
        <v>490</v>
      </c>
      <c r="EE3" s="163" t="s">
        <v>491</v>
      </c>
      <c r="EF3" s="166" t="s">
        <v>492</v>
      </c>
      <c r="EG3" s="167" t="s">
        <v>493</v>
      </c>
      <c r="EH3" s="167" t="s">
        <v>525</v>
      </c>
      <c r="EI3" s="185" t="s">
        <v>531</v>
      </c>
      <c r="EL3" s="17" t="s">
        <v>494</v>
      </c>
      <c r="EM3" s="17" t="s">
        <v>495</v>
      </c>
      <c r="EN3" s="17" t="s">
        <v>496</v>
      </c>
      <c r="EO3" s="17" t="s">
        <v>497</v>
      </c>
      <c r="EP3" s="17" t="s">
        <v>498</v>
      </c>
      <c r="EQ3" s="17" t="s">
        <v>499</v>
      </c>
      <c r="ER3" s="17" t="s">
        <v>500</v>
      </c>
      <c r="ES3" s="17" t="s">
        <v>501</v>
      </c>
      <c r="ET3" s="17" t="s">
        <v>502</v>
      </c>
      <c r="EU3" s="17" t="s">
        <v>503</v>
      </c>
      <c r="EV3" s="17" t="s">
        <v>504</v>
      </c>
      <c r="EW3" s="17" t="s">
        <v>505</v>
      </c>
      <c r="EX3" s="17" t="s">
        <v>506</v>
      </c>
      <c r="EY3" s="17" t="s">
        <v>507</v>
      </c>
      <c r="FA3" s="17" t="s">
        <v>494</v>
      </c>
      <c r="FB3" s="17" t="s">
        <v>495</v>
      </c>
      <c r="FC3" s="17" t="s">
        <v>496</v>
      </c>
      <c r="FD3" s="17" t="s">
        <v>497</v>
      </c>
      <c r="FE3" s="17" t="s">
        <v>498</v>
      </c>
      <c r="FF3" s="17" t="s">
        <v>499</v>
      </c>
      <c r="FG3" s="17" t="s">
        <v>500</v>
      </c>
      <c r="FH3" s="17" t="s">
        <v>501</v>
      </c>
      <c r="FI3" s="17" t="s">
        <v>502</v>
      </c>
      <c r="FJ3" s="17" t="s">
        <v>503</v>
      </c>
      <c r="FK3" s="17" t="s">
        <v>504</v>
      </c>
      <c r="FL3" s="17" t="s">
        <v>505</v>
      </c>
      <c r="FM3" s="17" t="s">
        <v>506</v>
      </c>
      <c r="FN3" s="17" t="s">
        <v>507</v>
      </c>
    </row>
    <row r="4" spans="1:170" x14ac:dyDescent="0.35">
      <c r="A4" s="168" t="s">
        <v>508</v>
      </c>
      <c r="B4" s="169" t="s">
        <v>509</v>
      </c>
      <c r="C4" s="170" t="s">
        <v>524</v>
      </c>
      <c r="D4" s="170" t="s">
        <v>511</v>
      </c>
      <c r="E4" s="171" t="s">
        <v>512</v>
      </c>
      <c r="F4" s="170" t="s">
        <v>513</v>
      </c>
      <c r="G4" s="172">
        <v>2</v>
      </c>
      <c r="H4" s="172">
        <v>1</v>
      </c>
      <c r="I4" s="172">
        <v>1</v>
      </c>
      <c r="J4" s="172">
        <v>2</v>
      </c>
      <c r="K4" s="172">
        <v>1</v>
      </c>
      <c r="L4" s="172">
        <v>1</v>
      </c>
      <c r="M4" s="172">
        <v>2</v>
      </c>
      <c r="N4" s="172">
        <v>2</v>
      </c>
      <c r="O4" s="172">
        <v>2</v>
      </c>
      <c r="P4" s="172">
        <v>2</v>
      </c>
      <c r="Q4" s="172">
        <v>1</v>
      </c>
      <c r="R4" s="172">
        <v>1</v>
      </c>
      <c r="S4" s="172">
        <v>4</v>
      </c>
      <c r="T4" s="172">
        <v>2</v>
      </c>
      <c r="U4" s="172">
        <v>2</v>
      </c>
      <c r="V4" s="172">
        <v>1</v>
      </c>
      <c r="W4" s="172">
        <v>2</v>
      </c>
      <c r="X4" s="172">
        <v>1</v>
      </c>
      <c r="Y4" s="172">
        <v>2</v>
      </c>
      <c r="Z4" s="172">
        <v>1</v>
      </c>
      <c r="AA4" s="172">
        <v>1</v>
      </c>
      <c r="AB4" s="172">
        <v>3</v>
      </c>
      <c r="AC4" s="172">
        <v>3</v>
      </c>
      <c r="AD4" s="172">
        <v>4</v>
      </c>
      <c r="AE4" s="172">
        <v>4</v>
      </c>
      <c r="AF4" s="172">
        <v>2</v>
      </c>
      <c r="AG4" s="172">
        <v>2</v>
      </c>
      <c r="AH4" s="172">
        <v>2</v>
      </c>
      <c r="AI4" s="172">
        <v>3</v>
      </c>
      <c r="AJ4" s="172">
        <v>3</v>
      </c>
      <c r="AK4" s="172">
        <v>3</v>
      </c>
      <c r="AL4" s="173">
        <v>2</v>
      </c>
      <c r="AM4" s="172">
        <v>1</v>
      </c>
      <c r="AN4" s="172">
        <v>2</v>
      </c>
      <c r="AO4" s="172">
        <v>2</v>
      </c>
      <c r="AP4" s="172">
        <v>2</v>
      </c>
      <c r="AQ4" s="172">
        <v>3</v>
      </c>
      <c r="AR4" s="172">
        <v>1</v>
      </c>
      <c r="AS4" s="172">
        <v>4</v>
      </c>
      <c r="AT4" s="172">
        <v>2</v>
      </c>
      <c r="AU4" s="172">
        <v>1</v>
      </c>
      <c r="AV4" s="172">
        <v>1</v>
      </c>
      <c r="AW4" s="172">
        <v>1</v>
      </c>
      <c r="AX4" s="172">
        <v>3</v>
      </c>
      <c r="AY4" s="172">
        <v>2</v>
      </c>
      <c r="AZ4" s="172">
        <v>3</v>
      </c>
      <c r="BA4" s="172">
        <v>1</v>
      </c>
      <c r="BB4" s="172">
        <v>3</v>
      </c>
      <c r="BC4" s="172">
        <v>1</v>
      </c>
      <c r="BD4" s="172">
        <v>4</v>
      </c>
      <c r="BE4" s="172">
        <v>3</v>
      </c>
      <c r="BF4" s="174">
        <f t="shared" ref="BF4:BF6" si="0">IF(G4&lt;&gt;"",SUM(G4:L4),"")</f>
        <v>8</v>
      </c>
      <c r="BG4" s="174">
        <f t="shared" ref="BG4:BG6" si="1">IF(M4&lt;&gt;"",SUM(M4:Y4),"")</f>
        <v>24</v>
      </c>
      <c r="BH4" s="174">
        <f t="shared" ref="BH4:BH6" si="2">IF(Z4&lt;&gt;"",SUM(Z4:AK4),"")</f>
        <v>31</v>
      </c>
      <c r="BI4" s="174">
        <f t="shared" ref="BI4:BI6" si="3">IF(AL4&lt;&gt;"",SUM(AL4:AS4),"")</f>
        <v>17</v>
      </c>
      <c r="BJ4" s="174">
        <f t="shared" ref="BJ4:BJ6" si="4">IF(AT4&lt;&gt;"",SUM(AT4:BA4),"")</f>
        <v>14</v>
      </c>
      <c r="BK4" s="174">
        <f t="shared" ref="BK4:BK6" si="5">IF(BB4&lt;&gt;"",SUM(BB4:BE4),"")</f>
        <v>11</v>
      </c>
      <c r="BL4" s="174">
        <f t="shared" ref="BL4:BL6" si="6">IF(BF4&lt;&gt;"",SUM(BF4:BK4),"")</f>
        <v>105</v>
      </c>
      <c r="BM4" s="175">
        <f>EnterpriseScores[[#This Row],[A.TI]]/24</f>
        <v>0.33333333333333331</v>
      </c>
      <c r="BN4" s="175">
        <f>EnterpriseScores[[#This Row],[B.TI]]/52</f>
        <v>0.46153846153846156</v>
      </c>
      <c r="BO4" s="175">
        <f>EnterpriseScores[[#This Row],[C.TI]]/48</f>
        <v>0.64583333333333337</v>
      </c>
      <c r="BP4" s="175">
        <f>EnterpriseScores[[#This Row],[D.TI]]/32</f>
        <v>0.53125</v>
      </c>
      <c r="BQ4" s="175">
        <f>EnterpriseScores[[#This Row],[E.TI]]/32</f>
        <v>0.4375</v>
      </c>
      <c r="BR4" s="175">
        <f>EnterpriseScores[[#This Row],[F.TI]]/16</f>
        <v>0.6875</v>
      </c>
      <c r="BS4" s="175">
        <f>EnterpriseScores[[#This Row],[T.TI]]/204</f>
        <v>0.51470588235294112</v>
      </c>
      <c r="BT4" s="172">
        <v>2</v>
      </c>
      <c r="BU4" s="172">
        <v>1</v>
      </c>
      <c r="BV4" s="172">
        <v>1</v>
      </c>
      <c r="BW4" s="172">
        <v>2</v>
      </c>
      <c r="BX4" s="172">
        <v>1</v>
      </c>
      <c r="BY4" s="172">
        <v>1</v>
      </c>
      <c r="BZ4" s="172">
        <v>2</v>
      </c>
      <c r="CA4" s="172">
        <v>2</v>
      </c>
      <c r="CB4" s="172">
        <v>2</v>
      </c>
      <c r="CC4" s="172">
        <v>3</v>
      </c>
      <c r="CD4" s="172">
        <v>2</v>
      </c>
      <c r="CE4" s="172">
        <v>2</v>
      </c>
      <c r="CF4" s="172">
        <v>4</v>
      </c>
      <c r="CG4" s="172">
        <v>2</v>
      </c>
      <c r="CH4" s="172">
        <v>2</v>
      </c>
      <c r="CI4" s="172">
        <v>1</v>
      </c>
      <c r="CJ4" s="172">
        <v>3</v>
      </c>
      <c r="CK4" s="172">
        <v>2</v>
      </c>
      <c r="CL4" s="172">
        <v>2</v>
      </c>
      <c r="CM4" s="172">
        <v>1</v>
      </c>
      <c r="CN4" s="172">
        <v>1</v>
      </c>
      <c r="CO4" s="172">
        <v>3</v>
      </c>
      <c r="CP4" s="172">
        <v>3</v>
      </c>
      <c r="CQ4" s="172">
        <v>4</v>
      </c>
      <c r="CR4" s="172">
        <v>4</v>
      </c>
      <c r="CS4" s="172">
        <v>2</v>
      </c>
      <c r="CT4" s="172">
        <v>2</v>
      </c>
      <c r="CU4" s="172">
        <v>2</v>
      </c>
      <c r="CV4" s="172">
        <v>3</v>
      </c>
      <c r="CW4" s="172">
        <v>3</v>
      </c>
      <c r="CX4" s="172">
        <v>3</v>
      </c>
      <c r="CY4" s="172">
        <v>3</v>
      </c>
      <c r="CZ4" s="172">
        <v>1</v>
      </c>
      <c r="DA4" s="172">
        <v>3</v>
      </c>
      <c r="DB4" s="172">
        <v>3</v>
      </c>
      <c r="DC4" s="172">
        <v>3</v>
      </c>
      <c r="DD4" s="172">
        <v>3</v>
      </c>
      <c r="DE4" s="172">
        <v>1</v>
      </c>
      <c r="DF4" s="172">
        <v>4</v>
      </c>
      <c r="DG4" s="172">
        <v>3</v>
      </c>
      <c r="DH4" s="172">
        <v>3</v>
      </c>
      <c r="DI4" s="172">
        <v>2</v>
      </c>
      <c r="DJ4" s="172">
        <v>4</v>
      </c>
      <c r="DK4" s="172">
        <v>3</v>
      </c>
      <c r="DL4" s="172">
        <v>3</v>
      </c>
      <c r="DM4" s="172">
        <v>3</v>
      </c>
      <c r="DN4" s="172">
        <v>1</v>
      </c>
      <c r="DO4" s="172">
        <v>3</v>
      </c>
      <c r="DP4" s="172">
        <v>1</v>
      </c>
      <c r="DQ4" s="172">
        <v>4</v>
      </c>
      <c r="DR4" s="172">
        <v>3</v>
      </c>
      <c r="DS4" s="174">
        <f>IF(BT4&lt;&gt;"",SUM(BT4:BY4),"")</f>
        <v>8</v>
      </c>
      <c r="DT4" s="174">
        <f>IF(BZ4&lt;&gt;"",SUM(BZ4:CL4),"")</f>
        <v>29</v>
      </c>
      <c r="DU4" s="174">
        <f>IF(CM4&lt;&gt;"",SUM(CM4:CX4),"")</f>
        <v>31</v>
      </c>
      <c r="DV4" s="174">
        <f>IF(CY4&lt;&gt;"",SUM(CY4:DF4),"")</f>
        <v>21</v>
      </c>
      <c r="DW4" s="174">
        <f>IF(DG4&lt;&gt;"",SUM(DG4:DN4),"")</f>
        <v>22</v>
      </c>
      <c r="DX4" s="174">
        <f>IF(DO4&lt;&gt;"",SUM(DO4:DR4),"")</f>
        <v>11</v>
      </c>
      <c r="DY4" s="174">
        <f>IF(DS4&lt;&gt;"",SUM(DS4:DX4),"")</f>
        <v>122</v>
      </c>
      <c r="DZ4" s="175">
        <f>EnterpriseScores[[#This Row],[A.TU]]/24</f>
        <v>0.33333333333333331</v>
      </c>
      <c r="EA4" s="175">
        <f>EnterpriseScores[[#This Row],[B.TU]]/52</f>
        <v>0.55769230769230771</v>
      </c>
      <c r="EB4" s="175">
        <f>EnterpriseScores[[#This Row],[C.TU]]/48</f>
        <v>0.64583333333333337</v>
      </c>
      <c r="EC4" s="175">
        <f>EnterpriseScores[[#This Row],[D.TU]]/32</f>
        <v>0.65625</v>
      </c>
      <c r="ED4" s="175">
        <f>EnterpriseScores[[#This Row],[E.TU]]/32</f>
        <v>0.6875</v>
      </c>
      <c r="EE4" s="175">
        <f>EnterpriseScores[[#This Row],[F.TU]]/16</f>
        <v>0.6875</v>
      </c>
      <c r="EF4" s="175">
        <f>EnterpriseScores[[#This Row],[T.TU]]/204</f>
        <v>0.59803921568627449</v>
      </c>
      <c r="EG4" s="176">
        <f>EnterpriseScores[[#This Row],[T.TU%]]-EnterpriseScores[[#This Row],[T.TI%]]</f>
        <v>8.333333333333337E-2</v>
      </c>
      <c r="EH4" s="176" t="s">
        <v>526</v>
      </c>
      <c r="EI4" s="185" t="s">
        <v>532</v>
      </c>
      <c r="EL4" s="177">
        <f>SUM(EnterpriseScores[[#This Row],[A.02I]],EnterpriseScores[[#This Row],[A.04I]],EnterpriseScores[[#This Row],[A.06I]])</f>
        <v>4</v>
      </c>
      <c r="EM4" s="177">
        <f>SUM(EnterpriseScores[[#This Row],[A.02U]],EnterpriseScores[[#This Row],[A.04U]],EnterpriseScores[[#This Row],[A.06U]])</f>
        <v>4</v>
      </c>
      <c r="EN4" s="177">
        <f>SUM(EnterpriseScores[[#This Row],[B.01I]:[B.13I]])</f>
        <v>24</v>
      </c>
      <c r="EO4" s="177">
        <f>SUM(EnterpriseScores[[#This Row],[B.01U]:[B.13U]])</f>
        <v>29</v>
      </c>
      <c r="EP4" s="177">
        <f>SUM(EnterpriseScores[[#This Row],[C.01I]],EnterpriseScores[[#This Row],[C.02I]],EnterpriseScores[[#This Row],[C.03I]],EnterpriseScores[[#This Row],[C.04I]],EnterpriseScores[[#This Row],[C.05I]],EnterpriseScores[[#This Row],[C.06I]],EnterpriseScores[[#This Row],[C.07I]],EnterpriseScores[[#This Row],[C.08I]],EnterpriseScores[[#This Row],[C.09I]],EnterpriseScores[[#This Row],[C.11I]],EnterpriseScores[[#This Row],[C.12I]])</f>
        <v>28</v>
      </c>
      <c r="EQ4" s="177">
        <f>SUM(EnterpriseScores[[#This Row],[C.01U]],EnterpriseScores[[#This Row],[C.02U]],EnterpriseScores[[#This Row],[C.03U]],EnterpriseScores[[#This Row],[C.04U]],EnterpriseScores[[#This Row],[C.05U]],EnterpriseScores[[#This Row],[C.06U]],EnterpriseScores[[#This Row],[C.07U]],EnterpriseScores[[#This Row],[C.08U]],EnterpriseScores[[#This Row],[C.09U]],EnterpriseScores[[#This Row],[C.11U]],EnterpriseScores[[#This Row],[C.12U]])</f>
        <v>28</v>
      </c>
      <c r="ER4" s="177">
        <f>SUM(EnterpriseScores[[#This Row],[D.01I]:[D.08I]])</f>
        <v>17</v>
      </c>
      <c r="ES4" s="177">
        <f>SUM(EnterpriseScores[[#This Row],[D.01U]:[D.08U]])</f>
        <v>21</v>
      </c>
      <c r="ET4" s="177">
        <f>SUM(EnterpriseScores[[#This Row],[E.02I]:[E.08I]])</f>
        <v>12</v>
      </c>
      <c r="EU4" s="177">
        <f>SUM(EnterpriseScores[[#This Row],[E.02U]:[E.08U]])</f>
        <v>19</v>
      </c>
      <c r="EV4" s="177">
        <f>SUM(EnterpriseScores[[#This Row],[F.01I]:[F.04I]])</f>
        <v>11</v>
      </c>
      <c r="EW4" s="177">
        <f>SUM(EnterpriseScores[[#This Row],[F.01U]:[F.04U]])</f>
        <v>11</v>
      </c>
      <c r="EX4" s="178">
        <f t="shared" ref="EX4:EY6" si="7">EL4+EN4+EP4+ER4+ET4+EV4</f>
        <v>96</v>
      </c>
      <c r="EY4" s="178">
        <f t="shared" si="7"/>
        <v>112</v>
      </c>
      <c r="FA4" s="179">
        <f>EL4/FA$2</f>
        <v>0.33333333333333331</v>
      </c>
      <c r="FB4" s="179">
        <f>EM4/FB$2</f>
        <v>0.33333333333333331</v>
      </c>
      <c r="FC4" s="179">
        <f t="shared" ref="FC4:FN6" si="8">EN4/FC$2</f>
        <v>0.46153846153846156</v>
      </c>
      <c r="FD4" s="179">
        <f t="shared" si="8"/>
        <v>0.55769230769230771</v>
      </c>
      <c r="FE4" s="179">
        <f t="shared" si="8"/>
        <v>0.63636363636363635</v>
      </c>
      <c r="FF4" s="179">
        <f t="shared" si="8"/>
        <v>0.63636363636363635</v>
      </c>
      <c r="FG4" s="179">
        <f t="shared" si="8"/>
        <v>0.53125</v>
      </c>
      <c r="FH4" s="179">
        <f t="shared" si="8"/>
        <v>0.65625</v>
      </c>
      <c r="FI4" s="179">
        <f t="shared" si="8"/>
        <v>0.42857142857142855</v>
      </c>
      <c r="FJ4" s="179">
        <f t="shared" si="8"/>
        <v>0.6785714285714286</v>
      </c>
      <c r="FK4" s="179">
        <f t="shared" si="8"/>
        <v>0.6875</v>
      </c>
      <c r="FL4" s="179">
        <f t="shared" si="8"/>
        <v>0.6875</v>
      </c>
      <c r="FM4" s="179">
        <f>EX4/FM$2</f>
        <v>0.52173913043478259</v>
      </c>
      <c r="FN4" s="179">
        <f>EY4/FN$2</f>
        <v>0.60869565217391308</v>
      </c>
    </row>
    <row r="5" spans="1:170" x14ac:dyDescent="0.35">
      <c r="A5" s="180" t="s">
        <v>514</v>
      </c>
      <c r="B5" s="181" t="s">
        <v>515</v>
      </c>
      <c r="C5" s="182" t="s">
        <v>510</v>
      </c>
      <c r="D5" s="181" t="s">
        <v>511</v>
      </c>
      <c r="E5" s="181" t="s">
        <v>516</v>
      </c>
      <c r="F5" s="181" t="s">
        <v>517</v>
      </c>
      <c r="G5" s="183">
        <v>2</v>
      </c>
      <c r="H5" s="183">
        <v>1</v>
      </c>
      <c r="I5" s="183">
        <v>2</v>
      </c>
      <c r="J5" s="183">
        <v>1</v>
      </c>
      <c r="K5" s="183">
        <v>1</v>
      </c>
      <c r="L5" s="183">
        <v>1</v>
      </c>
      <c r="M5" s="183">
        <v>2</v>
      </c>
      <c r="N5" s="183">
        <v>2</v>
      </c>
      <c r="O5" s="183">
        <v>1</v>
      </c>
      <c r="P5" s="183">
        <v>1</v>
      </c>
      <c r="Q5" s="183">
        <v>1</v>
      </c>
      <c r="R5" s="183">
        <v>1</v>
      </c>
      <c r="S5" s="183">
        <v>3</v>
      </c>
      <c r="T5" s="183">
        <v>1</v>
      </c>
      <c r="U5" s="183">
        <v>1</v>
      </c>
      <c r="V5" s="183">
        <v>2</v>
      </c>
      <c r="W5" s="183">
        <v>1</v>
      </c>
      <c r="X5" s="183">
        <v>1</v>
      </c>
      <c r="Y5" s="183">
        <v>1</v>
      </c>
      <c r="Z5" s="183">
        <v>1</v>
      </c>
      <c r="AA5" s="183">
        <v>2</v>
      </c>
      <c r="AB5" s="183">
        <v>1</v>
      </c>
      <c r="AC5" s="183">
        <v>4</v>
      </c>
      <c r="AD5" s="183">
        <v>4</v>
      </c>
      <c r="AE5" s="183">
        <v>2</v>
      </c>
      <c r="AF5" s="183">
        <v>2</v>
      </c>
      <c r="AG5" s="183">
        <v>2</v>
      </c>
      <c r="AH5" s="183">
        <v>1</v>
      </c>
      <c r="AI5" s="183">
        <v>3</v>
      </c>
      <c r="AJ5" s="183">
        <v>3</v>
      </c>
      <c r="AK5" s="183">
        <v>4</v>
      </c>
      <c r="AL5" s="183">
        <v>1</v>
      </c>
      <c r="AM5" s="183">
        <v>1</v>
      </c>
      <c r="AN5" s="183">
        <v>2</v>
      </c>
      <c r="AO5" s="183">
        <v>2</v>
      </c>
      <c r="AP5" s="183">
        <v>2</v>
      </c>
      <c r="AQ5" s="183">
        <v>2</v>
      </c>
      <c r="AR5" s="183">
        <v>1</v>
      </c>
      <c r="AS5" s="183">
        <v>4</v>
      </c>
      <c r="AT5" s="183">
        <v>1</v>
      </c>
      <c r="AU5" s="183">
        <v>1</v>
      </c>
      <c r="AV5" s="183">
        <v>1</v>
      </c>
      <c r="AW5" s="183">
        <v>1</v>
      </c>
      <c r="AX5" s="183"/>
      <c r="AY5" s="183">
        <v>1</v>
      </c>
      <c r="AZ5" s="183">
        <v>2</v>
      </c>
      <c r="BA5" s="183">
        <v>1</v>
      </c>
      <c r="BB5" s="183">
        <v>2</v>
      </c>
      <c r="BC5" s="183">
        <v>2</v>
      </c>
      <c r="BD5" s="183">
        <v>3</v>
      </c>
      <c r="BE5" s="183">
        <v>2</v>
      </c>
      <c r="BF5" s="174">
        <f t="shared" si="0"/>
        <v>8</v>
      </c>
      <c r="BG5" s="174">
        <f t="shared" si="1"/>
        <v>18</v>
      </c>
      <c r="BH5" s="174">
        <f t="shared" si="2"/>
        <v>29</v>
      </c>
      <c r="BI5" s="174">
        <f t="shared" si="3"/>
        <v>15</v>
      </c>
      <c r="BJ5" s="174">
        <f t="shared" si="4"/>
        <v>8</v>
      </c>
      <c r="BK5" s="174">
        <f t="shared" si="5"/>
        <v>9</v>
      </c>
      <c r="BL5" s="174">
        <f t="shared" si="6"/>
        <v>87</v>
      </c>
      <c r="BM5" s="184">
        <f>EnterpriseScores[[#This Row],[A.TI]]/24</f>
        <v>0.33333333333333331</v>
      </c>
      <c r="BN5" s="184">
        <f>EnterpriseScores[[#This Row],[B.TI]]/52</f>
        <v>0.34615384615384615</v>
      </c>
      <c r="BO5" s="184">
        <f>EnterpriseScores[[#This Row],[C.TI]]/48</f>
        <v>0.60416666666666663</v>
      </c>
      <c r="BP5" s="184">
        <f>EnterpriseScores[[#This Row],[D.TI]]/32</f>
        <v>0.46875</v>
      </c>
      <c r="BQ5" s="184">
        <f>EnterpriseScores[[#This Row],[E.TI]]/32</f>
        <v>0.25</v>
      </c>
      <c r="BR5" s="184">
        <f>EnterpriseScores[[#This Row],[F.TI]]/16</f>
        <v>0.5625</v>
      </c>
      <c r="BS5" s="184">
        <f>EnterpriseScores[[#This Row],[T.TI]]/204</f>
        <v>0.4264705882352941</v>
      </c>
      <c r="BT5" s="183">
        <v>2</v>
      </c>
      <c r="BU5" s="183">
        <v>1</v>
      </c>
      <c r="BV5" s="183">
        <v>2</v>
      </c>
      <c r="BW5" s="183">
        <v>1</v>
      </c>
      <c r="BX5" s="183">
        <v>1</v>
      </c>
      <c r="BY5" s="183">
        <v>1</v>
      </c>
      <c r="BZ5" s="183">
        <v>2</v>
      </c>
      <c r="CA5" s="183">
        <v>2</v>
      </c>
      <c r="CB5" s="183">
        <v>1</v>
      </c>
      <c r="CC5" s="183">
        <v>2</v>
      </c>
      <c r="CD5" s="183">
        <v>1</v>
      </c>
      <c r="CE5" s="183">
        <v>1</v>
      </c>
      <c r="CF5" s="183">
        <v>4</v>
      </c>
      <c r="CG5" s="183">
        <v>1</v>
      </c>
      <c r="CH5" s="183">
        <v>1</v>
      </c>
      <c r="CI5" s="183">
        <v>2</v>
      </c>
      <c r="CJ5" s="183">
        <v>1</v>
      </c>
      <c r="CK5" s="183">
        <v>1</v>
      </c>
      <c r="CL5" s="183">
        <v>1</v>
      </c>
      <c r="CM5" s="183">
        <v>1</v>
      </c>
      <c r="CN5" s="183">
        <v>2</v>
      </c>
      <c r="CO5" s="183">
        <v>2</v>
      </c>
      <c r="CP5" s="183">
        <v>4</v>
      </c>
      <c r="CQ5" s="183">
        <v>4</v>
      </c>
      <c r="CR5" s="183">
        <v>2</v>
      </c>
      <c r="CS5" s="183">
        <v>3</v>
      </c>
      <c r="CT5" s="183">
        <v>2</v>
      </c>
      <c r="CU5" s="183">
        <v>1</v>
      </c>
      <c r="CV5" s="183">
        <v>3</v>
      </c>
      <c r="CW5" s="183">
        <v>3</v>
      </c>
      <c r="CX5" s="183">
        <v>4</v>
      </c>
      <c r="CY5" s="183">
        <v>2</v>
      </c>
      <c r="CZ5" s="183">
        <v>1</v>
      </c>
      <c r="DA5" s="183">
        <v>3</v>
      </c>
      <c r="DB5" s="183">
        <v>3</v>
      </c>
      <c r="DC5" s="183">
        <v>2</v>
      </c>
      <c r="DD5" s="183">
        <v>2</v>
      </c>
      <c r="DE5" s="183">
        <v>1</v>
      </c>
      <c r="DF5" s="183">
        <v>4</v>
      </c>
      <c r="DG5" s="183">
        <v>3</v>
      </c>
      <c r="DH5" s="183">
        <v>4</v>
      </c>
      <c r="DI5" s="183">
        <v>2</v>
      </c>
      <c r="DJ5" s="183">
        <v>1</v>
      </c>
      <c r="DK5" s="183"/>
      <c r="DL5" s="183">
        <v>1</v>
      </c>
      <c r="DM5" s="183">
        <v>3</v>
      </c>
      <c r="DN5" s="183">
        <v>1</v>
      </c>
      <c r="DO5" s="183">
        <v>3</v>
      </c>
      <c r="DP5" s="183">
        <v>2</v>
      </c>
      <c r="DQ5" s="183">
        <v>3</v>
      </c>
      <c r="DR5" s="183">
        <v>3</v>
      </c>
      <c r="DS5" s="174">
        <f>IF(BT5&lt;&gt;"",SUM(BT5:BY5),"")</f>
        <v>8</v>
      </c>
      <c r="DT5" s="174">
        <f>IF(BZ5&lt;&gt;"",SUM(BZ5:CL5),"")</f>
        <v>20</v>
      </c>
      <c r="DU5" s="174">
        <f>IF(CM5&lt;&gt;"",SUM(CM5:CX5),"")</f>
        <v>31</v>
      </c>
      <c r="DV5" s="174">
        <f>IF(CY5&lt;&gt;"",SUM(CY5:DF5),"")</f>
        <v>18</v>
      </c>
      <c r="DW5" s="174">
        <f>IF(DG5&lt;&gt;"",SUM(DG5:DN5),"")</f>
        <v>15</v>
      </c>
      <c r="DX5" s="174">
        <f>IF(DO5&lt;&gt;"",SUM(DO5:DR5),"")</f>
        <v>11</v>
      </c>
      <c r="DY5" s="174">
        <f>IF(DS5&lt;&gt;"",SUM(DS5:DX5),"")</f>
        <v>103</v>
      </c>
      <c r="DZ5" s="184">
        <f>EnterpriseScores[[#This Row],[A.TU]]/24</f>
        <v>0.33333333333333331</v>
      </c>
      <c r="EA5" s="184">
        <f>EnterpriseScores[[#This Row],[B.TU]]/52</f>
        <v>0.38461538461538464</v>
      </c>
      <c r="EB5" s="184">
        <f>EnterpriseScores[[#This Row],[C.TU]]/48</f>
        <v>0.64583333333333337</v>
      </c>
      <c r="EC5" s="184">
        <f>EnterpriseScores[[#This Row],[D.TU]]/32</f>
        <v>0.5625</v>
      </c>
      <c r="ED5" s="184">
        <f>EnterpriseScores[[#This Row],[E.TU]]/32</f>
        <v>0.46875</v>
      </c>
      <c r="EE5" s="184">
        <f>EnterpriseScores[[#This Row],[F.TU]]/16</f>
        <v>0.6875</v>
      </c>
      <c r="EF5" s="184">
        <f>EnterpriseScores[[#This Row],[T.TU]]/204</f>
        <v>0.50490196078431371</v>
      </c>
      <c r="EG5" s="176">
        <f>EnterpriseScores[[#This Row],[T.TU%]]-EnterpriseScores[[#This Row],[T.TI%]]</f>
        <v>7.8431372549019607E-2</v>
      </c>
      <c r="EH5" s="176" t="s">
        <v>527</v>
      </c>
      <c r="EI5" s="185" t="s">
        <v>533</v>
      </c>
      <c r="EL5" s="177">
        <f>SUM(EnterpriseScores[[#This Row],[A.02I]],EnterpriseScores[[#This Row],[A.04I]],EnterpriseScores[[#This Row],[A.06I]])</f>
        <v>3</v>
      </c>
      <c r="EM5" s="177">
        <f>SUM(EnterpriseScores[[#This Row],[A.02U]],EnterpriseScores[[#This Row],[A.04U]],EnterpriseScores[[#This Row],[A.06U]])</f>
        <v>3</v>
      </c>
      <c r="EN5" s="177">
        <f>SUM(EnterpriseScores[[#This Row],[B.01I]:[B.13I]])</f>
        <v>18</v>
      </c>
      <c r="EO5" s="177">
        <f>SUM(EnterpriseScores[[#This Row],[B.01U]:[B.13U]])</f>
        <v>20</v>
      </c>
      <c r="EP5" s="177">
        <f>SUM(EnterpriseScores[[#This Row],[C.01I]],EnterpriseScores[[#This Row],[C.02I]],EnterpriseScores[[#This Row],[C.03I]],EnterpriseScores[[#This Row],[C.04I]],EnterpriseScores[[#This Row],[C.05I]],EnterpriseScores[[#This Row],[C.06I]],EnterpriseScores[[#This Row],[C.07I]],EnterpriseScores[[#This Row],[C.08I]],EnterpriseScores[[#This Row],[C.09I]],EnterpriseScores[[#This Row],[C.11I]],EnterpriseScores[[#This Row],[C.12I]])</f>
        <v>26</v>
      </c>
      <c r="EQ5" s="177">
        <f>SUM(EnterpriseScores[[#This Row],[C.01U]],EnterpriseScores[[#This Row],[C.02U]],EnterpriseScores[[#This Row],[C.03U]],EnterpriseScores[[#This Row],[C.04U]],EnterpriseScores[[#This Row],[C.05U]],EnterpriseScores[[#This Row],[C.06U]],EnterpriseScores[[#This Row],[C.07U]],EnterpriseScores[[#This Row],[C.08U]],EnterpriseScores[[#This Row],[C.09U]],EnterpriseScores[[#This Row],[C.11U]],EnterpriseScores[[#This Row],[C.12U]])</f>
        <v>28</v>
      </c>
      <c r="ER5" s="177">
        <f>SUM(EnterpriseScores[[#This Row],[D.01I]:[D.08I]])</f>
        <v>15</v>
      </c>
      <c r="ES5" s="177">
        <f>SUM(EnterpriseScores[[#This Row],[D.01U]:[D.08U]])</f>
        <v>18</v>
      </c>
      <c r="ET5" s="177">
        <f>SUM(EnterpriseScores[[#This Row],[E.02I]:[E.08I]])</f>
        <v>7</v>
      </c>
      <c r="EU5" s="177">
        <f>SUM(EnterpriseScores[[#This Row],[E.02U]:[E.08U]])</f>
        <v>12</v>
      </c>
      <c r="EV5" s="177">
        <f>SUM(EnterpriseScores[[#This Row],[F.01I]:[F.04I]])</f>
        <v>9</v>
      </c>
      <c r="EW5" s="177">
        <f>SUM(EnterpriseScores[[#This Row],[F.01U]:[F.04U]])</f>
        <v>11</v>
      </c>
      <c r="EX5" s="178">
        <f t="shared" si="7"/>
        <v>78</v>
      </c>
      <c r="EY5" s="178">
        <f t="shared" si="7"/>
        <v>92</v>
      </c>
      <c r="FA5" s="179">
        <f t="shared" ref="FA5:FB6" si="9">EL5/FA$2</f>
        <v>0.25</v>
      </c>
      <c r="FB5" s="179">
        <f t="shared" si="9"/>
        <v>0.25</v>
      </c>
      <c r="FC5" s="179">
        <f t="shared" si="8"/>
        <v>0.34615384615384615</v>
      </c>
      <c r="FD5" s="179">
        <f t="shared" si="8"/>
        <v>0.38461538461538464</v>
      </c>
      <c r="FE5" s="179">
        <f t="shared" si="8"/>
        <v>0.59090909090909094</v>
      </c>
      <c r="FF5" s="179">
        <f t="shared" si="8"/>
        <v>0.63636363636363635</v>
      </c>
      <c r="FG5" s="179">
        <f t="shared" si="8"/>
        <v>0.46875</v>
      </c>
      <c r="FH5" s="179">
        <f t="shared" si="8"/>
        <v>0.5625</v>
      </c>
      <c r="FI5" s="179">
        <f t="shared" si="8"/>
        <v>0.25</v>
      </c>
      <c r="FJ5" s="179">
        <f t="shared" si="8"/>
        <v>0.42857142857142855</v>
      </c>
      <c r="FK5" s="179">
        <f t="shared" si="8"/>
        <v>0.5625</v>
      </c>
      <c r="FL5" s="179">
        <f t="shared" si="8"/>
        <v>0.6875</v>
      </c>
      <c r="FM5" s="179">
        <f t="shared" si="8"/>
        <v>0.42391304347826086</v>
      </c>
      <c r="FN5" s="179">
        <f t="shared" si="8"/>
        <v>0.5</v>
      </c>
    </row>
    <row r="6" spans="1:170" x14ac:dyDescent="0.35">
      <c r="A6" s="180" t="s">
        <v>518</v>
      </c>
      <c r="B6" s="181" t="s">
        <v>519</v>
      </c>
      <c r="C6" s="182" t="s">
        <v>520</v>
      </c>
      <c r="D6" s="181" t="s">
        <v>521</v>
      </c>
      <c r="E6" s="181" t="s">
        <v>522</v>
      </c>
      <c r="F6" s="181" t="s">
        <v>523</v>
      </c>
      <c r="G6" s="183">
        <v>3</v>
      </c>
      <c r="H6" s="183">
        <v>1</v>
      </c>
      <c r="I6" s="183">
        <v>3</v>
      </c>
      <c r="J6" s="183">
        <v>2</v>
      </c>
      <c r="K6" s="183">
        <v>1</v>
      </c>
      <c r="L6" s="183">
        <v>2</v>
      </c>
      <c r="M6" s="183">
        <v>3</v>
      </c>
      <c r="N6" s="183">
        <v>2</v>
      </c>
      <c r="O6" s="183">
        <v>2</v>
      </c>
      <c r="P6" s="183">
        <v>3</v>
      </c>
      <c r="Q6" s="183">
        <v>4</v>
      </c>
      <c r="R6" s="183">
        <v>2</v>
      </c>
      <c r="S6" s="183">
        <v>3</v>
      </c>
      <c r="T6" s="183">
        <v>1</v>
      </c>
      <c r="U6" s="183">
        <v>1</v>
      </c>
      <c r="V6" s="183">
        <v>2</v>
      </c>
      <c r="W6" s="183">
        <v>2</v>
      </c>
      <c r="X6" s="183">
        <v>2</v>
      </c>
      <c r="Y6" s="183">
        <v>2</v>
      </c>
      <c r="Z6" s="183">
        <v>3</v>
      </c>
      <c r="AA6" s="183">
        <v>2</v>
      </c>
      <c r="AB6" s="183">
        <v>3</v>
      </c>
      <c r="AC6" s="183">
        <v>3</v>
      </c>
      <c r="AD6" s="183">
        <v>3</v>
      </c>
      <c r="AE6" s="183">
        <v>4</v>
      </c>
      <c r="AF6" s="183">
        <v>2</v>
      </c>
      <c r="AG6" s="183">
        <v>2</v>
      </c>
      <c r="AH6" s="183">
        <v>2</v>
      </c>
      <c r="AI6" s="183">
        <v>2</v>
      </c>
      <c r="AJ6" s="183">
        <v>3</v>
      </c>
      <c r="AK6" s="183">
        <v>3</v>
      </c>
      <c r="AL6" s="183">
        <v>2</v>
      </c>
      <c r="AM6" s="183">
        <v>2</v>
      </c>
      <c r="AN6" s="183">
        <v>2</v>
      </c>
      <c r="AO6" s="183">
        <v>2</v>
      </c>
      <c r="AP6" s="183">
        <v>2</v>
      </c>
      <c r="AQ6" s="183">
        <v>2</v>
      </c>
      <c r="AR6" s="183">
        <v>1</v>
      </c>
      <c r="AS6" s="183">
        <v>4</v>
      </c>
      <c r="AT6" s="183">
        <v>2</v>
      </c>
      <c r="AU6" s="183">
        <v>3</v>
      </c>
      <c r="AV6" s="183">
        <v>2</v>
      </c>
      <c r="AW6" s="183">
        <v>2</v>
      </c>
      <c r="AX6" s="183">
        <v>3</v>
      </c>
      <c r="AY6" s="183">
        <v>2</v>
      </c>
      <c r="AZ6" s="183">
        <v>2</v>
      </c>
      <c r="BA6" s="183">
        <v>3</v>
      </c>
      <c r="BB6" s="183">
        <v>3</v>
      </c>
      <c r="BC6" s="183">
        <v>2</v>
      </c>
      <c r="BD6" s="183">
        <v>3</v>
      </c>
      <c r="BE6" s="183">
        <v>2</v>
      </c>
      <c r="BF6" s="174">
        <f t="shared" si="0"/>
        <v>12</v>
      </c>
      <c r="BG6" s="174">
        <f t="shared" si="1"/>
        <v>29</v>
      </c>
      <c r="BH6" s="174">
        <f t="shared" si="2"/>
        <v>32</v>
      </c>
      <c r="BI6" s="174">
        <f t="shared" si="3"/>
        <v>17</v>
      </c>
      <c r="BJ6" s="174">
        <f t="shared" si="4"/>
        <v>19</v>
      </c>
      <c r="BK6" s="174">
        <f t="shared" si="5"/>
        <v>10</v>
      </c>
      <c r="BL6" s="174">
        <f t="shared" si="6"/>
        <v>119</v>
      </c>
      <c r="BM6" s="184">
        <f>EnterpriseScores[[#This Row],[A.TI]]/24</f>
        <v>0.5</v>
      </c>
      <c r="BN6" s="184">
        <f>EnterpriseScores[[#This Row],[B.TI]]/52</f>
        <v>0.55769230769230771</v>
      </c>
      <c r="BO6" s="184">
        <f>EnterpriseScores[[#This Row],[C.TI]]/48</f>
        <v>0.66666666666666663</v>
      </c>
      <c r="BP6" s="184">
        <f>EnterpriseScores[[#This Row],[D.TI]]/32</f>
        <v>0.53125</v>
      </c>
      <c r="BQ6" s="184">
        <f>EnterpriseScores[[#This Row],[E.TI]]/32</f>
        <v>0.59375</v>
      </c>
      <c r="BR6" s="184">
        <f>EnterpriseScores[[#This Row],[F.TI]]/16</f>
        <v>0.625</v>
      </c>
      <c r="BS6" s="184">
        <f>EnterpriseScores[[#This Row],[T.TI]]/204</f>
        <v>0.58333333333333337</v>
      </c>
      <c r="BT6" s="183">
        <v>3</v>
      </c>
      <c r="BU6" s="183">
        <v>2</v>
      </c>
      <c r="BV6" s="183">
        <v>3</v>
      </c>
      <c r="BW6" s="183">
        <v>2</v>
      </c>
      <c r="BX6" s="183">
        <v>1</v>
      </c>
      <c r="BY6" s="183">
        <v>2</v>
      </c>
      <c r="BZ6" s="183">
        <v>3</v>
      </c>
      <c r="CA6" s="183">
        <v>3</v>
      </c>
      <c r="CB6" s="183">
        <v>3</v>
      </c>
      <c r="CC6" s="183">
        <v>3</v>
      </c>
      <c r="CD6" s="183">
        <v>4</v>
      </c>
      <c r="CE6" s="183">
        <v>3</v>
      </c>
      <c r="CF6" s="183">
        <v>3</v>
      </c>
      <c r="CG6" s="183">
        <v>1</v>
      </c>
      <c r="CH6" s="183">
        <v>2</v>
      </c>
      <c r="CI6" s="183">
        <v>3</v>
      </c>
      <c r="CJ6" s="183">
        <v>3</v>
      </c>
      <c r="CK6" s="183">
        <v>2</v>
      </c>
      <c r="CL6" s="183">
        <v>3</v>
      </c>
      <c r="CM6" s="183">
        <v>3</v>
      </c>
      <c r="CN6" s="183">
        <v>2</v>
      </c>
      <c r="CO6" s="183">
        <v>3</v>
      </c>
      <c r="CP6" s="183">
        <v>3</v>
      </c>
      <c r="CQ6" s="183">
        <v>3</v>
      </c>
      <c r="CR6" s="183">
        <v>4</v>
      </c>
      <c r="CS6" s="183">
        <v>2</v>
      </c>
      <c r="CT6" s="183">
        <v>2</v>
      </c>
      <c r="CU6" s="183">
        <v>2</v>
      </c>
      <c r="CV6" s="183">
        <v>3</v>
      </c>
      <c r="CW6" s="183">
        <v>3</v>
      </c>
      <c r="CX6" s="183">
        <v>3</v>
      </c>
      <c r="CY6" s="183">
        <v>3</v>
      </c>
      <c r="CZ6" s="183">
        <v>2</v>
      </c>
      <c r="DA6" s="183">
        <v>3</v>
      </c>
      <c r="DB6" s="183">
        <v>3</v>
      </c>
      <c r="DC6" s="183">
        <v>2</v>
      </c>
      <c r="DD6" s="183">
        <v>2</v>
      </c>
      <c r="DE6" s="183">
        <v>1</v>
      </c>
      <c r="DF6" s="183">
        <v>4</v>
      </c>
      <c r="DG6" s="183">
        <v>4</v>
      </c>
      <c r="DH6" s="183">
        <v>4</v>
      </c>
      <c r="DI6" s="183">
        <v>4</v>
      </c>
      <c r="DJ6" s="183">
        <v>4</v>
      </c>
      <c r="DK6" s="183">
        <v>3</v>
      </c>
      <c r="DL6" s="183">
        <v>2</v>
      </c>
      <c r="DM6" s="183">
        <v>2</v>
      </c>
      <c r="DN6" s="183">
        <v>3</v>
      </c>
      <c r="DO6" s="183">
        <v>3</v>
      </c>
      <c r="DP6" s="183">
        <v>2</v>
      </c>
      <c r="DQ6" s="183">
        <v>3</v>
      </c>
      <c r="DR6" s="183">
        <v>2</v>
      </c>
      <c r="DS6" s="174">
        <f>SUM(BT6:BY6)</f>
        <v>13</v>
      </c>
      <c r="DT6" s="174">
        <f>SUM(BZ6:CL6)</f>
        <v>36</v>
      </c>
      <c r="DU6" s="174">
        <f>SUM(CM6:CX6)</f>
        <v>33</v>
      </c>
      <c r="DV6" s="174">
        <f>SUM(CY6:DF6)</f>
        <v>20</v>
      </c>
      <c r="DW6" s="174">
        <f>SUM(DG6:DN6)</f>
        <v>26</v>
      </c>
      <c r="DX6" s="174">
        <f>SUM(DO6:DR6)</f>
        <v>10</v>
      </c>
      <c r="DY6" s="174">
        <f>SUM(DS6:DX6)</f>
        <v>138</v>
      </c>
      <c r="DZ6" s="184">
        <f>EnterpriseScores[[#This Row],[A.TU]]/24</f>
        <v>0.54166666666666663</v>
      </c>
      <c r="EA6" s="184">
        <f>EnterpriseScores[[#This Row],[B.TU]]/52</f>
        <v>0.69230769230769229</v>
      </c>
      <c r="EB6" s="184">
        <f>EnterpriseScores[[#This Row],[C.TU]]/48</f>
        <v>0.6875</v>
      </c>
      <c r="EC6" s="184">
        <f>EnterpriseScores[[#This Row],[D.TU]]/32</f>
        <v>0.625</v>
      </c>
      <c r="ED6" s="184">
        <f>EnterpriseScores[[#This Row],[E.TU]]/32</f>
        <v>0.8125</v>
      </c>
      <c r="EE6" s="184">
        <f>EnterpriseScores[[#This Row],[F.TU]]/16</f>
        <v>0.625</v>
      </c>
      <c r="EF6" s="184">
        <f>EnterpriseScores[[#This Row],[T.TU]]/204</f>
        <v>0.67647058823529416</v>
      </c>
      <c r="EG6" s="176">
        <f>EnterpriseScores[[#This Row],[T.TU%]]-EnterpriseScores[[#This Row],[T.TI%]]</f>
        <v>9.3137254901960786E-2</v>
      </c>
      <c r="EH6" s="176" t="s">
        <v>528</v>
      </c>
      <c r="EI6" s="185" t="s">
        <v>534</v>
      </c>
      <c r="EL6" s="177">
        <f>SUM(EnterpriseScores[[#This Row],[A.02I]],EnterpriseScores[[#This Row],[A.04I]],EnterpriseScores[[#This Row],[A.06I]])</f>
        <v>5</v>
      </c>
      <c r="EM6" s="177">
        <f>SUM(EnterpriseScores[[#This Row],[A.02U]],EnterpriseScores[[#This Row],[A.04U]],EnterpriseScores[[#This Row],[A.06U]])</f>
        <v>6</v>
      </c>
      <c r="EN6" s="177">
        <f>SUM(EnterpriseScores[[#This Row],[B.01I]:[B.13I]])</f>
        <v>29</v>
      </c>
      <c r="EO6" s="177">
        <f>SUM(EnterpriseScores[[#This Row],[B.01U]:[B.13U]])</f>
        <v>36</v>
      </c>
      <c r="EP6" s="177">
        <f>SUM(EnterpriseScores[[#This Row],[C.01I]],EnterpriseScores[[#This Row],[C.02I]],EnterpriseScores[[#This Row],[C.03I]],EnterpriseScores[[#This Row],[C.04I]],EnterpriseScores[[#This Row],[C.05I]],EnterpriseScores[[#This Row],[C.06I]],EnterpriseScores[[#This Row],[C.07I]],EnterpriseScores[[#This Row],[C.08I]],EnterpriseScores[[#This Row],[C.09I]],EnterpriseScores[[#This Row],[C.11I]],EnterpriseScores[[#This Row],[C.12I]])</f>
        <v>30</v>
      </c>
      <c r="EQ6" s="177">
        <f>SUM(EnterpriseScores[[#This Row],[C.01U]],EnterpriseScores[[#This Row],[C.02U]],EnterpriseScores[[#This Row],[C.03U]],EnterpriseScores[[#This Row],[C.04U]],EnterpriseScores[[#This Row],[C.05U]],EnterpriseScores[[#This Row],[C.06U]],EnterpriseScores[[#This Row],[C.07U]],EnterpriseScores[[#This Row],[C.08U]],EnterpriseScores[[#This Row],[C.09U]],EnterpriseScores[[#This Row],[C.11U]],EnterpriseScores[[#This Row],[C.12U]])</f>
        <v>30</v>
      </c>
      <c r="ER6" s="177">
        <f>SUM(EnterpriseScores[[#This Row],[D.01I]:[D.08I]])</f>
        <v>17</v>
      </c>
      <c r="ES6" s="177">
        <f>SUM(EnterpriseScores[[#This Row],[D.01U]:[D.08U]])</f>
        <v>20</v>
      </c>
      <c r="ET6" s="177">
        <f>SUM(EnterpriseScores[[#This Row],[E.02I]:[E.08I]])</f>
        <v>17</v>
      </c>
      <c r="EU6" s="177">
        <f>SUM(EnterpriseScores[[#This Row],[E.02U]:[E.08U]])</f>
        <v>22</v>
      </c>
      <c r="EV6" s="177">
        <f>SUM(EnterpriseScores[[#This Row],[F.01I]:[F.04I]])</f>
        <v>10</v>
      </c>
      <c r="EW6" s="177">
        <f>SUM(EnterpriseScores[[#This Row],[F.01U]:[F.04U]])</f>
        <v>10</v>
      </c>
      <c r="EX6" s="178">
        <f t="shared" si="7"/>
        <v>108</v>
      </c>
      <c r="EY6" s="178">
        <f t="shared" si="7"/>
        <v>124</v>
      </c>
      <c r="FA6" s="179">
        <f t="shared" si="9"/>
        <v>0.41666666666666669</v>
      </c>
      <c r="FB6" s="179">
        <f t="shared" si="9"/>
        <v>0.5</v>
      </c>
      <c r="FC6" s="179">
        <f t="shared" si="8"/>
        <v>0.55769230769230771</v>
      </c>
      <c r="FD6" s="179">
        <f t="shared" si="8"/>
        <v>0.69230769230769229</v>
      </c>
      <c r="FE6" s="179">
        <f t="shared" si="8"/>
        <v>0.68181818181818177</v>
      </c>
      <c r="FF6" s="179">
        <f t="shared" si="8"/>
        <v>0.68181818181818177</v>
      </c>
      <c r="FG6" s="179">
        <f t="shared" si="8"/>
        <v>0.53125</v>
      </c>
      <c r="FH6" s="179">
        <f t="shared" si="8"/>
        <v>0.625</v>
      </c>
      <c r="FI6" s="179">
        <f t="shared" si="8"/>
        <v>0.6071428571428571</v>
      </c>
      <c r="FJ6" s="179">
        <f t="shared" si="8"/>
        <v>0.7857142857142857</v>
      </c>
      <c r="FK6" s="179">
        <f t="shared" si="8"/>
        <v>0.625</v>
      </c>
      <c r="FL6" s="179">
        <f t="shared" si="8"/>
        <v>0.625</v>
      </c>
      <c r="FM6" s="179">
        <f t="shared" si="8"/>
        <v>0.58695652173913049</v>
      </c>
      <c r="FN6" s="179">
        <f t="shared" si="8"/>
        <v>0.67391304347826086</v>
      </c>
    </row>
    <row r="7" spans="1:170" x14ac:dyDescent="0.35">
      <c r="BM7" s="176">
        <f>EnterpriseScores[[#This Row],[A.TI]]/24</f>
        <v>0</v>
      </c>
      <c r="BN7" s="176">
        <f>EnterpriseScores[[#This Row],[B.TI]]/52</f>
        <v>0</v>
      </c>
      <c r="BO7" s="176">
        <f>EnterpriseScores[[#This Row],[C.TI]]/48</f>
        <v>0</v>
      </c>
      <c r="BP7" s="176">
        <f>EnterpriseScores[[#This Row],[D.TI]]/32</f>
        <v>0</v>
      </c>
      <c r="BQ7" s="176">
        <f>EnterpriseScores[[#This Row],[E.TI]]/32</f>
        <v>0</v>
      </c>
      <c r="BR7" s="176">
        <f>EnterpriseScores[[#This Row],[F.TI]]/16</f>
        <v>0</v>
      </c>
      <c r="BS7" s="176">
        <f>EnterpriseScores[[#This Row],[T.TI]]/204</f>
        <v>0</v>
      </c>
      <c r="DZ7" s="176">
        <f>EnterpriseScores[[#This Row],[A.TU]]/24</f>
        <v>0</v>
      </c>
      <c r="EA7" s="176">
        <f>EnterpriseScores[[#This Row],[B.TU]]/52</f>
        <v>0</v>
      </c>
      <c r="EB7" s="176">
        <f>EnterpriseScores[[#This Row],[C.TU]]/48</f>
        <v>0</v>
      </c>
      <c r="EC7" s="176">
        <f>EnterpriseScores[[#This Row],[D.TU]]/32</f>
        <v>0</v>
      </c>
      <c r="ED7" s="176">
        <f>EnterpriseScores[[#This Row],[E.TU]]/32</f>
        <v>0</v>
      </c>
      <c r="EE7" s="176">
        <f>EnterpriseScores[[#This Row],[F.TU]]/16</f>
        <v>0</v>
      </c>
      <c r="EF7" s="176">
        <f>EnterpriseScores[[#This Row],[T.TU]]/204</f>
        <v>0</v>
      </c>
      <c r="EG7" s="176">
        <f>EnterpriseScores[[#This Row],[T.TU%]]-EnterpriseScores[[#This Row],[T.TI%]]</f>
        <v>0</v>
      </c>
      <c r="EH7" s="176" t="s">
        <v>529</v>
      </c>
      <c r="EI7" s="185" t="s">
        <v>535</v>
      </c>
    </row>
    <row r="8" spans="1:170" x14ac:dyDescent="0.35">
      <c r="BM8" s="176">
        <f>EnterpriseScores[[#This Row],[A.TI]]/24</f>
        <v>0</v>
      </c>
      <c r="BN8" s="176">
        <f>EnterpriseScores[[#This Row],[B.TI]]/52</f>
        <v>0</v>
      </c>
      <c r="BO8" s="176">
        <f>EnterpriseScores[[#This Row],[C.TI]]/48</f>
        <v>0</v>
      </c>
      <c r="BP8" s="176">
        <f>EnterpriseScores[[#This Row],[D.TI]]/32</f>
        <v>0</v>
      </c>
      <c r="BQ8" s="176">
        <f>EnterpriseScores[[#This Row],[E.TI]]/32</f>
        <v>0</v>
      </c>
      <c r="BR8" s="176">
        <f>EnterpriseScores[[#This Row],[F.TI]]/16</f>
        <v>0</v>
      </c>
      <c r="BS8" s="176">
        <f>EnterpriseScores[[#This Row],[T.TI]]/204</f>
        <v>0</v>
      </c>
      <c r="DZ8" s="176">
        <f>EnterpriseScores[[#This Row],[A.TU]]/24</f>
        <v>0</v>
      </c>
      <c r="EA8" s="176">
        <f>EnterpriseScores[[#This Row],[B.TU]]/52</f>
        <v>0</v>
      </c>
      <c r="EB8" s="176">
        <f>EnterpriseScores[[#This Row],[C.TU]]/48</f>
        <v>0</v>
      </c>
      <c r="EC8" s="176">
        <f>EnterpriseScores[[#This Row],[D.TU]]/32</f>
        <v>0</v>
      </c>
      <c r="ED8" s="176">
        <f>EnterpriseScores[[#This Row],[E.TU]]/32</f>
        <v>0</v>
      </c>
      <c r="EE8" s="176">
        <f>EnterpriseScores[[#This Row],[F.TU]]/16</f>
        <v>0</v>
      </c>
      <c r="EF8" s="176">
        <f>EnterpriseScores[[#This Row],[T.TU]]/204</f>
        <v>0</v>
      </c>
      <c r="EG8" s="176">
        <f>EnterpriseScores[[#This Row],[T.TU%]]-EnterpriseScores[[#This Row],[T.TI%]]</f>
        <v>0</v>
      </c>
      <c r="EH8" s="176" t="s">
        <v>530</v>
      </c>
      <c r="EI8" s="185" t="s">
        <v>536</v>
      </c>
    </row>
  </sheetData>
  <dataValidations count="1">
    <dataValidation type="list" allowBlank="1" showInputMessage="1" showErrorMessage="1" sqref="C4:C8" xr:uid="{72D199EB-CDBB-459A-A889-34B99502F41B}">
      <formula1>"Agriculture,Alternative Energy,Craft,Health,Business Services,Education,Technology,Hospitality,Waste Management,Other"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CFD1-E6FD-469F-AC1D-E183E59DAADA}">
  <dimension ref="A3:E59"/>
  <sheetViews>
    <sheetView tabSelected="1" workbookViewId="0">
      <selection activeCell="E5" sqref="E5"/>
    </sheetView>
  </sheetViews>
  <sheetFormatPr defaultRowHeight="14.5" x14ac:dyDescent="0.35"/>
  <cols>
    <col min="1" max="1" width="2.81640625" customWidth="1"/>
    <col min="2" max="2" width="23.1796875" bestFit="1" customWidth="1"/>
    <col min="3" max="3" width="46.1796875" bestFit="1" customWidth="1"/>
    <col min="4" max="4" width="23.1796875" bestFit="1" customWidth="1"/>
    <col min="5" max="5" width="44.6328125" bestFit="1" customWidth="1"/>
  </cols>
  <sheetData>
    <row r="3" spans="1:5" x14ac:dyDescent="0.35">
      <c r="A3" t="s">
        <v>301</v>
      </c>
      <c r="B3" t="s">
        <v>302</v>
      </c>
    </row>
    <row r="4" spans="1:5" x14ac:dyDescent="0.35">
      <c r="B4" t="s">
        <v>303</v>
      </c>
    </row>
    <row r="6" spans="1:5" x14ac:dyDescent="0.35">
      <c r="B6" t="s">
        <v>305</v>
      </c>
      <c r="C6" s="144" t="s">
        <v>304</v>
      </c>
    </row>
    <row r="7" spans="1:5" x14ac:dyDescent="0.35">
      <c r="B7" t="s">
        <v>306</v>
      </c>
      <c r="C7" s="145" t="s">
        <v>307</v>
      </c>
    </row>
    <row r="11" spans="1:5" x14ac:dyDescent="0.35">
      <c r="A11" t="s">
        <v>308</v>
      </c>
      <c r="B11" t="s">
        <v>309</v>
      </c>
      <c r="C11" s="17" t="s">
        <v>313</v>
      </c>
      <c r="D11" s="17" t="s">
        <v>314</v>
      </c>
      <c r="E11" s="17" t="s">
        <v>315</v>
      </c>
    </row>
    <row r="12" spans="1:5" x14ac:dyDescent="0.35">
      <c r="B12" t="s">
        <v>310</v>
      </c>
      <c r="C12" s="145" t="s">
        <v>316</v>
      </c>
      <c r="D12" s="145" t="s">
        <v>318</v>
      </c>
      <c r="E12" s="145" t="s">
        <v>304</v>
      </c>
    </row>
    <row r="13" spans="1:5" x14ac:dyDescent="0.35">
      <c r="B13" t="s">
        <v>311</v>
      </c>
      <c r="C13" s="145" t="s">
        <v>312</v>
      </c>
      <c r="D13" s="145" t="s">
        <v>319</v>
      </c>
      <c r="E13" s="145" t="s">
        <v>320</v>
      </c>
    </row>
    <row r="14" spans="1:5" x14ac:dyDescent="0.35">
      <c r="B14" t="s">
        <v>95</v>
      </c>
      <c r="C14" s="145" t="s">
        <v>317</v>
      </c>
      <c r="D14" s="145" t="s">
        <v>321</v>
      </c>
      <c r="E14" s="145" t="s">
        <v>322</v>
      </c>
    </row>
    <row r="17" spans="1:5" x14ac:dyDescent="0.35">
      <c r="B17" t="s">
        <v>324</v>
      </c>
      <c r="C17" t="s">
        <v>325</v>
      </c>
      <c r="D17" t="s">
        <v>326</v>
      </c>
      <c r="E17" t="s">
        <v>327</v>
      </c>
    </row>
    <row r="18" spans="1:5" x14ac:dyDescent="0.35">
      <c r="A18" t="s">
        <v>323</v>
      </c>
      <c r="B18" t="s">
        <v>65</v>
      </c>
      <c r="C18" s="145" t="s">
        <v>328</v>
      </c>
      <c r="D18" s="145" t="s">
        <v>330</v>
      </c>
      <c r="E18" s="145" t="s">
        <v>331</v>
      </c>
    </row>
    <row r="19" spans="1:5" x14ac:dyDescent="0.35">
      <c r="B19" t="s">
        <v>72</v>
      </c>
      <c r="C19" s="145" t="s">
        <v>329</v>
      </c>
      <c r="D19" s="145" t="s">
        <v>332</v>
      </c>
      <c r="E19" s="145" t="s">
        <v>333</v>
      </c>
    </row>
    <row r="23" spans="1:5" x14ac:dyDescent="0.35">
      <c r="A23" t="s">
        <v>334</v>
      </c>
      <c r="B23" t="s">
        <v>335</v>
      </c>
    </row>
    <row r="24" spans="1:5" x14ac:dyDescent="0.35">
      <c r="B24" t="s">
        <v>336</v>
      </c>
    </row>
    <row r="25" spans="1:5" x14ac:dyDescent="0.35">
      <c r="B25" t="s">
        <v>1</v>
      </c>
      <c r="C25" s="145" t="s">
        <v>338</v>
      </c>
    </row>
    <row r="26" spans="1:5" x14ac:dyDescent="0.35">
      <c r="B26" t="s">
        <v>2</v>
      </c>
      <c r="C26" s="145" t="s">
        <v>339</v>
      </c>
    </row>
    <row r="27" spans="1:5" x14ac:dyDescent="0.35">
      <c r="B27" t="s">
        <v>3</v>
      </c>
      <c r="C27" s="145" t="s">
        <v>340</v>
      </c>
    </row>
    <row r="28" spans="1:5" x14ac:dyDescent="0.35">
      <c r="B28" t="s">
        <v>4</v>
      </c>
      <c r="C28" s="145" t="s">
        <v>341</v>
      </c>
    </row>
    <row r="29" spans="1:5" x14ac:dyDescent="0.35">
      <c r="B29" t="s">
        <v>5</v>
      </c>
      <c r="C29" s="145" t="s">
        <v>342</v>
      </c>
    </row>
    <row r="30" spans="1:5" x14ac:dyDescent="0.35">
      <c r="B30" t="s">
        <v>337</v>
      </c>
      <c r="C30" s="145" t="s">
        <v>343</v>
      </c>
    </row>
    <row r="33" spans="1:4" x14ac:dyDescent="0.35">
      <c r="A33" t="s">
        <v>344</v>
      </c>
      <c r="B33" t="s">
        <v>345</v>
      </c>
    </row>
    <row r="34" spans="1:4" x14ac:dyDescent="0.35">
      <c r="B34" t="s">
        <v>551</v>
      </c>
    </row>
    <row r="35" spans="1:4" x14ac:dyDescent="0.35">
      <c r="C35" t="s">
        <v>537</v>
      </c>
      <c r="D35" t="s">
        <v>538</v>
      </c>
    </row>
    <row r="36" spans="1:4" x14ac:dyDescent="0.35">
      <c r="B36" s="185" t="s">
        <v>531</v>
      </c>
      <c r="C36" s="186" t="s">
        <v>539</v>
      </c>
      <c r="D36" s="186" t="s">
        <v>540</v>
      </c>
    </row>
    <row r="37" spans="1:4" x14ac:dyDescent="0.35">
      <c r="B37" s="185" t="s">
        <v>532</v>
      </c>
      <c r="C37" s="186" t="s">
        <v>546</v>
      </c>
      <c r="D37" s="186" t="s">
        <v>541</v>
      </c>
    </row>
    <row r="38" spans="1:4" x14ac:dyDescent="0.35">
      <c r="B38" s="185" t="s">
        <v>533</v>
      </c>
      <c r="C38" s="186" t="s">
        <v>547</v>
      </c>
      <c r="D38" s="186" t="s">
        <v>542</v>
      </c>
    </row>
    <row r="39" spans="1:4" x14ac:dyDescent="0.35">
      <c r="B39" s="185" t="s">
        <v>534</v>
      </c>
      <c r="C39" s="186" t="s">
        <v>548</v>
      </c>
      <c r="D39" s="186" t="s">
        <v>543</v>
      </c>
    </row>
    <row r="40" spans="1:4" x14ac:dyDescent="0.35">
      <c r="B40" s="185" t="s">
        <v>535</v>
      </c>
      <c r="C40" s="186" t="s">
        <v>549</v>
      </c>
      <c r="D40" s="186" t="s">
        <v>544</v>
      </c>
    </row>
    <row r="41" spans="1:4" x14ac:dyDescent="0.35">
      <c r="B41" s="185" t="s">
        <v>536</v>
      </c>
      <c r="C41" s="186" t="s">
        <v>550</v>
      </c>
      <c r="D41" s="186" t="s">
        <v>545</v>
      </c>
    </row>
    <row r="44" spans="1:4" x14ac:dyDescent="0.35">
      <c r="A44" t="s">
        <v>552</v>
      </c>
      <c r="B44" t="s">
        <v>553</v>
      </c>
    </row>
    <row r="45" spans="1:4" x14ac:dyDescent="0.35">
      <c r="B45" t="s">
        <v>554</v>
      </c>
      <c r="C45" s="145" t="s">
        <v>556</v>
      </c>
    </row>
    <row r="46" spans="1:4" x14ac:dyDescent="0.35">
      <c r="B46" t="s">
        <v>555</v>
      </c>
      <c r="C46" s="145" t="s">
        <v>557</v>
      </c>
    </row>
    <row r="50" spans="2:3" x14ac:dyDescent="0.35">
      <c r="B50" t="s">
        <v>558</v>
      </c>
      <c r="C50" t="s">
        <v>561</v>
      </c>
    </row>
    <row r="51" spans="2:3" x14ac:dyDescent="0.35">
      <c r="B51" t="s">
        <v>116</v>
      </c>
      <c r="C51" s="145" t="s">
        <v>559</v>
      </c>
    </row>
    <row r="52" spans="2:3" x14ac:dyDescent="0.35">
      <c r="B52" t="s">
        <v>113</v>
      </c>
      <c r="C52" s="145" t="s">
        <v>560</v>
      </c>
    </row>
    <row r="53" spans="2:3" x14ac:dyDescent="0.35">
      <c r="B53" t="s">
        <v>562</v>
      </c>
      <c r="C53" s="186" t="s">
        <v>563</v>
      </c>
    </row>
    <row r="56" spans="2:3" x14ac:dyDescent="0.35">
      <c r="B56" t="s">
        <v>564</v>
      </c>
    </row>
    <row r="57" spans="2:3" ht="15.5" x14ac:dyDescent="0.35">
      <c r="B57" s="187" t="s">
        <v>565</v>
      </c>
      <c r="C57" s="26" t="s">
        <v>112</v>
      </c>
    </row>
    <row r="58" spans="2:3" ht="15.5" x14ac:dyDescent="0.35">
      <c r="B58" s="188" t="s">
        <v>566</v>
      </c>
      <c r="C58" s="26" t="s">
        <v>28</v>
      </c>
    </row>
    <row r="59" spans="2:3" ht="15.5" x14ac:dyDescent="0.35">
      <c r="B59" s="188" t="s">
        <v>567</v>
      </c>
      <c r="C59" s="26" t="s">
        <v>114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5E47-15BA-4EF9-AD58-6A72CD076DCA}">
  <dimension ref="A1:V99"/>
  <sheetViews>
    <sheetView workbookViewId="0">
      <pane xSplit="5" ySplit="2" topLeftCell="J63" activePane="bottomRight" state="frozen"/>
      <selection pane="topRight" activeCell="F1" sqref="F1"/>
      <selection pane="bottomLeft" activeCell="A2" sqref="A2"/>
      <selection pane="bottomRight" activeCell="K52" sqref="K52"/>
    </sheetView>
  </sheetViews>
  <sheetFormatPr defaultRowHeight="14.5" x14ac:dyDescent="0.35"/>
  <cols>
    <col min="1" max="1" width="2.08984375" customWidth="1"/>
    <col min="2" max="2" width="4.54296875" customWidth="1"/>
    <col min="3" max="3" width="36.08984375" customWidth="1"/>
    <col min="6" max="6" width="9.6328125" bestFit="1" customWidth="1"/>
    <col min="9" max="9" width="11.08984375" customWidth="1"/>
  </cols>
  <sheetData>
    <row r="1" spans="1:22" x14ac:dyDescent="0.35">
      <c r="O1" s="108" t="s">
        <v>32</v>
      </c>
    </row>
    <row r="2" spans="1:22" s="17" customFormat="1" x14ac:dyDescent="0.35">
      <c r="F2" s="17" t="s">
        <v>123</v>
      </c>
      <c r="G2" s="17" t="s">
        <v>124</v>
      </c>
      <c r="H2" s="17" t="s">
        <v>125</v>
      </c>
      <c r="J2" s="79">
        <v>43040</v>
      </c>
      <c r="K2" s="79">
        <v>43070</v>
      </c>
      <c r="L2" s="79">
        <v>43101</v>
      </c>
      <c r="M2" s="79">
        <v>43132</v>
      </c>
      <c r="N2" s="79">
        <v>43160</v>
      </c>
      <c r="O2" s="79">
        <v>43191</v>
      </c>
      <c r="P2" s="79">
        <v>43221</v>
      </c>
      <c r="Q2" s="79">
        <v>43252</v>
      </c>
      <c r="R2" s="79">
        <v>43282</v>
      </c>
      <c r="S2" s="79">
        <v>43313</v>
      </c>
      <c r="T2" s="79">
        <v>43344</v>
      </c>
      <c r="U2" s="79">
        <v>43374</v>
      </c>
      <c r="V2" s="79">
        <v>43405</v>
      </c>
    </row>
    <row r="3" spans="1:22" x14ac:dyDescent="0.35">
      <c r="A3" s="17" t="s">
        <v>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5" spans="1:22" x14ac:dyDescent="0.35">
      <c r="B5" t="s">
        <v>8</v>
      </c>
    </row>
    <row r="6" spans="1:22" x14ac:dyDescent="0.35">
      <c r="C6" s="5" t="s">
        <v>1</v>
      </c>
      <c r="F6" s="4">
        <v>200</v>
      </c>
      <c r="G6" s="4">
        <v>237.5</v>
      </c>
      <c r="H6" s="4">
        <v>600</v>
      </c>
      <c r="J6" s="2">
        <v>25</v>
      </c>
      <c r="K6" s="2">
        <v>25</v>
      </c>
      <c r="L6" s="2">
        <v>25</v>
      </c>
      <c r="M6" s="2">
        <v>25</v>
      </c>
      <c r="N6" s="2">
        <v>25</v>
      </c>
      <c r="O6" s="19">
        <f>'Input Sheet'!F5</f>
        <v>25</v>
      </c>
      <c r="P6" s="100"/>
      <c r="Q6" s="100"/>
      <c r="R6" s="100"/>
      <c r="S6" s="100"/>
      <c r="T6" s="100"/>
      <c r="U6" s="100"/>
    </row>
    <row r="7" spans="1:22" x14ac:dyDescent="0.35">
      <c r="C7" s="5" t="s">
        <v>2</v>
      </c>
      <c r="F7" s="4">
        <v>1200</v>
      </c>
      <c r="G7" s="4">
        <v>1900</v>
      </c>
      <c r="H7" s="4">
        <v>2400</v>
      </c>
      <c r="J7" s="2">
        <v>200</v>
      </c>
      <c r="K7" s="2">
        <v>200</v>
      </c>
      <c r="L7" s="2">
        <v>200</v>
      </c>
      <c r="M7" s="2">
        <v>200</v>
      </c>
      <c r="N7" s="2">
        <v>200</v>
      </c>
      <c r="O7" s="19">
        <f>'Input Sheet'!F6</f>
        <v>200</v>
      </c>
      <c r="P7" s="100"/>
      <c r="Q7" s="100"/>
      <c r="R7" s="100"/>
      <c r="S7" s="100"/>
      <c r="T7" s="100"/>
      <c r="U7" s="100"/>
    </row>
    <row r="8" spans="1:22" x14ac:dyDescent="0.35">
      <c r="C8" s="5" t="s">
        <v>3</v>
      </c>
      <c r="F8" s="4">
        <v>296</v>
      </c>
      <c r="G8" s="4">
        <v>351.5</v>
      </c>
      <c r="H8" s="4">
        <v>444</v>
      </c>
      <c r="J8" s="2">
        <v>37</v>
      </c>
      <c r="K8" s="2">
        <v>37</v>
      </c>
      <c r="L8" s="2">
        <v>37</v>
      </c>
      <c r="M8" s="2">
        <v>37</v>
      </c>
      <c r="N8" s="2">
        <v>37</v>
      </c>
      <c r="O8" s="19">
        <f>'Input Sheet'!F7</f>
        <v>37</v>
      </c>
      <c r="P8" s="100"/>
      <c r="Q8" s="100"/>
      <c r="R8" s="100"/>
      <c r="S8" s="100"/>
      <c r="T8" s="100"/>
      <c r="U8" s="100"/>
    </row>
    <row r="9" spans="1:22" x14ac:dyDescent="0.35">
      <c r="C9" s="5" t="s">
        <v>4</v>
      </c>
      <c r="F9" s="4">
        <v>656</v>
      </c>
      <c r="G9" s="4">
        <v>779</v>
      </c>
      <c r="H9" s="4">
        <v>984</v>
      </c>
      <c r="J9" s="2">
        <v>82</v>
      </c>
      <c r="K9" s="2">
        <v>82</v>
      </c>
      <c r="L9" s="2">
        <v>82</v>
      </c>
      <c r="M9" s="2">
        <v>82</v>
      </c>
      <c r="N9" s="2">
        <v>82</v>
      </c>
      <c r="O9" s="19">
        <f>'Input Sheet'!F8</f>
        <v>82</v>
      </c>
      <c r="P9" s="100"/>
      <c r="Q9" s="100"/>
      <c r="R9" s="100"/>
      <c r="S9" s="100"/>
      <c r="T9" s="100"/>
      <c r="U9" s="100"/>
    </row>
    <row r="10" spans="1:22" x14ac:dyDescent="0.35">
      <c r="C10" s="5" t="s">
        <v>5</v>
      </c>
      <c r="F10" s="4">
        <v>900</v>
      </c>
      <c r="G10" s="4">
        <v>465.5</v>
      </c>
      <c r="H10" s="4">
        <v>588</v>
      </c>
      <c r="J10" s="2">
        <v>49</v>
      </c>
      <c r="K10" s="2">
        <v>49</v>
      </c>
      <c r="L10" s="2">
        <v>49</v>
      </c>
      <c r="M10" s="2">
        <v>49</v>
      </c>
      <c r="N10" s="2">
        <v>49</v>
      </c>
      <c r="O10" s="19">
        <f>'Input Sheet'!F9</f>
        <v>49</v>
      </c>
      <c r="P10" s="100"/>
      <c r="Q10" s="100"/>
      <c r="R10" s="100"/>
      <c r="S10" s="100"/>
      <c r="T10" s="100"/>
      <c r="U10" s="100"/>
    </row>
    <row r="11" spans="1:22" x14ac:dyDescent="0.35">
      <c r="C11" t="s">
        <v>6</v>
      </c>
      <c r="F11" s="3">
        <v>3400</v>
      </c>
      <c r="G11" s="3">
        <v>4180</v>
      </c>
      <c r="H11" s="3">
        <v>5280</v>
      </c>
      <c r="J11" s="3">
        <v>440</v>
      </c>
      <c r="K11" s="3">
        <v>440</v>
      </c>
      <c r="L11" s="3">
        <v>440</v>
      </c>
      <c r="M11" s="3">
        <v>440</v>
      </c>
      <c r="N11" s="3">
        <v>440</v>
      </c>
      <c r="O11" s="20">
        <f>'Input Sheet'!F10</f>
        <v>440</v>
      </c>
      <c r="P11" s="100"/>
      <c r="Q11" s="100"/>
      <c r="R11" s="100"/>
      <c r="S11" s="100"/>
      <c r="T11" s="100"/>
      <c r="U11" s="100"/>
    </row>
    <row r="12" spans="1:22" x14ac:dyDescent="0.35">
      <c r="C12" t="s">
        <v>7</v>
      </c>
      <c r="F12" s="2">
        <f>SUM(F6:F11)</f>
        <v>6652</v>
      </c>
      <c r="G12" s="2">
        <f t="shared" ref="G12:H12" si="0">SUM(G6:G11)</f>
        <v>7913.5</v>
      </c>
      <c r="H12" s="2">
        <f t="shared" si="0"/>
        <v>10296</v>
      </c>
      <c r="J12" s="2">
        <f>SUM(J6:J11)</f>
        <v>833</v>
      </c>
      <c r="K12" s="2">
        <f t="shared" ref="K12:O12" si="1">SUM(K6:K11)</f>
        <v>833</v>
      </c>
      <c r="L12" s="2">
        <f t="shared" si="1"/>
        <v>833</v>
      </c>
      <c r="M12" s="2">
        <f t="shared" si="1"/>
        <v>833</v>
      </c>
      <c r="N12" s="2">
        <f t="shared" si="1"/>
        <v>833</v>
      </c>
      <c r="O12" s="2">
        <f t="shared" si="1"/>
        <v>833</v>
      </c>
      <c r="P12" s="100"/>
      <c r="Q12" s="100"/>
      <c r="R12" s="100"/>
      <c r="S12" s="100"/>
      <c r="T12" s="100"/>
      <c r="U12" s="100"/>
    </row>
    <row r="14" spans="1:22" x14ac:dyDescent="0.35">
      <c r="B14" t="s">
        <v>153</v>
      </c>
      <c r="J14" s="4">
        <v>835</v>
      </c>
      <c r="K14" s="4">
        <v>840</v>
      </c>
      <c r="L14" s="4">
        <v>855</v>
      </c>
      <c r="M14" s="4">
        <v>855</v>
      </c>
      <c r="N14" s="4">
        <v>855</v>
      </c>
      <c r="O14" s="4">
        <v>855</v>
      </c>
      <c r="P14" s="4">
        <v>855</v>
      </c>
      <c r="Q14" s="4">
        <v>855</v>
      </c>
      <c r="R14" s="4">
        <v>855</v>
      </c>
      <c r="S14" s="4">
        <v>855</v>
      </c>
      <c r="T14" s="4">
        <v>855</v>
      </c>
      <c r="U14" s="19">
        <f>'Input Sheet'!F13</f>
        <v>900</v>
      </c>
    </row>
    <row r="15" spans="1:22" x14ac:dyDescent="0.35">
      <c r="P15" s="5"/>
      <c r="Q15" s="5"/>
      <c r="R15" s="5"/>
      <c r="S15" s="5"/>
      <c r="T15" s="5"/>
      <c r="U15" s="5"/>
    </row>
    <row r="16" spans="1:22" x14ac:dyDescent="0.35">
      <c r="B16" t="s">
        <v>10</v>
      </c>
      <c r="F16" s="4">
        <v>4100</v>
      </c>
      <c r="G16" s="4">
        <v>4700</v>
      </c>
      <c r="H16" s="4">
        <v>6000</v>
      </c>
      <c r="J16" s="2">
        <v>520</v>
      </c>
      <c r="K16" s="2">
        <v>523</v>
      </c>
      <c r="L16" s="2">
        <v>520</v>
      </c>
      <c r="M16" s="2">
        <v>530</v>
      </c>
      <c r="N16" s="2">
        <v>520</v>
      </c>
      <c r="O16" s="19">
        <f>'Input Sheet'!F16</f>
        <v>520</v>
      </c>
      <c r="P16" s="97"/>
      <c r="Q16" s="97"/>
      <c r="R16" s="97"/>
      <c r="S16" s="97"/>
      <c r="T16" s="97"/>
      <c r="U16" s="97"/>
    </row>
    <row r="17" spans="2:21" x14ac:dyDescent="0.35">
      <c r="B17" t="s">
        <v>13</v>
      </c>
      <c r="F17" s="2">
        <f>F12-F16</f>
        <v>2552</v>
      </c>
      <c r="G17" s="2">
        <f>G12-G16</f>
        <v>3213.5</v>
      </c>
      <c r="H17" s="2">
        <f>H12-H16</f>
        <v>4296</v>
      </c>
      <c r="J17" s="2">
        <f t="shared" ref="J17:O17" si="2">J12-J16</f>
        <v>313</v>
      </c>
      <c r="K17" s="2">
        <f t="shared" si="2"/>
        <v>310</v>
      </c>
      <c r="L17" s="2">
        <f t="shared" si="2"/>
        <v>313</v>
      </c>
      <c r="M17" s="2">
        <f t="shared" si="2"/>
        <v>303</v>
      </c>
      <c r="N17" s="2">
        <f t="shared" si="2"/>
        <v>313</v>
      </c>
      <c r="O17" s="2">
        <f t="shared" si="2"/>
        <v>313</v>
      </c>
      <c r="P17" s="98"/>
      <c r="Q17" s="98"/>
      <c r="R17" s="98"/>
      <c r="S17" s="98"/>
      <c r="T17" s="98"/>
      <c r="U17" s="98"/>
    </row>
    <row r="18" spans="2:21" s="6" customFormat="1" x14ac:dyDescent="0.35">
      <c r="C18" s="6" t="s">
        <v>11</v>
      </c>
      <c r="F18" s="7">
        <f>F17/F12</f>
        <v>0.38364401683704147</v>
      </c>
      <c r="G18" s="7">
        <f>G17/G12</f>
        <v>0.40607822076198902</v>
      </c>
      <c r="H18" s="7">
        <f>H17/H12</f>
        <v>0.41724941724941728</v>
      </c>
      <c r="J18" s="7">
        <f t="shared" ref="J18:O18" si="3">(J17)/J12</f>
        <v>0.37575030012004801</v>
      </c>
      <c r="K18" s="7">
        <f t="shared" si="3"/>
        <v>0.37214885954381755</v>
      </c>
      <c r="L18" s="7">
        <f t="shared" si="3"/>
        <v>0.37575030012004801</v>
      </c>
      <c r="M18" s="7">
        <f t="shared" si="3"/>
        <v>0.3637454981992797</v>
      </c>
      <c r="N18" s="7">
        <f t="shared" si="3"/>
        <v>0.37575030012004801</v>
      </c>
      <c r="O18" s="7">
        <f t="shared" si="3"/>
        <v>0.37575030012004801</v>
      </c>
      <c r="P18" s="99"/>
      <c r="Q18" s="99"/>
      <c r="R18" s="99"/>
      <c r="S18" s="99"/>
      <c r="T18" s="99"/>
      <c r="U18" s="99"/>
    </row>
    <row r="19" spans="2:21" x14ac:dyDescent="0.35">
      <c r="P19" s="100"/>
      <c r="Q19" s="100"/>
      <c r="R19" s="100"/>
      <c r="S19" s="100"/>
      <c r="T19" s="100"/>
      <c r="U19" s="100"/>
    </row>
    <row r="20" spans="2:21" x14ac:dyDescent="0.35">
      <c r="B20" t="s">
        <v>12</v>
      </c>
      <c r="F20" s="4">
        <v>1000</v>
      </c>
      <c r="G20" s="4">
        <v>1100</v>
      </c>
      <c r="H20" s="4">
        <v>1200</v>
      </c>
      <c r="J20" s="9">
        <v>100</v>
      </c>
      <c r="K20" s="9">
        <v>100</v>
      </c>
      <c r="L20" s="9">
        <v>100</v>
      </c>
      <c r="M20" s="9">
        <v>100</v>
      </c>
      <c r="N20" s="9">
        <v>100</v>
      </c>
      <c r="O20" s="21">
        <f>'Input Sheet'!F18</f>
        <v>100</v>
      </c>
      <c r="P20" s="97"/>
      <c r="Q20" s="97"/>
      <c r="R20" s="97"/>
      <c r="S20" s="97"/>
      <c r="T20" s="97"/>
      <c r="U20" s="97"/>
    </row>
    <row r="21" spans="2:21" x14ac:dyDescent="0.35">
      <c r="C21" t="s">
        <v>147</v>
      </c>
      <c r="F21" s="4">
        <v>0</v>
      </c>
      <c r="G21" s="4">
        <v>0</v>
      </c>
      <c r="H21" s="4">
        <v>0</v>
      </c>
      <c r="J21" s="9">
        <v>0</v>
      </c>
      <c r="K21" s="9">
        <v>0</v>
      </c>
      <c r="L21" s="9">
        <v>10</v>
      </c>
      <c r="M21" s="9">
        <v>10</v>
      </c>
      <c r="N21" s="9">
        <v>20</v>
      </c>
      <c r="O21" s="21">
        <v>20</v>
      </c>
      <c r="P21" s="97"/>
      <c r="Q21" s="97"/>
      <c r="R21" s="97"/>
      <c r="S21" s="97"/>
      <c r="T21" s="97"/>
      <c r="U21" s="97"/>
    </row>
    <row r="22" spans="2:21" x14ac:dyDescent="0.35">
      <c r="B22" t="s">
        <v>146</v>
      </c>
      <c r="F22" s="2">
        <f>SUM(F20:F21)</f>
        <v>1000</v>
      </c>
      <c r="G22" s="2">
        <f t="shared" ref="G22:J22" si="4">SUM(G20:G21)</f>
        <v>1100</v>
      </c>
      <c r="H22" s="2">
        <f t="shared" si="4"/>
        <v>1200</v>
      </c>
      <c r="J22" s="2">
        <f t="shared" si="4"/>
        <v>100</v>
      </c>
      <c r="K22" s="2">
        <f t="shared" ref="K22" si="5">SUM(K20:K21)</f>
        <v>100</v>
      </c>
      <c r="L22" s="2">
        <f t="shared" ref="L22" si="6">SUM(L20:L21)</f>
        <v>110</v>
      </c>
      <c r="M22" s="2">
        <f t="shared" ref="M22" si="7">SUM(M20:M21)</f>
        <v>110</v>
      </c>
      <c r="N22" s="2">
        <f t="shared" ref="N22" si="8">SUM(N20:N21)</f>
        <v>120</v>
      </c>
      <c r="O22" s="2">
        <f t="shared" ref="O22" si="9">SUM(O20:O21)</f>
        <v>120</v>
      </c>
      <c r="P22" s="98"/>
      <c r="Q22" s="98"/>
      <c r="R22" s="98"/>
      <c r="S22" s="98"/>
      <c r="T22" s="98"/>
      <c r="U22" s="98"/>
    </row>
    <row r="23" spans="2:21" x14ac:dyDescent="0.35">
      <c r="F23" s="5"/>
      <c r="G23" s="5"/>
      <c r="H23" s="5"/>
      <c r="J23" s="10"/>
      <c r="K23" s="10"/>
      <c r="L23" s="10"/>
      <c r="M23" s="10"/>
      <c r="N23" s="10"/>
      <c r="O23" s="10"/>
      <c r="P23" s="101"/>
      <c r="Q23" s="101"/>
      <c r="R23" s="101"/>
      <c r="S23" s="101"/>
      <c r="T23" s="101"/>
      <c r="U23" s="101"/>
    </row>
    <row r="24" spans="2:21" x14ac:dyDescent="0.35">
      <c r="B24" t="s">
        <v>14</v>
      </c>
      <c r="F24" s="4">
        <f>800</f>
        <v>800</v>
      </c>
      <c r="G24" s="4">
        <v>900</v>
      </c>
      <c r="H24" s="4">
        <v>950</v>
      </c>
      <c r="J24" s="9">
        <v>75</v>
      </c>
      <c r="K24" s="9">
        <v>75</v>
      </c>
      <c r="L24" s="9">
        <v>75</v>
      </c>
      <c r="M24" s="9">
        <v>75</v>
      </c>
      <c r="N24" s="9">
        <v>75</v>
      </c>
      <c r="O24" s="21">
        <f>'Input Sheet'!F20</f>
        <v>75</v>
      </c>
      <c r="P24" s="97"/>
      <c r="Q24" s="97"/>
      <c r="R24" s="97"/>
      <c r="S24" s="97"/>
      <c r="T24" s="97"/>
      <c r="U24" s="97"/>
    </row>
    <row r="25" spans="2:21" x14ac:dyDescent="0.35">
      <c r="F25" s="5"/>
      <c r="G25" s="5"/>
      <c r="H25" s="5"/>
      <c r="J25" s="10"/>
      <c r="K25" s="10"/>
      <c r="L25" s="10"/>
      <c r="M25" s="10"/>
      <c r="N25" s="10"/>
      <c r="O25" s="10"/>
      <c r="P25" s="101"/>
      <c r="Q25" s="101"/>
      <c r="R25" s="101"/>
      <c r="S25" s="101"/>
      <c r="T25" s="101"/>
      <c r="U25" s="101"/>
    </row>
    <row r="26" spans="2:21" x14ac:dyDescent="0.35">
      <c r="B26" t="s">
        <v>15</v>
      </c>
      <c r="F26" s="4">
        <v>180</v>
      </c>
      <c r="G26" s="4">
        <v>200</v>
      </c>
      <c r="H26" s="4">
        <v>275</v>
      </c>
      <c r="J26" s="9">
        <v>62</v>
      </c>
      <c r="K26" s="9">
        <v>62</v>
      </c>
      <c r="L26" s="9">
        <v>62</v>
      </c>
      <c r="M26" s="9">
        <v>62</v>
      </c>
      <c r="N26" s="9">
        <v>62</v>
      </c>
      <c r="O26" s="21">
        <f>'Input Sheet'!F22</f>
        <v>62</v>
      </c>
      <c r="P26" s="97"/>
      <c r="Q26" s="97"/>
      <c r="R26" s="97"/>
      <c r="S26" s="97"/>
      <c r="T26" s="97"/>
      <c r="U26" s="97"/>
    </row>
    <row r="27" spans="2:21" x14ac:dyDescent="0.35">
      <c r="F27" s="4"/>
      <c r="G27" s="4"/>
      <c r="H27" s="4"/>
      <c r="J27" s="10"/>
      <c r="K27" s="10"/>
      <c r="L27" s="10"/>
      <c r="M27" s="10"/>
      <c r="N27" s="10"/>
      <c r="O27" s="10"/>
      <c r="P27" s="101"/>
      <c r="Q27" s="101"/>
      <c r="R27" s="101"/>
      <c r="S27" s="101"/>
      <c r="T27" s="101"/>
      <c r="U27" s="101"/>
    </row>
    <row r="28" spans="2:21" x14ac:dyDescent="0.35">
      <c r="B28" t="s">
        <v>17</v>
      </c>
      <c r="F28" s="4">
        <v>200</v>
      </c>
      <c r="G28" s="4">
        <v>250</v>
      </c>
      <c r="H28" s="4">
        <v>280</v>
      </c>
      <c r="J28" s="9">
        <v>25</v>
      </c>
      <c r="K28" s="9">
        <v>25</v>
      </c>
      <c r="L28" s="9">
        <v>25</v>
      </c>
      <c r="M28" s="9">
        <v>25</v>
      </c>
      <c r="N28" s="9">
        <v>25</v>
      </c>
      <c r="O28" s="21">
        <f>'Input Sheet'!F24</f>
        <v>25</v>
      </c>
      <c r="P28" s="97"/>
      <c r="Q28" s="97"/>
      <c r="R28" s="97"/>
      <c r="S28" s="97"/>
      <c r="T28" s="97"/>
      <c r="U28" s="97"/>
    </row>
    <row r="29" spans="2:21" x14ac:dyDescent="0.35">
      <c r="B29" t="s">
        <v>148</v>
      </c>
      <c r="F29" s="4">
        <v>0</v>
      </c>
      <c r="G29" s="4">
        <v>0</v>
      </c>
      <c r="H29" s="4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21">
        <f>'Input Sheet'!F25</f>
        <v>0</v>
      </c>
      <c r="P29" s="97"/>
      <c r="Q29" s="97"/>
      <c r="R29" s="97"/>
      <c r="S29" s="97"/>
      <c r="T29" s="97"/>
      <c r="U29" s="97"/>
    </row>
    <row r="30" spans="2:21" x14ac:dyDescent="0.35">
      <c r="F30" s="4"/>
      <c r="G30" s="4"/>
      <c r="H30" s="4"/>
      <c r="J30" s="9"/>
      <c r="K30" s="9"/>
      <c r="L30" s="9"/>
      <c r="M30" s="9"/>
      <c r="N30" s="9"/>
      <c r="O30" s="21"/>
      <c r="P30" s="97"/>
      <c r="Q30" s="97"/>
      <c r="R30" s="97"/>
      <c r="S30" s="97"/>
      <c r="T30" s="97"/>
      <c r="U30" s="97"/>
    </row>
    <row r="31" spans="2:21" x14ac:dyDescent="0.35">
      <c r="B31" t="s">
        <v>143</v>
      </c>
      <c r="F31" s="4">
        <v>0</v>
      </c>
      <c r="G31" s="4">
        <v>0</v>
      </c>
      <c r="H31" s="4">
        <v>10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7"/>
      <c r="Q31" s="97"/>
      <c r="R31" s="97"/>
      <c r="S31" s="97"/>
      <c r="T31" s="97"/>
      <c r="U31" s="97"/>
    </row>
    <row r="32" spans="2:21" x14ac:dyDescent="0.35">
      <c r="J32" s="2"/>
      <c r="K32" s="2"/>
      <c r="L32" s="2"/>
      <c r="M32" s="2"/>
      <c r="N32" s="2"/>
      <c r="O32" s="2"/>
      <c r="P32" s="98"/>
      <c r="Q32" s="98"/>
      <c r="R32" s="98"/>
      <c r="S32" s="98"/>
      <c r="T32" s="98"/>
      <c r="U32" s="98"/>
    </row>
    <row r="33" spans="1:21" x14ac:dyDescent="0.35">
      <c r="B33" t="s">
        <v>19</v>
      </c>
      <c r="F33" s="2">
        <f>F17-F22-F24-F26-F28-F29-F31</f>
        <v>372</v>
      </c>
      <c r="G33" s="2">
        <f t="shared" ref="G33:O33" si="10">G17-G22-G24-G26-G28-G29-G31</f>
        <v>763.5</v>
      </c>
      <c r="H33" s="2">
        <f t="shared" si="10"/>
        <v>1581</v>
      </c>
      <c r="J33" s="2">
        <f t="shared" si="10"/>
        <v>51</v>
      </c>
      <c r="K33" s="2">
        <f t="shared" si="10"/>
        <v>48</v>
      </c>
      <c r="L33" s="2">
        <f t="shared" si="10"/>
        <v>41</v>
      </c>
      <c r="M33" s="2">
        <f t="shared" si="10"/>
        <v>31</v>
      </c>
      <c r="N33" s="2">
        <f t="shared" si="10"/>
        <v>31</v>
      </c>
      <c r="O33" s="2">
        <f t="shared" si="10"/>
        <v>31</v>
      </c>
      <c r="P33" s="98"/>
      <c r="Q33" s="98"/>
      <c r="R33" s="98"/>
      <c r="S33" s="98"/>
      <c r="T33" s="98"/>
      <c r="U33" s="98"/>
    </row>
    <row r="34" spans="1:21" x14ac:dyDescent="0.35">
      <c r="P34" s="100"/>
      <c r="Q34" s="100"/>
      <c r="R34" s="100"/>
      <c r="S34" s="100"/>
      <c r="T34" s="100"/>
      <c r="U34" s="100"/>
    </row>
    <row r="35" spans="1:21" x14ac:dyDescent="0.35">
      <c r="B35" t="s">
        <v>16</v>
      </c>
      <c r="F35" s="9">
        <v>0</v>
      </c>
      <c r="G35" s="9">
        <v>50</v>
      </c>
      <c r="H35" s="9">
        <v>50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21">
        <f>'Input Sheet'!F29</f>
        <v>0</v>
      </c>
      <c r="P35" s="97"/>
      <c r="Q35" s="97"/>
      <c r="R35" s="97"/>
      <c r="S35" s="97"/>
      <c r="T35" s="97"/>
      <c r="U35" s="97"/>
    </row>
    <row r="36" spans="1:21" x14ac:dyDescent="0.35">
      <c r="P36" s="100"/>
      <c r="Q36" s="100"/>
      <c r="R36" s="100"/>
      <c r="S36" s="100"/>
      <c r="T36" s="100"/>
      <c r="U36" s="100"/>
    </row>
    <row r="37" spans="1:21" x14ac:dyDescent="0.35">
      <c r="B37" t="s">
        <v>18</v>
      </c>
      <c r="F37" s="81">
        <f>$B$38*F33</f>
        <v>93</v>
      </c>
      <c r="G37" s="81">
        <f t="shared" ref="G37:H37" si="11">$B$38*G33</f>
        <v>190.875</v>
      </c>
      <c r="H37" s="81">
        <f t="shared" si="11"/>
        <v>395.25</v>
      </c>
      <c r="J37" s="12">
        <f>J33*0.25</f>
        <v>12.75</v>
      </c>
      <c r="K37" s="12">
        <f t="shared" ref="K37:N37" si="12">K33*0.25</f>
        <v>12</v>
      </c>
      <c r="L37" s="12">
        <f t="shared" si="12"/>
        <v>10.25</v>
      </c>
      <c r="M37" s="12">
        <f t="shared" si="12"/>
        <v>7.75</v>
      </c>
      <c r="N37" s="12">
        <f t="shared" si="12"/>
        <v>7.75</v>
      </c>
      <c r="O37" s="25">
        <f>'Input Sheet'!F31</f>
        <v>12.75</v>
      </c>
      <c r="P37" s="102"/>
      <c r="Q37" s="102"/>
      <c r="R37" s="102"/>
      <c r="S37" s="102"/>
      <c r="T37" s="102"/>
      <c r="U37" s="102"/>
    </row>
    <row r="38" spans="1:21" x14ac:dyDescent="0.35">
      <c r="B38" s="80">
        <v>0.25</v>
      </c>
      <c r="C38" t="s">
        <v>126</v>
      </c>
      <c r="P38" s="100"/>
      <c r="Q38" s="100"/>
      <c r="R38" s="100"/>
      <c r="S38" s="100"/>
      <c r="T38" s="100"/>
      <c r="U38" s="100"/>
    </row>
    <row r="39" spans="1:21" x14ac:dyDescent="0.35">
      <c r="B39" t="s">
        <v>20</v>
      </c>
      <c r="F39" s="2">
        <f>F33-F35-F37</f>
        <v>279</v>
      </c>
      <c r="G39" s="2">
        <f t="shared" ref="G39:H39" si="13">G33-G35-G37</f>
        <v>522.625</v>
      </c>
      <c r="H39" s="2">
        <f t="shared" si="13"/>
        <v>1135.75</v>
      </c>
      <c r="J39" s="11">
        <f>J33-J35-J37</f>
        <v>38.25</v>
      </c>
      <c r="K39" s="11">
        <f t="shared" ref="K39:O39" si="14">K33-K35-K37</f>
        <v>36</v>
      </c>
      <c r="L39" s="11">
        <f t="shared" si="14"/>
        <v>30.75</v>
      </c>
      <c r="M39" s="11">
        <f t="shared" si="14"/>
        <v>23.25</v>
      </c>
      <c r="N39" s="11">
        <f t="shared" si="14"/>
        <v>23.25</v>
      </c>
      <c r="O39" s="11">
        <f t="shared" si="14"/>
        <v>18.25</v>
      </c>
      <c r="P39" s="103"/>
      <c r="Q39" s="103"/>
      <c r="R39" s="103"/>
      <c r="S39" s="103"/>
      <c r="T39" s="103"/>
      <c r="U39" s="103"/>
    </row>
    <row r="40" spans="1:21" s="6" customFormat="1" x14ac:dyDescent="0.35">
      <c r="C40" s="6" t="s">
        <v>21</v>
      </c>
      <c r="F40" s="7">
        <f>F39/F12</f>
        <v>4.194227300060132E-2</v>
      </c>
      <c r="G40" s="7">
        <f>G39/G12</f>
        <v>6.6042206356226707E-2</v>
      </c>
      <c r="H40" s="7">
        <f>H39/H12</f>
        <v>0.11030982905982906</v>
      </c>
      <c r="J40" s="7">
        <f t="shared" ref="J40:O40" si="15">J39/J12</f>
        <v>4.5918367346938778E-2</v>
      </c>
      <c r="K40" s="7">
        <f t="shared" si="15"/>
        <v>4.3217286914765909E-2</v>
      </c>
      <c r="L40" s="7">
        <f t="shared" si="15"/>
        <v>3.6914765906362543E-2</v>
      </c>
      <c r="M40" s="7">
        <f t="shared" si="15"/>
        <v>2.7911164465786314E-2</v>
      </c>
      <c r="N40" s="7">
        <f t="shared" si="15"/>
        <v>2.7911164465786314E-2</v>
      </c>
      <c r="O40" s="7">
        <f t="shared" si="15"/>
        <v>2.1908763505402162E-2</v>
      </c>
      <c r="P40" s="99"/>
      <c r="Q40" s="99"/>
      <c r="R40" s="99"/>
      <c r="S40" s="99"/>
      <c r="T40" s="99"/>
      <c r="U40" s="99"/>
    </row>
    <row r="43" spans="1:21" x14ac:dyDescent="0.35">
      <c r="A43" s="17" t="s">
        <v>22</v>
      </c>
    </row>
    <row r="44" spans="1:21" ht="15" thickBot="1" x14ac:dyDescent="0.4">
      <c r="C44" s="17" t="s">
        <v>27</v>
      </c>
    </row>
    <row r="45" spans="1:21" s="16" customFormat="1" x14ac:dyDescent="0.35">
      <c r="B45" s="104" t="s">
        <v>26</v>
      </c>
      <c r="I45" s="83" t="s">
        <v>135</v>
      </c>
      <c r="P45" s="105"/>
      <c r="Q45" s="105"/>
      <c r="R45" s="105"/>
      <c r="S45" s="105"/>
      <c r="T45" s="105"/>
      <c r="U45" s="105"/>
    </row>
    <row r="46" spans="1:21" s="16" customFormat="1" x14ac:dyDescent="0.35">
      <c r="C46" s="16" t="s">
        <v>24</v>
      </c>
      <c r="F46" s="16">
        <v>200</v>
      </c>
      <c r="G46" s="16">
        <f>F50</f>
        <v>-30</v>
      </c>
      <c r="H46" s="16">
        <f>G50</f>
        <v>-151</v>
      </c>
      <c r="I46" s="84" t="s">
        <v>136</v>
      </c>
      <c r="J46" s="16">
        <f>E50</f>
        <v>-85</v>
      </c>
      <c r="K46" s="16">
        <f>J50</f>
        <v>-100</v>
      </c>
      <c r="L46" s="16">
        <f t="shared" ref="L46:O46" si="16">K50</f>
        <v>-95</v>
      </c>
      <c r="M46" s="16">
        <f t="shared" si="16"/>
        <v>15</v>
      </c>
      <c r="N46" s="16">
        <f t="shared" si="16"/>
        <v>10</v>
      </c>
      <c r="O46" s="16">
        <f t="shared" si="16"/>
        <v>-25</v>
      </c>
      <c r="P46" s="105"/>
      <c r="Q46" s="105"/>
      <c r="R46" s="105"/>
      <c r="S46" s="105"/>
      <c r="T46" s="105"/>
      <c r="U46" s="105"/>
    </row>
    <row r="47" spans="1:21" s="16" customFormat="1" x14ac:dyDescent="0.35">
      <c r="C47" s="16" t="s">
        <v>29</v>
      </c>
      <c r="F47" s="10">
        <v>200</v>
      </c>
      <c r="G47" s="10">
        <v>359</v>
      </c>
      <c r="H47" s="10">
        <v>550</v>
      </c>
      <c r="I47" s="84" t="s">
        <v>137</v>
      </c>
      <c r="J47" s="10">
        <v>10</v>
      </c>
      <c r="K47" s="10">
        <v>100</v>
      </c>
      <c r="L47" s="10">
        <v>200</v>
      </c>
      <c r="M47" s="10">
        <v>100</v>
      </c>
      <c r="N47" s="10">
        <v>100</v>
      </c>
      <c r="O47" s="10">
        <v>200</v>
      </c>
      <c r="P47" s="105"/>
      <c r="Q47" s="105"/>
      <c r="R47" s="105"/>
      <c r="S47" s="105"/>
      <c r="T47" s="105"/>
      <c r="U47" s="105"/>
    </row>
    <row r="48" spans="1:21" s="16" customFormat="1" x14ac:dyDescent="0.35">
      <c r="C48" s="16" t="s">
        <v>30</v>
      </c>
      <c r="F48" s="10">
        <v>420</v>
      </c>
      <c r="G48" s="10">
        <v>470</v>
      </c>
      <c r="H48" s="10">
        <v>535</v>
      </c>
      <c r="I48" s="84" t="s">
        <v>139</v>
      </c>
      <c r="J48" s="10">
        <v>15</v>
      </c>
      <c r="K48" s="10">
        <v>80</v>
      </c>
      <c r="L48" s="10">
        <v>5</v>
      </c>
      <c r="M48" s="10">
        <v>20</v>
      </c>
      <c r="N48" s="10">
        <v>50</v>
      </c>
      <c r="O48" s="10">
        <v>10</v>
      </c>
      <c r="P48" s="105"/>
      <c r="Q48" s="105"/>
      <c r="R48" s="105"/>
      <c r="S48" s="105"/>
      <c r="T48" s="105"/>
      <c r="U48" s="105"/>
    </row>
    <row r="49" spans="1:22" s="16" customFormat="1" x14ac:dyDescent="0.35">
      <c r="C49" s="16" t="s">
        <v>31</v>
      </c>
      <c r="E49" s="10">
        <v>85</v>
      </c>
      <c r="F49" s="10">
        <v>10</v>
      </c>
      <c r="G49" s="10">
        <v>10</v>
      </c>
      <c r="H49" s="10">
        <v>10</v>
      </c>
      <c r="I49" s="85" t="s">
        <v>138</v>
      </c>
      <c r="J49" s="10">
        <v>10</v>
      </c>
      <c r="K49" s="10">
        <v>15</v>
      </c>
      <c r="L49" s="10">
        <v>85</v>
      </c>
      <c r="M49" s="10">
        <v>85</v>
      </c>
      <c r="N49" s="10">
        <v>85</v>
      </c>
      <c r="O49" s="10">
        <v>85</v>
      </c>
      <c r="P49" s="105"/>
      <c r="Q49" s="105"/>
      <c r="R49" s="105"/>
      <c r="S49" s="105"/>
      <c r="T49" s="105"/>
      <c r="U49" s="105"/>
    </row>
    <row r="50" spans="1:22" s="16" customFormat="1" ht="15" thickBot="1" x14ac:dyDescent="0.4">
      <c r="C50" s="104" t="s">
        <v>25</v>
      </c>
      <c r="E50" s="16">
        <f>-85</f>
        <v>-85</v>
      </c>
      <c r="F50" s="106">
        <f>(F46+F47-F48-F49)</f>
        <v>-30</v>
      </c>
      <c r="G50" s="106">
        <f t="shared" ref="G50:H50" si="17">(G46+G47-G48-G49)</f>
        <v>-151</v>
      </c>
      <c r="H50" s="106">
        <f t="shared" si="17"/>
        <v>-146</v>
      </c>
      <c r="I50" s="86"/>
      <c r="J50" s="106">
        <f>(J46+J47-J48-J49)</f>
        <v>-100</v>
      </c>
      <c r="K50" s="106">
        <f t="shared" ref="K50:O50" si="18">(K46+K47-K48-K49)</f>
        <v>-95</v>
      </c>
      <c r="L50" s="106">
        <f t="shared" si="18"/>
        <v>15</v>
      </c>
      <c r="M50" s="106">
        <f t="shared" si="18"/>
        <v>10</v>
      </c>
      <c r="N50" s="106">
        <f t="shared" si="18"/>
        <v>-25</v>
      </c>
      <c r="O50" s="106">
        <f t="shared" si="18"/>
        <v>80</v>
      </c>
      <c r="P50" s="105"/>
      <c r="Q50" s="105"/>
      <c r="R50" s="105"/>
      <c r="S50" s="105"/>
      <c r="T50" s="105"/>
      <c r="U50" s="105"/>
    </row>
    <row r="51" spans="1:22" s="16" customFormat="1" x14ac:dyDescent="0.35"/>
    <row r="52" spans="1:22" s="16" customFormat="1" ht="16.5" customHeight="1" x14ac:dyDescent="0.35"/>
    <row r="53" spans="1:22" s="16" customFormat="1" x14ac:dyDescent="0.35">
      <c r="A53" s="78" t="s">
        <v>120</v>
      </c>
      <c r="J53" s="10"/>
    </row>
    <row r="54" spans="1:22" s="16" customFormat="1" x14ac:dyDescent="0.35">
      <c r="A54" s="78"/>
      <c r="B54" s="78" t="s">
        <v>134</v>
      </c>
      <c r="J54" s="10"/>
    </row>
    <row r="55" spans="1:22" s="16" customFormat="1" x14ac:dyDescent="0.35">
      <c r="B55" s="16" t="s">
        <v>35</v>
      </c>
      <c r="F55" s="4">
        <v>800</v>
      </c>
      <c r="G55" s="4">
        <v>850</v>
      </c>
      <c r="H55" s="4">
        <v>1105</v>
      </c>
      <c r="J55" s="4">
        <v>1000</v>
      </c>
      <c r="K55" s="4">
        <v>1105</v>
      </c>
      <c r="L55" s="4">
        <v>800</v>
      </c>
      <c r="M55" s="4">
        <v>925</v>
      </c>
      <c r="N55" s="4">
        <v>1000</v>
      </c>
      <c r="O55" s="4">
        <v>1000</v>
      </c>
      <c r="P55" s="100"/>
      <c r="Q55" s="100"/>
      <c r="R55" s="100"/>
      <c r="S55" s="100"/>
      <c r="T55" s="100"/>
      <c r="U55" s="100"/>
      <c r="V55" s="100"/>
    </row>
    <row r="56" spans="1:22" s="16" customFormat="1" x14ac:dyDescent="0.35">
      <c r="B56" s="16" t="s">
        <v>28</v>
      </c>
      <c r="F56" s="4">
        <v>250</v>
      </c>
      <c r="G56" s="4">
        <v>300</v>
      </c>
      <c r="H56" s="4">
        <v>400</v>
      </c>
      <c r="J56" s="4">
        <v>400</v>
      </c>
      <c r="K56" s="4">
        <v>400</v>
      </c>
      <c r="L56" s="4">
        <v>400</v>
      </c>
      <c r="M56" s="4">
        <v>400</v>
      </c>
      <c r="N56" s="4">
        <v>400</v>
      </c>
      <c r="O56" s="4">
        <v>400</v>
      </c>
      <c r="P56" s="101"/>
      <c r="Q56" s="101"/>
      <c r="R56" s="101"/>
      <c r="S56" s="101"/>
      <c r="T56" s="101"/>
      <c r="U56" s="101"/>
      <c r="V56" s="101"/>
    </row>
    <row r="57" spans="1:22" s="16" customFormat="1" x14ac:dyDescent="0.35">
      <c r="B57" s="16" t="s">
        <v>23</v>
      </c>
      <c r="D57" s="82">
        <v>5</v>
      </c>
      <c r="E57" s="16" t="s">
        <v>129</v>
      </c>
      <c r="F57" s="81">
        <f>IF(F50&gt;0,F50*$D$57,0)</f>
        <v>0</v>
      </c>
      <c r="G57" s="81">
        <f>IF(G50&gt;0,G50*$D$57,0)</f>
        <v>0</v>
      </c>
      <c r="H57" s="81">
        <f>IF(H50&gt;0,H50*$D$57,0)</f>
        <v>0</v>
      </c>
      <c r="J57" s="81">
        <f t="shared" ref="J57:O57" si="19">IF(J50&gt;0,J50*$D$57,0)</f>
        <v>0</v>
      </c>
      <c r="K57" s="81">
        <f t="shared" si="19"/>
        <v>0</v>
      </c>
      <c r="L57" s="81">
        <f t="shared" si="19"/>
        <v>75</v>
      </c>
      <c r="M57" s="81">
        <f t="shared" si="19"/>
        <v>50</v>
      </c>
      <c r="N57" s="81">
        <f t="shared" si="19"/>
        <v>0</v>
      </c>
      <c r="O57" s="81">
        <f t="shared" si="19"/>
        <v>400</v>
      </c>
      <c r="P57" s="101"/>
      <c r="Q57" s="101"/>
      <c r="R57" s="101"/>
      <c r="S57" s="101"/>
      <c r="T57" s="101"/>
      <c r="U57" s="101"/>
      <c r="V57" s="101"/>
    </row>
    <row r="58" spans="1:22" s="16" customFormat="1" x14ac:dyDescent="0.35">
      <c r="B58" s="16" t="s">
        <v>128</v>
      </c>
      <c r="F58" s="4">
        <v>0</v>
      </c>
      <c r="G58" s="4">
        <v>0</v>
      </c>
      <c r="H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101"/>
      <c r="Q58" s="101"/>
      <c r="R58" s="101"/>
      <c r="S58" s="101"/>
      <c r="T58" s="101"/>
      <c r="U58" s="101"/>
      <c r="V58" s="101"/>
    </row>
    <row r="59" spans="1:22" s="16" customFormat="1" x14ac:dyDescent="0.35">
      <c r="B59" s="16" t="s">
        <v>127</v>
      </c>
      <c r="F59" s="81">
        <f t="shared" ref="F59:G59" si="20">SUM(F55:F58)</f>
        <v>1050</v>
      </c>
      <c r="G59" s="81">
        <f t="shared" si="20"/>
        <v>1150</v>
      </c>
      <c r="H59" s="81">
        <f>SUM(H55:H58)</f>
        <v>1505</v>
      </c>
      <c r="J59" s="81">
        <f>SUM(J55:J58)</f>
        <v>1400</v>
      </c>
      <c r="K59" s="81">
        <f t="shared" ref="K59:O59" si="21">SUM(K55:K58)</f>
        <v>1505</v>
      </c>
      <c r="L59" s="81">
        <f t="shared" si="21"/>
        <v>1275</v>
      </c>
      <c r="M59" s="81">
        <f t="shared" si="21"/>
        <v>1375</v>
      </c>
      <c r="N59" s="81">
        <f t="shared" si="21"/>
        <v>1400</v>
      </c>
      <c r="O59" s="81">
        <f t="shared" si="21"/>
        <v>1800</v>
      </c>
      <c r="P59" s="101"/>
      <c r="Q59" s="101"/>
      <c r="R59" s="101"/>
      <c r="S59" s="101"/>
      <c r="T59" s="101"/>
      <c r="U59" s="101"/>
      <c r="V59" s="101"/>
    </row>
    <row r="60" spans="1:22" s="16" customFormat="1" x14ac:dyDescent="0.35">
      <c r="F60" s="4"/>
      <c r="J60" s="4"/>
      <c r="K60" s="4"/>
      <c r="L60" s="4"/>
      <c r="M60" s="4"/>
      <c r="N60" s="4"/>
      <c r="O60" s="4"/>
      <c r="P60" s="101"/>
      <c r="Q60" s="101"/>
      <c r="R60" s="101"/>
      <c r="S60" s="101"/>
      <c r="T60" s="101"/>
      <c r="U60" s="101"/>
      <c r="V60" s="101"/>
    </row>
    <row r="61" spans="1:22" s="16" customFormat="1" x14ac:dyDescent="0.35">
      <c r="B61" s="16" t="s">
        <v>131</v>
      </c>
      <c r="F61" s="4">
        <v>200</v>
      </c>
      <c r="G61" s="4">
        <v>200</v>
      </c>
      <c r="H61" s="4">
        <v>240</v>
      </c>
      <c r="J61" s="4">
        <v>300</v>
      </c>
      <c r="K61" s="4">
        <v>240</v>
      </c>
      <c r="L61" s="4">
        <v>250</v>
      </c>
      <c r="M61" s="4">
        <v>242</v>
      </c>
      <c r="N61" s="4">
        <v>240</v>
      </c>
      <c r="O61" s="4">
        <v>235</v>
      </c>
      <c r="P61" s="101"/>
      <c r="Q61" s="101"/>
      <c r="R61" s="101"/>
      <c r="S61" s="101"/>
      <c r="T61" s="101"/>
      <c r="U61" s="101"/>
      <c r="V61" s="101"/>
    </row>
    <row r="62" spans="1:22" s="16" customFormat="1" x14ac:dyDescent="0.35">
      <c r="B62" s="16" t="s">
        <v>130</v>
      </c>
      <c r="F62" s="4">
        <f>F59+F61</f>
        <v>1250</v>
      </c>
      <c r="G62" s="81">
        <f>G59+G61</f>
        <v>1350</v>
      </c>
      <c r="H62" s="81">
        <f>H59+H61</f>
        <v>1745</v>
      </c>
      <c r="J62" s="81">
        <f>J59+J61</f>
        <v>1700</v>
      </c>
      <c r="K62" s="81">
        <f t="shared" ref="K62:O62" si="22">K59+K61</f>
        <v>1745</v>
      </c>
      <c r="L62" s="81">
        <f t="shared" si="22"/>
        <v>1525</v>
      </c>
      <c r="M62" s="81">
        <f t="shared" si="22"/>
        <v>1617</v>
      </c>
      <c r="N62" s="81">
        <f t="shared" si="22"/>
        <v>1640</v>
      </c>
      <c r="O62" s="81">
        <f t="shared" si="22"/>
        <v>2035</v>
      </c>
      <c r="P62" s="101"/>
      <c r="Q62" s="101"/>
      <c r="R62" s="101"/>
      <c r="S62" s="101"/>
      <c r="T62" s="101"/>
      <c r="U62" s="101"/>
      <c r="V62" s="101"/>
    </row>
    <row r="63" spans="1:22" s="16" customFormat="1" x14ac:dyDescent="0.35">
      <c r="J63" s="4"/>
      <c r="K63" s="4"/>
      <c r="L63" s="4"/>
      <c r="M63" s="4"/>
      <c r="N63" s="4"/>
      <c r="O63" s="4"/>
      <c r="P63" s="101"/>
      <c r="Q63" s="101"/>
      <c r="R63" s="101"/>
      <c r="S63" s="101"/>
      <c r="T63" s="101"/>
      <c r="U63" s="101"/>
      <c r="V63" s="101"/>
    </row>
    <row r="64" spans="1:22" s="16" customFormat="1" x14ac:dyDescent="0.35">
      <c r="B64" s="78" t="s">
        <v>133</v>
      </c>
      <c r="J64" s="4"/>
      <c r="K64" s="4"/>
      <c r="L64" s="4"/>
      <c r="M64" s="4"/>
      <c r="N64" s="4"/>
      <c r="O64" s="4"/>
      <c r="P64" s="101"/>
      <c r="Q64" s="101"/>
      <c r="R64" s="101"/>
      <c r="S64" s="101"/>
      <c r="T64" s="101"/>
      <c r="U64" s="101"/>
      <c r="V64" s="101"/>
    </row>
    <row r="65" spans="2:22" s="16" customFormat="1" x14ac:dyDescent="0.35">
      <c r="B65" s="16" t="s">
        <v>121</v>
      </c>
      <c r="F65" s="4">
        <v>0</v>
      </c>
      <c r="G65" s="4">
        <v>0</v>
      </c>
      <c r="H65" s="4">
        <v>50</v>
      </c>
      <c r="J65" s="4">
        <v>50</v>
      </c>
      <c r="K65" s="4">
        <v>50</v>
      </c>
      <c r="L65" s="4">
        <v>0</v>
      </c>
      <c r="M65" s="4">
        <v>0</v>
      </c>
      <c r="N65" s="4">
        <v>0</v>
      </c>
      <c r="O65" s="4">
        <v>0</v>
      </c>
      <c r="P65" s="100"/>
      <c r="Q65" s="100"/>
      <c r="R65" s="100"/>
      <c r="S65" s="100"/>
      <c r="T65" s="100"/>
      <c r="U65" s="100"/>
      <c r="V65" s="100"/>
    </row>
    <row r="66" spans="2:22" s="16" customFormat="1" x14ac:dyDescent="0.35">
      <c r="B66" s="16" t="s">
        <v>114</v>
      </c>
      <c r="F66" s="4">
        <v>75</v>
      </c>
      <c r="G66" s="4">
        <v>95</v>
      </c>
      <c r="H66" s="4">
        <v>130</v>
      </c>
      <c r="J66" s="4">
        <v>110</v>
      </c>
      <c r="K66" s="4">
        <v>130</v>
      </c>
      <c r="L66" s="4">
        <v>130</v>
      </c>
      <c r="M66" s="4">
        <v>130</v>
      </c>
      <c r="N66" s="4">
        <v>130</v>
      </c>
      <c r="O66" s="4">
        <v>130</v>
      </c>
      <c r="P66" s="100"/>
      <c r="Q66" s="100"/>
      <c r="R66" s="100"/>
      <c r="S66" s="100"/>
      <c r="T66" s="100"/>
      <c r="U66" s="100"/>
      <c r="V66" s="100"/>
    </row>
    <row r="67" spans="2:22" s="16" customFormat="1" x14ac:dyDescent="0.35">
      <c r="B67" s="16" t="s">
        <v>132</v>
      </c>
      <c r="F67" s="4">
        <v>0</v>
      </c>
      <c r="G67" s="4">
        <v>25</v>
      </c>
      <c r="H67" s="4">
        <v>32</v>
      </c>
      <c r="J67" s="4">
        <v>20</v>
      </c>
      <c r="K67" s="4">
        <v>32</v>
      </c>
      <c r="L67" s="4">
        <v>33</v>
      </c>
      <c r="M67" s="4">
        <v>36</v>
      </c>
      <c r="N67" s="4">
        <v>20</v>
      </c>
      <c r="O67" s="4">
        <v>32</v>
      </c>
      <c r="P67" s="100"/>
      <c r="Q67" s="100"/>
      <c r="R67" s="100"/>
      <c r="S67" s="100"/>
      <c r="T67" s="100"/>
      <c r="U67" s="100"/>
      <c r="V67" s="100"/>
    </row>
    <row r="68" spans="2:22" s="16" customFormat="1" x14ac:dyDescent="0.35">
      <c r="B68" s="16" t="s">
        <v>141</v>
      </c>
      <c r="F68" s="87">
        <f>SUM(F65:F67)</f>
        <v>75</v>
      </c>
      <c r="G68" s="87">
        <f t="shared" ref="G68:K68" si="23">SUM(G65:G67)</f>
        <v>120</v>
      </c>
      <c r="H68" s="87">
        <f t="shared" si="23"/>
        <v>212</v>
      </c>
      <c r="J68" s="87">
        <f t="shared" si="23"/>
        <v>180</v>
      </c>
      <c r="K68" s="87">
        <f t="shared" si="23"/>
        <v>212</v>
      </c>
      <c r="L68" s="87">
        <f t="shared" ref="L68" si="24">SUM(L65:L67)</f>
        <v>163</v>
      </c>
      <c r="M68" s="87">
        <f t="shared" ref="M68" si="25">SUM(M65:M67)</f>
        <v>166</v>
      </c>
      <c r="N68" s="87">
        <f t="shared" ref="N68" si="26">SUM(N65:N67)</f>
        <v>150</v>
      </c>
      <c r="O68" s="87">
        <f t="shared" ref="O68" si="27">SUM(O65:O67)</f>
        <v>162</v>
      </c>
      <c r="P68" s="100"/>
      <c r="Q68" s="100"/>
      <c r="R68" s="100"/>
      <c r="S68" s="100"/>
      <c r="T68" s="100"/>
      <c r="U68" s="100"/>
      <c r="V68" s="100"/>
    </row>
    <row r="69" spans="2:22" x14ac:dyDescent="0.35">
      <c r="P69" s="100"/>
      <c r="Q69" s="100"/>
      <c r="R69" s="100"/>
      <c r="S69" s="100"/>
      <c r="T69" s="100"/>
      <c r="U69" s="100"/>
      <c r="V69" s="100"/>
    </row>
    <row r="70" spans="2:22" x14ac:dyDescent="0.35">
      <c r="B70" s="16" t="s">
        <v>122</v>
      </c>
      <c r="F70" s="4">
        <v>0</v>
      </c>
      <c r="G70" s="4">
        <v>500</v>
      </c>
      <c r="H70" s="4">
        <v>450</v>
      </c>
      <c r="J70" s="4">
        <v>0</v>
      </c>
      <c r="K70" s="4">
        <v>450</v>
      </c>
      <c r="L70" s="4">
        <v>450</v>
      </c>
      <c r="M70" s="4">
        <v>450</v>
      </c>
      <c r="N70" s="4">
        <v>450</v>
      </c>
      <c r="O70" s="4">
        <v>450</v>
      </c>
      <c r="P70" s="100"/>
      <c r="Q70" s="100"/>
      <c r="R70" s="100"/>
      <c r="S70" s="100"/>
      <c r="T70" s="100"/>
      <c r="U70" s="100"/>
      <c r="V70" s="100"/>
    </row>
    <row r="71" spans="2:22" x14ac:dyDescent="0.35">
      <c r="B71" s="16" t="s">
        <v>140</v>
      </c>
      <c r="F71" s="2">
        <f>F70+F68</f>
        <v>75</v>
      </c>
      <c r="G71" s="2">
        <f t="shared" ref="G71:K71" si="28">G70+G68</f>
        <v>620</v>
      </c>
      <c r="H71" s="2">
        <f t="shared" si="28"/>
        <v>662</v>
      </c>
      <c r="J71" s="2">
        <f t="shared" si="28"/>
        <v>180</v>
      </c>
      <c r="K71" s="2">
        <f t="shared" si="28"/>
        <v>662</v>
      </c>
      <c r="L71" s="2">
        <f t="shared" ref="L71" si="29">L70+L68</f>
        <v>613</v>
      </c>
      <c r="M71" s="2">
        <f t="shared" ref="M71" si="30">M70+M68</f>
        <v>616</v>
      </c>
      <c r="N71" s="2">
        <f t="shared" ref="N71" si="31">N70+N68</f>
        <v>600</v>
      </c>
      <c r="O71" s="2">
        <f t="shared" ref="O71" si="32">O70+O68</f>
        <v>612</v>
      </c>
      <c r="P71" s="100"/>
      <c r="Q71" s="100"/>
      <c r="R71" s="100"/>
      <c r="S71" s="100"/>
      <c r="T71" s="100"/>
      <c r="U71" s="100"/>
      <c r="V71" s="100"/>
    </row>
    <row r="72" spans="2:22" x14ac:dyDescent="0.35">
      <c r="B72" s="16" t="s">
        <v>142</v>
      </c>
      <c r="F72" s="2">
        <f>F62-F71</f>
        <v>1175</v>
      </c>
      <c r="G72" s="2">
        <f t="shared" ref="G72:K72" si="33">G62-G71</f>
        <v>730</v>
      </c>
      <c r="H72" s="2">
        <f t="shared" si="33"/>
        <v>1083</v>
      </c>
      <c r="J72" s="2">
        <f t="shared" si="33"/>
        <v>1520</v>
      </c>
      <c r="K72" s="2">
        <f t="shared" si="33"/>
        <v>1083</v>
      </c>
      <c r="L72" s="2">
        <f t="shared" ref="L72" si="34">L62-L71</f>
        <v>912</v>
      </c>
      <c r="M72" s="2">
        <f t="shared" ref="M72" si="35">M62-M71</f>
        <v>1001</v>
      </c>
      <c r="N72" s="2">
        <f t="shared" ref="N72" si="36">N62-N71</f>
        <v>1040</v>
      </c>
      <c r="O72" s="2">
        <f t="shared" ref="O72" si="37">O62-O71</f>
        <v>1423</v>
      </c>
    </row>
    <row r="73" spans="2:22" x14ac:dyDescent="0.35"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2:22" s="26" customFormat="1" ht="15.5" x14ac:dyDescent="0.35">
      <c r="C74" s="27" t="s">
        <v>55</v>
      </c>
    </row>
    <row r="75" spans="2:22" s="26" customFormat="1" ht="15.5" x14ac:dyDescent="0.35">
      <c r="C75" s="26" t="s">
        <v>56</v>
      </c>
      <c r="F75" s="88">
        <f>F59/F68</f>
        <v>14</v>
      </c>
      <c r="G75" s="88">
        <f t="shared" ref="G75:H75" si="38">G59/G68</f>
        <v>9.5833333333333339</v>
      </c>
      <c r="H75" s="88">
        <f t="shared" si="38"/>
        <v>7.0990566037735849</v>
      </c>
      <c r="O75" s="88">
        <f t="shared" ref="O75" si="39">O59/O68</f>
        <v>11.111111111111111</v>
      </c>
    </row>
    <row r="76" spans="2:22" s="26" customFormat="1" ht="15.5" x14ac:dyDescent="0.35">
      <c r="C76" s="95" t="s">
        <v>57</v>
      </c>
      <c r="D76" s="95"/>
      <c r="E76" s="95"/>
      <c r="F76" s="107">
        <f>F39+F31</f>
        <v>279</v>
      </c>
      <c r="G76" s="107">
        <f t="shared" ref="G76:H76" si="40">G39+G31</f>
        <v>522.625</v>
      </c>
      <c r="H76" s="107">
        <f t="shared" si="40"/>
        <v>1145.75</v>
      </c>
    </row>
    <row r="77" spans="2:22" s="26" customFormat="1" ht="15.5" x14ac:dyDescent="0.35">
      <c r="C77" s="26" t="s">
        <v>58</v>
      </c>
      <c r="F77" s="88">
        <f>F61+F59-F68</f>
        <v>1175</v>
      </c>
      <c r="G77" s="88">
        <f t="shared" ref="G77:H77" si="41">G61+G59-G68</f>
        <v>1230</v>
      </c>
      <c r="H77" s="88">
        <f t="shared" si="41"/>
        <v>1533</v>
      </c>
    </row>
    <row r="78" spans="2:22" s="26" customFormat="1" ht="15.5" x14ac:dyDescent="0.35">
      <c r="C78" s="56" t="s">
        <v>59</v>
      </c>
      <c r="D78" s="56"/>
      <c r="E78" s="56"/>
      <c r="F78" s="90">
        <f>(F65+F70)/F72</f>
        <v>0</v>
      </c>
      <c r="G78" s="90">
        <f t="shared" ref="G78:H78" si="42">(G65+G70)/G72</f>
        <v>0.68493150684931503</v>
      </c>
      <c r="H78" s="90">
        <f t="shared" si="42"/>
        <v>0.46168051708217911</v>
      </c>
      <c r="K78" s="90"/>
      <c r="O78" s="90">
        <f t="shared" ref="O78" si="43">(O65+O70)/O72</f>
        <v>0.31623330990864373</v>
      </c>
    </row>
    <row r="79" spans="2:22" s="26" customFormat="1" ht="15.5" x14ac:dyDescent="0.35"/>
    <row r="80" spans="2:22" s="26" customFormat="1" ht="15.5" x14ac:dyDescent="0.35">
      <c r="C80" s="39" t="s">
        <v>60</v>
      </c>
      <c r="F80" s="89">
        <f>(F55+F56)/F68</f>
        <v>14</v>
      </c>
      <c r="G80" s="89">
        <f t="shared" ref="G80:H80" si="44">(G55+G56)/G68</f>
        <v>9.5833333333333339</v>
      </c>
      <c r="H80" s="89">
        <f t="shared" si="44"/>
        <v>7.0990566037735849</v>
      </c>
      <c r="O80" s="89">
        <f t="shared" ref="O80" si="45">(O55+O56)/O68</f>
        <v>8.6419753086419746</v>
      </c>
    </row>
    <row r="83" spans="2:9" ht="15.5" x14ac:dyDescent="0.35">
      <c r="C83" s="27" t="s">
        <v>55</v>
      </c>
      <c r="F83" s="93" t="s">
        <v>73</v>
      </c>
      <c r="G83" s="93" t="s">
        <v>74</v>
      </c>
      <c r="H83" s="93" t="s">
        <v>75</v>
      </c>
      <c r="I83" s="94" t="s">
        <v>76</v>
      </c>
    </row>
    <row r="84" spans="2:9" ht="15.5" x14ac:dyDescent="0.35">
      <c r="C84" s="26" t="s">
        <v>77</v>
      </c>
      <c r="F84" s="26"/>
      <c r="G84" s="26"/>
      <c r="H84" s="26"/>
      <c r="I84" s="38"/>
    </row>
    <row r="85" spans="2:9" ht="15.5" x14ac:dyDescent="0.35">
      <c r="C85" s="26" t="s">
        <v>78</v>
      </c>
      <c r="F85" s="52">
        <f>SUM(F6:F10)/F12</f>
        <v>0.48887552615754659</v>
      </c>
      <c r="G85" s="52">
        <f>SUM(G6:G10)/G12</f>
        <v>0.4717887154861945</v>
      </c>
      <c r="H85" s="52">
        <f>SUM(H6:H10)/H12</f>
        <v>0.48717948717948717</v>
      </c>
      <c r="I85" s="91" t="e">
        <f>SUM(I6:I10)/I12</f>
        <v>#DIV/0!</v>
      </c>
    </row>
    <row r="86" spans="2:9" ht="15.5" x14ac:dyDescent="0.35">
      <c r="C86" s="26"/>
      <c r="F86" s="52"/>
      <c r="G86" s="52"/>
      <c r="H86" s="52"/>
      <c r="I86" s="38"/>
    </row>
    <row r="87" spans="2:9" ht="15.5" x14ac:dyDescent="0.35">
      <c r="C87" s="26"/>
      <c r="F87" s="28"/>
      <c r="G87" s="28"/>
      <c r="H87" s="28"/>
      <c r="I87" s="92"/>
    </row>
    <row r="88" spans="2:9" ht="15.5" x14ac:dyDescent="0.35">
      <c r="C88" s="26" t="s">
        <v>79</v>
      </c>
      <c r="F88" s="53">
        <f>F18</f>
        <v>0.38364401683704147</v>
      </c>
      <c r="G88" s="53">
        <f t="shared" ref="G88:I88" si="46">G18</f>
        <v>0.40607822076198902</v>
      </c>
      <c r="H88" s="53">
        <f t="shared" si="46"/>
        <v>0.41724941724941728</v>
      </c>
      <c r="I88" s="53">
        <f t="shared" si="46"/>
        <v>0</v>
      </c>
    </row>
    <row r="89" spans="2:9" ht="15.5" x14ac:dyDescent="0.35">
      <c r="C89" s="26" t="s">
        <v>80</v>
      </c>
      <c r="F89" s="53">
        <f>F40</f>
        <v>4.194227300060132E-2</v>
      </c>
      <c r="G89" s="53">
        <f t="shared" ref="G89:I89" si="47">G40</f>
        <v>6.6042206356226707E-2</v>
      </c>
      <c r="H89" s="53">
        <f t="shared" si="47"/>
        <v>0.11030982905982906</v>
      </c>
      <c r="I89" s="53">
        <f t="shared" si="47"/>
        <v>0</v>
      </c>
    </row>
    <row r="90" spans="2:9" ht="15.5" x14ac:dyDescent="0.35">
      <c r="C90" s="26"/>
      <c r="F90" s="26"/>
      <c r="G90" s="26"/>
      <c r="H90" s="26"/>
      <c r="I90" s="38"/>
    </row>
    <row r="91" spans="2:9" ht="15.5" x14ac:dyDescent="0.35">
      <c r="C91" s="26" t="s">
        <v>57</v>
      </c>
      <c r="F91" s="36">
        <f>F39+F31</f>
        <v>279</v>
      </c>
      <c r="G91" s="36">
        <f t="shared" ref="G91:I91" si="48">G39+G31</f>
        <v>522.625</v>
      </c>
      <c r="H91" s="36">
        <f t="shared" si="48"/>
        <v>1145.75</v>
      </c>
      <c r="I91" s="36">
        <f t="shared" si="48"/>
        <v>0</v>
      </c>
    </row>
    <row r="94" spans="2:9" x14ac:dyDescent="0.35">
      <c r="B94" t="s">
        <v>144</v>
      </c>
    </row>
    <row r="95" spans="2:9" x14ac:dyDescent="0.35">
      <c r="C95" t="s">
        <v>145</v>
      </c>
      <c r="F95" s="96">
        <v>1</v>
      </c>
      <c r="G95" s="96">
        <v>1</v>
      </c>
      <c r="H95" s="96">
        <v>1</v>
      </c>
    </row>
    <row r="98" spans="2:3" x14ac:dyDescent="0.35">
      <c r="B98" t="s">
        <v>154</v>
      </c>
    </row>
    <row r="99" spans="2:3" s="13" customFormat="1" x14ac:dyDescent="0.35">
      <c r="C99" s="13" t="s">
        <v>155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DB87-DB28-4308-8E06-1FDAEF2F6E8F}">
  <dimension ref="A1:F50"/>
  <sheetViews>
    <sheetView topLeftCell="A46" zoomScale="90" zoomScaleNormal="90" workbookViewId="0">
      <selection activeCell="G47" sqref="G47"/>
    </sheetView>
  </sheetViews>
  <sheetFormatPr defaultRowHeight="14.5" x14ac:dyDescent="0.35"/>
  <cols>
    <col min="3" max="3" width="14.08984375" customWidth="1"/>
  </cols>
  <sheetData>
    <row r="1" spans="1:6" x14ac:dyDescent="0.35">
      <c r="C1" t="s">
        <v>32</v>
      </c>
      <c r="F1" s="1">
        <v>43191</v>
      </c>
    </row>
    <row r="2" spans="1:6" x14ac:dyDescent="0.35">
      <c r="A2" t="s">
        <v>0</v>
      </c>
      <c r="F2" s="1"/>
    </row>
    <row r="4" spans="1:6" x14ac:dyDescent="0.35">
      <c r="B4" t="s">
        <v>8</v>
      </c>
    </row>
    <row r="5" spans="1:6" x14ac:dyDescent="0.35">
      <c r="C5" t="s">
        <v>1</v>
      </c>
      <c r="F5" s="4">
        <v>25</v>
      </c>
    </row>
    <row r="6" spans="1:6" x14ac:dyDescent="0.35">
      <c r="C6" t="s">
        <v>2</v>
      </c>
      <c r="F6" s="4">
        <v>200</v>
      </c>
    </row>
    <row r="7" spans="1:6" x14ac:dyDescent="0.35">
      <c r="C7" t="s">
        <v>3</v>
      </c>
      <c r="F7" s="4">
        <v>37</v>
      </c>
    </row>
    <row r="8" spans="1:6" x14ac:dyDescent="0.35">
      <c r="C8" t="s">
        <v>4</v>
      </c>
      <c r="F8" s="4">
        <v>82</v>
      </c>
    </row>
    <row r="9" spans="1:6" x14ac:dyDescent="0.35">
      <c r="C9" t="s">
        <v>5</v>
      </c>
      <c r="F9" s="4">
        <v>49</v>
      </c>
    </row>
    <row r="10" spans="1:6" x14ac:dyDescent="0.35">
      <c r="C10" t="s">
        <v>6</v>
      </c>
      <c r="F10" s="18">
        <v>440</v>
      </c>
    </row>
    <row r="11" spans="1:6" x14ac:dyDescent="0.35">
      <c r="C11" t="s">
        <v>7</v>
      </c>
      <c r="F11" s="2">
        <f>SUM(F5:F10)</f>
        <v>833</v>
      </c>
    </row>
    <row r="13" spans="1:6" x14ac:dyDescent="0.35">
      <c r="B13" t="s">
        <v>9</v>
      </c>
      <c r="F13" s="4">
        <v>900</v>
      </c>
    </row>
    <row r="16" spans="1:6" x14ac:dyDescent="0.35">
      <c r="B16" t="s">
        <v>10</v>
      </c>
      <c r="F16" s="2">
        <v>520</v>
      </c>
    </row>
    <row r="18" spans="1:6" x14ac:dyDescent="0.35">
      <c r="B18" t="s">
        <v>12</v>
      </c>
      <c r="F18" s="9">
        <v>100</v>
      </c>
    </row>
    <row r="19" spans="1:6" x14ac:dyDescent="0.35">
      <c r="F19" s="10"/>
    </row>
    <row r="20" spans="1:6" x14ac:dyDescent="0.35">
      <c r="B20" t="s">
        <v>14</v>
      </c>
      <c r="F20" s="9">
        <v>75</v>
      </c>
    </row>
    <row r="21" spans="1:6" x14ac:dyDescent="0.35">
      <c r="F21" s="10"/>
    </row>
    <row r="22" spans="1:6" x14ac:dyDescent="0.35">
      <c r="B22" t="s">
        <v>15</v>
      </c>
      <c r="F22" s="9">
        <v>62</v>
      </c>
    </row>
    <row r="23" spans="1:6" x14ac:dyDescent="0.35">
      <c r="F23" s="10"/>
    </row>
    <row r="24" spans="1:6" x14ac:dyDescent="0.35">
      <c r="B24" t="s">
        <v>17</v>
      </c>
      <c r="F24" s="9">
        <v>25</v>
      </c>
    </row>
    <row r="25" spans="1:6" x14ac:dyDescent="0.35">
      <c r="B25" t="s">
        <v>149</v>
      </c>
      <c r="F25" s="9">
        <v>0</v>
      </c>
    </row>
    <row r="26" spans="1:6" x14ac:dyDescent="0.35">
      <c r="F26" s="2"/>
    </row>
    <row r="27" spans="1:6" x14ac:dyDescent="0.35">
      <c r="B27" t="s">
        <v>19</v>
      </c>
      <c r="F27" s="2">
        <f>F11-F16-F18-F20-F22-F24</f>
        <v>51</v>
      </c>
    </row>
    <row r="29" spans="1:6" x14ac:dyDescent="0.35">
      <c r="B29" t="s">
        <v>16</v>
      </c>
      <c r="F29" s="9">
        <v>0</v>
      </c>
    </row>
    <row r="30" spans="1:6" x14ac:dyDescent="0.35">
      <c r="A30" s="22" t="s">
        <v>33</v>
      </c>
    </row>
    <row r="31" spans="1:6" x14ac:dyDescent="0.35">
      <c r="A31" s="24">
        <v>0.25</v>
      </c>
      <c r="B31" t="s">
        <v>18</v>
      </c>
      <c r="F31" s="23">
        <f>F27*A31</f>
        <v>12.75</v>
      </c>
    </row>
    <row r="33" spans="1:6" x14ac:dyDescent="0.35">
      <c r="B33" t="s">
        <v>20</v>
      </c>
      <c r="F33" s="11">
        <f>F27-F29-F31</f>
        <v>38.25</v>
      </c>
    </row>
    <row r="34" spans="1:6" x14ac:dyDescent="0.35">
      <c r="A34" s="6"/>
      <c r="B34" s="6"/>
      <c r="C34" s="6" t="s">
        <v>21</v>
      </c>
      <c r="D34" s="6"/>
      <c r="E34" s="6"/>
      <c r="F34" s="7">
        <f>F33/F11</f>
        <v>4.5918367346938778E-2</v>
      </c>
    </row>
    <row r="37" spans="1:6" x14ac:dyDescent="0.35">
      <c r="A37" t="s">
        <v>22</v>
      </c>
    </row>
    <row r="38" spans="1:6" x14ac:dyDescent="0.35">
      <c r="C38" s="17" t="s">
        <v>27</v>
      </c>
    </row>
    <row r="39" spans="1:6" x14ac:dyDescent="0.35">
      <c r="B39" s="15" t="s">
        <v>26</v>
      </c>
      <c r="C39" s="13"/>
      <c r="D39" s="13"/>
      <c r="E39" s="13"/>
      <c r="F39" s="13"/>
    </row>
    <row r="40" spans="1:6" x14ac:dyDescent="0.35">
      <c r="B40" s="13"/>
      <c r="C40" s="13" t="s">
        <v>24</v>
      </c>
      <c r="D40" s="13"/>
      <c r="E40" s="13"/>
      <c r="F40" s="13">
        <f>E44</f>
        <v>-85</v>
      </c>
    </row>
    <row r="41" spans="1:6" x14ac:dyDescent="0.35">
      <c r="B41" s="13"/>
      <c r="C41" s="13" t="s">
        <v>29</v>
      </c>
      <c r="D41" s="13"/>
      <c r="E41" s="13"/>
      <c r="F41" s="8">
        <v>10</v>
      </c>
    </row>
    <row r="42" spans="1:6" x14ac:dyDescent="0.35">
      <c r="B42" s="13"/>
      <c r="C42" s="13" t="s">
        <v>30</v>
      </c>
      <c r="D42" s="13"/>
      <c r="E42" s="13"/>
      <c r="F42" s="8">
        <v>15</v>
      </c>
    </row>
    <row r="43" spans="1:6" x14ac:dyDescent="0.35">
      <c r="B43" s="13"/>
      <c r="C43" s="13" t="s">
        <v>31</v>
      </c>
      <c r="D43" s="13"/>
      <c r="E43" s="8">
        <v>85</v>
      </c>
      <c r="F43" s="8">
        <v>10</v>
      </c>
    </row>
    <row r="44" spans="1:6" x14ac:dyDescent="0.35">
      <c r="B44" s="13"/>
      <c r="C44" s="15" t="s">
        <v>25</v>
      </c>
      <c r="D44" s="13"/>
      <c r="E44" s="13">
        <f>-85</f>
        <v>-85</v>
      </c>
      <c r="F44" s="14">
        <f>(F40+F41-F42-F43)</f>
        <v>-100</v>
      </c>
    </row>
    <row r="45" spans="1:6" x14ac:dyDescent="0.35">
      <c r="A45" s="16"/>
      <c r="B45" s="16"/>
      <c r="C45" s="16"/>
      <c r="D45" s="16"/>
      <c r="E45" s="16"/>
      <c r="F45" s="16"/>
    </row>
    <row r="46" spans="1:6" x14ac:dyDescent="0.35">
      <c r="A46" t="s">
        <v>150</v>
      </c>
      <c r="B46" s="16"/>
      <c r="C46" s="16"/>
      <c r="D46" s="16"/>
      <c r="E46" s="16"/>
      <c r="F46" s="16"/>
    </row>
    <row r="47" spans="1:6" x14ac:dyDescent="0.35">
      <c r="A47" s="16"/>
      <c r="B47" s="16" t="s">
        <v>151</v>
      </c>
      <c r="C47" s="10">
        <v>8</v>
      </c>
      <c r="D47" s="16"/>
      <c r="E47" s="16"/>
      <c r="F47" s="10"/>
    </row>
    <row r="48" spans="1:6" x14ac:dyDescent="0.35">
      <c r="A48" s="16"/>
      <c r="B48" s="16" t="s">
        <v>152</v>
      </c>
      <c r="C48" s="10">
        <v>11</v>
      </c>
      <c r="D48" s="16"/>
      <c r="E48" s="16"/>
      <c r="F48" s="10"/>
    </row>
    <row r="49" spans="1:6" x14ac:dyDescent="0.35">
      <c r="A49" s="16"/>
      <c r="B49" s="16"/>
      <c r="C49" s="16"/>
      <c r="D49" s="16"/>
      <c r="E49" s="16"/>
      <c r="F49" s="10"/>
    </row>
    <row r="50" spans="1:6" x14ac:dyDescent="0.35">
      <c r="A50" s="16"/>
      <c r="B50" s="16"/>
      <c r="C50" s="16"/>
      <c r="D50" s="16"/>
      <c r="E50" s="16"/>
      <c r="F5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E17-1DFF-4DA9-878B-7A07778D82FD}">
  <dimension ref="A1:R28"/>
  <sheetViews>
    <sheetView workbookViewId="0">
      <selection activeCell="E18" sqref="E18"/>
    </sheetView>
  </sheetViews>
  <sheetFormatPr defaultRowHeight="15.5" x14ac:dyDescent="0.35"/>
  <cols>
    <col min="1" max="1" width="44.08984375" style="26" customWidth="1"/>
    <col min="2" max="16384" width="8.7265625" style="26"/>
  </cols>
  <sheetData>
    <row r="1" spans="1:18" x14ac:dyDescent="0.35">
      <c r="B1" s="27" t="s">
        <v>61</v>
      </c>
      <c r="E1" s="26" t="s">
        <v>100</v>
      </c>
    </row>
    <row r="2" spans="1:18" x14ac:dyDescent="0.35">
      <c r="A2" s="26" t="s">
        <v>83</v>
      </c>
    </row>
    <row r="3" spans="1:18" x14ac:dyDescent="0.35">
      <c r="A3" s="54"/>
      <c r="B3" s="28">
        <v>43191</v>
      </c>
      <c r="C3" s="28">
        <v>43221</v>
      </c>
      <c r="D3" s="28">
        <v>43252</v>
      </c>
      <c r="E3" s="28">
        <v>43282</v>
      </c>
      <c r="F3" s="28">
        <v>43313</v>
      </c>
      <c r="G3" s="28">
        <v>43344</v>
      </c>
      <c r="H3" s="28">
        <v>43374</v>
      </c>
      <c r="I3" s="28">
        <v>43405</v>
      </c>
      <c r="J3" s="28">
        <v>43435</v>
      </c>
      <c r="K3" s="28">
        <v>43466</v>
      </c>
      <c r="L3" s="28">
        <v>43497</v>
      </c>
      <c r="M3" s="28">
        <v>43525</v>
      </c>
      <c r="N3" s="28">
        <v>43556</v>
      </c>
      <c r="O3" s="28">
        <v>43586</v>
      </c>
      <c r="P3" s="28">
        <v>43617</v>
      </c>
      <c r="Q3" s="28">
        <v>43647</v>
      </c>
      <c r="R3" s="28">
        <v>43678</v>
      </c>
    </row>
    <row r="4" spans="1:18" x14ac:dyDescent="0.35">
      <c r="A4" s="26" t="s">
        <v>84</v>
      </c>
      <c r="B4" s="29">
        <v>12000</v>
      </c>
      <c r="C4" s="29">
        <f>12000+500</f>
        <v>12500</v>
      </c>
      <c r="D4" s="29">
        <f>C4+500</f>
        <v>13000</v>
      </c>
      <c r="E4" s="29">
        <f t="shared" ref="E4:L4" si="0">D4+500</f>
        <v>13500</v>
      </c>
      <c r="F4" s="29">
        <f t="shared" si="0"/>
        <v>14000</v>
      </c>
      <c r="G4" s="29">
        <f t="shared" si="0"/>
        <v>14500</v>
      </c>
      <c r="H4" s="29">
        <f t="shared" si="0"/>
        <v>15000</v>
      </c>
      <c r="I4" s="29">
        <f t="shared" si="0"/>
        <v>15500</v>
      </c>
      <c r="J4" s="29">
        <f t="shared" si="0"/>
        <v>16000</v>
      </c>
      <c r="K4" s="29">
        <f t="shared" si="0"/>
        <v>16500</v>
      </c>
      <c r="L4" s="29">
        <f t="shared" si="0"/>
        <v>17000</v>
      </c>
    </row>
    <row r="5" spans="1:18" x14ac:dyDescent="0.35">
      <c r="A5" s="26" t="s">
        <v>85</v>
      </c>
      <c r="B5" s="29"/>
      <c r="C5" s="29"/>
      <c r="D5" s="29"/>
      <c r="E5" s="29"/>
      <c r="F5" s="29"/>
      <c r="G5" s="29"/>
      <c r="H5" s="29">
        <v>21000</v>
      </c>
      <c r="I5" s="29">
        <v>21500</v>
      </c>
      <c r="J5" s="29">
        <v>22000</v>
      </c>
      <c r="K5" s="29">
        <v>22500</v>
      </c>
      <c r="L5" s="29">
        <v>23000</v>
      </c>
      <c r="M5" s="29">
        <v>23500</v>
      </c>
      <c r="N5" s="29">
        <v>24000</v>
      </c>
      <c r="O5" s="29">
        <v>24500</v>
      </c>
      <c r="P5" s="29">
        <v>25000</v>
      </c>
      <c r="Q5" s="29">
        <v>25500</v>
      </c>
      <c r="R5" s="29">
        <v>26000</v>
      </c>
    </row>
    <row r="7" spans="1:18" x14ac:dyDescent="0.35">
      <c r="A7" s="26" t="s">
        <v>86</v>
      </c>
      <c r="B7" s="29">
        <v>25000</v>
      </c>
      <c r="C7" s="29">
        <f>25000+500</f>
        <v>25500</v>
      </c>
      <c r="D7" s="29">
        <v>25001</v>
      </c>
      <c r="E7" s="29">
        <f t="shared" ref="E7" si="1">25000+500</f>
        <v>25500</v>
      </c>
      <c r="F7" s="29">
        <v>25002</v>
      </c>
      <c r="G7" s="29">
        <f t="shared" ref="G7:K7" si="2">25000+500</f>
        <v>25500</v>
      </c>
      <c r="H7" s="29">
        <v>25003</v>
      </c>
      <c r="I7" s="29">
        <f t="shared" si="2"/>
        <v>25500</v>
      </c>
      <c r="J7" s="29">
        <v>25003</v>
      </c>
      <c r="K7" s="29">
        <f t="shared" si="2"/>
        <v>25500</v>
      </c>
      <c r="L7" s="29">
        <v>25003</v>
      </c>
    </row>
    <row r="9" spans="1:18" x14ac:dyDescent="0.35">
      <c r="A9" s="26" t="s">
        <v>87</v>
      </c>
      <c r="B9" s="55">
        <v>950</v>
      </c>
      <c r="C9" s="55">
        <v>950</v>
      </c>
      <c r="D9" s="55">
        <v>950</v>
      </c>
      <c r="E9" s="55">
        <v>950</v>
      </c>
      <c r="F9" s="55">
        <v>950</v>
      </c>
      <c r="G9" s="55">
        <v>950</v>
      </c>
      <c r="H9" s="55">
        <v>950</v>
      </c>
      <c r="I9" s="55">
        <v>950</v>
      </c>
      <c r="J9" s="55">
        <v>950</v>
      </c>
      <c r="K9" s="55">
        <v>950</v>
      </c>
      <c r="L9" s="55">
        <v>950</v>
      </c>
    </row>
    <row r="10" spans="1:18" x14ac:dyDescent="0.35">
      <c r="A10" s="26" t="s">
        <v>88</v>
      </c>
      <c r="B10" s="55">
        <v>1600</v>
      </c>
      <c r="C10" s="55">
        <v>1600</v>
      </c>
      <c r="D10" s="55">
        <v>1600</v>
      </c>
      <c r="E10" s="55">
        <v>1600</v>
      </c>
      <c r="F10" s="55">
        <v>1600</v>
      </c>
      <c r="G10" s="55">
        <v>1600</v>
      </c>
      <c r="H10" s="55">
        <v>1600</v>
      </c>
      <c r="I10" s="55">
        <v>1600</v>
      </c>
      <c r="J10" s="55">
        <v>1600</v>
      </c>
      <c r="K10" s="55">
        <v>1600</v>
      </c>
      <c r="L10" s="55">
        <v>1600</v>
      </c>
    </row>
    <row r="12" spans="1:18" s="56" customFormat="1" x14ac:dyDescent="0.35">
      <c r="A12" s="56" t="s">
        <v>101</v>
      </c>
      <c r="B12" s="57">
        <v>8000</v>
      </c>
      <c r="C12" s="57">
        <v>8500</v>
      </c>
      <c r="D12" s="57">
        <v>9000</v>
      </c>
      <c r="E12" s="57">
        <v>9500</v>
      </c>
      <c r="F12" s="57">
        <v>10000</v>
      </c>
      <c r="G12" s="57">
        <v>10500</v>
      </c>
      <c r="H12" s="57">
        <v>11000</v>
      </c>
      <c r="I12" s="57">
        <v>11500</v>
      </c>
      <c r="J12" s="57">
        <v>12000</v>
      </c>
      <c r="K12" s="57">
        <v>12500</v>
      </c>
      <c r="L12" s="57">
        <v>13000</v>
      </c>
    </row>
    <row r="13" spans="1:18" s="56" customFormat="1" x14ac:dyDescent="0.35">
      <c r="B13" s="57"/>
    </row>
    <row r="15" spans="1:18" s="38" customFormat="1" x14ac:dyDescent="0.35">
      <c r="A15" s="38" t="s">
        <v>102</v>
      </c>
      <c r="B15" s="57">
        <v>12000</v>
      </c>
      <c r="C15" s="55">
        <v>13000</v>
      </c>
      <c r="D15" s="57">
        <v>12001</v>
      </c>
      <c r="E15" s="55">
        <v>13001</v>
      </c>
      <c r="F15" s="57">
        <v>12002</v>
      </c>
    </row>
    <row r="16" spans="1:18" s="38" customFormat="1" x14ac:dyDescent="0.35">
      <c r="A16" s="38" t="s">
        <v>92</v>
      </c>
      <c r="B16" s="55">
        <v>8000</v>
      </c>
      <c r="C16" s="55">
        <v>8000</v>
      </c>
      <c r="D16" s="55">
        <v>8000</v>
      </c>
      <c r="E16" s="55">
        <v>8000</v>
      </c>
      <c r="F16" s="55">
        <v>8000</v>
      </c>
    </row>
    <row r="17" spans="1:12" s="38" customFormat="1" x14ac:dyDescent="0.35">
      <c r="A17" s="38" t="s">
        <v>28</v>
      </c>
      <c r="B17" s="55">
        <v>10000</v>
      </c>
      <c r="C17" s="55">
        <v>10000</v>
      </c>
      <c r="D17" s="55">
        <v>10000</v>
      </c>
      <c r="E17" s="55">
        <v>10000</v>
      </c>
      <c r="F17" s="55">
        <v>10000</v>
      </c>
    </row>
    <row r="18" spans="1:12" x14ac:dyDescent="0.35">
      <c r="B18" s="28">
        <f t="shared" ref="B18:L18" si="3">B3</f>
        <v>43191</v>
      </c>
      <c r="C18" s="28">
        <f t="shared" si="3"/>
        <v>43221</v>
      </c>
      <c r="D18" s="28">
        <f t="shared" si="3"/>
        <v>43252</v>
      </c>
      <c r="E18" s="28">
        <f t="shared" si="3"/>
        <v>43282</v>
      </c>
      <c r="F18" s="28">
        <f t="shared" si="3"/>
        <v>43313</v>
      </c>
      <c r="G18" s="28">
        <f t="shared" si="3"/>
        <v>43344</v>
      </c>
      <c r="H18" s="28">
        <f t="shared" si="3"/>
        <v>43374</v>
      </c>
      <c r="I18" s="28">
        <f t="shared" si="3"/>
        <v>43405</v>
      </c>
      <c r="J18" s="28">
        <f t="shared" si="3"/>
        <v>43435</v>
      </c>
      <c r="K18" s="28">
        <f t="shared" si="3"/>
        <v>43466</v>
      </c>
      <c r="L18" s="28">
        <f t="shared" si="3"/>
        <v>43497</v>
      </c>
    </row>
    <row r="19" spans="1:12" x14ac:dyDescent="0.35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1:12" x14ac:dyDescent="0.35">
      <c r="A20" s="42" t="s">
        <v>93</v>
      </c>
      <c r="B20" s="36">
        <f t="shared" ref="B20:L20" si="4">B4</f>
        <v>12000</v>
      </c>
      <c r="C20" s="36">
        <f t="shared" si="4"/>
        <v>12500</v>
      </c>
      <c r="D20" s="36">
        <f t="shared" si="4"/>
        <v>13000</v>
      </c>
      <c r="E20" s="36">
        <f t="shared" si="4"/>
        <v>13500</v>
      </c>
      <c r="F20" s="36">
        <f t="shared" si="4"/>
        <v>14000</v>
      </c>
      <c r="G20" s="36">
        <f t="shared" si="4"/>
        <v>14500</v>
      </c>
      <c r="H20" s="36">
        <f t="shared" si="4"/>
        <v>15000</v>
      </c>
      <c r="I20" s="36">
        <f t="shared" si="4"/>
        <v>15500</v>
      </c>
      <c r="J20" s="36">
        <f t="shared" si="4"/>
        <v>16000</v>
      </c>
      <c r="K20" s="36">
        <f t="shared" si="4"/>
        <v>16500</v>
      </c>
      <c r="L20" s="36">
        <f t="shared" si="4"/>
        <v>17000</v>
      </c>
    </row>
    <row r="21" spans="1:12" x14ac:dyDescent="0.35">
      <c r="A21" s="42" t="s">
        <v>94</v>
      </c>
      <c r="B21" s="29">
        <v>11500</v>
      </c>
      <c r="C21" s="29">
        <v>12800</v>
      </c>
      <c r="D21" s="29">
        <v>11800</v>
      </c>
      <c r="E21" s="29">
        <f t="shared" ref="E21:K21" si="5">E20*0.805</f>
        <v>10867.5</v>
      </c>
      <c r="F21" s="29">
        <f t="shared" si="5"/>
        <v>11270</v>
      </c>
      <c r="G21" s="29">
        <v>12060</v>
      </c>
      <c r="H21" s="29">
        <v>13000</v>
      </c>
      <c r="I21" s="29">
        <f t="shared" si="5"/>
        <v>12477.5</v>
      </c>
      <c r="J21" s="29">
        <v>13800</v>
      </c>
      <c r="K21" s="29">
        <f t="shared" si="5"/>
        <v>13282.5</v>
      </c>
      <c r="L21" s="29">
        <f>L20*0.805</f>
        <v>13685</v>
      </c>
    </row>
    <row r="22" spans="1:12" x14ac:dyDescent="0.35">
      <c r="A22" s="42" t="s">
        <v>95</v>
      </c>
      <c r="B22" s="36">
        <f>B20-B21</f>
        <v>500</v>
      </c>
      <c r="C22" s="36">
        <f t="shared" ref="C22:L22" si="6">C20-C21</f>
        <v>-300</v>
      </c>
      <c r="D22" s="36">
        <f t="shared" si="6"/>
        <v>1200</v>
      </c>
      <c r="E22" s="36">
        <f t="shared" si="6"/>
        <v>2632.5</v>
      </c>
      <c r="F22" s="36">
        <f t="shared" si="6"/>
        <v>2730</v>
      </c>
      <c r="G22" s="36">
        <f t="shared" si="6"/>
        <v>2440</v>
      </c>
      <c r="H22" s="36">
        <f t="shared" si="6"/>
        <v>2000</v>
      </c>
      <c r="I22" s="36">
        <f t="shared" si="6"/>
        <v>3022.5</v>
      </c>
      <c r="J22" s="36">
        <f t="shared" si="6"/>
        <v>2200</v>
      </c>
      <c r="K22" s="36">
        <f t="shared" si="6"/>
        <v>3217.5</v>
      </c>
      <c r="L22" s="36">
        <f t="shared" si="6"/>
        <v>3315</v>
      </c>
    </row>
    <row r="25" spans="1:12" x14ac:dyDescent="0.35">
      <c r="A25" s="42" t="s">
        <v>96</v>
      </c>
    </row>
    <row r="26" spans="1:12" x14ac:dyDescent="0.35">
      <c r="A26" s="42" t="s">
        <v>97</v>
      </c>
    </row>
    <row r="27" spans="1:12" x14ac:dyDescent="0.35">
      <c r="A27" s="42" t="s">
        <v>98</v>
      </c>
    </row>
    <row r="28" spans="1:12" x14ac:dyDescent="0.35">
      <c r="A28" s="4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F575-CA68-42C9-A6AA-8C34E343CE2A}">
  <dimension ref="A1:L45"/>
  <sheetViews>
    <sheetView showGridLines="0" zoomScale="70" zoomScaleNormal="70" workbookViewId="0">
      <selection activeCell="C10" sqref="B10:C12"/>
    </sheetView>
  </sheetViews>
  <sheetFormatPr defaultRowHeight="15.5" x14ac:dyDescent="0.35"/>
  <cols>
    <col min="1" max="1" width="1.453125" style="26" customWidth="1"/>
    <col min="2" max="2" width="23.26953125" style="26" customWidth="1"/>
    <col min="3" max="3" width="11.453125" style="26" customWidth="1"/>
    <col min="4" max="4" width="9.90625" style="26" customWidth="1"/>
    <col min="5" max="5" width="3.453125" style="26" customWidth="1"/>
    <col min="6" max="6" width="5.36328125" style="26" customWidth="1"/>
    <col min="7" max="9" width="9.90625" style="26" customWidth="1"/>
    <col min="10" max="11" width="8.7265625" style="26"/>
    <col min="12" max="12" width="4.6328125" style="26" customWidth="1"/>
    <col min="13" max="16384" width="8.7265625" style="26"/>
  </cols>
  <sheetData>
    <row r="1" spans="2:12" ht="20" customHeight="1" x14ac:dyDescent="0.6">
      <c r="B1" s="58" t="s">
        <v>104</v>
      </c>
    </row>
    <row r="2" spans="2:12" ht="16" thickBot="1" x14ac:dyDescent="0.4"/>
    <row r="3" spans="2:12" x14ac:dyDescent="0.35">
      <c r="B3" s="59" t="s">
        <v>105</v>
      </c>
      <c r="C3" s="60"/>
      <c r="D3" s="60"/>
      <c r="E3" s="61"/>
      <c r="J3" s="27" t="s">
        <v>103</v>
      </c>
    </row>
    <row r="4" spans="2:12" ht="28.5" x14ac:dyDescent="0.65">
      <c r="B4" s="113">
        <f>SUM('Finance Statements'!L12:O12)</f>
        <v>3332</v>
      </c>
      <c r="C4" s="62"/>
      <c r="D4" s="62"/>
      <c r="E4" s="63"/>
      <c r="J4" s="26" t="s">
        <v>106</v>
      </c>
    </row>
    <row r="5" spans="2:12" x14ac:dyDescent="0.35">
      <c r="B5" s="64" t="s">
        <v>107</v>
      </c>
      <c r="C5" s="62"/>
      <c r="D5" s="62"/>
      <c r="E5" s="63"/>
    </row>
    <row r="6" spans="2:12" x14ac:dyDescent="0.35">
      <c r="B6" s="65" t="s">
        <v>108</v>
      </c>
      <c r="C6" s="66" t="s">
        <v>109</v>
      </c>
      <c r="D6" s="67" t="s">
        <v>110</v>
      </c>
      <c r="E6" s="63"/>
    </row>
    <row r="7" spans="2:12" x14ac:dyDescent="0.35">
      <c r="B7" s="110">
        <f>'Finance Statements'!H12</f>
        <v>10296</v>
      </c>
      <c r="C7" s="68">
        <f>B4/B7-1</f>
        <v>-0.67637917637917644</v>
      </c>
      <c r="D7" s="62"/>
      <c r="E7" s="63"/>
    </row>
    <row r="8" spans="2:12" ht="16" thickBot="1" x14ac:dyDescent="0.4">
      <c r="B8" s="69"/>
      <c r="C8" s="70"/>
      <c r="D8" s="70"/>
      <c r="E8" s="71"/>
      <c r="G8" s="26" t="s">
        <v>111</v>
      </c>
    </row>
    <row r="10" spans="2:12" x14ac:dyDescent="0.35">
      <c r="B10" s="110">
        <f>'Finance Statements'!O55</f>
        <v>1000</v>
      </c>
      <c r="C10" s="26" t="s">
        <v>112</v>
      </c>
    </row>
    <row r="11" spans="2:12" x14ac:dyDescent="0.35">
      <c r="B11" s="109">
        <f>'Finance Statements'!O56</f>
        <v>400</v>
      </c>
      <c r="C11" s="26" t="s">
        <v>28</v>
      </c>
      <c r="D11" s="72"/>
      <c r="E11" s="31"/>
      <c r="F11" s="72"/>
      <c r="G11" s="73" t="s">
        <v>113</v>
      </c>
      <c r="H11" s="112">
        <f>'Finance Statements'!O80</f>
        <v>8.6419753086419746</v>
      </c>
    </row>
    <row r="12" spans="2:12" x14ac:dyDescent="0.35">
      <c r="B12" s="109">
        <f>'Finance Statements'!O66</f>
        <v>130</v>
      </c>
      <c r="C12" s="26" t="s">
        <v>114</v>
      </c>
      <c r="D12" s="111" t="s">
        <v>115</v>
      </c>
      <c r="E12" s="31"/>
      <c r="F12" s="72"/>
      <c r="G12" s="73" t="s">
        <v>116</v>
      </c>
      <c r="H12" s="112">
        <f>'Finance Statements'!O75</f>
        <v>11.111111111111111</v>
      </c>
      <c r="L12" s="26" t="s">
        <v>117</v>
      </c>
    </row>
    <row r="26" spans="2:3" x14ac:dyDescent="0.35">
      <c r="B26" s="42" t="s">
        <v>118</v>
      </c>
      <c r="C26" s="74">
        <v>8</v>
      </c>
    </row>
    <row r="27" spans="2:3" x14ac:dyDescent="0.35">
      <c r="B27" s="42"/>
      <c r="C27" s="74"/>
    </row>
    <row r="36" spans="1:3" x14ac:dyDescent="0.35">
      <c r="C36" s="75"/>
    </row>
    <row r="37" spans="1:3" x14ac:dyDescent="0.35">
      <c r="C37" s="75"/>
    </row>
    <row r="38" spans="1:3" x14ac:dyDescent="0.35">
      <c r="C38" s="75"/>
    </row>
    <row r="39" spans="1:3" x14ac:dyDescent="0.35">
      <c r="C39" s="75"/>
    </row>
    <row r="40" spans="1:3" x14ac:dyDescent="0.35">
      <c r="C40" s="75"/>
    </row>
    <row r="41" spans="1:3" x14ac:dyDescent="0.35">
      <c r="C41" s="75"/>
    </row>
    <row r="42" spans="1:3" x14ac:dyDescent="0.35">
      <c r="A42" s="76"/>
      <c r="B42" s="27" t="s">
        <v>119</v>
      </c>
    </row>
    <row r="43" spans="1:3" x14ac:dyDescent="0.35">
      <c r="B43" s="42" t="str">
        <f>'Finance Statements'!H2</f>
        <v>FY 2017</v>
      </c>
      <c r="C43" s="77">
        <f>SUM('Finance Statements'!$H$6:$H$10)/'Finance Statements'!$H$12</f>
        <v>0.48717948717948717</v>
      </c>
    </row>
    <row r="44" spans="1:3" x14ac:dyDescent="0.35">
      <c r="B44" s="42" t="str">
        <f>'Finance Statements'!G2</f>
        <v>FY 2016</v>
      </c>
      <c r="C44" s="77">
        <f>SUM('Finance Statements'!$G$6:$G$10)/'Finance Statements'!$G$12</f>
        <v>0.4717887154861945</v>
      </c>
    </row>
    <row r="45" spans="1:3" x14ac:dyDescent="0.35">
      <c r="B45" s="42" t="str">
        <f>'Finance Statements'!F2</f>
        <v>FY 2015</v>
      </c>
      <c r="C45" s="77">
        <f>SUM('Finance Statements'!$F$6:$F$10)/'Finance Statements'!$F$12</f>
        <v>0.48887552615754659</v>
      </c>
    </row>
  </sheetData>
  <pageMargins left="0.25" right="0.25" top="0.75" bottom="0.75" header="0.3" footer="0.3"/>
  <pageSetup paperSize="9" fitToWidth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1603-023B-46FC-BE9E-ADB22D5006C6}">
  <dimension ref="A1:L42"/>
  <sheetViews>
    <sheetView topLeftCell="A24" zoomScale="110" zoomScaleNormal="110" workbookViewId="0">
      <selection activeCell="B31" sqref="B31"/>
    </sheetView>
  </sheetViews>
  <sheetFormatPr defaultRowHeight="15.5" x14ac:dyDescent="0.35"/>
  <cols>
    <col min="1" max="1" width="57.26953125" style="26" customWidth="1"/>
    <col min="2" max="2" width="13.26953125" style="26" customWidth="1"/>
    <col min="3" max="3" width="10.81640625" style="26" customWidth="1"/>
    <col min="4" max="8" width="10.6328125" style="26" bestFit="1" customWidth="1"/>
    <col min="9" max="16384" width="8.7265625" style="26"/>
  </cols>
  <sheetData>
    <row r="1" spans="1:12" x14ac:dyDescent="0.35">
      <c r="C1" s="27" t="s">
        <v>61</v>
      </c>
      <c r="L1" s="27"/>
    </row>
    <row r="2" spans="1:12" x14ac:dyDescent="0.35">
      <c r="B2" s="42" t="s">
        <v>62</v>
      </c>
      <c r="C2" s="42" t="s">
        <v>62</v>
      </c>
      <c r="D2" s="42" t="s">
        <v>62</v>
      </c>
      <c r="E2" s="42" t="s">
        <v>63</v>
      </c>
    </row>
    <row r="3" spans="1:12" x14ac:dyDescent="0.35">
      <c r="B3" s="28">
        <v>42369</v>
      </c>
      <c r="C3" s="28">
        <v>42735</v>
      </c>
      <c r="D3" s="28">
        <v>43100</v>
      </c>
      <c r="E3" s="28">
        <v>43465</v>
      </c>
    </row>
    <row r="4" spans="1:12" x14ac:dyDescent="0.35">
      <c r="A4" s="26" t="s">
        <v>64</v>
      </c>
      <c r="B4" s="29">
        <v>1000000</v>
      </c>
      <c r="C4" s="29">
        <v>1000000</v>
      </c>
      <c r="D4" s="29">
        <v>1000000</v>
      </c>
      <c r="E4" s="29">
        <v>1000000</v>
      </c>
    </row>
    <row r="5" spans="1:12" x14ac:dyDescent="0.35">
      <c r="B5" s="29"/>
      <c r="C5" s="29"/>
      <c r="D5" s="29"/>
      <c r="E5" s="29"/>
    </row>
    <row r="6" spans="1:12" x14ac:dyDescent="0.35">
      <c r="A6" t="s">
        <v>1</v>
      </c>
      <c r="B6" s="29">
        <v>75000</v>
      </c>
      <c r="C6" s="29">
        <v>30000</v>
      </c>
      <c r="D6" s="29">
        <v>40000</v>
      </c>
      <c r="E6" s="29">
        <v>50000</v>
      </c>
    </row>
    <row r="7" spans="1:12" x14ac:dyDescent="0.35">
      <c r="A7" t="s">
        <v>2</v>
      </c>
      <c r="B7" s="29">
        <v>69000</v>
      </c>
      <c r="C7" s="29">
        <f t="shared" ref="C7:D10" si="0">D7-5000</f>
        <v>25000</v>
      </c>
      <c r="D7" s="29">
        <f t="shared" si="0"/>
        <v>30000</v>
      </c>
      <c r="E7" s="29">
        <v>35000</v>
      </c>
    </row>
    <row r="8" spans="1:12" x14ac:dyDescent="0.35">
      <c r="A8" t="s">
        <v>3</v>
      </c>
      <c r="B8" s="29">
        <v>67000</v>
      </c>
      <c r="C8" s="29">
        <f t="shared" si="0"/>
        <v>22000</v>
      </c>
      <c r="D8" s="29">
        <f t="shared" si="0"/>
        <v>27000</v>
      </c>
      <c r="E8" s="29">
        <v>32000</v>
      </c>
    </row>
    <row r="9" spans="1:12" x14ac:dyDescent="0.35">
      <c r="A9" t="s">
        <v>4</v>
      </c>
      <c r="B9" s="29">
        <v>54000</v>
      </c>
      <c r="C9" s="29">
        <f t="shared" si="0"/>
        <v>21000</v>
      </c>
      <c r="D9" s="29">
        <f t="shared" si="0"/>
        <v>26000</v>
      </c>
      <c r="E9" s="29">
        <v>31000</v>
      </c>
    </row>
    <row r="10" spans="1:12" x14ac:dyDescent="0.35">
      <c r="A10" t="s">
        <v>5</v>
      </c>
      <c r="B10" s="29">
        <v>19000</v>
      </c>
      <c r="C10" s="29">
        <f t="shared" si="0"/>
        <v>19000</v>
      </c>
      <c r="D10" s="29">
        <f t="shared" si="0"/>
        <v>24000</v>
      </c>
      <c r="E10" s="29">
        <v>29000</v>
      </c>
    </row>
    <row r="11" spans="1:12" x14ac:dyDescent="0.35">
      <c r="A11" t="s">
        <v>6</v>
      </c>
      <c r="B11" s="32">
        <f>B4-SUM(B6:B10)</f>
        <v>716000</v>
      </c>
      <c r="C11" s="32">
        <f>C4-SUM(C6:C10)</f>
        <v>883000</v>
      </c>
      <c r="D11" s="32">
        <f>D4-SUM(D6:D10)</f>
        <v>853000</v>
      </c>
      <c r="E11" s="32">
        <f>E4-SUM(E6:E10)</f>
        <v>823000</v>
      </c>
    </row>
    <row r="12" spans="1:12" x14ac:dyDescent="0.35">
      <c r="B12" s="32"/>
      <c r="C12" s="32"/>
      <c r="D12" s="32"/>
      <c r="E12" s="32"/>
    </row>
    <row r="13" spans="1:12" x14ac:dyDescent="0.35">
      <c r="A13" s="26" t="s">
        <v>10</v>
      </c>
      <c r="B13" s="29">
        <v>430000</v>
      </c>
      <c r="C13" s="29">
        <v>450000</v>
      </c>
      <c r="D13" s="29">
        <v>420000</v>
      </c>
      <c r="E13" s="29">
        <v>400000</v>
      </c>
    </row>
    <row r="14" spans="1:12" x14ac:dyDescent="0.35">
      <c r="A14" s="43" t="s">
        <v>65</v>
      </c>
      <c r="B14" s="44">
        <f>((B4-B13)/B4)</f>
        <v>0.56999999999999995</v>
      </c>
      <c r="C14" s="44">
        <f>((C4-C13)/C4)</f>
        <v>0.55000000000000004</v>
      </c>
      <c r="D14" s="44">
        <f>((D4-D13)/D4)</f>
        <v>0.57999999999999996</v>
      </c>
      <c r="E14" s="44">
        <f>((E4-E13)/E4)</f>
        <v>0.6</v>
      </c>
    </row>
    <row r="15" spans="1:12" x14ac:dyDescent="0.35">
      <c r="B15" s="29"/>
      <c r="C15" s="29"/>
      <c r="D15" s="29"/>
      <c r="E15" s="29"/>
    </row>
    <row r="16" spans="1:12" x14ac:dyDescent="0.35">
      <c r="A16" s="26" t="s">
        <v>66</v>
      </c>
      <c r="B16" s="29">
        <v>120000</v>
      </c>
      <c r="C16" s="29">
        <v>120000</v>
      </c>
      <c r="D16" s="29">
        <v>120000</v>
      </c>
      <c r="E16" s="29">
        <v>120000</v>
      </c>
    </row>
    <row r="17" spans="1:11" x14ac:dyDescent="0.35">
      <c r="A17" s="26" t="s">
        <v>67</v>
      </c>
      <c r="B17" s="29">
        <v>65000</v>
      </c>
      <c r="C17" s="29">
        <v>65000</v>
      </c>
      <c r="D17" s="29">
        <v>65000</v>
      </c>
      <c r="E17" s="29">
        <v>65000</v>
      </c>
    </row>
    <row r="18" spans="1:11" x14ac:dyDescent="0.35">
      <c r="A18" s="26" t="s">
        <v>68</v>
      </c>
      <c r="B18" s="29">
        <v>25000</v>
      </c>
      <c r="C18" s="29">
        <v>25000</v>
      </c>
      <c r="D18" s="29">
        <v>25000</v>
      </c>
      <c r="E18" s="29">
        <v>25000</v>
      </c>
    </row>
    <row r="19" spans="1:11" x14ac:dyDescent="0.35">
      <c r="A19" s="26" t="s">
        <v>69</v>
      </c>
      <c r="B19" s="29">
        <v>3000</v>
      </c>
      <c r="C19" s="29">
        <v>4000</v>
      </c>
      <c r="D19" s="29">
        <v>5000</v>
      </c>
      <c r="E19" s="29">
        <v>2000</v>
      </c>
    </row>
    <row r="20" spans="1:11" x14ac:dyDescent="0.35">
      <c r="A20" s="26" t="s">
        <v>70</v>
      </c>
      <c r="B20" s="29">
        <v>500</v>
      </c>
      <c r="C20" s="29">
        <v>500</v>
      </c>
      <c r="D20" s="29">
        <v>500</v>
      </c>
      <c r="E20" s="29">
        <v>500</v>
      </c>
    </row>
    <row r="21" spans="1:11" x14ac:dyDescent="0.35">
      <c r="A21" s="26" t="s">
        <v>71</v>
      </c>
      <c r="B21" s="36">
        <f>SUM(B13,B16:B20)</f>
        <v>643500</v>
      </c>
      <c r="C21" s="36">
        <f>SUM(C13,C16:C20)</f>
        <v>664500</v>
      </c>
      <c r="D21" s="36">
        <f>SUM(D13,D16:D20)</f>
        <v>635500</v>
      </c>
      <c r="E21" s="36">
        <f>SUM(E13,E16:E20)</f>
        <v>612500</v>
      </c>
      <c r="I21" s="45"/>
    </row>
    <row r="22" spans="1:11" x14ac:dyDescent="0.35">
      <c r="A22" s="26" t="s">
        <v>20</v>
      </c>
      <c r="B22" s="36">
        <f>B4-B21</f>
        <v>356500</v>
      </c>
      <c r="C22" s="36">
        <f>C4-C21</f>
        <v>335500</v>
      </c>
      <c r="D22" s="36">
        <f>D4-D21</f>
        <v>364500</v>
      </c>
      <c r="E22" s="36">
        <f>E4-E21</f>
        <v>387500</v>
      </c>
      <c r="I22" s="46"/>
      <c r="J22" s="47"/>
      <c r="K22" s="46"/>
    </row>
    <row r="23" spans="1:11" s="43" customFormat="1" x14ac:dyDescent="0.35">
      <c r="A23" s="43" t="s">
        <v>72</v>
      </c>
      <c r="B23" s="48">
        <f>B22/B4</f>
        <v>0.35649999999999998</v>
      </c>
      <c r="C23" s="48">
        <f>C22/C4</f>
        <v>0.33550000000000002</v>
      </c>
      <c r="D23" s="48">
        <f>D22/D4</f>
        <v>0.36449999999999999</v>
      </c>
      <c r="E23" s="48">
        <f>E22/E4</f>
        <v>0.38750000000000001</v>
      </c>
      <c r="I23" s="49"/>
      <c r="J23" s="50"/>
      <c r="K23" s="49"/>
    </row>
    <row r="26" spans="1:11" x14ac:dyDescent="0.35">
      <c r="A26" s="27" t="s">
        <v>55</v>
      </c>
      <c r="B26" s="51" t="s">
        <v>73</v>
      </c>
      <c r="C26" s="51" t="s">
        <v>74</v>
      </c>
      <c r="D26" s="51" t="s">
        <v>75</v>
      </c>
      <c r="E26" s="51" t="s">
        <v>76</v>
      </c>
    </row>
    <row r="27" spans="1:11" x14ac:dyDescent="0.35">
      <c r="A27" s="26" t="s">
        <v>77</v>
      </c>
    </row>
    <row r="28" spans="1:11" x14ac:dyDescent="0.35">
      <c r="A28" s="26" t="s">
        <v>78</v>
      </c>
      <c r="B28" s="52">
        <f>SUM(B6:B10)/B4</f>
        <v>0.28399999999999997</v>
      </c>
      <c r="C28" s="52">
        <f>SUM(C6:C10)/C4</f>
        <v>0.11700000000000001</v>
      </c>
      <c r="D28" s="52">
        <f>SUM(D6:D10)/D4</f>
        <v>0.14699999999999999</v>
      </c>
      <c r="E28" s="52">
        <f>SUM(E6:E10)/E4</f>
        <v>0.17699999999999999</v>
      </c>
    </row>
    <row r="29" spans="1:11" x14ac:dyDescent="0.35">
      <c r="B29" s="52"/>
      <c r="C29" s="52"/>
      <c r="D29" s="52"/>
    </row>
    <row r="30" spans="1:11" x14ac:dyDescent="0.35">
      <c r="B30" s="28">
        <v>42369</v>
      </c>
      <c r="C30" s="28">
        <v>42735</v>
      </c>
      <c r="D30" s="28">
        <v>43100</v>
      </c>
      <c r="E30" s="28">
        <v>43464</v>
      </c>
    </row>
    <row r="31" spans="1:11" x14ac:dyDescent="0.35">
      <c r="A31" s="26" t="s">
        <v>79</v>
      </c>
      <c r="B31" s="53">
        <f>B14</f>
        <v>0.56999999999999995</v>
      </c>
      <c r="C31" s="53">
        <f>C14</f>
        <v>0.55000000000000004</v>
      </c>
      <c r="D31" s="53">
        <f>D14</f>
        <v>0.57999999999999996</v>
      </c>
      <c r="E31" s="53">
        <f>E14</f>
        <v>0.6</v>
      </c>
    </row>
    <row r="33" spans="1:6" x14ac:dyDescent="0.35">
      <c r="A33" s="26" t="s">
        <v>80</v>
      </c>
      <c r="B33" s="53">
        <f t="shared" ref="B33" si="1">B23</f>
        <v>0.35649999999999998</v>
      </c>
      <c r="C33" s="53">
        <f>C23</f>
        <v>0.33550000000000002</v>
      </c>
      <c r="D33" s="53">
        <f>D23</f>
        <v>0.36449999999999999</v>
      </c>
      <c r="E33" s="53">
        <f>E23</f>
        <v>0.38750000000000001</v>
      </c>
    </row>
    <row r="35" spans="1:6" x14ac:dyDescent="0.35">
      <c r="A35" s="26" t="s">
        <v>57</v>
      </c>
      <c r="B35" s="36">
        <f t="shared" ref="B35" si="2">B22+B20</f>
        <v>357000</v>
      </c>
      <c r="C35" s="36">
        <f>C22+C20</f>
        <v>336000</v>
      </c>
      <c r="D35" s="36">
        <f>D22+D20</f>
        <v>365000</v>
      </c>
      <c r="E35" s="36">
        <f>E22+E20</f>
        <v>388000</v>
      </c>
    </row>
    <row r="40" spans="1:6" x14ac:dyDescent="0.35">
      <c r="A40" s="27" t="s">
        <v>81</v>
      </c>
      <c r="C40" s="26">
        <v>2015</v>
      </c>
      <c r="D40" s="26">
        <v>2016</v>
      </c>
      <c r="E40" s="26">
        <v>2017</v>
      </c>
      <c r="F40" s="42" t="s">
        <v>82</v>
      </c>
    </row>
    <row r="41" spans="1:6" x14ac:dyDescent="0.35">
      <c r="B41" s="42" t="s">
        <v>65</v>
      </c>
      <c r="C41" s="53">
        <f>B31</f>
        <v>0.56999999999999995</v>
      </c>
      <c r="D41" s="53">
        <f>C31</f>
        <v>0.55000000000000004</v>
      </c>
      <c r="E41" s="53">
        <f>D31</f>
        <v>0.57999999999999996</v>
      </c>
      <c r="F41" s="53">
        <f>E14</f>
        <v>0.6</v>
      </c>
    </row>
    <row r="42" spans="1:6" x14ac:dyDescent="0.35">
      <c r="B42" s="42" t="s">
        <v>72</v>
      </c>
      <c r="C42" s="53">
        <f>B33</f>
        <v>0.35649999999999998</v>
      </c>
      <c r="D42" s="53">
        <f>C33</f>
        <v>0.33550000000000002</v>
      </c>
      <c r="E42" s="53">
        <f>D33</f>
        <v>0.36449999999999999</v>
      </c>
      <c r="F42" s="53">
        <f>E23</f>
        <v>0.38750000000000001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8A59-9101-4D59-9FCD-A72D208F4365}">
  <dimension ref="A1:L75"/>
  <sheetViews>
    <sheetView showGridLines="0" topLeftCell="A8" workbookViewId="0">
      <selection activeCell="E19" sqref="E19"/>
    </sheetView>
  </sheetViews>
  <sheetFormatPr defaultColWidth="10.81640625" defaultRowHeight="14" x14ac:dyDescent="0.3"/>
  <cols>
    <col min="1" max="1" width="35.81640625" style="116" customWidth="1"/>
    <col min="2" max="2" width="40.453125" style="115" customWidth="1"/>
    <col min="3" max="16384" width="10.81640625" style="116"/>
  </cols>
  <sheetData>
    <row r="1" spans="1:12" ht="28.5" x14ac:dyDescent="0.65">
      <c r="A1" s="114" t="s">
        <v>156</v>
      </c>
    </row>
    <row r="10" spans="1:12" ht="16" x14ac:dyDescent="0.4">
      <c r="A10" s="117" t="s">
        <v>157</v>
      </c>
      <c r="B10" s="118" t="s">
        <v>158</v>
      </c>
      <c r="C10" s="119" t="s">
        <v>159</v>
      </c>
      <c r="D10" s="120"/>
    </row>
    <row r="11" spans="1:12" s="124" customFormat="1" ht="16" x14ac:dyDescent="0.3">
      <c r="A11" s="121"/>
      <c r="B11" s="122"/>
      <c r="C11" s="123"/>
      <c r="D11" s="123"/>
    </row>
    <row r="12" spans="1:12" ht="15.5" x14ac:dyDescent="0.35">
      <c r="A12" s="125" t="s">
        <v>160</v>
      </c>
      <c r="B12" s="126"/>
      <c r="C12" s="120"/>
      <c r="D12" s="120"/>
    </row>
    <row r="13" spans="1:12" ht="15" x14ac:dyDescent="0.3">
      <c r="A13" s="127" t="s">
        <v>161</v>
      </c>
      <c r="B13" s="128" t="s">
        <v>162</v>
      </c>
      <c r="C13" s="129">
        <v>0.4</v>
      </c>
      <c r="D13" s="120"/>
    </row>
    <row r="14" spans="1:12" ht="15.5" x14ac:dyDescent="0.35">
      <c r="A14" s="130" t="s">
        <v>163</v>
      </c>
      <c r="B14" s="128" t="s">
        <v>164</v>
      </c>
      <c r="C14" s="129">
        <v>0.5</v>
      </c>
      <c r="D14" s="120"/>
    </row>
    <row r="15" spans="1:12" ht="30" x14ac:dyDescent="0.3">
      <c r="A15" s="127" t="s">
        <v>165</v>
      </c>
      <c r="B15" s="128" t="s">
        <v>166</v>
      </c>
      <c r="C15" s="129">
        <v>0.4</v>
      </c>
      <c r="D15" s="120"/>
    </row>
    <row r="16" spans="1:12" ht="30.5" x14ac:dyDescent="0.35">
      <c r="A16" s="130" t="s">
        <v>167</v>
      </c>
      <c r="B16" s="128" t="s">
        <v>168</v>
      </c>
      <c r="C16" s="129">
        <v>0.5</v>
      </c>
      <c r="D16" s="120"/>
    </row>
    <row r="17" spans="1:4" ht="30" x14ac:dyDescent="0.3">
      <c r="A17" s="127" t="s">
        <v>169</v>
      </c>
      <c r="B17" s="128" t="s">
        <v>170</v>
      </c>
      <c r="C17" s="129">
        <v>0.5</v>
      </c>
      <c r="D17" s="120"/>
    </row>
    <row r="18" spans="1:4" ht="15.5" x14ac:dyDescent="0.35">
      <c r="A18" s="130" t="s">
        <v>171</v>
      </c>
      <c r="B18" s="128" t="s">
        <v>172</v>
      </c>
      <c r="C18" s="129"/>
      <c r="D18" s="120"/>
    </row>
    <row r="19" spans="1:4" ht="15.5" x14ac:dyDescent="0.35">
      <c r="A19" s="130" t="s">
        <v>173</v>
      </c>
      <c r="B19" s="128" t="s">
        <v>174</v>
      </c>
      <c r="C19" s="131">
        <v>0.61</v>
      </c>
      <c r="D19" s="120"/>
    </row>
    <row r="20" spans="1:4" ht="15" x14ac:dyDescent="0.3">
      <c r="A20" s="127" t="s">
        <v>175</v>
      </c>
      <c r="B20" s="128" t="s">
        <v>176</v>
      </c>
      <c r="C20" s="131">
        <v>0.157</v>
      </c>
      <c r="D20" s="120"/>
    </row>
    <row r="21" spans="1:4" ht="15.5" x14ac:dyDescent="0.35">
      <c r="A21" s="130" t="s">
        <v>177</v>
      </c>
      <c r="B21" s="128" t="s">
        <v>178</v>
      </c>
      <c r="C21" s="131">
        <v>-0.04</v>
      </c>
      <c r="D21" s="120"/>
    </row>
    <row r="22" spans="1:4" ht="15" x14ac:dyDescent="0.3">
      <c r="A22" s="132"/>
      <c r="B22" s="126"/>
      <c r="C22" s="120"/>
      <c r="D22" s="120"/>
    </row>
    <row r="23" spans="1:4" ht="15.5" x14ac:dyDescent="0.35">
      <c r="A23" s="125" t="s">
        <v>179</v>
      </c>
      <c r="B23" s="126"/>
      <c r="C23" s="120"/>
      <c r="D23" s="120"/>
    </row>
    <row r="24" spans="1:4" ht="15.5" x14ac:dyDescent="0.35">
      <c r="A24" s="130" t="s">
        <v>180</v>
      </c>
      <c r="B24" s="128" t="s">
        <v>181</v>
      </c>
      <c r="C24" s="129">
        <v>1.4</v>
      </c>
      <c r="D24" s="120"/>
    </row>
    <row r="25" spans="1:4" ht="30.5" x14ac:dyDescent="0.35">
      <c r="A25" s="130" t="s">
        <v>182</v>
      </c>
      <c r="B25" s="128" t="s">
        <v>183</v>
      </c>
      <c r="C25" s="129">
        <v>1.2</v>
      </c>
      <c r="D25" s="120"/>
    </row>
    <row r="26" spans="1:4" ht="30" x14ac:dyDescent="0.3">
      <c r="A26" s="127" t="s">
        <v>184</v>
      </c>
      <c r="B26" s="128" t="s">
        <v>185</v>
      </c>
      <c r="C26" s="129">
        <v>0.8</v>
      </c>
      <c r="D26" s="120"/>
    </row>
    <row r="27" spans="1:4" ht="30" x14ac:dyDescent="0.3">
      <c r="A27" s="127" t="s">
        <v>186</v>
      </c>
      <c r="B27" s="128" t="s">
        <v>187</v>
      </c>
      <c r="C27" s="129" t="s">
        <v>188</v>
      </c>
      <c r="D27" s="120"/>
    </row>
    <row r="28" spans="1:4" ht="30" x14ac:dyDescent="0.3">
      <c r="A28" s="127" t="s">
        <v>189</v>
      </c>
      <c r="B28" s="128" t="s">
        <v>190</v>
      </c>
      <c r="C28" s="129"/>
      <c r="D28" s="120"/>
    </row>
    <row r="29" spans="1:4" ht="15" x14ac:dyDescent="0.3">
      <c r="A29" s="120"/>
      <c r="B29" s="126"/>
      <c r="C29" s="120"/>
      <c r="D29" s="120"/>
    </row>
    <row r="30" spans="1:4" ht="15.5" x14ac:dyDescent="0.35">
      <c r="A30" s="133" t="s">
        <v>191</v>
      </c>
      <c r="B30" s="126"/>
      <c r="C30" s="120"/>
      <c r="D30" s="120"/>
    </row>
    <row r="31" spans="1:4" ht="15.5" x14ac:dyDescent="0.35">
      <c r="A31" s="130" t="s">
        <v>192</v>
      </c>
      <c r="B31" s="128" t="s">
        <v>193</v>
      </c>
      <c r="C31" s="129" t="s">
        <v>194</v>
      </c>
      <c r="D31" s="120"/>
    </row>
    <row r="32" spans="1:4" ht="15.5" x14ac:dyDescent="0.35">
      <c r="A32" s="130" t="s">
        <v>195</v>
      </c>
      <c r="B32" s="128" t="s">
        <v>196</v>
      </c>
      <c r="C32" s="129">
        <v>0</v>
      </c>
      <c r="D32" s="120"/>
    </row>
    <row r="33" spans="1:6" ht="30" x14ac:dyDescent="0.3">
      <c r="A33" s="127" t="s">
        <v>197</v>
      </c>
      <c r="B33" s="128" t="s">
        <v>198</v>
      </c>
      <c r="C33" s="129" t="s">
        <v>199</v>
      </c>
      <c r="D33" s="120"/>
    </row>
    <row r="34" spans="1:6" ht="30" x14ac:dyDescent="0.3">
      <c r="A34" s="127" t="s">
        <v>200</v>
      </c>
      <c r="B34" s="128" t="s">
        <v>201</v>
      </c>
      <c r="C34" s="129" t="s">
        <v>202</v>
      </c>
      <c r="D34" s="120"/>
    </row>
    <row r="35" spans="1:6" ht="15.5" x14ac:dyDescent="0.35">
      <c r="A35" s="130" t="s">
        <v>203</v>
      </c>
      <c r="B35" s="128" t="s">
        <v>204</v>
      </c>
      <c r="C35" s="129" t="s">
        <v>205</v>
      </c>
      <c r="D35" s="120"/>
    </row>
    <row r="36" spans="1:6" ht="30" x14ac:dyDescent="0.3">
      <c r="A36" s="127" t="s">
        <v>206</v>
      </c>
      <c r="B36" s="128" t="s">
        <v>207</v>
      </c>
      <c r="C36" s="129" t="s">
        <v>208</v>
      </c>
      <c r="D36" s="120"/>
    </row>
    <row r="37" spans="1:6" ht="15.5" x14ac:dyDescent="0.35">
      <c r="A37" s="130" t="s">
        <v>209</v>
      </c>
      <c r="B37" s="128" t="s">
        <v>210</v>
      </c>
      <c r="C37" s="129">
        <v>2.5</v>
      </c>
      <c r="D37" s="120"/>
    </row>
    <row r="38" spans="1:6" ht="15" x14ac:dyDescent="0.3">
      <c r="A38" s="127" t="s">
        <v>211</v>
      </c>
      <c r="B38" s="128" t="s">
        <v>212</v>
      </c>
      <c r="C38" s="129">
        <v>2.7</v>
      </c>
      <c r="D38" s="120"/>
      <c r="F38" s="134"/>
    </row>
    <row r="39" spans="1:6" ht="15" x14ac:dyDescent="0.3">
      <c r="A39" s="132"/>
      <c r="B39" s="126"/>
      <c r="C39" s="120"/>
      <c r="D39" s="120"/>
    </row>
    <row r="40" spans="1:6" ht="15.5" x14ac:dyDescent="0.35">
      <c r="A40" s="133" t="s">
        <v>213</v>
      </c>
      <c r="B40" s="126"/>
      <c r="C40" s="120"/>
      <c r="D40" s="120"/>
    </row>
    <row r="41" spans="1:6" ht="15" x14ac:dyDescent="0.3">
      <c r="A41" s="127" t="s">
        <v>214</v>
      </c>
      <c r="B41" s="128" t="s">
        <v>215</v>
      </c>
      <c r="C41" s="129">
        <v>0.4</v>
      </c>
      <c r="D41" s="120"/>
    </row>
    <row r="42" spans="1:6" ht="15" x14ac:dyDescent="0.3">
      <c r="A42" s="127" t="s">
        <v>216</v>
      </c>
      <c r="B42" s="128" t="s">
        <v>217</v>
      </c>
      <c r="C42" s="129">
        <v>0.4</v>
      </c>
      <c r="D42" s="120"/>
    </row>
    <row r="43" spans="1:6" ht="30.5" x14ac:dyDescent="0.35">
      <c r="A43" s="130" t="s">
        <v>218</v>
      </c>
      <c r="B43" s="128" t="s">
        <v>219</v>
      </c>
      <c r="C43" s="129">
        <v>0.6</v>
      </c>
      <c r="D43" s="120"/>
    </row>
    <row r="44" spans="1:6" ht="30" x14ac:dyDescent="0.3">
      <c r="A44" s="127" t="s">
        <v>220</v>
      </c>
      <c r="B44" s="128" t="s">
        <v>221</v>
      </c>
      <c r="C44" s="129">
        <v>1.6</v>
      </c>
      <c r="D44" s="120"/>
    </row>
    <row r="45" spans="1:6" ht="15" x14ac:dyDescent="0.3">
      <c r="A45" s="120"/>
      <c r="B45" s="120"/>
      <c r="C45" s="120"/>
      <c r="D45" s="120"/>
    </row>
    <row r="46" spans="1:6" ht="15.5" x14ac:dyDescent="0.35">
      <c r="A46" s="133" t="s">
        <v>222</v>
      </c>
      <c r="B46" s="126"/>
      <c r="C46" s="120"/>
      <c r="D46" s="120"/>
    </row>
    <row r="47" spans="1:6" ht="30.5" x14ac:dyDescent="0.35">
      <c r="A47" s="130" t="s">
        <v>223</v>
      </c>
      <c r="B47" s="128" t="s">
        <v>224</v>
      </c>
      <c r="C47" s="129">
        <v>2.7</v>
      </c>
      <c r="D47" s="120"/>
    </row>
    <row r="48" spans="1:6" ht="45" x14ac:dyDescent="0.3">
      <c r="A48" s="127" t="s">
        <v>225</v>
      </c>
      <c r="B48" s="128" t="s">
        <v>226</v>
      </c>
      <c r="C48" s="129">
        <v>0</v>
      </c>
      <c r="D48" s="120"/>
    </row>
    <row r="49" spans="1:4" ht="15" x14ac:dyDescent="0.3">
      <c r="A49" s="132"/>
      <c r="B49" s="126"/>
      <c r="C49" s="120"/>
      <c r="D49" s="120"/>
    </row>
    <row r="50" spans="1:4" ht="15.5" x14ac:dyDescent="0.35">
      <c r="A50" s="133" t="s">
        <v>227</v>
      </c>
      <c r="B50" s="126"/>
      <c r="C50" s="120"/>
      <c r="D50" s="120"/>
    </row>
    <row r="51" spans="1:4" ht="30" x14ac:dyDescent="0.3">
      <c r="A51" s="127" t="s">
        <v>228</v>
      </c>
      <c r="B51" s="128" t="s">
        <v>229</v>
      </c>
      <c r="C51" s="129"/>
      <c r="D51" s="120"/>
    </row>
    <row r="52" spans="1:4" ht="30" x14ac:dyDescent="0.3">
      <c r="A52" s="127" t="s">
        <v>230</v>
      </c>
      <c r="B52" s="135" t="s">
        <v>231</v>
      </c>
      <c r="C52" s="129"/>
      <c r="D52" s="120"/>
    </row>
    <row r="53" spans="1:4" ht="15" x14ac:dyDescent="0.3">
      <c r="A53" s="127" t="s">
        <v>232</v>
      </c>
      <c r="B53" s="128" t="s">
        <v>233</v>
      </c>
      <c r="C53" s="129"/>
      <c r="D53" s="120"/>
    </row>
    <row r="54" spans="1:4" ht="15" x14ac:dyDescent="0.3">
      <c r="A54" s="127" t="s">
        <v>234</v>
      </c>
      <c r="B54" s="128" t="s">
        <v>235</v>
      </c>
      <c r="C54" s="129"/>
      <c r="D54" s="120"/>
    </row>
    <row r="55" spans="1:4" ht="30" x14ac:dyDescent="0.3">
      <c r="A55" s="127" t="s">
        <v>236</v>
      </c>
      <c r="B55" s="128" t="s">
        <v>237</v>
      </c>
      <c r="C55" s="129"/>
      <c r="D55" s="120"/>
    </row>
    <row r="56" spans="1:4" ht="15" x14ac:dyDescent="0.3">
      <c r="A56" s="127" t="s">
        <v>238</v>
      </c>
      <c r="B56" s="128" t="s">
        <v>239</v>
      </c>
      <c r="C56" s="129">
        <v>0.3</v>
      </c>
      <c r="D56" s="120"/>
    </row>
    <row r="57" spans="1:4" ht="15" x14ac:dyDescent="0.3">
      <c r="A57" s="132"/>
      <c r="B57" s="126"/>
      <c r="C57" s="120"/>
      <c r="D57" s="120"/>
    </row>
    <row r="58" spans="1:4" ht="15.5" x14ac:dyDescent="0.35">
      <c r="A58" s="125" t="s">
        <v>240</v>
      </c>
      <c r="B58" s="126"/>
      <c r="C58" s="120"/>
      <c r="D58" s="120"/>
    </row>
    <row r="59" spans="1:4" ht="30" x14ac:dyDescent="0.3">
      <c r="A59" s="127" t="s">
        <v>241</v>
      </c>
      <c r="B59" s="128" t="s">
        <v>242</v>
      </c>
      <c r="C59" s="136">
        <v>46968</v>
      </c>
      <c r="D59" s="120"/>
    </row>
    <row r="60" spans="1:4" ht="15" x14ac:dyDescent="0.3">
      <c r="A60" s="127" t="s">
        <v>243</v>
      </c>
      <c r="B60" s="128" t="s">
        <v>244</v>
      </c>
      <c r="C60" s="129">
        <v>121.8</v>
      </c>
      <c r="D60" s="120"/>
    </row>
    <row r="61" spans="1:4" ht="15" x14ac:dyDescent="0.3">
      <c r="A61" s="132"/>
      <c r="B61" s="126"/>
      <c r="C61" s="120"/>
      <c r="D61" s="120"/>
    </row>
    <row r="62" spans="1:4" ht="15.5" x14ac:dyDescent="0.35">
      <c r="A62" s="133" t="s">
        <v>245</v>
      </c>
      <c r="B62" s="126"/>
      <c r="C62" s="120"/>
      <c r="D62" s="120"/>
    </row>
    <row r="63" spans="1:4" ht="15" x14ac:dyDescent="0.3">
      <c r="A63" s="127" t="s">
        <v>246</v>
      </c>
      <c r="B63" s="128" t="s">
        <v>247</v>
      </c>
      <c r="C63" s="129">
        <v>0.2</v>
      </c>
      <c r="D63" s="120"/>
    </row>
    <row r="64" spans="1:4" ht="15.5" x14ac:dyDescent="0.35">
      <c r="A64" s="130" t="s">
        <v>248</v>
      </c>
      <c r="B64" s="128" t="s">
        <v>249</v>
      </c>
      <c r="C64" s="129">
        <v>1</v>
      </c>
      <c r="D64" s="120"/>
    </row>
    <row r="65" spans="1:4" ht="30" x14ac:dyDescent="0.3">
      <c r="A65" s="127" t="s">
        <v>250</v>
      </c>
      <c r="B65" s="128" t="s">
        <v>251</v>
      </c>
      <c r="C65" s="129"/>
      <c r="D65" s="120"/>
    </row>
    <row r="66" spans="1:4" ht="30" x14ac:dyDescent="0.3">
      <c r="A66" s="127" t="s">
        <v>252</v>
      </c>
      <c r="B66" s="128" t="s">
        <v>253</v>
      </c>
      <c r="C66" s="129">
        <v>-4</v>
      </c>
      <c r="D66" s="120"/>
    </row>
    <row r="67" spans="1:4" ht="15" x14ac:dyDescent="0.3">
      <c r="A67" s="132"/>
      <c r="B67" s="126"/>
      <c r="C67" s="120"/>
      <c r="D67" s="120"/>
    </row>
    <row r="68" spans="1:4" ht="15.5" x14ac:dyDescent="0.35">
      <c r="A68" s="142" t="s">
        <v>254</v>
      </c>
      <c r="B68" s="142"/>
      <c r="C68" s="142"/>
      <c r="D68" s="142"/>
    </row>
    <row r="69" spans="1:4" ht="15" x14ac:dyDescent="0.3">
      <c r="A69" s="120"/>
      <c r="B69" s="126" t="s">
        <v>255</v>
      </c>
      <c r="C69" s="120"/>
      <c r="D69" s="120"/>
    </row>
    <row r="70" spans="1:4" ht="15" x14ac:dyDescent="0.3">
      <c r="A70" s="120" t="s">
        <v>256</v>
      </c>
      <c r="B70" s="126">
        <v>3.3</v>
      </c>
      <c r="C70" s="120">
        <f>$B$70*$C$13</f>
        <v>1.32</v>
      </c>
      <c r="D70" s="120"/>
    </row>
    <row r="71" spans="1:4" ht="15" x14ac:dyDescent="0.3">
      <c r="A71" s="120" t="s">
        <v>257</v>
      </c>
      <c r="B71" s="126">
        <v>0.999</v>
      </c>
      <c r="C71" s="120">
        <f>$B$71*$C$37</f>
        <v>2.4975000000000001</v>
      </c>
      <c r="D71" s="120"/>
    </row>
    <row r="72" spans="1:4" ht="15" x14ac:dyDescent="0.3">
      <c r="A72" s="120" t="s">
        <v>258</v>
      </c>
      <c r="B72" s="126">
        <v>0.6</v>
      </c>
      <c r="C72" s="120">
        <f>$B$72*$C$44</f>
        <v>0.96</v>
      </c>
      <c r="D72" s="120"/>
    </row>
    <row r="73" spans="1:4" ht="15" x14ac:dyDescent="0.3">
      <c r="A73" s="120" t="s">
        <v>259</v>
      </c>
      <c r="B73" s="126">
        <v>1.2</v>
      </c>
      <c r="C73" s="120">
        <f>$B$73 *$C$63</f>
        <v>0.24</v>
      </c>
      <c r="D73" s="120"/>
    </row>
    <row r="74" spans="1:4" ht="15" x14ac:dyDescent="0.3">
      <c r="A74" s="120" t="s">
        <v>238</v>
      </c>
      <c r="B74" s="126">
        <v>1.4</v>
      </c>
      <c r="C74" s="120">
        <f>$B$74*$C$56</f>
        <v>0.42</v>
      </c>
      <c r="D74" s="120"/>
    </row>
    <row r="75" spans="1:4" ht="15.5" x14ac:dyDescent="0.35">
      <c r="A75" s="137" t="s">
        <v>254</v>
      </c>
      <c r="B75" s="126"/>
      <c r="C75" s="137">
        <f>SUM(C70:C74)</f>
        <v>5.4375</v>
      </c>
      <c r="D75" s="120"/>
    </row>
  </sheetData>
  <mergeCells count="1">
    <mergeCell ref="A68:D68"/>
  </mergeCells>
  <conditionalFormatting sqref="C75">
    <cfRule type="cellIs" dxfId="2" priority="1" operator="greaterThanOrEqual">
      <formula>3</formula>
    </cfRule>
    <cfRule type="cellIs" dxfId="1" priority="2" operator="between">
      <formula>1.9</formula>
      <formula>2.99</formula>
    </cfRule>
    <cfRule type="cellIs" dxfId="0" priority="3" operator="lessThanOrEqual">
      <formula>1.87</formula>
    </cfRule>
  </conditionalFormatting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AC3B-A18C-4070-9BB7-E5DB38147627}">
  <dimension ref="A1:L67"/>
  <sheetViews>
    <sheetView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C22" sqref="C22"/>
    </sheetView>
  </sheetViews>
  <sheetFormatPr defaultColWidth="11.453125" defaultRowHeight="14.5" x14ac:dyDescent="0.35"/>
  <cols>
    <col min="2" max="2" width="36.81640625" customWidth="1"/>
    <col min="6" max="6" width="10.81640625" customWidth="1"/>
  </cols>
  <sheetData>
    <row r="1" spans="1:12" ht="38" customHeight="1" x14ac:dyDescent="0.65">
      <c r="A1" s="114" t="s">
        <v>260</v>
      </c>
    </row>
    <row r="2" spans="1:12" ht="29" x14ac:dyDescent="0.35">
      <c r="B2" s="138" t="s">
        <v>261</v>
      </c>
      <c r="C2" s="138" t="s">
        <v>262</v>
      </c>
      <c r="D2" s="138" t="s">
        <v>263</v>
      </c>
      <c r="E2" s="138" t="s">
        <v>264</v>
      </c>
      <c r="F2" s="138" t="s">
        <v>265</v>
      </c>
      <c r="G2" s="139"/>
      <c r="H2" s="139"/>
      <c r="I2" s="139"/>
      <c r="J2" s="139"/>
    </row>
    <row r="3" spans="1:12" x14ac:dyDescent="0.35">
      <c r="B3" s="140" t="s">
        <v>266</v>
      </c>
      <c r="C3" s="140">
        <v>5</v>
      </c>
      <c r="D3" s="140">
        <v>4</v>
      </c>
      <c r="E3" s="140">
        <v>1</v>
      </c>
      <c r="F3" s="140">
        <v>-3</v>
      </c>
      <c r="G3" s="139"/>
      <c r="H3" s="139"/>
      <c r="I3" s="139"/>
      <c r="J3" s="139"/>
    </row>
    <row r="4" spans="1:12" x14ac:dyDescent="0.35">
      <c r="B4" s="140" t="s">
        <v>267</v>
      </c>
      <c r="C4" s="140">
        <v>3</v>
      </c>
      <c r="D4" s="140">
        <v>3</v>
      </c>
      <c r="E4" s="140">
        <v>1</v>
      </c>
      <c r="F4" s="140">
        <v>0</v>
      </c>
      <c r="G4" s="139"/>
      <c r="H4" s="139"/>
      <c r="I4" s="139"/>
      <c r="J4" s="139"/>
    </row>
    <row r="5" spans="1:12" x14ac:dyDescent="0.35">
      <c r="B5" s="140" t="s">
        <v>268</v>
      </c>
      <c r="C5" s="140">
        <v>6</v>
      </c>
      <c r="D5" s="140">
        <v>4</v>
      </c>
      <c r="E5" s="140">
        <v>2</v>
      </c>
      <c r="F5" s="140">
        <v>-3</v>
      </c>
      <c r="G5" s="139"/>
      <c r="H5" s="139"/>
      <c r="I5" s="139"/>
      <c r="J5" s="139"/>
    </row>
    <row r="6" spans="1:12" x14ac:dyDescent="0.35">
      <c r="B6" s="140" t="s">
        <v>269</v>
      </c>
      <c r="C6" s="140">
        <v>6</v>
      </c>
      <c r="D6" s="140">
        <v>4</v>
      </c>
      <c r="E6" s="140">
        <v>2</v>
      </c>
      <c r="F6" s="140">
        <v>-3</v>
      </c>
      <c r="G6" s="139"/>
      <c r="H6" s="139"/>
      <c r="I6" s="139"/>
      <c r="J6" s="139"/>
    </row>
    <row r="7" spans="1:12" x14ac:dyDescent="0.35">
      <c r="B7" s="140" t="s">
        <v>270</v>
      </c>
      <c r="C7" s="140">
        <v>4</v>
      </c>
      <c r="D7" s="140">
        <v>4</v>
      </c>
      <c r="E7" s="140">
        <v>2</v>
      </c>
      <c r="F7" s="140">
        <v>-3</v>
      </c>
      <c r="G7" s="139"/>
      <c r="H7" s="139"/>
      <c r="I7" s="139"/>
      <c r="J7" s="139"/>
    </row>
    <row r="8" spans="1:12" ht="19" customHeight="1" x14ac:dyDescent="0.35">
      <c r="B8" s="140" t="s">
        <v>271</v>
      </c>
      <c r="C8" s="140">
        <v>3</v>
      </c>
      <c r="D8" s="140">
        <v>3</v>
      </c>
      <c r="E8" s="140">
        <v>1</v>
      </c>
      <c r="F8" s="140">
        <v>0</v>
      </c>
      <c r="G8" s="139"/>
      <c r="H8" s="141"/>
      <c r="I8" s="141"/>
      <c r="J8" s="141"/>
      <c r="K8" s="141"/>
      <c r="L8" s="141"/>
    </row>
    <row r="9" spans="1:12" x14ac:dyDescent="0.35">
      <c r="B9" s="140" t="s">
        <v>272</v>
      </c>
      <c r="C9" s="140">
        <v>4</v>
      </c>
      <c r="D9" s="140">
        <v>4</v>
      </c>
      <c r="E9" s="140">
        <v>2</v>
      </c>
      <c r="F9" s="140">
        <v>-3</v>
      </c>
      <c r="G9" s="139"/>
      <c r="H9" s="139"/>
      <c r="I9" s="139"/>
      <c r="J9" s="139"/>
    </row>
    <row r="10" spans="1:12" x14ac:dyDescent="0.35">
      <c r="B10" s="140" t="s">
        <v>273</v>
      </c>
      <c r="C10" s="140">
        <v>5</v>
      </c>
      <c r="D10" s="140">
        <v>4</v>
      </c>
      <c r="E10" s="140">
        <v>2</v>
      </c>
      <c r="F10" s="140">
        <v>0</v>
      </c>
      <c r="G10" s="139"/>
      <c r="H10" s="139"/>
      <c r="I10" s="139"/>
      <c r="J10" s="139"/>
    </row>
    <row r="11" spans="1:12" x14ac:dyDescent="0.35">
      <c r="B11" s="140" t="s">
        <v>274</v>
      </c>
      <c r="C11" s="140">
        <v>4</v>
      </c>
      <c r="D11" s="140">
        <v>4</v>
      </c>
      <c r="E11" s="140">
        <v>1</v>
      </c>
      <c r="F11" s="140">
        <v>0</v>
      </c>
      <c r="G11" s="139"/>
      <c r="H11" s="139"/>
      <c r="I11" s="139"/>
      <c r="J11" s="139"/>
    </row>
    <row r="12" spans="1:12" x14ac:dyDescent="0.35">
      <c r="B12" s="138"/>
      <c r="C12" s="138"/>
      <c r="D12" s="138"/>
      <c r="E12" s="138"/>
      <c r="F12" s="138"/>
      <c r="G12" s="139"/>
      <c r="H12" s="139"/>
      <c r="I12" s="139"/>
      <c r="J12" s="139"/>
    </row>
    <row r="13" spans="1:12" x14ac:dyDescent="0.35">
      <c r="B13" s="138" t="s">
        <v>275</v>
      </c>
      <c r="C13" s="138" t="s">
        <v>276</v>
      </c>
      <c r="D13" s="138" t="s">
        <v>277</v>
      </c>
      <c r="E13" s="138" t="s">
        <v>278</v>
      </c>
      <c r="F13" s="138" t="s">
        <v>279</v>
      </c>
      <c r="G13" s="139"/>
      <c r="H13" s="139"/>
      <c r="I13" s="139"/>
      <c r="J13" s="139"/>
    </row>
    <row r="14" spans="1:12" x14ac:dyDescent="0.35">
      <c r="B14" s="140" t="s">
        <v>280</v>
      </c>
      <c r="C14" s="140">
        <v>8</v>
      </c>
      <c r="D14" s="140">
        <v>6</v>
      </c>
      <c r="E14" s="140">
        <v>2</v>
      </c>
      <c r="F14" s="140">
        <v>-5</v>
      </c>
      <c r="G14" s="139"/>
      <c r="H14" s="139"/>
      <c r="I14" s="139"/>
      <c r="J14" s="139"/>
    </row>
    <row r="15" spans="1:12" x14ac:dyDescent="0.35">
      <c r="B15" s="140" t="s">
        <v>281</v>
      </c>
      <c r="C15" s="140">
        <v>5</v>
      </c>
      <c r="D15" s="140">
        <v>5</v>
      </c>
      <c r="E15" s="140">
        <v>2</v>
      </c>
      <c r="F15" s="140">
        <v>-5</v>
      </c>
      <c r="G15" s="139"/>
      <c r="H15" s="139"/>
      <c r="I15" s="139"/>
      <c r="J15" s="139"/>
    </row>
    <row r="16" spans="1:12" x14ac:dyDescent="0.35">
      <c r="B16" s="140" t="s">
        <v>282</v>
      </c>
      <c r="C16" s="140">
        <v>5</v>
      </c>
      <c r="D16" s="140">
        <v>5</v>
      </c>
      <c r="E16" s="140">
        <v>2</v>
      </c>
      <c r="F16" s="140">
        <v>-2</v>
      </c>
      <c r="G16" s="139"/>
      <c r="H16" s="139"/>
      <c r="I16" s="139"/>
      <c r="J16" s="139"/>
    </row>
    <row r="17" spans="2:10" x14ac:dyDescent="0.35">
      <c r="B17" s="138"/>
      <c r="C17" s="138"/>
      <c r="D17" s="138"/>
      <c r="E17" s="138"/>
      <c r="F17" s="138"/>
      <c r="G17" s="139"/>
      <c r="H17" s="139"/>
      <c r="I17" s="139"/>
      <c r="J17" s="139"/>
    </row>
    <row r="18" spans="2:10" ht="29" x14ac:dyDescent="0.35">
      <c r="B18" s="138" t="s">
        <v>283</v>
      </c>
      <c r="C18" s="138" t="s">
        <v>284</v>
      </c>
      <c r="D18" s="138" t="s">
        <v>285</v>
      </c>
      <c r="E18" s="138" t="s">
        <v>286</v>
      </c>
      <c r="F18" s="138" t="s">
        <v>287</v>
      </c>
      <c r="G18" s="139"/>
      <c r="H18" s="139"/>
      <c r="I18" s="139"/>
      <c r="J18" s="139"/>
    </row>
    <row r="19" spans="2:10" x14ac:dyDescent="0.35">
      <c r="B19" s="140" t="s">
        <v>288</v>
      </c>
      <c r="C19" s="140">
        <v>6</v>
      </c>
      <c r="D19" s="140">
        <v>5</v>
      </c>
      <c r="E19" s="140">
        <v>4</v>
      </c>
      <c r="F19" s="140">
        <v>2</v>
      </c>
      <c r="G19" s="139"/>
      <c r="H19" s="139"/>
      <c r="I19" s="139"/>
      <c r="J19" s="139"/>
    </row>
    <row r="20" spans="2:10" x14ac:dyDescent="0.35">
      <c r="B20" s="140" t="s">
        <v>289</v>
      </c>
      <c r="C20" s="140">
        <v>7</v>
      </c>
      <c r="D20" s="140">
        <v>6</v>
      </c>
      <c r="E20" s="140">
        <v>5</v>
      </c>
      <c r="F20" s="140">
        <v>3</v>
      </c>
      <c r="G20" s="139"/>
      <c r="H20" s="139"/>
      <c r="I20" s="139"/>
      <c r="J20" s="139"/>
    </row>
    <row r="21" spans="2:10" x14ac:dyDescent="0.35">
      <c r="B21" s="140" t="s">
        <v>290</v>
      </c>
      <c r="C21" s="140">
        <v>7</v>
      </c>
      <c r="D21" s="140">
        <v>7</v>
      </c>
      <c r="E21" s="140">
        <v>5</v>
      </c>
      <c r="F21" s="140">
        <v>2</v>
      </c>
      <c r="G21" s="139"/>
      <c r="H21" s="139"/>
      <c r="I21" s="139"/>
      <c r="J21" s="139"/>
    </row>
    <row r="22" spans="2:10" x14ac:dyDescent="0.35">
      <c r="B22" s="140"/>
      <c r="C22" s="138"/>
      <c r="D22" s="140"/>
      <c r="E22" s="140"/>
      <c r="F22" s="140"/>
      <c r="G22" s="139"/>
      <c r="H22" s="139"/>
      <c r="I22" s="139"/>
      <c r="J22" s="139"/>
    </row>
    <row r="23" spans="2:10" ht="29" x14ac:dyDescent="0.35">
      <c r="B23" s="138" t="s">
        <v>291</v>
      </c>
      <c r="C23" s="138" t="s">
        <v>292</v>
      </c>
      <c r="D23" s="138" t="s">
        <v>293</v>
      </c>
      <c r="E23" s="138" t="s">
        <v>294</v>
      </c>
      <c r="F23" s="138" t="s">
        <v>295</v>
      </c>
      <c r="G23" s="139"/>
      <c r="H23" s="139"/>
      <c r="I23" s="139"/>
      <c r="J23" s="139"/>
    </row>
    <row r="24" spans="2:10" x14ac:dyDescent="0.35">
      <c r="B24" s="140" t="s">
        <v>296</v>
      </c>
      <c r="C24" s="140">
        <v>9</v>
      </c>
      <c r="D24" s="140">
        <v>6</v>
      </c>
      <c r="E24" s="140">
        <v>3</v>
      </c>
      <c r="F24" s="140">
        <v>-5</v>
      </c>
      <c r="G24" s="139"/>
      <c r="H24" s="139"/>
      <c r="I24" s="139"/>
      <c r="J24" s="139"/>
    </row>
    <row r="25" spans="2:10" x14ac:dyDescent="0.35">
      <c r="B25" s="140" t="s">
        <v>297</v>
      </c>
      <c r="C25" s="140">
        <v>5</v>
      </c>
      <c r="D25" s="140">
        <v>5</v>
      </c>
      <c r="E25" s="140">
        <v>3</v>
      </c>
      <c r="F25" s="140">
        <v>3</v>
      </c>
      <c r="G25" s="139"/>
      <c r="H25" s="139"/>
      <c r="I25" s="139"/>
      <c r="J25" s="139"/>
    </row>
    <row r="26" spans="2:10" x14ac:dyDescent="0.35">
      <c r="B26" s="140" t="s">
        <v>298</v>
      </c>
      <c r="C26" s="140">
        <v>4</v>
      </c>
      <c r="D26" s="140">
        <v>3</v>
      </c>
      <c r="E26" s="140">
        <v>2</v>
      </c>
      <c r="F26" s="140">
        <v>2</v>
      </c>
      <c r="G26" s="139"/>
      <c r="H26" s="139"/>
      <c r="I26" s="139"/>
      <c r="J26" s="139"/>
    </row>
    <row r="27" spans="2:10" x14ac:dyDescent="0.35">
      <c r="B27" s="140" t="s">
        <v>299</v>
      </c>
      <c r="C27" s="140">
        <v>4</v>
      </c>
      <c r="D27" s="140">
        <v>4</v>
      </c>
      <c r="E27" s="140">
        <v>2</v>
      </c>
      <c r="F27" s="140">
        <v>0</v>
      </c>
      <c r="G27" s="139"/>
      <c r="H27" s="139"/>
      <c r="I27" s="139"/>
      <c r="J27" s="139"/>
    </row>
    <row r="28" spans="2:10" x14ac:dyDescent="0.35">
      <c r="B28" s="138" t="s">
        <v>300</v>
      </c>
      <c r="C28" s="138">
        <v>100</v>
      </c>
      <c r="D28" s="140"/>
      <c r="E28" s="140"/>
      <c r="F28" s="140"/>
      <c r="G28" s="139"/>
      <c r="H28" s="139"/>
      <c r="I28" s="139"/>
      <c r="J28" s="139"/>
    </row>
    <row r="29" spans="2:10" x14ac:dyDescent="0.35">
      <c r="B29" s="143"/>
      <c r="C29" s="143"/>
      <c r="D29" s="143"/>
      <c r="E29" s="143"/>
      <c r="F29" s="143"/>
      <c r="G29" s="139"/>
      <c r="H29" s="139"/>
      <c r="I29" s="139"/>
      <c r="J29" s="139"/>
    </row>
    <row r="30" spans="2:10" x14ac:dyDescent="0.35">
      <c r="B30" s="139"/>
      <c r="C30" s="139"/>
      <c r="D30" s="139"/>
      <c r="E30" s="139"/>
      <c r="F30" s="139"/>
      <c r="G30" s="139"/>
      <c r="H30" s="139"/>
      <c r="I30" s="139"/>
      <c r="J30" s="139"/>
    </row>
    <row r="31" spans="2:10" x14ac:dyDescent="0.35">
      <c r="B31" s="139"/>
      <c r="C31" s="139"/>
      <c r="D31" s="139"/>
      <c r="E31" s="139"/>
      <c r="F31" s="139"/>
      <c r="G31" s="139"/>
      <c r="H31" s="139"/>
      <c r="I31" s="139"/>
      <c r="J31" s="139"/>
    </row>
    <row r="32" spans="2:10" x14ac:dyDescent="0.35">
      <c r="B32" s="139"/>
      <c r="C32" s="139"/>
      <c r="D32" s="139"/>
      <c r="E32" s="139"/>
      <c r="F32" s="139"/>
      <c r="G32" s="139"/>
      <c r="H32" s="139"/>
      <c r="I32" s="139"/>
      <c r="J32" s="139"/>
    </row>
    <row r="33" spans="2:10" x14ac:dyDescent="0.35">
      <c r="B33" s="139"/>
      <c r="C33" s="139"/>
      <c r="D33" s="139"/>
      <c r="E33" s="139"/>
      <c r="F33" s="139"/>
      <c r="G33" s="139"/>
      <c r="H33" s="139"/>
      <c r="I33" s="139"/>
      <c r="J33" s="139"/>
    </row>
    <row r="34" spans="2:10" x14ac:dyDescent="0.35">
      <c r="B34" s="139"/>
      <c r="C34" s="139"/>
      <c r="D34" s="139"/>
      <c r="E34" s="139"/>
      <c r="F34" s="139"/>
      <c r="G34" s="139"/>
      <c r="H34" s="139"/>
      <c r="I34" s="139"/>
      <c r="J34" s="139"/>
    </row>
    <row r="35" spans="2:10" x14ac:dyDescent="0.35">
      <c r="B35" s="139"/>
      <c r="C35" s="139"/>
      <c r="D35" s="139"/>
      <c r="E35" s="139"/>
      <c r="F35" s="139"/>
      <c r="G35" s="139"/>
      <c r="H35" s="139"/>
      <c r="I35" s="139"/>
      <c r="J35" s="139"/>
    </row>
    <row r="36" spans="2:10" x14ac:dyDescent="0.35">
      <c r="B36" s="139"/>
      <c r="C36" s="139"/>
      <c r="D36" s="139"/>
      <c r="E36" s="139"/>
      <c r="F36" s="139"/>
      <c r="G36" s="139"/>
      <c r="H36" s="139"/>
      <c r="I36" s="139"/>
      <c r="J36" s="139"/>
    </row>
    <row r="37" spans="2:10" x14ac:dyDescent="0.35">
      <c r="B37" s="139"/>
      <c r="C37" s="139"/>
      <c r="D37" s="139"/>
      <c r="E37" s="139"/>
      <c r="F37" s="139"/>
      <c r="G37" s="139"/>
      <c r="H37" s="139"/>
      <c r="I37" s="139"/>
      <c r="J37" s="139"/>
    </row>
    <row r="38" spans="2:10" x14ac:dyDescent="0.35">
      <c r="B38" s="139"/>
      <c r="C38" s="139"/>
      <c r="D38" s="139"/>
      <c r="E38" s="139"/>
      <c r="F38" s="139"/>
      <c r="G38" s="139"/>
      <c r="H38" s="139"/>
      <c r="I38" s="139"/>
      <c r="J38" s="139"/>
    </row>
    <row r="39" spans="2:10" x14ac:dyDescent="0.35">
      <c r="B39" s="139"/>
      <c r="C39" s="139"/>
      <c r="D39" s="139"/>
      <c r="E39" s="139"/>
      <c r="F39" s="139"/>
      <c r="G39" s="139"/>
      <c r="H39" s="139"/>
      <c r="I39" s="139"/>
      <c r="J39" s="139"/>
    </row>
    <row r="40" spans="2:10" x14ac:dyDescent="0.35">
      <c r="B40" s="139"/>
      <c r="C40" s="139"/>
      <c r="D40" s="139"/>
      <c r="E40" s="139"/>
      <c r="F40" s="139"/>
      <c r="G40" s="139"/>
      <c r="H40" s="139"/>
      <c r="I40" s="139"/>
      <c r="J40" s="139"/>
    </row>
    <row r="41" spans="2:10" x14ac:dyDescent="0.35">
      <c r="B41" s="139"/>
      <c r="C41" s="139"/>
      <c r="D41" s="139"/>
      <c r="E41" s="139"/>
      <c r="F41" s="139"/>
      <c r="G41" s="139"/>
      <c r="H41" s="139"/>
      <c r="I41" s="139"/>
      <c r="J41" s="139"/>
    </row>
    <row r="42" spans="2:10" x14ac:dyDescent="0.35">
      <c r="B42" s="139"/>
      <c r="C42" s="139"/>
      <c r="D42" s="139"/>
      <c r="E42" s="139"/>
      <c r="F42" s="139"/>
      <c r="G42" s="139"/>
      <c r="H42" s="139"/>
      <c r="I42" s="139"/>
      <c r="J42" s="139"/>
    </row>
    <row r="43" spans="2:10" x14ac:dyDescent="0.35">
      <c r="B43" s="139"/>
      <c r="C43" s="139"/>
      <c r="D43" s="139"/>
      <c r="E43" s="139"/>
      <c r="F43" s="139"/>
      <c r="G43" s="139"/>
      <c r="H43" s="139"/>
      <c r="I43" s="139"/>
      <c r="J43" s="139"/>
    </row>
    <row r="44" spans="2:10" x14ac:dyDescent="0.35">
      <c r="B44" s="139"/>
      <c r="C44" s="139"/>
      <c r="D44" s="139"/>
      <c r="E44" s="139"/>
      <c r="F44" s="139"/>
      <c r="G44" s="139"/>
      <c r="H44" s="139"/>
      <c r="I44" s="139"/>
      <c r="J44" s="139"/>
    </row>
    <row r="45" spans="2:10" x14ac:dyDescent="0.35">
      <c r="B45" s="139"/>
      <c r="C45" s="139"/>
      <c r="D45" s="139"/>
      <c r="E45" s="139"/>
      <c r="F45" s="139"/>
      <c r="G45" s="139"/>
      <c r="H45" s="139"/>
      <c r="I45" s="139"/>
      <c r="J45" s="139"/>
    </row>
    <row r="46" spans="2:10" x14ac:dyDescent="0.35">
      <c r="B46" s="139"/>
      <c r="C46" s="139"/>
      <c r="D46" s="139"/>
      <c r="E46" s="139"/>
      <c r="F46" s="139"/>
      <c r="G46" s="139"/>
      <c r="H46" s="139"/>
      <c r="I46" s="139"/>
      <c r="J46" s="139"/>
    </row>
    <row r="47" spans="2:10" x14ac:dyDescent="0.35">
      <c r="B47" s="139"/>
      <c r="C47" s="139"/>
      <c r="D47" s="139"/>
      <c r="E47" s="139"/>
      <c r="F47" s="139"/>
      <c r="G47" s="139"/>
      <c r="H47" s="139"/>
      <c r="I47" s="139"/>
      <c r="J47" s="139"/>
    </row>
    <row r="48" spans="2:10" x14ac:dyDescent="0.35">
      <c r="B48" s="139"/>
      <c r="C48" s="139"/>
      <c r="D48" s="139"/>
      <c r="E48" s="139"/>
      <c r="F48" s="139"/>
      <c r="G48" s="139"/>
      <c r="H48" s="139"/>
      <c r="I48" s="139"/>
      <c r="J48" s="139"/>
    </row>
    <row r="49" spans="2:10" x14ac:dyDescent="0.35">
      <c r="B49" s="139"/>
      <c r="C49" s="139"/>
      <c r="D49" s="139"/>
      <c r="E49" s="139"/>
      <c r="F49" s="139"/>
      <c r="G49" s="139"/>
      <c r="H49" s="139"/>
      <c r="I49" s="139"/>
      <c r="J49" s="139"/>
    </row>
    <row r="50" spans="2:10" x14ac:dyDescent="0.35">
      <c r="B50" s="139"/>
      <c r="C50" s="139"/>
      <c r="D50" s="139"/>
      <c r="E50" s="139"/>
      <c r="F50" s="139"/>
      <c r="G50" s="139"/>
      <c r="H50" s="139"/>
      <c r="I50" s="139"/>
      <c r="J50" s="139"/>
    </row>
    <row r="51" spans="2:10" x14ac:dyDescent="0.35">
      <c r="B51" s="139"/>
      <c r="C51" s="139"/>
      <c r="D51" s="139"/>
      <c r="E51" s="139"/>
      <c r="F51" s="139"/>
      <c r="G51" s="139"/>
      <c r="H51" s="139"/>
      <c r="I51" s="139"/>
      <c r="J51" s="139"/>
    </row>
    <row r="52" spans="2:10" x14ac:dyDescent="0.35">
      <c r="B52" s="139"/>
      <c r="C52" s="139"/>
      <c r="D52" s="139"/>
      <c r="E52" s="139"/>
      <c r="F52" s="139"/>
      <c r="G52" s="139"/>
      <c r="H52" s="139"/>
      <c r="I52" s="139"/>
      <c r="J52" s="139"/>
    </row>
    <row r="53" spans="2:10" x14ac:dyDescent="0.35">
      <c r="B53" s="139"/>
      <c r="C53" s="139"/>
      <c r="D53" s="139"/>
      <c r="E53" s="139"/>
      <c r="F53" s="139"/>
      <c r="G53" s="139"/>
      <c r="H53" s="139"/>
      <c r="I53" s="139"/>
      <c r="J53" s="139"/>
    </row>
    <row r="54" spans="2:10" x14ac:dyDescent="0.35">
      <c r="B54" s="139"/>
      <c r="C54" s="139"/>
      <c r="D54" s="139"/>
      <c r="E54" s="139"/>
      <c r="F54" s="139"/>
      <c r="G54" s="139"/>
      <c r="H54" s="139"/>
      <c r="I54" s="139"/>
      <c r="J54" s="139"/>
    </row>
    <row r="55" spans="2:10" x14ac:dyDescent="0.35">
      <c r="B55" s="139"/>
      <c r="C55" s="139"/>
      <c r="D55" s="139"/>
      <c r="E55" s="139"/>
      <c r="F55" s="139"/>
      <c r="G55" s="139"/>
      <c r="H55" s="139"/>
      <c r="I55" s="139"/>
      <c r="J55" s="139"/>
    </row>
    <row r="56" spans="2:10" x14ac:dyDescent="0.35">
      <c r="B56" s="139"/>
      <c r="C56" s="139"/>
      <c r="D56" s="139"/>
      <c r="E56" s="139"/>
      <c r="F56" s="139"/>
      <c r="G56" s="139"/>
      <c r="H56" s="139"/>
      <c r="I56" s="139"/>
      <c r="J56" s="139"/>
    </row>
    <row r="57" spans="2:10" x14ac:dyDescent="0.35">
      <c r="B57" s="139"/>
      <c r="C57" s="139"/>
      <c r="D57" s="139"/>
      <c r="E57" s="139"/>
      <c r="F57" s="139"/>
      <c r="G57" s="139"/>
      <c r="H57" s="139"/>
      <c r="I57" s="139"/>
      <c r="J57" s="139"/>
    </row>
    <row r="58" spans="2:10" x14ac:dyDescent="0.35">
      <c r="B58" s="139"/>
      <c r="C58" s="139"/>
      <c r="D58" s="139"/>
      <c r="E58" s="139"/>
      <c r="F58" s="139"/>
      <c r="G58" s="139"/>
      <c r="H58" s="139"/>
      <c r="I58" s="139"/>
      <c r="J58" s="139"/>
    </row>
    <row r="59" spans="2:10" x14ac:dyDescent="0.35">
      <c r="B59" s="139"/>
      <c r="C59" s="139"/>
      <c r="D59" s="139"/>
      <c r="E59" s="139"/>
      <c r="F59" s="139"/>
      <c r="G59" s="139"/>
      <c r="H59" s="139"/>
      <c r="I59" s="139"/>
      <c r="J59" s="139"/>
    </row>
    <row r="60" spans="2:10" x14ac:dyDescent="0.35">
      <c r="B60" s="139"/>
      <c r="C60" s="139"/>
      <c r="D60" s="139"/>
      <c r="E60" s="139"/>
      <c r="F60" s="139"/>
      <c r="G60" s="139"/>
      <c r="H60" s="139"/>
      <c r="I60" s="139"/>
      <c r="J60" s="139"/>
    </row>
    <row r="61" spans="2:10" x14ac:dyDescent="0.35">
      <c r="B61" s="139"/>
      <c r="C61" s="139"/>
      <c r="D61" s="139"/>
      <c r="E61" s="139"/>
      <c r="F61" s="139"/>
      <c r="G61" s="139"/>
      <c r="H61" s="139"/>
      <c r="I61" s="139"/>
      <c r="J61" s="139"/>
    </row>
    <row r="62" spans="2:10" x14ac:dyDescent="0.35">
      <c r="B62" s="139"/>
      <c r="C62" s="139"/>
      <c r="D62" s="139"/>
      <c r="E62" s="139"/>
      <c r="F62" s="139"/>
      <c r="G62" s="139"/>
      <c r="H62" s="139"/>
      <c r="I62" s="139"/>
      <c r="J62" s="139"/>
    </row>
    <row r="63" spans="2:10" x14ac:dyDescent="0.35">
      <c r="B63" s="139"/>
      <c r="C63" s="139"/>
      <c r="D63" s="139"/>
      <c r="E63" s="139"/>
      <c r="F63" s="139"/>
      <c r="G63" s="139"/>
      <c r="H63" s="139"/>
      <c r="I63" s="139"/>
      <c r="J63" s="139"/>
    </row>
    <row r="64" spans="2:10" x14ac:dyDescent="0.35">
      <c r="B64" s="139"/>
      <c r="C64" s="139"/>
      <c r="D64" s="139"/>
      <c r="E64" s="139"/>
      <c r="F64" s="139"/>
      <c r="G64" s="139"/>
      <c r="H64" s="139"/>
      <c r="I64" s="139"/>
      <c r="J64" s="139"/>
    </row>
    <row r="65" spans="2:10" x14ac:dyDescent="0.35">
      <c r="B65" s="139"/>
      <c r="C65" s="139"/>
      <c r="D65" s="139"/>
      <c r="E65" s="139"/>
      <c r="F65" s="139"/>
      <c r="G65" s="139"/>
      <c r="H65" s="139"/>
      <c r="I65" s="139"/>
      <c r="J65" s="139"/>
    </row>
    <row r="66" spans="2:10" x14ac:dyDescent="0.35">
      <c r="B66" s="139"/>
      <c r="C66" s="139"/>
      <c r="D66" s="139"/>
      <c r="E66" s="139"/>
      <c r="F66" s="139"/>
      <c r="G66" s="139"/>
      <c r="H66" s="139"/>
      <c r="I66" s="139"/>
      <c r="J66" s="139"/>
    </row>
    <row r="67" spans="2:10" x14ac:dyDescent="0.35">
      <c r="B67" s="139"/>
      <c r="C67" s="139"/>
      <c r="D67" s="139"/>
      <c r="E67" s="139"/>
      <c r="F67" s="139"/>
      <c r="G67" s="139"/>
      <c r="H67" s="139"/>
      <c r="I67" s="139"/>
      <c r="J67" s="139"/>
    </row>
  </sheetData>
  <mergeCells count="1">
    <mergeCell ref="B29:F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1EE4-ED0D-4780-A682-523AF5C409BD}">
  <dimension ref="A1:K38"/>
  <sheetViews>
    <sheetView workbookViewId="0">
      <pane xSplit="1" ySplit="3" topLeftCell="B21" activePane="bottomRight" state="frozen"/>
      <selection activeCell="A22" sqref="A22"/>
      <selection pane="topRight" activeCell="A22" sqref="A22"/>
      <selection pane="bottomLeft" activeCell="A22" sqref="A22"/>
      <selection pane="bottomRight" activeCell="A37" sqref="A37"/>
    </sheetView>
  </sheetViews>
  <sheetFormatPr defaultRowHeight="15.5" x14ac:dyDescent="0.35"/>
  <cols>
    <col min="1" max="1" width="73.81640625" style="26" customWidth="1"/>
    <col min="2" max="4" width="10.81640625" style="26" customWidth="1"/>
    <col min="5" max="16384" width="8.7265625" style="26"/>
  </cols>
  <sheetData>
    <row r="1" spans="1:11" x14ac:dyDescent="0.35">
      <c r="B1" s="27" t="s">
        <v>34</v>
      </c>
      <c r="K1" s="27"/>
    </row>
    <row r="3" spans="1:11" x14ac:dyDescent="0.35">
      <c r="B3" s="28">
        <v>43100</v>
      </c>
      <c r="C3" s="28">
        <v>42735</v>
      </c>
      <c r="D3" s="28">
        <v>42369</v>
      </c>
    </row>
    <row r="4" spans="1:11" x14ac:dyDescent="0.35">
      <c r="A4" s="26" t="s">
        <v>35</v>
      </c>
      <c r="B4" s="29">
        <v>5000</v>
      </c>
      <c r="C4" s="29">
        <v>5000</v>
      </c>
      <c r="D4" s="29">
        <v>5000</v>
      </c>
    </row>
    <row r="5" spans="1:11" x14ac:dyDescent="0.35">
      <c r="A5" s="30" t="s">
        <v>28</v>
      </c>
      <c r="B5" s="29">
        <v>4000</v>
      </c>
      <c r="C5" s="29">
        <v>3000</v>
      </c>
      <c r="D5" s="29">
        <v>5000</v>
      </c>
    </row>
    <row r="6" spans="1:11" x14ac:dyDescent="0.35">
      <c r="A6" s="26" t="s">
        <v>36</v>
      </c>
      <c r="B6" s="29">
        <v>40000</v>
      </c>
      <c r="C6" s="29">
        <v>40000</v>
      </c>
      <c r="D6" s="29">
        <v>40000</v>
      </c>
    </row>
    <row r="7" spans="1:11" x14ac:dyDescent="0.35">
      <c r="A7" s="26" t="s">
        <v>37</v>
      </c>
      <c r="B7" s="29">
        <v>9000</v>
      </c>
      <c r="C7" s="29">
        <v>15000</v>
      </c>
      <c r="D7" s="29">
        <v>20000</v>
      </c>
    </row>
    <row r="8" spans="1:11" x14ac:dyDescent="0.35">
      <c r="B8" s="31"/>
      <c r="C8" s="31"/>
      <c r="D8" s="31"/>
    </row>
    <row r="9" spans="1:11" x14ac:dyDescent="0.35">
      <c r="A9" s="26" t="s">
        <v>38</v>
      </c>
      <c r="B9" s="29">
        <v>40000</v>
      </c>
      <c r="C9" s="29">
        <v>40000</v>
      </c>
      <c r="D9" s="29">
        <v>40000</v>
      </c>
    </row>
    <row r="10" spans="1:11" x14ac:dyDescent="0.35">
      <c r="A10" s="26" t="s">
        <v>39</v>
      </c>
      <c r="B10" s="29">
        <v>40000</v>
      </c>
      <c r="C10" s="29">
        <v>40000</v>
      </c>
      <c r="D10" s="29">
        <v>40000</v>
      </c>
    </row>
    <row r="11" spans="1:11" x14ac:dyDescent="0.35">
      <c r="A11" s="26" t="s">
        <v>40</v>
      </c>
      <c r="B11" s="29">
        <v>40000</v>
      </c>
      <c r="C11" s="29">
        <v>40000</v>
      </c>
      <c r="D11" s="29">
        <v>40000</v>
      </c>
    </row>
    <row r="12" spans="1:11" x14ac:dyDescent="0.35">
      <c r="A12" s="26" t="s">
        <v>41</v>
      </c>
      <c r="B12" s="29">
        <v>40000</v>
      </c>
      <c r="C12" s="29">
        <v>40000</v>
      </c>
      <c r="D12" s="29">
        <v>40000</v>
      </c>
    </row>
    <row r="13" spans="1:11" x14ac:dyDescent="0.35">
      <c r="A13" s="26" t="s">
        <v>42</v>
      </c>
      <c r="B13" s="29">
        <v>40000</v>
      </c>
      <c r="C13" s="29">
        <v>40000</v>
      </c>
      <c r="D13" s="29">
        <v>40000</v>
      </c>
    </row>
    <row r="14" spans="1:11" x14ac:dyDescent="0.35">
      <c r="A14" s="26" t="s">
        <v>43</v>
      </c>
      <c r="B14" s="29">
        <v>5000</v>
      </c>
      <c r="C14" s="29">
        <v>5000</v>
      </c>
      <c r="D14" s="29">
        <v>5000</v>
      </c>
    </row>
    <row r="15" spans="1:11" x14ac:dyDescent="0.35">
      <c r="A15" s="26" t="s">
        <v>44</v>
      </c>
      <c r="B15" s="32">
        <f>SUM(B9:B14)</f>
        <v>205000</v>
      </c>
      <c r="C15" s="32">
        <f t="shared" ref="C15:D15" si="0">SUM(C9:C14)</f>
        <v>205000</v>
      </c>
      <c r="D15" s="32">
        <f t="shared" si="0"/>
        <v>205000</v>
      </c>
    </row>
    <row r="16" spans="1:11" x14ac:dyDescent="0.35">
      <c r="B16" s="31"/>
      <c r="C16" s="31"/>
      <c r="D16" s="31"/>
    </row>
    <row r="17" spans="1:4" x14ac:dyDescent="0.35">
      <c r="A17" s="26" t="s">
        <v>45</v>
      </c>
      <c r="B17" s="33">
        <v>100</v>
      </c>
      <c r="C17" s="33">
        <v>100</v>
      </c>
      <c r="D17" s="33">
        <v>100</v>
      </c>
    </row>
    <row r="18" spans="1:4" x14ac:dyDescent="0.35">
      <c r="A18" s="26" t="s">
        <v>46</v>
      </c>
      <c r="B18" s="33">
        <v>100</v>
      </c>
      <c r="C18" s="33">
        <v>100</v>
      </c>
      <c r="D18" s="33">
        <v>100</v>
      </c>
    </row>
    <row r="19" spans="1:4" x14ac:dyDescent="0.35">
      <c r="A19" s="26" t="s">
        <v>47</v>
      </c>
      <c r="B19" s="33">
        <v>100</v>
      </c>
      <c r="C19" s="33">
        <v>100</v>
      </c>
      <c r="D19" s="33">
        <v>100</v>
      </c>
    </row>
    <row r="20" spans="1:4" x14ac:dyDescent="0.35">
      <c r="A20" s="26" t="s">
        <v>48</v>
      </c>
      <c r="B20" s="33">
        <v>100</v>
      </c>
      <c r="C20" s="33">
        <v>100</v>
      </c>
      <c r="D20" s="33">
        <v>100</v>
      </c>
    </row>
    <row r="21" spans="1:4" x14ac:dyDescent="0.35">
      <c r="A21" s="26" t="s">
        <v>49</v>
      </c>
      <c r="B21" s="33">
        <v>100</v>
      </c>
      <c r="C21" s="33">
        <v>100</v>
      </c>
      <c r="D21" s="33">
        <v>100</v>
      </c>
    </row>
    <row r="22" spans="1:4" x14ac:dyDescent="0.35">
      <c r="B22" s="31"/>
      <c r="C22" s="31"/>
      <c r="D22" s="31"/>
    </row>
    <row r="23" spans="1:4" x14ac:dyDescent="0.35">
      <c r="A23" s="26" t="s">
        <v>50</v>
      </c>
      <c r="B23" s="31"/>
      <c r="C23" s="31"/>
      <c r="D23" s="31"/>
    </row>
    <row r="24" spans="1:4" x14ac:dyDescent="0.35">
      <c r="A24" s="26" t="s">
        <v>51</v>
      </c>
      <c r="B24" s="29">
        <v>500</v>
      </c>
      <c r="C24" s="29">
        <v>500</v>
      </c>
      <c r="D24" s="29">
        <v>500</v>
      </c>
    </row>
    <row r="25" spans="1:4" x14ac:dyDescent="0.35">
      <c r="A25" s="26" t="s">
        <v>52</v>
      </c>
      <c r="B25" s="29">
        <v>15000</v>
      </c>
      <c r="C25" s="29">
        <v>15000</v>
      </c>
      <c r="D25" s="29">
        <v>15000</v>
      </c>
    </row>
    <row r="26" spans="1:4" x14ac:dyDescent="0.35">
      <c r="A26" s="26" t="s">
        <v>53</v>
      </c>
      <c r="B26" s="34">
        <v>0.2</v>
      </c>
      <c r="C26" s="34">
        <v>0.2</v>
      </c>
      <c r="D26" s="34">
        <v>0.2</v>
      </c>
    </row>
    <row r="27" spans="1:4" x14ac:dyDescent="0.35">
      <c r="A27" s="26" t="s">
        <v>54</v>
      </c>
      <c r="B27" s="29">
        <v>80000</v>
      </c>
      <c r="C27" s="29">
        <v>80000</v>
      </c>
      <c r="D27" s="29">
        <v>80000</v>
      </c>
    </row>
    <row r="29" spans="1:4" x14ac:dyDescent="0.35">
      <c r="A29" s="27" t="s">
        <v>55</v>
      </c>
    </row>
    <row r="30" spans="1:4" x14ac:dyDescent="0.35">
      <c r="A30" s="26" t="s">
        <v>56</v>
      </c>
      <c r="B30" s="35">
        <f>(B15+B5+B4)/B7</f>
        <v>23.777777777777779</v>
      </c>
      <c r="C30" s="35">
        <f t="shared" ref="C30:D30" si="1">(C15+C5+C4)/C7</f>
        <v>14.2</v>
      </c>
      <c r="D30" s="35">
        <f t="shared" si="1"/>
        <v>10.75</v>
      </c>
    </row>
    <row r="31" spans="1:4" x14ac:dyDescent="0.35">
      <c r="A31" s="26" t="s">
        <v>57</v>
      </c>
      <c r="B31" s="29">
        <f>'OLD Calc IS'!D22+'OLD Calc IS'!D20</f>
        <v>365000</v>
      </c>
      <c r="C31" s="29">
        <f>'OLD Calc IS'!C22+'OLD Calc IS'!C20</f>
        <v>336000</v>
      </c>
      <c r="D31" s="29">
        <f>'OLD Calc IS'!B22+'OLD Calc IS'!B20</f>
        <v>357000</v>
      </c>
    </row>
    <row r="32" spans="1:4" x14ac:dyDescent="0.35">
      <c r="A32" s="26" t="s">
        <v>58</v>
      </c>
      <c r="B32" s="36">
        <f>B6+(B5)+B4-B7</f>
        <v>40000</v>
      </c>
      <c r="C32" s="36">
        <f t="shared" ref="C32:D32" si="2">C6+(C5)+C4-C7</f>
        <v>33000</v>
      </c>
      <c r="D32" s="36">
        <f t="shared" si="2"/>
        <v>30000</v>
      </c>
    </row>
    <row r="33" spans="1:4" x14ac:dyDescent="0.35">
      <c r="A33" s="26" t="s">
        <v>59</v>
      </c>
      <c r="B33" s="37">
        <f>(B24+B25)/B27</f>
        <v>0.19375000000000001</v>
      </c>
      <c r="C33" s="37">
        <f t="shared" ref="C33:D33" si="3">(C24+C25)/C27</f>
        <v>0.19375000000000001</v>
      </c>
      <c r="D33" s="37">
        <f t="shared" si="3"/>
        <v>0.19375000000000001</v>
      </c>
    </row>
    <row r="35" spans="1:4" x14ac:dyDescent="0.35">
      <c r="A35" s="39" t="s">
        <v>60</v>
      </c>
      <c r="B35" s="40">
        <f>(B4+B5)/B7</f>
        <v>1</v>
      </c>
      <c r="C35" s="40">
        <f>(C4+C5)/C7</f>
        <v>0.53333333333333333</v>
      </c>
      <c r="D35" s="40">
        <f>(D4+D5)/D7</f>
        <v>0.5</v>
      </c>
    </row>
    <row r="37" spans="1:4" x14ac:dyDescent="0.35">
      <c r="A37" s="39"/>
    </row>
    <row r="38" spans="1:4" x14ac:dyDescent="0.35">
      <c r="A38" s="41"/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6B09-DCE5-4175-BDC0-FD4A3195A361}">
  <dimension ref="A1:R26"/>
  <sheetViews>
    <sheetView workbookViewId="0">
      <pane xSplit="1" ySplit="3" topLeftCell="B11" activePane="bottomRight" state="frozen"/>
      <selection activeCell="A22" sqref="A22"/>
      <selection pane="topRight" activeCell="A22" sqref="A22"/>
      <selection pane="bottomLeft" activeCell="A22" sqref="A22"/>
      <selection pane="bottomRight" activeCell="A23" sqref="A23"/>
    </sheetView>
  </sheetViews>
  <sheetFormatPr defaultRowHeight="15.5" x14ac:dyDescent="0.35"/>
  <cols>
    <col min="1" max="1" width="45" style="26" bestFit="1" customWidth="1"/>
    <col min="2" max="2" width="10.81640625" style="26" bestFit="1" customWidth="1"/>
    <col min="3" max="3" width="10.6328125" style="26" bestFit="1" customWidth="1"/>
    <col min="4" max="16384" width="8.7265625" style="26"/>
  </cols>
  <sheetData>
    <row r="1" spans="1:18" x14ac:dyDescent="0.35">
      <c r="B1" s="27" t="s">
        <v>61</v>
      </c>
    </row>
    <row r="2" spans="1:18" x14ac:dyDescent="0.35">
      <c r="A2" s="26" t="s">
        <v>83</v>
      </c>
    </row>
    <row r="3" spans="1:18" x14ac:dyDescent="0.35">
      <c r="A3" s="54"/>
      <c r="B3" s="28">
        <v>43191</v>
      </c>
      <c r="C3" s="28">
        <v>43221</v>
      </c>
      <c r="D3" s="28">
        <v>43252</v>
      </c>
      <c r="E3" s="28">
        <v>43282</v>
      </c>
      <c r="F3" s="28">
        <v>43313</v>
      </c>
      <c r="G3" s="28">
        <v>43344</v>
      </c>
      <c r="H3" s="28">
        <v>43374</v>
      </c>
      <c r="I3" s="28">
        <v>43405</v>
      </c>
      <c r="J3" s="28">
        <v>43435</v>
      </c>
      <c r="K3" s="28">
        <v>43466</v>
      </c>
      <c r="L3" s="28">
        <v>43497</v>
      </c>
      <c r="M3" s="28">
        <v>43525</v>
      </c>
      <c r="N3" s="28">
        <v>43556</v>
      </c>
      <c r="O3" s="28">
        <v>43586</v>
      </c>
      <c r="P3" s="28">
        <v>43617</v>
      </c>
      <c r="Q3" s="28">
        <v>43647</v>
      </c>
      <c r="R3" s="28">
        <v>43678</v>
      </c>
    </row>
    <row r="4" spans="1:18" x14ac:dyDescent="0.35">
      <c r="A4" s="26" t="s">
        <v>84</v>
      </c>
      <c r="B4" s="29">
        <v>12000</v>
      </c>
      <c r="C4" s="29">
        <f>12000+500</f>
        <v>12500</v>
      </c>
      <c r="D4" s="29">
        <f>C4+500</f>
        <v>13000</v>
      </c>
      <c r="E4" s="29">
        <f t="shared" ref="E4:L4" si="0">D4+500</f>
        <v>13500</v>
      </c>
      <c r="F4" s="29">
        <f t="shared" si="0"/>
        <v>14000</v>
      </c>
      <c r="G4" s="29">
        <f t="shared" si="0"/>
        <v>14500</v>
      </c>
      <c r="H4" s="29">
        <f t="shared" si="0"/>
        <v>15000</v>
      </c>
      <c r="I4" s="29">
        <f t="shared" si="0"/>
        <v>15500</v>
      </c>
      <c r="J4" s="29">
        <f t="shared" si="0"/>
        <v>16000</v>
      </c>
      <c r="K4" s="29">
        <f t="shared" si="0"/>
        <v>16500</v>
      </c>
      <c r="L4" s="29">
        <f t="shared" si="0"/>
        <v>17000</v>
      </c>
    </row>
    <row r="5" spans="1:18" x14ac:dyDescent="0.35">
      <c r="A5" s="26" t="s">
        <v>85</v>
      </c>
      <c r="B5" s="29">
        <v>18000</v>
      </c>
      <c r="C5" s="29">
        <v>18500</v>
      </c>
      <c r="D5" s="29">
        <v>19000</v>
      </c>
      <c r="E5" s="29">
        <v>19500</v>
      </c>
      <c r="F5" s="29">
        <v>20000</v>
      </c>
      <c r="G5" s="29">
        <v>20500</v>
      </c>
      <c r="H5" s="29">
        <v>21000</v>
      </c>
      <c r="I5" s="29">
        <v>21500</v>
      </c>
      <c r="J5" s="29">
        <v>22000</v>
      </c>
      <c r="K5" s="29">
        <v>22500</v>
      </c>
      <c r="L5" s="29">
        <v>23000</v>
      </c>
      <c r="M5" s="29">
        <v>23500</v>
      </c>
      <c r="N5" s="29">
        <v>24000</v>
      </c>
      <c r="O5" s="29">
        <v>24500</v>
      </c>
      <c r="P5" s="29">
        <v>25000</v>
      </c>
      <c r="Q5" s="29">
        <v>25500</v>
      </c>
      <c r="R5" s="29">
        <v>26000</v>
      </c>
    </row>
    <row r="7" spans="1:18" x14ac:dyDescent="0.35">
      <c r="A7" s="26" t="s">
        <v>86</v>
      </c>
      <c r="B7" s="29">
        <v>25000</v>
      </c>
      <c r="C7" s="29">
        <f>25000+500</f>
        <v>25500</v>
      </c>
      <c r="D7" s="29">
        <v>25001</v>
      </c>
      <c r="E7" s="29">
        <f t="shared" ref="E7" si="1">25000+500</f>
        <v>25500</v>
      </c>
      <c r="F7" s="29">
        <v>25002</v>
      </c>
      <c r="G7" s="29">
        <f t="shared" ref="G7:K7" si="2">25000+500</f>
        <v>25500</v>
      </c>
      <c r="H7" s="29">
        <v>25003</v>
      </c>
      <c r="I7" s="29">
        <f t="shared" si="2"/>
        <v>25500</v>
      </c>
      <c r="J7" s="29">
        <v>25003</v>
      </c>
      <c r="K7" s="29">
        <f t="shared" si="2"/>
        <v>25500</v>
      </c>
      <c r="L7" s="29">
        <v>25003</v>
      </c>
    </row>
    <row r="9" spans="1:18" x14ac:dyDescent="0.35">
      <c r="A9" s="26" t="s">
        <v>87</v>
      </c>
      <c r="B9" s="55">
        <v>15000</v>
      </c>
      <c r="C9" s="55">
        <v>14500</v>
      </c>
      <c r="D9" s="55">
        <v>14500</v>
      </c>
      <c r="E9" s="55">
        <v>14500</v>
      </c>
      <c r="F9" s="55">
        <v>14500</v>
      </c>
      <c r="G9" s="55">
        <v>14500</v>
      </c>
      <c r="H9" s="55">
        <v>14500</v>
      </c>
      <c r="I9" s="55">
        <v>14500</v>
      </c>
      <c r="J9" s="55">
        <v>14500</v>
      </c>
      <c r="K9" s="55">
        <v>14500</v>
      </c>
      <c r="L9" s="55">
        <v>14500</v>
      </c>
    </row>
    <row r="10" spans="1:18" x14ac:dyDescent="0.35">
      <c r="A10" s="26" t="s">
        <v>88</v>
      </c>
      <c r="B10" s="55">
        <v>12000</v>
      </c>
      <c r="C10" s="55">
        <v>13000</v>
      </c>
      <c r="D10" s="55">
        <v>13200</v>
      </c>
      <c r="E10" s="55">
        <v>12000</v>
      </c>
      <c r="F10" s="55">
        <v>14000</v>
      </c>
      <c r="G10" s="55">
        <v>13500</v>
      </c>
      <c r="H10" s="55">
        <v>11950</v>
      </c>
      <c r="I10" s="55">
        <v>10400</v>
      </c>
      <c r="J10" s="55">
        <v>8850</v>
      </c>
      <c r="K10" s="55">
        <v>10300</v>
      </c>
      <c r="L10" s="55">
        <v>8000</v>
      </c>
    </row>
    <row r="12" spans="1:18" s="38" customFormat="1" x14ac:dyDescent="0.35">
      <c r="A12" s="38" t="s">
        <v>89</v>
      </c>
    </row>
    <row r="13" spans="1:18" s="38" customFormat="1" x14ac:dyDescent="0.35">
      <c r="A13" s="38" t="s">
        <v>90</v>
      </c>
    </row>
    <row r="15" spans="1:18" s="38" customFormat="1" x14ac:dyDescent="0.35">
      <c r="A15" s="38" t="s">
        <v>91</v>
      </c>
    </row>
    <row r="16" spans="1:18" s="38" customFormat="1" x14ac:dyDescent="0.35">
      <c r="A16" s="38" t="s">
        <v>92</v>
      </c>
    </row>
    <row r="17" spans="1:12" x14ac:dyDescent="0.35">
      <c r="B17" s="28">
        <f>B3</f>
        <v>43191</v>
      </c>
      <c r="C17" s="28">
        <f t="shared" ref="C17:L18" si="3">C3</f>
        <v>43221</v>
      </c>
      <c r="D17" s="28">
        <f t="shared" si="3"/>
        <v>43252</v>
      </c>
      <c r="E17" s="28">
        <f t="shared" si="3"/>
        <v>43282</v>
      </c>
      <c r="F17" s="28">
        <f t="shared" si="3"/>
        <v>43313</v>
      </c>
      <c r="G17" s="28">
        <f t="shared" si="3"/>
        <v>43344</v>
      </c>
      <c r="H17" s="28">
        <f t="shared" si="3"/>
        <v>43374</v>
      </c>
      <c r="I17" s="28">
        <f t="shared" si="3"/>
        <v>43405</v>
      </c>
      <c r="J17" s="28">
        <f t="shared" si="3"/>
        <v>43435</v>
      </c>
      <c r="K17" s="28">
        <f t="shared" si="3"/>
        <v>43466</v>
      </c>
      <c r="L17" s="28">
        <f t="shared" si="3"/>
        <v>43497</v>
      </c>
    </row>
    <row r="18" spans="1:12" x14ac:dyDescent="0.35">
      <c r="A18" s="42" t="s">
        <v>93</v>
      </c>
      <c r="B18" s="36">
        <f>B4</f>
        <v>12000</v>
      </c>
      <c r="C18" s="36">
        <f t="shared" si="3"/>
        <v>12500</v>
      </c>
      <c r="D18" s="36">
        <f t="shared" si="3"/>
        <v>13000</v>
      </c>
      <c r="E18" s="36">
        <f t="shared" si="3"/>
        <v>13500</v>
      </c>
      <c r="F18" s="36">
        <f t="shared" si="3"/>
        <v>14000</v>
      </c>
      <c r="G18" s="36">
        <f t="shared" si="3"/>
        <v>14500</v>
      </c>
      <c r="H18" s="36">
        <f t="shared" si="3"/>
        <v>15000</v>
      </c>
      <c r="I18" s="36">
        <f t="shared" si="3"/>
        <v>15500</v>
      </c>
      <c r="J18" s="36">
        <f t="shared" si="3"/>
        <v>16000</v>
      </c>
      <c r="K18" s="36">
        <f t="shared" si="3"/>
        <v>16500</v>
      </c>
      <c r="L18" s="36">
        <f t="shared" si="3"/>
        <v>17000</v>
      </c>
    </row>
    <row r="19" spans="1:12" x14ac:dyDescent="0.35">
      <c r="A19" s="42" t="s">
        <v>94</v>
      </c>
      <c r="B19" s="29">
        <v>11500</v>
      </c>
      <c r="C19" s="29">
        <v>12800</v>
      </c>
      <c r="D19" s="29">
        <v>11800</v>
      </c>
      <c r="E19" s="29">
        <f t="shared" ref="E19:K19" si="4">E18*0.805</f>
        <v>10867.5</v>
      </c>
      <c r="F19" s="29">
        <f t="shared" si="4"/>
        <v>11270</v>
      </c>
      <c r="G19" s="29">
        <v>12060</v>
      </c>
      <c r="H19" s="29">
        <v>13000</v>
      </c>
      <c r="I19" s="29">
        <f t="shared" si="4"/>
        <v>12477.5</v>
      </c>
      <c r="J19" s="29">
        <v>13800</v>
      </c>
      <c r="K19" s="29">
        <f t="shared" si="4"/>
        <v>13282.5</v>
      </c>
      <c r="L19" s="29">
        <f>L18*0.805</f>
        <v>13685</v>
      </c>
    </row>
    <row r="20" spans="1:12" x14ac:dyDescent="0.35">
      <c r="A20" s="42" t="s">
        <v>95</v>
      </c>
      <c r="B20" s="36">
        <f>B18-B19</f>
        <v>500</v>
      </c>
      <c r="C20" s="36">
        <f t="shared" ref="C20:L20" si="5">C18-C19</f>
        <v>-300</v>
      </c>
      <c r="D20" s="36">
        <f t="shared" si="5"/>
        <v>1200</v>
      </c>
      <c r="E20" s="36">
        <f t="shared" si="5"/>
        <v>2632.5</v>
      </c>
      <c r="F20" s="36">
        <f t="shared" si="5"/>
        <v>2730</v>
      </c>
      <c r="G20" s="36">
        <f t="shared" si="5"/>
        <v>2440</v>
      </c>
      <c r="H20" s="36">
        <f t="shared" si="5"/>
        <v>2000</v>
      </c>
      <c r="I20" s="36">
        <f t="shared" si="5"/>
        <v>3022.5</v>
      </c>
      <c r="J20" s="36">
        <f t="shared" si="5"/>
        <v>2200</v>
      </c>
      <c r="K20" s="36">
        <f t="shared" si="5"/>
        <v>3217.5</v>
      </c>
      <c r="L20" s="36">
        <f t="shared" si="5"/>
        <v>3315</v>
      </c>
    </row>
    <row r="23" spans="1:12" x14ac:dyDescent="0.35">
      <c r="A23" s="42" t="s">
        <v>96</v>
      </c>
    </row>
    <row r="24" spans="1:12" x14ac:dyDescent="0.35">
      <c r="A24" s="42" t="s">
        <v>97</v>
      </c>
    </row>
    <row r="25" spans="1:12" x14ac:dyDescent="0.35">
      <c r="A25" s="42" t="s">
        <v>98</v>
      </c>
    </row>
    <row r="26" spans="1:12" x14ac:dyDescent="0.35">
      <c r="A26" s="42" t="s">
        <v>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558235211f4a40bfc718eabe86e043 xmlns="66abbd11-5fa5-4fb5-934f-c9dafa9719a5">
      <Terms xmlns="http://schemas.microsoft.com/office/infopath/2007/PartnerControls"/>
    </f3558235211f4a40bfc718eabe86e043>
    <TaxCatchAll xmlns="4dc371fa-f391-4a02-9320-6a0c1df9692b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58C42F28A6254AA15E76B7A2163769" ma:contentTypeVersion="7" ma:contentTypeDescription="Create a new document." ma:contentTypeScope="" ma:versionID="016673616e7f89e6acd8bb1a26b34ff0">
  <xsd:schema xmlns:xsd="http://www.w3.org/2001/XMLSchema" xmlns:xs="http://www.w3.org/2001/XMLSchema" xmlns:p="http://schemas.microsoft.com/office/2006/metadata/properties" xmlns:ns2="de4839cc-f48b-48be-962f-21b99114152a" xmlns:ns3="66abbd11-5fa5-4fb5-934f-c9dafa9719a5" xmlns:ns4="4dc371fa-f391-4a02-9320-6a0c1df9692b" targetNamespace="http://schemas.microsoft.com/office/2006/metadata/properties" ma:root="true" ma:fieldsID="c3d6650fdcdee15bc75fcb47c7bf88e9" ns2:_="" ns3:_="" ns4:_="">
    <xsd:import namespace="de4839cc-f48b-48be-962f-21b99114152a"/>
    <xsd:import namespace="66abbd11-5fa5-4fb5-934f-c9dafa9719a5"/>
    <xsd:import namespace="4dc371fa-f391-4a02-9320-6a0c1df969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f3558235211f4a40bfc718eabe86e043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839cc-f48b-48be-962f-21b9911415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abbd11-5fa5-4fb5-934f-c9dafa9719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f3558235211f4a40bfc718eabe86e043" ma:index="13" nillable="true" ma:taxonomy="true" ma:internalName="f3558235211f4a40bfc718eabe86e043" ma:taxonomyFieldName="Country" ma:displayName="Country" ma:default="" ma:fieldId="{f3558235-211f-4a40-bfc7-18eabe86e043}" ma:sspId="4635081d-c747-4d1e-aee2-6d190c6d77d4" ma:termSetId="2138c239-82a5-4321-bbaf-3d7cb2c6872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371fa-f391-4a02-9320-6a0c1df9692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66bbb-e30c-43b5-a9f4-5391867334ff}" ma:internalName="TaxCatchAll" ma:showField="CatchAllData" ma:web="4dc371fa-f391-4a02-9320-6a0c1df969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A48739-5AC3-4334-8EDA-C137176B7259}">
  <ds:schemaRefs>
    <ds:schemaRef ds:uri="http://purl.org/dc/elements/1.1/"/>
    <ds:schemaRef ds:uri="http://schemas.microsoft.com/office/2006/metadata/properties"/>
    <ds:schemaRef ds:uri="66abbd11-5fa5-4fb5-934f-c9dafa9719a5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4dc371fa-f391-4a02-9320-6a0c1df9692b"/>
    <ds:schemaRef ds:uri="de4839cc-f48b-48be-962f-21b99114152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130C3D5-AC39-4F2A-933A-6E49694515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4839cc-f48b-48be-962f-21b99114152a"/>
    <ds:schemaRef ds:uri="66abbd11-5fa5-4fb5-934f-c9dafa9719a5"/>
    <ds:schemaRef ds:uri="4dc371fa-f391-4a02-9320-6a0c1df969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D3307F-98B8-4A28-8D8E-0510857508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DiagnosticData</vt:lpstr>
      <vt:lpstr>For Luca</vt:lpstr>
      <vt:lpstr>Finance Statements</vt:lpstr>
      <vt:lpstr>Input Sheet</vt:lpstr>
      <vt:lpstr>INPUT old</vt:lpstr>
      <vt:lpstr>Dashboard</vt:lpstr>
      <vt:lpstr>OLD Calc IS</vt:lpstr>
      <vt:lpstr>19. Financial Ratios</vt:lpstr>
      <vt:lpstr> Marketplace Credit Rating</vt:lpstr>
      <vt:lpstr>old Calc BS</vt:lpstr>
      <vt:lpstr>OLD Monthly Figures</vt:lpstr>
      <vt:lpstr>Dashboard!Print_Area</vt:lpstr>
      <vt:lpstr>'old Calc BS'!Print_Area</vt:lpstr>
      <vt:lpstr>'OLD Monthly Figures'!Print_Area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Sorin</dc:creator>
  <cp:lastModifiedBy>Deborah Sorin</cp:lastModifiedBy>
  <cp:lastPrinted>2018-04-02T13:59:20Z</cp:lastPrinted>
  <dcterms:created xsi:type="dcterms:W3CDTF">2018-03-31T12:37:15Z</dcterms:created>
  <dcterms:modified xsi:type="dcterms:W3CDTF">2018-05-04T11:08:56Z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0x0101003258C42F28A6254AA15E76B7A2163769</vt:lpwstr>
  </property>
  <property fmtid="{D5CDD505-2E9C-101B-9397-08002B2CF9AE}" pid="3" name="Country">
    <vt:lpwstr/>
  </property>
</Properties>
</file>