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lengesworldwide.sharepoint.com/sites/teams/m&amp;e/Methodologies and Compliance/Ratings Marketplace Project/"/>
    </mc:Choice>
  </mc:AlternateContent>
  <xr:revisionPtr revIDLastSave="1346" documentId="8_{B2DA32F1-3E29-4AE1-A874-182AD8B79CE1}" xr6:coauthVersionLast="32" xr6:coauthVersionMax="32" xr10:uidLastSave="{6569A133-4CD4-47B0-9283-BD3724D89E22}"/>
  <bookViews>
    <workbookView xWindow="0" yWindow="0" windowWidth="15200" windowHeight="7610" firstSheet="6" activeTab="6" xr2:uid="{6FD5D796-C42B-4876-903C-4614BEB8B141}"/>
  </bookViews>
  <sheets>
    <sheet name="Initial Inputs" sheetId="1" r:id="rId1"/>
    <sheet name="Input Sheet" sheetId="2" r:id="rId2"/>
    <sheet name="Notes from Ian meeting 2" sheetId="13" r:id="rId3"/>
    <sheet name="INPUT old" sheetId="6" state="hidden" r:id="rId4"/>
    <sheet name="Finance Sheet" sheetId="11" r:id="rId5"/>
    <sheet name="For Luca" sheetId="12" r:id="rId6"/>
    <sheet name="For Luca -another" sheetId="16" r:id="rId7"/>
    <sheet name="Finance Dash" sheetId="14" r:id="rId8"/>
    <sheet name="Manager Dash" sheetId="8" r:id="rId9"/>
    <sheet name="Charts for Dashes" sheetId="15" r:id="rId10"/>
    <sheet name="19. Financial Ratios" sheetId="9" r:id="rId11"/>
    <sheet name=" Marketplace Credit Rating" sheetId="10" r:id="rId12"/>
    <sheet name="OLD Calc IS" sheetId="4" state="hidden" r:id="rId13"/>
    <sheet name="old Calc BS" sheetId="3" state="hidden" r:id="rId14"/>
    <sheet name="OLD Monthly Figures" sheetId="5" state="hidden" r:id="rId15"/>
  </sheets>
  <externalReferences>
    <externalReference r:id="rId16"/>
    <externalReference r:id="rId17"/>
    <externalReference r:id="rId18"/>
    <externalReference r:id="rId19"/>
  </externalReferences>
  <definedNames>
    <definedName name="A.01F" localSheetId="6">#REF!</definedName>
    <definedName name="A.01F">#REF!</definedName>
    <definedName name="A.01I" localSheetId="6">#REF!</definedName>
    <definedName name="A.01I">#REF!</definedName>
    <definedName name="A.02F" localSheetId="6">#REF!</definedName>
    <definedName name="A.02F">#REF!</definedName>
    <definedName name="A.02I" localSheetId="6">#REF!</definedName>
    <definedName name="A.02I">#REF!</definedName>
    <definedName name="A.03F" localSheetId="6">#REF!</definedName>
    <definedName name="A.03F">#REF!</definedName>
    <definedName name="A.03I" localSheetId="6">#REF!</definedName>
    <definedName name="A.03I">#REF!</definedName>
    <definedName name="A.04F" localSheetId="6">#REF!</definedName>
    <definedName name="A.04F">#REF!</definedName>
    <definedName name="A.04I" localSheetId="6">#REF!</definedName>
    <definedName name="A.04I">#REF!</definedName>
    <definedName name="A.05F" localSheetId="6">#REF!</definedName>
    <definedName name="A.05F">#REF!</definedName>
    <definedName name="A.05I" localSheetId="6">#REF!</definedName>
    <definedName name="A.05I">#REF!</definedName>
    <definedName name="A.06F" localSheetId="6">#REF!</definedName>
    <definedName name="A.06F">#REF!</definedName>
    <definedName name="A.06I" localSheetId="6">#REF!</definedName>
    <definedName name="A.06I">#REF!</definedName>
    <definedName name="A.TF" localSheetId="6">#REF!</definedName>
    <definedName name="A.TF">#REF!</definedName>
    <definedName name="A.TI" localSheetId="6">#REF!</definedName>
    <definedName name="A.TI">#REF!</definedName>
    <definedName name="B.01F" localSheetId="6">#REF!</definedName>
    <definedName name="B.01F">#REF!</definedName>
    <definedName name="B.01I" localSheetId="6">#REF!</definedName>
    <definedName name="B.01I">#REF!</definedName>
    <definedName name="B.02F" localSheetId="6">#REF!</definedName>
    <definedName name="B.02F">#REF!</definedName>
    <definedName name="B.02I" localSheetId="6">#REF!</definedName>
    <definedName name="B.02I">#REF!</definedName>
    <definedName name="B.03F" localSheetId="6">#REF!</definedName>
    <definedName name="B.03F">#REF!</definedName>
    <definedName name="B.03I" localSheetId="6">#REF!</definedName>
    <definedName name="B.03I">#REF!</definedName>
    <definedName name="B.04F" localSheetId="6">#REF!</definedName>
    <definedName name="B.04F">#REF!</definedName>
    <definedName name="B.04I" localSheetId="6">#REF!</definedName>
    <definedName name="B.04I">#REF!</definedName>
    <definedName name="B.05F" localSheetId="6">#REF!</definedName>
    <definedName name="B.05F">#REF!</definedName>
    <definedName name="B.05I" localSheetId="6">#REF!</definedName>
    <definedName name="B.05I">#REF!</definedName>
    <definedName name="B.06F" localSheetId="6">#REF!</definedName>
    <definedName name="B.06F">#REF!</definedName>
    <definedName name="B.06I" localSheetId="6">#REF!</definedName>
    <definedName name="B.06I">#REF!</definedName>
    <definedName name="B.07F" localSheetId="6">#REF!</definedName>
    <definedName name="B.07F">#REF!</definedName>
    <definedName name="B.07I" localSheetId="6">#REF!</definedName>
    <definedName name="B.07I">#REF!</definedName>
    <definedName name="B.08F" localSheetId="6">#REF!</definedName>
    <definedName name="B.08F">#REF!</definedName>
    <definedName name="B.08I" localSheetId="6">#REF!</definedName>
    <definedName name="B.08I">#REF!</definedName>
    <definedName name="B.09F" localSheetId="6">#REF!</definedName>
    <definedName name="B.09F">#REF!</definedName>
    <definedName name="B.09I" localSheetId="6">#REF!</definedName>
    <definedName name="B.09I">#REF!</definedName>
    <definedName name="B.10F" localSheetId="6">#REF!</definedName>
    <definedName name="B.10F">#REF!</definedName>
    <definedName name="B.10I" localSheetId="6">#REF!</definedName>
    <definedName name="B.10I">#REF!</definedName>
    <definedName name="B.11F" localSheetId="6">#REF!</definedName>
    <definedName name="B.11F">#REF!</definedName>
    <definedName name="B.11I" localSheetId="6">#REF!</definedName>
    <definedName name="B.11I">#REF!</definedName>
    <definedName name="B.12F" localSheetId="6">#REF!</definedName>
    <definedName name="B.12F">#REF!</definedName>
    <definedName name="B.12I" localSheetId="6">#REF!</definedName>
    <definedName name="B.12I">#REF!</definedName>
    <definedName name="B.13F" localSheetId="6">#REF!</definedName>
    <definedName name="B.13F">#REF!</definedName>
    <definedName name="B.13I" localSheetId="6">#REF!</definedName>
    <definedName name="B.13I">#REF!</definedName>
    <definedName name="B.TF" localSheetId="6">#REF!</definedName>
    <definedName name="B.TF">#REF!</definedName>
    <definedName name="B.TI" localSheetId="6">#REF!</definedName>
    <definedName name="B.TI">#REF!</definedName>
    <definedName name="C.01F" localSheetId="6">#REF!</definedName>
    <definedName name="C.01F">#REF!</definedName>
    <definedName name="C.01I" localSheetId="6">#REF!</definedName>
    <definedName name="C.01I">#REF!</definedName>
    <definedName name="C.02F" localSheetId="6">#REF!</definedName>
    <definedName name="C.02F">#REF!</definedName>
    <definedName name="C.02I" localSheetId="6">#REF!</definedName>
    <definedName name="C.02I">#REF!</definedName>
    <definedName name="C.03F" localSheetId="6">#REF!</definedName>
    <definedName name="C.03F">#REF!</definedName>
    <definedName name="C.03I" localSheetId="6">#REF!</definedName>
    <definedName name="C.03I">#REF!</definedName>
    <definedName name="C.04F" localSheetId="6">#REF!</definedName>
    <definedName name="C.04F">#REF!</definedName>
    <definedName name="C.04I" localSheetId="6">#REF!</definedName>
    <definedName name="C.04I">#REF!</definedName>
    <definedName name="C.05F" localSheetId="6">#REF!</definedName>
    <definedName name="C.05F">#REF!</definedName>
    <definedName name="C.05I" localSheetId="6">#REF!</definedName>
    <definedName name="C.05I">#REF!</definedName>
    <definedName name="C.06F" localSheetId="6">#REF!</definedName>
    <definedName name="C.06F">#REF!</definedName>
    <definedName name="C.06I" localSheetId="6">#REF!</definedName>
    <definedName name="C.06I">#REF!</definedName>
    <definedName name="C.07F" localSheetId="6">#REF!</definedName>
    <definedName name="C.07F">#REF!</definedName>
    <definedName name="C.07I" localSheetId="6">#REF!</definedName>
    <definedName name="C.07I">#REF!</definedName>
    <definedName name="C.08F" localSheetId="6">#REF!</definedName>
    <definedName name="C.08F">#REF!</definedName>
    <definedName name="C.08I" localSheetId="6">#REF!</definedName>
    <definedName name="C.08I">#REF!</definedName>
    <definedName name="C.09F" localSheetId="6">#REF!</definedName>
    <definedName name="C.09F">#REF!</definedName>
    <definedName name="C.09I" localSheetId="6">#REF!</definedName>
    <definedName name="C.09I">#REF!</definedName>
    <definedName name="C.10F" localSheetId="6">#REF!</definedName>
    <definedName name="C.10F">#REF!</definedName>
    <definedName name="C.10I" localSheetId="6">#REF!</definedName>
    <definedName name="C.10I">#REF!</definedName>
    <definedName name="C.11F" localSheetId="6">#REF!</definedName>
    <definedName name="C.11F">#REF!</definedName>
    <definedName name="C.11I" localSheetId="6">#REF!</definedName>
    <definedName name="C.11I">#REF!</definedName>
    <definedName name="C.12F" localSheetId="6">#REF!</definedName>
    <definedName name="C.12F">#REF!</definedName>
    <definedName name="C.12I" localSheetId="6">#REF!</definedName>
    <definedName name="C.12I">#REF!</definedName>
    <definedName name="C.TF" localSheetId="6">#REF!</definedName>
    <definedName name="C.TF">#REF!</definedName>
    <definedName name="C.TI" localSheetId="6">#REF!</definedName>
    <definedName name="C.TI">#REF!</definedName>
    <definedName name="Customers" localSheetId="6">#REF!</definedName>
    <definedName name="Customers">#REF!</definedName>
    <definedName name="D.01F" localSheetId="6">#REF!</definedName>
    <definedName name="D.01F">#REF!</definedName>
    <definedName name="D.01I" localSheetId="6">#REF!</definedName>
    <definedName name="D.01I">#REF!</definedName>
    <definedName name="D.02F" localSheetId="6">#REF!</definedName>
    <definedName name="D.02F">#REF!</definedName>
    <definedName name="D.02I" localSheetId="6">#REF!</definedName>
    <definedName name="D.02I">#REF!</definedName>
    <definedName name="D.03F" localSheetId="6">#REF!</definedName>
    <definedName name="D.03F">#REF!</definedName>
    <definedName name="D.03I" localSheetId="6">#REF!</definedName>
    <definedName name="D.03I">#REF!</definedName>
    <definedName name="D.04F" localSheetId="6">#REF!</definedName>
    <definedName name="D.04F">#REF!</definedName>
    <definedName name="D.04I" localSheetId="6">#REF!</definedName>
    <definedName name="D.04I">#REF!</definedName>
    <definedName name="D.05F" localSheetId="6">#REF!</definedName>
    <definedName name="D.05F">#REF!</definedName>
    <definedName name="D.05I" localSheetId="6">#REF!</definedName>
    <definedName name="D.05I">#REF!</definedName>
    <definedName name="D.06F" localSheetId="6">#REF!</definedName>
    <definedName name="D.06F">#REF!</definedName>
    <definedName name="D.06I" localSheetId="6">#REF!</definedName>
    <definedName name="D.06I">#REF!</definedName>
    <definedName name="D.07F" localSheetId="6">#REF!</definedName>
    <definedName name="D.07F">#REF!</definedName>
    <definedName name="D.07I" localSheetId="6">#REF!</definedName>
    <definedName name="D.07I">#REF!</definedName>
    <definedName name="D.08F" localSheetId="6">#REF!</definedName>
    <definedName name="D.08F">#REF!</definedName>
    <definedName name="D.08I" localSheetId="6">#REF!</definedName>
    <definedName name="D.08I">#REF!</definedName>
    <definedName name="D.TF" localSheetId="6">#REF!</definedName>
    <definedName name="D.TF">#REF!</definedName>
    <definedName name="D.TI" localSheetId="6">#REF!</definedName>
    <definedName name="D.TI">#REF!</definedName>
    <definedName name="E.01F" localSheetId="6">#REF!</definedName>
    <definedName name="E.01F">#REF!</definedName>
    <definedName name="E.01I" localSheetId="6">#REF!</definedName>
    <definedName name="E.01I">#REF!</definedName>
    <definedName name="E.02F" localSheetId="6">#REF!</definedName>
    <definedName name="E.02F">#REF!</definedName>
    <definedName name="E.02I" localSheetId="6">#REF!</definedName>
    <definedName name="E.02I">#REF!</definedName>
    <definedName name="E.03F" localSheetId="6">#REF!</definedName>
    <definedName name="E.03F">#REF!</definedName>
    <definedName name="E.03I" localSheetId="6">#REF!</definedName>
    <definedName name="E.03I">#REF!</definedName>
    <definedName name="E.04F" localSheetId="6">#REF!</definedName>
    <definedName name="E.04F">#REF!</definedName>
    <definedName name="E.04I" localSheetId="6">#REF!</definedName>
    <definedName name="E.04I">#REF!</definedName>
    <definedName name="E.05F" localSheetId="6">#REF!</definedName>
    <definedName name="E.05F">#REF!</definedName>
    <definedName name="E.05I" localSheetId="6">#REF!</definedName>
    <definedName name="E.05I">#REF!</definedName>
    <definedName name="E.06F" localSheetId="6">#REF!</definedName>
    <definedName name="E.06F">#REF!</definedName>
    <definedName name="E.06I" localSheetId="6">#REF!</definedName>
    <definedName name="E.06I">#REF!</definedName>
    <definedName name="E.07F" localSheetId="6">#REF!</definedName>
    <definedName name="E.07F">#REF!</definedName>
    <definedName name="E.07I" localSheetId="6">#REF!</definedName>
    <definedName name="E.07I">#REF!</definedName>
    <definedName name="E.08F" localSheetId="6">#REF!</definedName>
    <definedName name="E.08F">#REF!</definedName>
    <definedName name="E.08I" localSheetId="6">#REF!</definedName>
    <definedName name="E.08I">#REF!</definedName>
    <definedName name="E.TF" localSheetId="6">#REF!</definedName>
    <definedName name="E.TF">#REF!</definedName>
    <definedName name="E.TI" localSheetId="6">#REF!</definedName>
    <definedName name="E.TI">#REF!</definedName>
    <definedName name="Experience">'[1]User Attributes Factors'!$B$3:$B$8</definedName>
    <definedName name="F.01F" localSheetId="6">#REF!</definedName>
    <definedName name="F.01F">#REF!</definedName>
    <definedName name="F.01I" localSheetId="6">#REF!</definedName>
    <definedName name="F.01I">#REF!</definedName>
    <definedName name="F.02F" localSheetId="6">#REF!</definedName>
    <definedName name="F.02F">#REF!</definedName>
    <definedName name="F.02I" localSheetId="6">#REF!</definedName>
    <definedName name="F.02I">#REF!</definedName>
    <definedName name="F.03F" localSheetId="6">#REF!</definedName>
    <definedName name="F.03F">#REF!</definedName>
    <definedName name="F.03I" localSheetId="6">#REF!</definedName>
    <definedName name="F.03I">#REF!</definedName>
    <definedName name="F.04F" localSheetId="6">#REF!</definedName>
    <definedName name="F.04F">#REF!</definedName>
    <definedName name="F.04I" localSheetId="6">#REF!</definedName>
    <definedName name="F.04I">#REF!</definedName>
    <definedName name="F.TF" localSheetId="6">#REF!</definedName>
    <definedName name="F.TF">#REF!</definedName>
    <definedName name="F.TI" localSheetId="6">#REF!</definedName>
    <definedName name="F.TI">#REF!</definedName>
    <definedName name="FTE" localSheetId="6">#REF!</definedName>
    <definedName name="FTE">#REF!</definedName>
    <definedName name="FTE_F" localSheetId="6">#REF!</definedName>
    <definedName name="FTE_F">#REF!</definedName>
    <definedName name="Information_Not_Gathered" localSheetId="11">#REF!</definedName>
    <definedName name="Information_Not_Gathered" localSheetId="10">#REF!</definedName>
    <definedName name="Information_Not_Gathered" localSheetId="4">'[2]2. Diagnostic'!#REF!</definedName>
    <definedName name="Information_Not_Gathered" localSheetId="5">'[2]2. Diagnostic'!#REF!</definedName>
    <definedName name="Information_Not_Gathered" localSheetId="6">'[2]2. Diagnostic'!#REF!</definedName>
    <definedName name="Information_Not_Gathered">'[2]2. Diagnostic'!#REF!</definedName>
    <definedName name="Interest">'[1]User Attributes Factors'!$D$3:$D$8</definedName>
    <definedName name="N_A" localSheetId="11">#REF!</definedName>
    <definedName name="N_A" localSheetId="10">#REF!</definedName>
    <definedName name="N_A" localSheetId="4">'[2]2. Diagnostic'!#REF!</definedName>
    <definedName name="N_A" localSheetId="5">'[2]2. Diagnostic'!#REF!</definedName>
    <definedName name="N_A" localSheetId="6">'[2]2. Diagnostic'!#REF!</definedName>
    <definedName name="N_A">'[2]2. Diagnostic'!#REF!</definedName>
    <definedName name="Potential" localSheetId="4">#REF!</definedName>
    <definedName name="Potential" localSheetId="5">#REF!</definedName>
    <definedName name="Potential" localSheetId="6">#REF!</definedName>
    <definedName name="Potential">#REF!</definedName>
    <definedName name="_xlnm.Print_Area" localSheetId="8">'Manager Dash'!$A$1:$L$13</definedName>
    <definedName name="_xlnm.Print_Area" localSheetId="13">'old Calc BS'!$A$1:$D$36</definedName>
    <definedName name="_xlnm.Print_Area" localSheetId="14">'OLD Monthly Figures'!$A$1:$G$41</definedName>
    <definedName name="PTE" localSheetId="6">#REF!</definedName>
    <definedName name="PTE">#REF!</definedName>
    <definedName name="PTE_F" localSheetId="6">#REF!</definedName>
    <definedName name="PTE_F">#REF!</definedName>
    <definedName name="Score">'[3]2. Scoring'!$Z$5:$Z$8</definedName>
    <definedName name="Sector" localSheetId="6">#REF!</definedName>
    <definedName name="Sector">#REF!</definedName>
    <definedName name="Suppliers" localSheetId="6">#REF!</definedName>
    <definedName name="Suppliers">#REF!</definedName>
    <definedName name="T.TF" localSheetId="6">#REF!</definedName>
    <definedName name="T.TF">#REF!</definedName>
    <definedName name="T.TI" localSheetId="6">#REF!</definedName>
    <definedName name="T.TI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6" l="1"/>
  <c r="G52" i="16"/>
  <c r="F52" i="16"/>
  <c r="E52" i="16"/>
  <c r="N48" i="16"/>
  <c r="M48" i="16"/>
  <c r="L48" i="16"/>
  <c r="K48" i="16"/>
  <c r="J48" i="16"/>
  <c r="I48" i="16"/>
  <c r="G36" i="16"/>
  <c r="N47" i="16"/>
  <c r="N42" i="16"/>
  <c r="H38" i="16"/>
  <c r="G38" i="16"/>
  <c r="F38" i="16"/>
  <c r="H36" i="16"/>
  <c r="F36" i="16"/>
  <c r="D25" i="16"/>
  <c r="I23" i="16"/>
  <c r="H23" i="16"/>
  <c r="G23" i="16"/>
  <c r="F23" i="16"/>
  <c r="E23" i="16"/>
  <c r="I22" i="16"/>
  <c r="H22" i="16"/>
  <c r="G22" i="16"/>
  <c r="F22" i="16"/>
  <c r="E22" i="16"/>
  <c r="D22" i="16"/>
  <c r="H12" i="14" l="1"/>
  <c r="H60" i="15"/>
  <c r="G60" i="15"/>
  <c r="F60" i="15"/>
  <c r="E60" i="15"/>
  <c r="H59" i="15"/>
  <c r="G59" i="15"/>
  <c r="F59" i="15"/>
  <c r="E59" i="15"/>
  <c r="H57" i="15"/>
  <c r="G57" i="15"/>
  <c r="F57" i="15"/>
  <c r="E57" i="15"/>
  <c r="H55" i="15"/>
  <c r="G55" i="15"/>
  <c r="F55" i="15"/>
  <c r="E55" i="15"/>
  <c r="H52" i="15"/>
  <c r="G52" i="15"/>
  <c r="F52" i="15"/>
  <c r="E52" i="15"/>
  <c r="N48" i="15"/>
  <c r="M48" i="15"/>
  <c r="L48" i="15"/>
  <c r="K48" i="15"/>
  <c r="J48" i="15"/>
  <c r="I48" i="15"/>
  <c r="G48" i="15"/>
  <c r="F48" i="15"/>
  <c r="E48" i="15"/>
  <c r="N47" i="15"/>
  <c r="G47" i="15"/>
  <c r="F47" i="15"/>
  <c r="E47" i="15"/>
  <c r="G45" i="15"/>
  <c r="F45" i="15"/>
  <c r="E45" i="15"/>
  <c r="G44" i="15"/>
  <c r="F44" i="15"/>
  <c r="E44" i="15"/>
  <c r="G43" i="15"/>
  <c r="F43" i="15"/>
  <c r="E43" i="15"/>
  <c r="N42" i="15"/>
  <c r="G42" i="15"/>
  <c r="F42" i="15"/>
  <c r="E42" i="15"/>
  <c r="G38" i="15"/>
  <c r="H38" i="15"/>
  <c r="H11" i="14" s="1"/>
  <c r="F38" i="15"/>
  <c r="L107" i="11" l="1"/>
  <c r="F23" i="15" s="1"/>
  <c r="M107" i="11"/>
  <c r="G23" i="15" s="1"/>
  <c r="N107" i="11"/>
  <c r="H23" i="15" s="1"/>
  <c r="O107" i="11"/>
  <c r="I23" i="15" s="1"/>
  <c r="K107" i="11"/>
  <c r="E23" i="15" s="1"/>
  <c r="F47" i="11"/>
  <c r="E51" i="11"/>
  <c r="D33" i="15" l="1"/>
  <c r="D32" i="15"/>
  <c r="D31" i="15"/>
  <c r="D30" i="15"/>
  <c r="D29" i="15"/>
  <c r="D28" i="15"/>
  <c r="D27" i="15"/>
  <c r="D25" i="15"/>
  <c r="B12" i="14"/>
  <c r="B10" i="14"/>
  <c r="I14" i="15" l="1"/>
  <c r="F15" i="15"/>
  <c r="G15" i="15"/>
  <c r="H15" i="15"/>
  <c r="I15" i="15"/>
  <c r="E16" i="15"/>
  <c r="F16" i="15"/>
  <c r="G16" i="15"/>
  <c r="H16" i="15"/>
  <c r="I16" i="15"/>
  <c r="D16" i="15"/>
  <c r="E14" i="15"/>
  <c r="F14" i="15"/>
  <c r="G14" i="15"/>
  <c r="H14" i="15"/>
  <c r="E15" i="15"/>
  <c r="D14" i="15"/>
  <c r="D15" i="15"/>
  <c r="F25" i="14" l="1"/>
  <c r="E25" i="14"/>
  <c r="D25" i="14"/>
  <c r="C43" i="14"/>
  <c r="B43" i="14"/>
  <c r="C42" i="14"/>
  <c r="B42" i="14"/>
  <c r="C41" i="14"/>
  <c r="B41" i="14"/>
  <c r="O69" i="11" l="1"/>
  <c r="N69" i="11"/>
  <c r="N72" i="11" s="1"/>
  <c r="M69" i="11"/>
  <c r="M72" i="11" s="1"/>
  <c r="L69" i="11"/>
  <c r="L72" i="11" s="1"/>
  <c r="K69" i="11"/>
  <c r="K72" i="11" s="1"/>
  <c r="J69" i="11"/>
  <c r="J72" i="11" s="1"/>
  <c r="H69" i="11"/>
  <c r="H72" i="11" s="1"/>
  <c r="G69" i="11"/>
  <c r="F69" i="11"/>
  <c r="F72" i="11" s="1"/>
  <c r="F51" i="11"/>
  <c r="G47" i="11" s="1"/>
  <c r="G51" i="11" s="1"/>
  <c r="J51" i="11"/>
  <c r="D3" i="15" s="1"/>
  <c r="O38" i="11"/>
  <c r="O36" i="11"/>
  <c r="O29" i="11"/>
  <c r="O28" i="11"/>
  <c r="O26" i="11"/>
  <c r="O24" i="11"/>
  <c r="N22" i="11"/>
  <c r="M22" i="11"/>
  <c r="L22" i="11"/>
  <c r="K22" i="11"/>
  <c r="J22" i="11"/>
  <c r="H22" i="11"/>
  <c r="G22" i="11"/>
  <c r="F22" i="11"/>
  <c r="O20" i="11"/>
  <c r="O22" i="11" s="1"/>
  <c r="J17" i="11"/>
  <c r="J18" i="11" s="1"/>
  <c r="O16" i="11"/>
  <c r="U14" i="11"/>
  <c r="N12" i="11"/>
  <c r="N17" i="11" s="1"/>
  <c r="N34" i="11" s="1"/>
  <c r="N31" i="11" s="1"/>
  <c r="M12" i="11"/>
  <c r="M17" i="11" s="1"/>
  <c r="L12" i="11"/>
  <c r="L17" i="11" s="1"/>
  <c r="L34" i="11" s="1"/>
  <c r="L31" i="11" s="1"/>
  <c r="K12" i="11"/>
  <c r="K17" i="11" s="1"/>
  <c r="K18" i="11" s="1"/>
  <c r="J12" i="11"/>
  <c r="H12" i="11"/>
  <c r="G12" i="11"/>
  <c r="F12" i="11"/>
  <c r="O11" i="11"/>
  <c r="O10" i="11"/>
  <c r="O9" i="11"/>
  <c r="O8" i="11"/>
  <c r="O7" i="11"/>
  <c r="O6" i="11"/>
  <c r="H17" i="11" l="1"/>
  <c r="H107" i="11"/>
  <c r="G107" i="11"/>
  <c r="F107" i="11"/>
  <c r="F17" i="11"/>
  <c r="F34" i="11" s="1"/>
  <c r="F31" i="11" s="1"/>
  <c r="G17" i="11"/>
  <c r="G34" i="11" s="1"/>
  <c r="G31" i="11" s="1"/>
  <c r="O12" i="11"/>
  <c r="O17" i="11" s="1"/>
  <c r="O34" i="11" s="1"/>
  <c r="K47" i="11"/>
  <c r="K51" i="11" s="1"/>
  <c r="E3" i="15" s="1"/>
  <c r="J58" i="11"/>
  <c r="D22" i="15" s="1"/>
  <c r="O18" i="11"/>
  <c r="M34" i="11"/>
  <c r="M31" i="11" s="1"/>
  <c r="M18" i="11"/>
  <c r="L38" i="11"/>
  <c r="L40" i="11"/>
  <c r="L41" i="11" s="1"/>
  <c r="N38" i="11"/>
  <c r="N40" i="11" s="1"/>
  <c r="N41" i="11" s="1"/>
  <c r="G58" i="11"/>
  <c r="H47" i="11"/>
  <c r="H51" i="11" s="1"/>
  <c r="H58" i="11" s="1"/>
  <c r="H34" i="11"/>
  <c r="H31" i="11" s="1"/>
  <c r="H18" i="11"/>
  <c r="J34" i="11"/>
  <c r="J31" i="11" s="1"/>
  <c r="F58" i="11"/>
  <c r="K34" i="11"/>
  <c r="K31" i="11" s="1"/>
  <c r="G72" i="11"/>
  <c r="N18" i="11"/>
  <c r="O72" i="11"/>
  <c r="L18" i="11"/>
  <c r="C74" i="9"/>
  <c r="C73" i="9"/>
  <c r="C72" i="9"/>
  <c r="C71" i="9"/>
  <c r="C70" i="9"/>
  <c r="C75" i="9" s="1"/>
  <c r="G18" i="11" l="1"/>
  <c r="E21" i="14"/>
  <c r="E18" i="14"/>
  <c r="G38" i="11"/>
  <c r="G40" i="11" s="1"/>
  <c r="G41" i="11" s="1"/>
  <c r="F21" i="14"/>
  <c r="F18" i="14"/>
  <c r="D18" i="14"/>
  <c r="D21" i="14"/>
  <c r="F18" i="11"/>
  <c r="F38" i="11"/>
  <c r="F40" i="11" s="1"/>
  <c r="F60" i="11"/>
  <c r="D17" i="14" s="1"/>
  <c r="F36" i="15"/>
  <c r="G60" i="11"/>
  <c r="E17" i="14" s="1"/>
  <c r="G36" i="15"/>
  <c r="H60" i="11"/>
  <c r="F17" i="14" s="1"/>
  <c r="H36" i="15"/>
  <c r="J60" i="11"/>
  <c r="J63" i="11" s="1"/>
  <c r="J73" i="11" s="1"/>
  <c r="O40" i="11"/>
  <c r="O41" i="11" s="1"/>
  <c r="O31" i="11"/>
  <c r="F63" i="11"/>
  <c r="F73" i="11" s="1"/>
  <c r="D20" i="14" s="1"/>
  <c r="D19" i="14"/>
  <c r="H63" i="11"/>
  <c r="H73" i="11" s="1"/>
  <c r="F20" i="14" s="1"/>
  <c r="F19" i="14"/>
  <c r="J38" i="11"/>
  <c r="J40" i="11"/>
  <c r="J41" i="11" s="1"/>
  <c r="G63" i="11"/>
  <c r="G73" i="11" s="1"/>
  <c r="E20" i="14" s="1"/>
  <c r="K38" i="11"/>
  <c r="K40" i="11" s="1"/>
  <c r="K41" i="11" s="1"/>
  <c r="H38" i="11"/>
  <c r="H40" i="11" s="1"/>
  <c r="M38" i="11"/>
  <c r="M40" i="11" s="1"/>
  <c r="M41" i="11" s="1"/>
  <c r="L47" i="11"/>
  <c r="L51" i="11" s="1"/>
  <c r="F3" i="15" s="1"/>
  <c r="K58" i="11"/>
  <c r="E22" i="15" s="1"/>
  <c r="G22" i="1"/>
  <c r="H22" i="1"/>
  <c r="F22" i="1"/>
  <c r="G68" i="1"/>
  <c r="G71" i="1" s="1"/>
  <c r="H68" i="1"/>
  <c r="H71" i="1" s="1"/>
  <c r="F68" i="1"/>
  <c r="F71" i="1" s="1"/>
  <c r="F50" i="1"/>
  <c r="F57" i="1" s="1"/>
  <c r="F59" i="1" s="1"/>
  <c r="F62" i="1" s="1"/>
  <c r="F72" i="1" s="1"/>
  <c r="F24" i="1"/>
  <c r="G12" i="1"/>
  <c r="H12" i="1"/>
  <c r="F12" i="1"/>
  <c r="H17" i="1"/>
  <c r="H33" i="1" s="1"/>
  <c r="F17" i="1"/>
  <c r="B20" i="6"/>
  <c r="B22" i="6"/>
  <c r="L18" i="6"/>
  <c r="K18" i="6"/>
  <c r="J18" i="6"/>
  <c r="I18" i="6"/>
  <c r="H18" i="6"/>
  <c r="G18" i="6"/>
  <c r="F18" i="6"/>
  <c r="E18" i="6"/>
  <c r="D18" i="6"/>
  <c r="C18" i="6"/>
  <c r="B18" i="6"/>
  <c r="K7" i="6"/>
  <c r="I7" i="6"/>
  <c r="G7" i="6"/>
  <c r="E7" i="6"/>
  <c r="C7" i="6"/>
  <c r="C4" i="6"/>
  <c r="C20" i="6"/>
  <c r="C22" i="6"/>
  <c r="B18" i="5"/>
  <c r="B20" i="5"/>
  <c r="L17" i="5"/>
  <c r="K17" i="5"/>
  <c r="J17" i="5"/>
  <c r="I17" i="5"/>
  <c r="H17" i="5"/>
  <c r="G17" i="5"/>
  <c r="F17" i="5"/>
  <c r="E17" i="5"/>
  <c r="D17" i="5"/>
  <c r="C17" i="5"/>
  <c r="B17" i="5"/>
  <c r="K7" i="5"/>
  <c r="I7" i="5"/>
  <c r="G7" i="5"/>
  <c r="E7" i="5"/>
  <c r="C7" i="5"/>
  <c r="C4" i="5"/>
  <c r="D4" i="5"/>
  <c r="E28" i="4"/>
  <c r="B28" i="4"/>
  <c r="E21" i="4"/>
  <c r="E22" i="4"/>
  <c r="D21" i="4"/>
  <c r="D22" i="4"/>
  <c r="C21" i="4"/>
  <c r="C22" i="4"/>
  <c r="B21" i="4"/>
  <c r="B22" i="4"/>
  <c r="E14" i="4"/>
  <c r="F41" i="4"/>
  <c r="D14" i="4"/>
  <c r="D31" i="4"/>
  <c r="E41" i="4"/>
  <c r="C14" i="4"/>
  <c r="C31" i="4"/>
  <c r="D41" i="4"/>
  <c r="B14" i="4"/>
  <c r="B31" i="4"/>
  <c r="C41" i="4"/>
  <c r="E11" i="4"/>
  <c r="B11" i="4"/>
  <c r="D10" i="4"/>
  <c r="C10" i="4"/>
  <c r="D9" i="4"/>
  <c r="C9" i="4"/>
  <c r="D8" i="4"/>
  <c r="C8" i="4"/>
  <c r="D7" i="4"/>
  <c r="C7" i="4"/>
  <c r="D35" i="3"/>
  <c r="C35" i="3"/>
  <c r="B35" i="3"/>
  <c r="D33" i="3"/>
  <c r="C33" i="3"/>
  <c r="B33" i="3"/>
  <c r="D32" i="3"/>
  <c r="C32" i="3"/>
  <c r="B32" i="3"/>
  <c r="D15" i="3"/>
  <c r="D30" i="3"/>
  <c r="C15" i="3"/>
  <c r="C30" i="3"/>
  <c r="B15" i="3"/>
  <c r="B30" i="3"/>
  <c r="E44" i="2"/>
  <c r="F40" i="2"/>
  <c r="F44" i="2"/>
  <c r="F11" i="2"/>
  <c r="F27" i="2"/>
  <c r="F31" i="2"/>
  <c r="D11" i="4"/>
  <c r="D4" i="6"/>
  <c r="D20" i="6"/>
  <c r="D22" i="6"/>
  <c r="D28" i="4"/>
  <c r="H18" i="1"/>
  <c r="C28" i="4"/>
  <c r="C11" i="4"/>
  <c r="E35" i="4"/>
  <c r="E23" i="4"/>
  <c r="B35" i="4"/>
  <c r="B23" i="4"/>
  <c r="B33" i="4"/>
  <c r="C42" i="4"/>
  <c r="D31" i="3"/>
  <c r="C35" i="4"/>
  <c r="C23" i="4"/>
  <c r="C33" i="4"/>
  <c r="D42" i="4"/>
  <c r="C31" i="3"/>
  <c r="D18" i="5"/>
  <c r="D20" i="5"/>
  <c r="E4" i="5"/>
  <c r="B31" i="3"/>
  <c r="D35" i="4"/>
  <c r="D23" i="4"/>
  <c r="D33" i="4"/>
  <c r="E42" i="4"/>
  <c r="E31" i="4"/>
  <c r="C18" i="5"/>
  <c r="C20" i="5"/>
  <c r="E4" i="6"/>
  <c r="E18" i="5"/>
  <c r="F4" i="5"/>
  <c r="F42" i="4"/>
  <c r="E33" i="4"/>
  <c r="F4" i="6"/>
  <c r="E20" i="6"/>
  <c r="F33" i="2"/>
  <c r="F34" i="2"/>
  <c r="E21" i="6"/>
  <c r="E22" i="6"/>
  <c r="G4" i="5"/>
  <c r="F18" i="5"/>
  <c r="G4" i="6"/>
  <c r="F20" i="6"/>
  <c r="E19" i="5"/>
  <c r="E20" i="5"/>
  <c r="E50" i="1"/>
  <c r="F19" i="5"/>
  <c r="F20" i="5"/>
  <c r="H4" i="5"/>
  <c r="G18" i="5"/>
  <c r="G20" i="5"/>
  <c r="F21" i="6"/>
  <c r="F22" i="6"/>
  <c r="G20" i="6"/>
  <c r="G22" i="6"/>
  <c r="H4" i="6"/>
  <c r="H20" i="6"/>
  <c r="H22" i="6"/>
  <c r="I4" i="6"/>
  <c r="I4" i="5"/>
  <c r="H18" i="5"/>
  <c r="H20" i="5"/>
  <c r="I20" i="6"/>
  <c r="J4" i="6"/>
  <c r="I18" i="5"/>
  <c r="J4" i="5"/>
  <c r="K4" i="6"/>
  <c r="J20" i="6"/>
  <c r="J22" i="6"/>
  <c r="J18" i="5"/>
  <c r="J20" i="5"/>
  <c r="K4" i="5"/>
  <c r="I19" i="5"/>
  <c r="I20" i="5"/>
  <c r="I21" i="6"/>
  <c r="I22" i="6"/>
  <c r="L4" i="5"/>
  <c r="L18" i="5"/>
  <c r="K18" i="5"/>
  <c r="L4" i="6"/>
  <c r="L20" i="6"/>
  <c r="K20" i="6"/>
  <c r="K21" i="6"/>
  <c r="K22" i="6"/>
  <c r="L21" i="6"/>
  <c r="L22" i="6"/>
  <c r="K19" i="5"/>
  <c r="K20" i="5"/>
  <c r="L19" i="5"/>
  <c r="L20" i="5"/>
  <c r="F41" i="11" l="1"/>
  <c r="E19" i="14"/>
  <c r="K60" i="11"/>
  <c r="K63" i="11" s="1"/>
  <c r="K73" i="11" s="1"/>
  <c r="F33" i="1"/>
  <c r="G17" i="1"/>
  <c r="G46" i="1"/>
  <c r="G50" i="1" s="1"/>
  <c r="H46" i="1" s="1"/>
  <c r="H50" i="1" s="1"/>
  <c r="H57" i="1" s="1"/>
  <c r="H59" i="1" s="1"/>
  <c r="H62" i="1" s="1"/>
  <c r="H72" i="1" s="1"/>
  <c r="F37" i="1"/>
  <c r="F39" i="1" s="1"/>
  <c r="F40" i="1" s="1"/>
  <c r="H37" i="1"/>
  <c r="H39" i="1"/>
  <c r="H40" i="1" s="1"/>
  <c r="G57" i="1"/>
  <c r="G59" i="1" s="1"/>
  <c r="G62" i="1" s="1"/>
  <c r="G72" i="1" s="1"/>
  <c r="F18" i="1"/>
  <c r="H41" i="11"/>
  <c r="L58" i="11"/>
  <c r="F22" i="15" s="1"/>
  <c r="M47" i="11"/>
  <c r="M51" i="11" s="1"/>
  <c r="G3" i="15" s="1"/>
  <c r="L60" i="11" l="1"/>
  <c r="L63" i="11" s="1"/>
  <c r="L73" i="11" s="1"/>
  <c r="G33" i="1"/>
  <c r="G18" i="1"/>
  <c r="M58" i="11"/>
  <c r="G22" i="15" s="1"/>
  <c r="N47" i="11"/>
  <c r="N51" i="11" s="1"/>
  <c r="H3" i="15" s="1"/>
  <c r="M60" i="11" l="1"/>
  <c r="M63" i="11" s="1"/>
  <c r="M73" i="11" s="1"/>
  <c r="G37" i="1"/>
  <c r="G39" i="1" s="1"/>
  <c r="G40" i="1" s="1"/>
  <c r="N58" i="11"/>
  <c r="H22" i="15" s="1"/>
  <c r="O47" i="11"/>
  <c r="O51" i="11" s="1"/>
  <c r="O58" i="11" s="1"/>
  <c r="I22" i="15" s="1"/>
  <c r="N60" i="11" l="1"/>
  <c r="N63" i="11" s="1"/>
  <c r="N73" i="11" s="1"/>
  <c r="O60" i="11"/>
  <c r="O63" i="11" s="1"/>
  <c r="O73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3" authorId="0" shapeId="0" xr:uid="{31A20D6A-00C8-4320-89A3-A820776B02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</t>
        </r>
      </text>
    </comment>
  </commentList>
</comments>
</file>

<file path=xl/sharedStrings.xml><?xml version="1.0" encoding="utf-8"?>
<sst xmlns="http://schemas.openxmlformats.org/spreadsheetml/2006/main" count="697" uniqueCount="477">
  <si>
    <t>Income Statement Information</t>
  </si>
  <si>
    <t>Customer A</t>
  </si>
  <si>
    <t>Customer B</t>
  </si>
  <si>
    <t>Customer C</t>
  </si>
  <si>
    <t>Customer D</t>
  </si>
  <si>
    <t>Customer E</t>
  </si>
  <si>
    <t>All Other Customers</t>
  </si>
  <si>
    <t>Total Sales</t>
  </si>
  <si>
    <t>$  Sales by top customers</t>
  </si>
  <si>
    <t>$ Sales projections for 6 M out</t>
  </si>
  <si>
    <t>Cost of Goods Sold</t>
  </si>
  <si>
    <t>Profit Margin %</t>
  </si>
  <si>
    <t>Payroll Costs</t>
  </si>
  <si>
    <t>Gross Profit</t>
  </si>
  <si>
    <t>Rent/ Leases</t>
  </si>
  <si>
    <t>Sales, General &amp; Administrative</t>
  </si>
  <si>
    <t>Interest Expense</t>
  </si>
  <si>
    <t>Other &amp; Miscellaneous</t>
  </si>
  <si>
    <t>Taxes</t>
  </si>
  <si>
    <t>EBIT</t>
  </si>
  <si>
    <t>Net Income</t>
  </si>
  <si>
    <t>Net Profit Margin %</t>
  </si>
  <si>
    <t>PRODUCTION INFORMATION</t>
  </si>
  <si>
    <t>Inventory</t>
  </si>
  <si>
    <t>If Pos +Beginning inventory/ If Neg (Outstanding Orders)</t>
  </si>
  <si>
    <t>+ Ending Inventory/ -Outstanding Orders</t>
  </si>
  <si>
    <t>+ Ending Inventory / - Outstanding Orders</t>
  </si>
  <si>
    <t>in UNITS!!!</t>
  </si>
  <si>
    <t>Accounts Receivable</t>
  </si>
  <si>
    <t># Made (Added to inventory)</t>
  </si>
  <si>
    <t># Sold (removed from inventory)</t>
  </si>
  <si>
    <t>Additional Orders Placed (demand not met)</t>
  </si>
  <si>
    <t>CURRENT MONTH</t>
  </si>
  <si>
    <t>Rate</t>
  </si>
  <si>
    <t>Fiscal Year Ending</t>
  </si>
  <si>
    <t>Cash &amp; Equivalents</t>
  </si>
  <si>
    <t>Fixed Assets</t>
  </si>
  <si>
    <t>Current Liabilities/Debt (ask how to phrase)</t>
  </si>
  <si>
    <t>Inventory of Product A (in local currency)</t>
  </si>
  <si>
    <t>Inventory of Product B  (in local currency)</t>
  </si>
  <si>
    <t>Inventory of Product C  (in local currency)</t>
  </si>
  <si>
    <t>Inventory of Product D  (in local currency)</t>
  </si>
  <si>
    <t>Inventory of Product E  (in local currency)</t>
  </si>
  <si>
    <t>All other inventory (in local currency)</t>
  </si>
  <si>
    <t>Total Inventory</t>
  </si>
  <si>
    <t>Inventory of Product A (#Units)</t>
  </si>
  <si>
    <t>Inventory of Product B  (#Units)</t>
  </si>
  <si>
    <t>Inventory of Product C  (#Units)</t>
  </si>
  <si>
    <t>Inventory of Product D  (#Units)</t>
  </si>
  <si>
    <t>Inventory of Product E  (#Units)</t>
  </si>
  <si>
    <t>Valuation of other assets (besides cash/equiv. and inventories)</t>
  </si>
  <si>
    <t>ST Debt</t>
  </si>
  <si>
    <t>LT Debt</t>
  </si>
  <si>
    <t>% of Equity the Owner has</t>
  </si>
  <si>
    <t>Total Equity</t>
  </si>
  <si>
    <t>CALCULATED FIELDS</t>
  </si>
  <si>
    <t>current ratio (annual for 3 years) (=Current Assets/Current Liabilities)</t>
  </si>
  <si>
    <t>3 year trend of cash generated from operations?  (NI + D+A ?????)</t>
  </si>
  <si>
    <t>Assets Employed (3 years of data) = Fixed assets + Current Assets - Current Liabilities</t>
  </si>
  <si>
    <t>debt/equity ratio</t>
  </si>
  <si>
    <t>Quick ratio = (cash and equivalents + marketable securities + accounts receivable) / current liabilities</t>
  </si>
  <si>
    <t>Fiscal Year Ends</t>
  </si>
  <si>
    <t>Actual</t>
  </si>
  <si>
    <t>Projected</t>
  </si>
  <si>
    <t>Revenues (Total)</t>
  </si>
  <si>
    <t>Gross Margin</t>
  </si>
  <si>
    <t>Payroll Expenses</t>
  </si>
  <si>
    <t>Lease/Rent Expenses</t>
  </si>
  <si>
    <t>Management, General &amp; Administrative Expense</t>
  </si>
  <si>
    <t>Other Expenses</t>
  </si>
  <si>
    <t>Depreciation &amp; Amortization Expense</t>
  </si>
  <si>
    <t>Total Expenses</t>
  </si>
  <si>
    <t>Net Margin</t>
  </si>
  <si>
    <t>2015</t>
  </si>
  <si>
    <t>2016</t>
  </si>
  <si>
    <t>2017</t>
  </si>
  <si>
    <t>2018</t>
  </si>
  <si>
    <t>What is the 3 year trend of percentage of revenues concentrated in top 5 customers</t>
  </si>
  <si>
    <t>(revenue from customer/total gross revenue)?</t>
  </si>
  <si>
    <t xml:space="preserve">What is the 3 year trend of  Gross Margin </t>
  </si>
  <si>
    <t>What is the 3 year trend of Net Margin</t>
  </si>
  <si>
    <t>Calculated Graphs</t>
  </si>
  <si>
    <t>2018E</t>
  </si>
  <si>
    <t>from when they started, not backwards looking</t>
  </si>
  <si>
    <t>Sales</t>
  </si>
  <si>
    <t>Sales Projection (6 months out?)</t>
  </si>
  <si>
    <t>Cash and other financial Reserve Levels</t>
  </si>
  <si>
    <t>Volume of production</t>
  </si>
  <si>
    <t>Volume of orders for (future) production</t>
  </si>
  <si>
    <t>Sales $ in future</t>
  </si>
  <si>
    <t>$ of orders received</t>
  </si>
  <si>
    <t>Accts receivable</t>
  </si>
  <si>
    <t>Accts Payable</t>
  </si>
  <si>
    <t>Total Revenues</t>
  </si>
  <si>
    <t>Total Costs (excluding D&amp;A)</t>
  </si>
  <si>
    <t>Cash Flow</t>
  </si>
  <si>
    <t>Do MONTHLY IS (with recurring costs)</t>
  </si>
  <si>
    <t>space to add lines for new people</t>
  </si>
  <si>
    <t>new costs….</t>
  </si>
  <si>
    <t>Financial Model MONTHLY</t>
  </si>
  <si>
    <t>Assume it is September, 2018</t>
  </si>
  <si>
    <t>Sales Orders $ booked during month for delivery in future</t>
  </si>
  <si>
    <t>Total of $  Orders Booked/ not yet delivered</t>
  </si>
  <si>
    <t>Eoghan's Super Cool Widgets Company</t>
  </si>
  <si>
    <t>Number of widgets</t>
  </si>
  <si>
    <t>Cash in Bank</t>
  </si>
  <si>
    <t>Quick Ratio:</t>
  </si>
  <si>
    <t>Accounts Payable</t>
  </si>
  <si>
    <t xml:space="preserve"> 30/60/90</t>
  </si>
  <si>
    <t>Current Ratio:</t>
  </si>
  <si>
    <t xml:space="preserve">       Sales Concentration in Top 5 Customers</t>
  </si>
  <si>
    <t>Balance Sheet Information</t>
  </si>
  <si>
    <t>Short Term Debt &amp; Current portion of LT Debt</t>
  </si>
  <si>
    <t>Long Term Debt</t>
  </si>
  <si>
    <t>FY 2015</t>
  </si>
  <si>
    <t>FY 2016</t>
  </si>
  <si>
    <t>FY 2017</t>
  </si>
  <si>
    <t>Tax Rate</t>
  </si>
  <si>
    <t>TOTAL CURRENT ASSETS</t>
  </si>
  <si>
    <t>Other Current Assets</t>
  </si>
  <si>
    <t>per item</t>
  </si>
  <si>
    <t>Total Assets</t>
  </si>
  <si>
    <t>Fixed Assets (Property, Plant &amp; Equip - NET of Depreciation)</t>
  </si>
  <si>
    <t>Other Payables</t>
  </si>
  <si>
    <t>Liabilities</t>
  </si>
  <si>
    <t>Assets</t>
  </si>
  <si>
    <t xml:space="preserve">Inventory </t>
  </si>
  <si>
    <t xml:space="preserve">levels should </t>
  </si>
  <si>
    <t>match</t>
  </si>
  <si>
    <t>FY 17</t>
  </si>
  <si>
    <t>dec 2017 &amp;</t>
  </si>
  <si>
    <t>Total Liabilities</t>
  </si>
  <si>
    <t>Current Liabilities</t>
  </si>
  <si>
    <t>Equity</t>
  </si>
  <si>
    <t>Depreciation and Amortization</t>
  </si>
  <si>
    <t>Other Fields</t>
  </si>
  <si>
    <t>% Equity the Owner Has</t>
  </si>
  <si>
    <t>Total Payroll Costs</t>
  </si>
  <si>
    <t>Additional People costs</t>
  </si>
  <si>
    <t>Other costs #2</t>
  </si>
  <si>
    <t>Other #2 ______________</t>
  </si>
  <si>
    <t>EMPLOYMENT INFORMATION</t>
  </si>
  <si>
    <t># Women</t>
  </si>
  <si>
    <t># Total</t>
  </si>
  <si>
    <t>$ Sales projections for 6 Months out</t>
  </si>
  <si>
    <t>Industry-Specific KPIs</t>
  </si>
  <si>
    <t>??????</t>
  </si>
  <si>
    <t>Financial Ratios</t>
  </si>
  <si>
    <t>RATIOS</t>
  </si>
  <si>
    <t>FORMULAR</t>
  </si>
  <si>
    <t>VALUE</t>
  </si>
  <si>
    <t>Profitability Ratios</t>
  </si>
  <si>
    <t xml:space="preserve">Return on Assets </t>
  </si>
  <si>
    <t>Profit before taxes/ Total Asset</t>
  </si>
  <si>
    <t>Return on Equity</t>
  </si>
  <si>
    <t>Net income/Shareholder's Equity</t>
  </si>
  <si>
    <t>Return on capital</t>
  </si>
  <si>
    <t>(Net income - Dividends)/(Debt + Equity)</t>
  </si>
  <si>
    <t>Return on capital employed</t>
  </si>
  <si>
    <t>Net operating profit/(Total assets - Current liabilities)</t>
  </si>
  <si>
    <t>Cash flow return on investment</t>
  </si>
  <si>
    <t>Cash flow/ Market value of capital employed</t>
  </si>
  <si>
    <t>Efficiency ratio</t>
  </si>
  <si>
    <t>Non-interest expense/ revenue</t>
  </si>
  <si>
    <t>Gross profit margin</t>
  </si>
  <si>
    <t>Gross income/Sales</t>
  </si>
  <si>
    <t>Operating profit margin</t>
  </si>
  <si>
    <t>Operating income/ Sales</t>
  </si>
  <si>
    <t>Net profit margin</t>
  </si>
  <si>
    <t>Net income/ Sales</t>
  </si>
  <si>
    <t>Liquidity Ratios</t>
  </si>
  <si>
    <t>Current Ratio</t>
  </si>
  <si>
    <t>Current assets/Current liabilities</t>
  </si>
  <si>
    <t>Quick Ratio</t>
  </si>
  <si>
    <t>(Current assets-Inventory)/ Current liabilities</t>
  </si>
  <si>
    <t>Net working capital to sales ratio</t>
  </si>
  <si>
    <t>(Current assets - Current liabilities)/ Sales</t>
  </si>
  <si>
    <t>Net Operating cycle</t>
  </si>
  <si>
    <t>Accounts receivable days+ Inventory days - Accounts payable days</t>
  </si>
  <si>
    <t>49 Days</t>
  </si>
  <si>
    <t>Operating cycle</t>
  </si>
  <si>
    <t>Inventory days + Account receivable days</t>
  </si>
  <si>
    <t>Activitiy Ratios</t>
  </si>
  <si>
    <t>Inventory turnover</t>
  </si>
  <si>
    <t>Cost of goods sold/ Inventory</t>
  </si>
  <si>
    <t>19x</t>
  </si>
  <si>
    <t>Accounts Receivable Turnover Ratio</t>
  </si>
  <si>
    <t>Sales on credit/Accounts receivable</t>
  </si>
  <si>
    <t>Inventory Days on Hand</t>
  </si>
  <si>
    <t>Inventory/Average day's cost of goods sold</t>
  </si>
  <si>
    <t>19 Days</t>
  </si>
  <si>
    <t xml:space="preserve">Accounts Receivable Days </t>
  </si>
  <si>
    <t>365days/Account receivable turnover ratio</t>
  </si>
  <si>
    <t>0 Days</t>
  </si>
  <si>
    <t>Account Payable Turnover Ratio</t>
  </si>
  <si>
    <t>12x</t>
  </si>
  <si>
    <t>Accounts Payable Days on Hand</t>
  </si>
  <si>
    <t>365days/ Accounts payable turnover ratio</t>
  </si>
  <si>
    <t>30 Days</t>
  </si>
  <si>
    <t>Total asset turnover</t>
  </si>
  <si>
    <t>Sales/Total assets</t>
  </si>
  <si>
    <t>Fixed asset turnover</t>
  </si>
  <si>
    <t>Sales/Fixed assets</t>
  </si>
  <si>
    <t>Financial Leverage ratios</t>
  </si>
  <si>
    <t>Total debt to asset ratio</t>
  </si>
  <si>
    <t>Total debt/ Total assets</t>
  </si>
  <si>
    <t>Long-term debt to assets ratio</t>
  </si>
  <si>
    <t>Long-term debt/ Total assets</t>
  </si>
  <si>
    <t>Total debt to equity ratio</t>
  </si>
  <si>
    <t>Total debts/ Total shareholders' equity</t>
  </si>
  <si>
    <t>Equity to debt</t>
  </si>
  <si>
    <t>Market Value of Equity/ Total Liabilities</t>
  </si>
  <si>
    <t>Coverage Financial Leverage ratios</t>
  </si>
  <si>
    <t>Times -interest-coverage ration</t>
  </si>
  <si>
    <t>Earnings before interest and taxes/ Interest</t>
  </si>
  <si>
    <t>Fixed-chareg coverage ratio</t>
  </si>
  <si>
    <t>(Earnings before interest and taxes + Lease payment) / (Interest + Lease payment)</t>
  </si>
  <si>
    <t>Shareholder ratios</t>
  </si>
  <si>
    <t>Earnings per share</t>
  </si>
  <si>
    <t>Net income available to shareholders/ Number of shares outstanding</t>
  </si>
  <si>
    <t>Price-earning ratio</t>
  </si>
  <si>
    <t>Market price per share/ Earnings per share</t>
  </si>
  <si>
    <t>Dividend payout ratio</t>
  </si>
  <si>
    <t>Dividends/Earnings</t>
  </si>
  <si>
    <t>Retention ratio</t>
  </si>
  <si>
    <t>(Earnings - Dividend)/ Earnings</t>
  </si>
  <si>
    <t>Dividend yield</t>
  </si>
  <si>
    <t>Dividends per share/ Market per share</t>
  </si>
  <si>
    <t>Retained Earnings to Total Assets</t>
  </si>
  <si>
    <t>Retained earnings/ Total assets</t>
  </si>
  <si>
    <t>Solvency Ratios</t>
  </si>
  <si>
    <t>Working Capital</t>
  </si>
  <si>
    <t>Total current asset - Total current liabilities</t>
  </si>
  <si>
    <t>Net Sales to Working Capital</t>
  </si>
  <si>
    <t>Net sales/ Net working capital</t>
  </si>
  <si>
    <t>Other Ratios</t>
  </si>
  <si>
    <t>Working capital to Total Assets</t>
  </si>
  <si>
    <t>Working capital/Total assets</t>
  </si>
  <si>
    <t>Operating leverage</t>
  </si>
  <si>
    <t>Contribution margin/ Fixed costs</t>
  </si>
  <si>
    <t>Fincnacial leverage</t>
  </si>
  <si>
    <t>Total capital employed/Shareholder's equity</t>
  </si>
  <si>
    <t>Total leverage</t>
  </si>
  <si>
    <t>Operating leverage X Financial leverage</t>
  </si>
  <si>
    <t>Z-Score</t>
  </si>
  <si>
    <t>Weighting Factor</t>
  </si>
  <si>
    <t>Return on Assets</t>
  </si>
  <si>
    <t>Sales to Total Assets</t>
  </si>
  <si>
    <t>Equity to Debt</t>
  </si>
  <si>
    <t>Working Capital to Total Assets</t>
  </si>
  <si>
    <t>Marketplace Credit Rating Matrix VI</t>
  </si>
  <si>
    <t>TRENDS OVER 3 YEARS</t>
  </si>
  <si>
    <t>Improving</t>
  </si>
  <si>
    <t>Stable</t>
  </si>
  <si>
    <t>Declining</t>
  </si>
  <si>
    <t>n/a [see notes]</t>
  </si>
  <si>
    <t>TOTAL REVENUES</t>
  </si>
  <si>
    <t>REVENUES % CONCENTRATION</t>
  </si>
  <si>
    <t>GROSS MARGIN</t>
  </si>
  <si>
    <t>NET MARGIN</t>
  </si>
  <si>
    <t>ASSETS EMPLOYED</t>
  </si>
  <si>
    <t>CURRENT RATIO [General Liquidity]</t>
  </si>
  <si>
    <t>OWNER’S EQUITY</t>
  </si>
  <si>
    <t>DEBT TO EQUITY RATIO</t>
  </si>
  <si>
    <t>CASH GENERATED FROM OPERATIONS</t>
  </si>
  <si>
    <t>OTHER TREND MEASUREMENTS</t>
  </si>
  <si>
    <t>Over 5 years</t>
  </si>
  <si>
    <t>Over 3 years</t>
  </si>
  <si>
    <t>1 year</t>
  </si>
  <si>
    <t>Unavailable</t>
  </si>
  <si>
    <t>GOOD REPAYMENT RECORD</t>
  </si>
  <si>
    <t>ORGANISED FINANCIALS  AVAILABLE</t>
  </si>
  <si>
    <t>AUDITED FINANCIALS  AVAILABLE</t>
  </si>
  <si>
    <t>ABSOLUTE  MEASURES</t>
  </si>
  <si>
    <t>More Than USD2ML</t>
  </si>
  <si>
    <t>USD500K – USD2ML</t>
  </si>
  <si>
    <t>USD100K – USD499K</t>
  </si>
  <si>
    <t>USD50K – USD99K</t>
  </si>
  <si>
    <t>Annual Revenues</t>
  </si>
  <si>
    <t>Total Assets Employed</t>
  </si>
  <si>
    <t>Owners / X-Co Supported G’tees Available</t>
  </si>
  <si>
    <t>RECORDS / ENVIRON [NON-FINANCIAL]</t>
  </si>
  <si>
    <t>Over 7 years</t>
  </si>
  <si>
    <t>Over 4 years</t>
  </si>
  <si>
    <t>Over 2 years</t>
  </si>
  <si>
    <t>Start-Up [see notes]</t>
  </si>
  <si>
    <t>Business Longevity</t>
  </si>
  <si>
    <t>Organisational Structure &amp; Policies</t>
  </si>
  <si>
    <t>Business Sector Stability</t>
  </si>
  <si>
    <t>Increasing Employment Trend</t>
  </si>
  <si>
    <t>TOTAL</t>
  </si>
  <si>
    <t>1)</t>
  </si>
  <si>
    <t>Sales Actual vs Forecast</t>
  </si>
  <si>
    <t>Monthly data comes from:</t>
  </si>
  <si>
    <t>Actual month</t>
  </si>
  <si>
    <t>Forecast month</t>
  </si>
  <si>
    <t xml:space="preserve">2) </t>
  </si>
  <si>
    <t>Cash Flow by Month</t>
  </si>
  <si>
    <t>Month 1</t>
  </si>
  <si>
    <t>Month 2</t>
  </si>
  <si>
    <t>Month 3</t>
  </si>
  <si>
    <t>Revenue</t>
  </si>
  <si>
    <t>Expenses</t>
  </si>
  <si>
    <t>Profit Margins by Year</t>
  </si>
  <si>
    <t>3 Years Ago (ie 2015)</t>
  </si>
  <si>
    <t>Year Before Last (2016)</t>
  </si>
  <si>
    <t>Last Year (2017)</t>
  </si>
  <si>
    <t>3)</t>
  </si>
  <si>
    <t>4)</t>
  </si>
  <si>
    <t>Sales Concentration by Customer</t>
  </si>
  <si>
    <t>last year (2017)</t>
  </si>
  <si>
    <t>All other Customers</t>
  </si>
  <si>
    <t>5)</t>
  </si>
  <si>
    <t>Business Diagnostics</t>
  </si>
  <si>
    <t>6 segments, 2 numbers per segment (initial and current)</t>
  </si>
  <si>
    <t>Initial Number</t>
  </si>
  <si>
    <t>Current Number</t>
  </si>
  <si>
    <t>Leadership</t>
  </si>
  <si>
    <t>=DiagnosticData!BM$4</t>
  </si>
  <si>
    <t>=DiagnosticData!DZ$4</t>
  </si>
  <si>
    <t>Organisation and Staff</t>
  </si>
  <si>
    <t>=DiagnosticData!Bn$4</t>
  </si>
  <si>
    <t>=DiagnosticData!EA$4</t>
  </si>
  <si>
    <t>Product/Service &amp; Processing</t>
  </si>
  <si>
    <t>=DiagnosticData!Bo$4</t>
  </si>
  <si>
    <t>=DiagnosticData!EB$4</t>
  </si>
  <si>
    <t>Sales &amp; Marketing</t>
  </si>
  <si>
    <t>=DiagnosticData!Bp$4</t>
  </si>
  <si>
    <t>=DiagnosticData!EC$4</t>
  </si>
  <si>
    <t>Financial Management</t>
  </si>
  <si>
    <t>=DiagnosticData!Bq$4</t>
  </si>
  <si>
    <t>=DiagnosticData!ED$4</t>
  </si>
  <si>
    <t>Environmental &amp; Social</t>
  </si>
  <si>
    <t>=DiagnosticData!Br$4</t>
  </si>
  <si>
    <t>=DiagnosticData!EE$4</t>
  </si>
  <si>
    <t>6)</t>
  </si>
  <si>
    <t>Employees by Gender</t>
  </si>
  <si>
    <t># women</t>
  </si>
  <si>
    <t>='Input Sheet'!C47</t>
  </si>
  <si>
    <t># men</t>
  </si>
  <si>
    <t>='Input Sheet'!C48-'Input Sheet'!C47</t>
  </si>
  <si>
    <t>Ratios to Add to Dashboard</t>
  </si>
  <si>
    <t>(Latest MONTH)</t>
  </si>
  <si>
    <t>Debt to Equity Ratio:</t>
  </si>
  <si>
    <t>Others to add to Dashboard</t>
  </si>
  <si>
    <t>Afraid we have a "hodgepodge of different data"</t>
  </si>
  <si>
    <t>Rating systems of companies are generally 1 - 100</t>
  </si>
  <si>
    <t>90-100 best interest rate</t>
  </si>
  <si>
    <t>80-89 - next best</t>
  </si>
  <si>
    <t>------</t>
  </si>
  <si>
    <t>50-59 can just barely get lending at a high price</t>
  </si>
  <si>
    <t>under 50 - cannot get money</t>
  </si>
  <si>
    <t>Lending Crowd - check to see what ratings they use (based on info they gather about folks)</t>
  </si>
  <si>
    <t>Gearing</t>
  </si>
  <si>
    <t>Net Profit Margin</t>
  </si>
  <si>
    <t>Cash Flow to cover debt</t>
  </si>
  <si>
    <t>Lenders want "as much quantifiable info as possible"</t>
  </si>
  <si>
    <t>and need to be able to rely on the correctness of the information provided.</t>
  </si>
  <si>
    <t>Add to Dashboard:</t>
  </si>
  <si>
    <t># years in business</t>
  </si>
  <si>
    <t>Info About Broader Market:</t>
  </si>
  <si>
    <t>Competition</t>
  </si>
  <si>
    <t>sector information - is sector growing, stable or declining?</t>
  </si>
  <si>
    <t>Eoghan Asks:</t>
  </si>
  <si>
    <t>Which Ratios should be there?</t>
  </si>
  <si>
    <t>How do we present the ratios attractively?</t>
  </si>
  <si>
    <t>debtor days</t>
  </si>
  <si>
    <t>creditor days</t>
  </si>
  <si>
    <t>inventory turns</t>
  </si>
  <si>
    <t>Free Cash from Operations (he would use EBITDA) annual basis</t>
  </si>
  <si>
    <t>EBITDA</t>
  </si>
  <si>
    <t>Interest Cover</t>
  </si>
  <si>
    <t>3 year trend of cash generated from operations?  (EBITDA)</t>
  </si>
  <si>
    <t xml:space="preserve">  </t>
  </si>
  <si>
    <t>Product A</t>
  </si>
  <si>
    <t>Product  B</t>
  </si>
  <si>
    <t xml:space="preserve">New Orders </t>
  </si>
  <si>
    <t>+ Ending Inventory/ - Unfilled Orders</t>
  </si>
  <si>
    <t>Eoghan's Super Cool Widgets Company:  Manager's Dashboard</t>
  </si>
  <si>
    <t>Accounts Receivable Aging 30/60/90</t>
  </si>
  <si>
    <t>$200/$50/$10</t>
  </si>
  <si>
    <t>Cash flow from operations  (EBITDA)</t>
  </si>
  <si>
    <t>Expenses Pie</t>
  </si>
  <si>
    <t xml:space="preserve">    Cost of Goods Sold</t>
  </si>
  <si>
    <t xml:space="preserve">    Payroll Costs</t>
  </si>
  <si>
    <t xml:space="preserve">    Rent/ Leases</t>
  </si>
  <si>
    <t xml:space="preserve">    Sales, General &amp; Administrative</t>
  </si>
  <si>
    <t xml:space="preserve">    Other</t>
  </si>
  <si>
    <t xml:space="preserve">    Interest</t>
  </si>
  <si>
    <t xml:space="preserve">     Taxes</t>
  </si>
  <si>
    <t>Inventory Turns</t>
  </si>
  <si>
    <t>Inventory Turns (COGS/Inventory)</t>
  </si>
  <si>
    <t>total purchases/average accounts payable</t>
  </si>
  <si>
    <t xml:space="preserve"> </t>
  </si>
  <si>
    <t>='Finance Sheet'!O12</t>
  </si>
  <si>
    <t>='Finance Sheet'!O14</t>
  </si>
  <si>
    <t>='Finance Sheet'!M12</t>
  </si>
  <si>
    <t>='Finance Sheet'!N12</t>
  </si>
  <si>
    <t>='Finance Sheet'!M14-'Finance Sheet'!M39</t>
  </si>
  <si>
    <t>='Finance Sheet'!N14-'Finance Sheet'!N39</t>
  </si>
  <si>
    <t>='Finance Sheet'!O14-'Finance Sheet'!O39</t>
  </si>
  <si>
    <t>'Finance Sheet'!M31+'Finance Sheet'!M39</t>
  </si>
  <si>
    <t>'Finance Sheet'!N31+'Finance Sheet'!N39</t>
  </si>
  <si>
    <t>'Finance Sheet'!O31+'Finance Sheet'!O39</t>
  </si>
  <si>
    <t>'Finance Sheet'!F18 (formatted as %)</t>
  </si>
  <si>
    <t>='Finance Sheet'!G18</t>
  </si>
  <si>
    <t>='Finance Sheet'!H18</t>
  </si>
  <si>
    <t>'Finance Sheet'!F40 (%)</t>
  </si>
  <si>
    <t>='Finance Sheet'!G40</t>
  </si>
  <si>
    <t>='Finance Sheet'!H40</t>
  </si>
  <si>
    <t>='Finance Sheet'!O75</t>
  </si>
  <si>
    <t>='Finance Sheet'!O80</t>
  </si>
  <si>
    <t>='Finance Sheet'!O78</t>
  </si>
  <si>
    <t>='Finance Sheet'!O55</t>
  </si>
  <si>
    <t>='Finance Sheet'!O56</t>
  </si>
  <si>
    <t>='Finance Sheet'!O66</t>
  </si>
  <si>
    <t>='Finance Sheet'!H6/'Finance Sheet'!H12</t>
  </si>
  <si>
    <t>in percent</t>
  </si>
  <si>
    <t>='Finance Sheet'!H7/'Finance Sheet'!H12</t>
  </si>
  <si>
    <t>='Finance Sheet'!H8/'Finance Sheet'!H12</t>
  </si>
  <si>
    <t>='Finance Sheet'!H9/'Finance Sheet'!H12</t>
  </si>
  <si>
    <t>='Finance Sheet'!H10/'Finance Sheet'!H12</t>
  </si>
  <si>
    <t>='Finance Sheet'!H11/'Finance Sheet'!H12</t>
  </si>
  <si>
    <t>='Finance Sheet'!J51</t>
  </si>
  <si>
    <t>='Finance Sheet'!K51</t>
  </si>
  <si>
    <t>='Finance Sheet'!L51</t>
  </si>
  <si>
    <t>='Finance Sheet'!M51</t>
  </si>
  <si>
    <t>='Finance Sheet'!N51</t>
  </si>
  <si>
    <t>='Finance Sheet'!O51</t>
  </si>
  <si>
    <t>='Finance Sheet'!J49+'Finance Sheet'!J50</t>
  </si>
  <si>
    <t>='Finance Sheet'!J49+'Finance Sheet'!J51</t>
  </si>
  <si>
    <t>='Finance Sheet'!J49+'Finance Sheet'!J52</t>
  </si>
  <si>
    <t>='Finance Sheet'!J49+'Finance Sheet'!J53</t>
  </si>
  <si>
    <t>='Finance Sheet'!J49+'Finance Sheet'!J54</t>
  </si>
  <si>
    <t>='Finance Sheet'!J49+'Finance Sheet'!J55</t>
  </si>
  <si>
    <t>='Finance Sheet'!J56</t>
  </si>
  <si>
    <t>='Finance Sheet'!J57</t>
  </si>
  <si>
    <t>='Finance Sheet'!J67</t>
  </si>
  <si>
    <t>='Finance Sheet'!K56</t>
  </si>
  <si>
    <t>='Finance Sheet'!K57</t>
  </si>
  <si>
    <t>='Finance Sheet'!K67</t>
  </si>
  <si>
    <t>='Finance Sheet'!L56</t>
  </si>
  <si>
    <t>='Finance Sheet'!L57</t>
  </si>
  <si>
    <t>='Finance Sheet'!L67</t>
  </si>
  <si>
    <t>='Finance Sheet'!M56</t>
  </si>
  <si>
    <t>='Finance Sheet'!M57</t>
  </si>
  <si>
    <t>='Finance Sheet'!M67</t>
  </si>
  <si>
    <t>='Finance Sheet'!N56</t>
  </si>
  <si>
    <t>='Finance Sheet'!N57</t>
  </si>
  <si>
    <t>='Finance Sheet'!N67</t>
  </si>
  <si>
    <t>='Finance Sheet'!O57</t>
  </si>
  <si>
    <t>='Finance Sheet'!O67</t>
  </si>
  <si>
    <t>='Finance Sheet'!O16</t>
  </si>
  <si>
    <t>='Finance Sheet'!O22</t>
  </si>
  <si>
    <t>='Finance Sheet'!O24</t>
  </si>
  <si>
    <t>='Finance Sheet'!O26</t>
  </si>
  <si>
    <t>='Finance Sheet'!O28+'Finance Sheet'!O29</t>
  </si>
  <si>
    <t>='Finance Sheet'!O36</t>
  </si>
  <si>
    <t>='Finance Sheet'!O38</t>
  </si>
  <si>
    <t>='Finance Sheet'!F60/'Finance Sheet'!F69</t>
  </si>
  <si>
    <t>='Finance Sheet'!F40+'Finance Sheet'!F32</t>
  </si>
  <si>
    <t>='Finance Sheet'!F62+'Finance Sheet'!F60-'Finance Sheet'!F69</t>
  </si>
  <si>
    <t>='Finance Sheet'!G60/'Finance Sheet'!G69</t>
  </si>
  <si>
    <t>='Finance Sheet'!G40+'Finance Sheet'!G32</t>
  </si>
  <si>
    <t>='Finance Sheet'!G62+'Finance Sheet'!G60-'Finance Sheet'!G69</t>
  </si>
  <si>
    <t>='Finance Sheet'!H60/'Finance Sheet'!H69</t>
  </si>
  <si>
    <t>='Finance Sheet'!H40+'Finance Sheet'!H32</t>
  </si>
  <si>
    <t>='Finance Sheet'!H62+'Finance Sheet'!H60-'Finance Sheet'!H69</t>
  </si>
  <si>
    <t>=('Finance Sheet'!F66+'Finance Sheet'!F71)/'Finance Sheet'!F73</t>
  </si>
  <si>
    <t>=('Finance Sheet'!G66+'Finance Sheet'!G71)/'Finance Sheet'!G73</t>
  </si>
  <si>
    <t>=('Finance Sheet'!H66+'Finance Sheet'!H71)/'Finance Sheet'!H73</t>
  </si>
  <si>
    <t>=('Finance Sheet'!F56+'Finance Sheet'!F57)/'Finance Sheet'!F69</t>
  </si>
  <si>
    <t>='Finance Sheet'!F16/'Finance Sheet'!F58</t>
  </si>
  <si>
    <t>=('Finance Sheet'!G56+'Finance Sheet'!G57)/'Finance Sheet'!G69</t>
  </si>
  <si>
    <t>='Finance Sheet'!G16/'Finance Sheet'!G58</t>
  </si>
  <si>
    <t>=('Finance Sheet'!H56+'Finance Sheet'!H57)/'Finance Sheet'!H69</t>
  </si>
  <si>
    <t>='Finance Sheet'!H16/'Finance Sheet'!H58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</si>
</sst>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\x"/>
    <numFmt numFmtId="168" formatCode="#,##0.00\ \t\o\ \1"/>
    <numFmt numFmtId="169" formatCode="_(* #,##0_);_(* \(#,##0\);_(* &quot;-&quot;??_);_(@_)"/>
    <numFmt numFmtId="170" formatCode="0\x"/>
    <numFmt numFmtId="171" formatCode="#,##0.0\ \t\o\ \1"/>
    <numFmt numFmtId="172" formatCode="0.0"/>
    <numFmt numFmtId="173" formatCode="_(* #,##0.0_);_(* \(#,##0.0\);_(* &quot;-&quot;??_);_(@_)"/>
    <numFmt numFmtId="174" formatCode="0.0\x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8"/>
      <color rgb="FF202020"/>
      <name val="Arial"/>
      <family val="2"/>
    </font>
    <font>
      <i/>
      <sz val="8"/>
      <color rgb="FF202020"/>
      <name val="Arial"/>
      <family val="2"/>
    </font>
    <font>
      <b/>
      <sz val="20"/>
      <color theme="1"/>
      <name val="Calibri"/>
      <family val="2"/>
      <scheme val="minor"/>
    </font>
    <font>
      <sz val="7"/>
      <color rgb="FF333333"/>
      <name val="Arial"/>
      <family val="2"/>
    </font>
    <font>
      <b/>
      <sz val="22"/>
      <name val="Calibri"/>
      <family val="2"/>
      <scheme val="minor"/>
    </font>
    <font>
      <b/>
      <sz val="22"/>
      <color rgb="FF00AAD3"/>
      <name val="Rockwell"/>
      <family val="1"/>
    </font>
    <font>
      <sz val="11"/>
      <color theme="1"/>
      <name val="Rockwell"/>
      <family val="1"/>
    </font>
    <font>
      <b/>
      <i/>
      <sz val="12"/>
      <color theme="0"/>
      <name val="Rockwell"/>
      <family val="1"/>
    </font>
    <font>
      <sz val="12"/>
      <color theme="1"/>
      <name val="Rockwell"/>
      <family val="1"/>
    </font>
    <font>
      <b/>
      <sz val="12"/>
      <color theme="0"/>
      <name val="Rockwell"/>
      <family val="1"/>
    </font>
    <font>
      <b/>
      <sz val="12"/>
      <color theme="1"/>
      <name val="Rockwell"/>
      <family val="1"/>
    </font>
    <font>
      <sz val="11"/>
      <color rgb="FF000000"/>
      <name val="Rockwell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E6F88"/>
        <bgColor indexed="64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3">
    <xf numFmtId="0" fontId="0" fillId="0" borderId="0" xfId="0"/>
    <xf numFmtId="17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165" fontId="4" fillId="0" borderId="0" xfId="1" applyNumberFormat="1" applyFont="1"/>
    <xf numFmtId="0" fontId="3" fillId="2" borderId="0" xfId="0" applyFont="1" applyFill="1"/>
    <xf numFmtId="164" fontId="3" fillId="0" borderId="0" xfId="0" applyNumberFormat="1" applyFont="1" applyFill="1"/>
    <xf numFmtId="0" fontId="3" fillId="0" borderId="0" xfId="0" applyFont="1" applyFill="1"/>
    <xf numFmtId="166" fontId="0" fillId="0" borderId="0" xfId="0" applyNumberFormat="1"/>
    <xf numFmtId="166" fontId="3" fillId="0" borderId="0" xfId="0" applyNumberFormat="1" applyFont="1"/>
    <xf numFmtId="0" fontId="0" fillId="2" borderId="0" xfId="0" applyFill="1"/>
    <xf numFmtId="0" fontId="5" fillId="2" borderId="0" xfId="0" applyFont="1" applyFill="1"/>
    <xf numFmtId="0" fontId="0" fillId="2" borderId="0" xfId="0" quotePrefix="1" applyFill="1"/>
    <xf numFmtId="0" fontId="0" fillId="0" borderId="0" xfId="0" applyFill="1"/>
    <xf numFmtId="0" fontId="6" fillId="0" borderId="0" xfId="0" applyFont="1"/>
    <xf numFmtId="164" fontId="8" fillId="0" borderId="0" xfId="0" applyNumberFormat="1" applyFont="1"/>
    <xf numFmtId="164" fontId="7" fillId="0" borderId="0" xfId="0" applyNumberFormat="1" applyFont="1"/>
    <xf numFmtId="164" fontId="9" fillId="0" borderId="0" xfId="0" applyNumberFormat="1" applyFont="1"/>
    <xf numFmtId="164" fontId="7" fillId="0" borderId="0" xfId="0" applyNumberFormat="1" applyFont="1" applyFill="1"/>
    <xf numFmtId="0" fontId="0" fillId="0" borderId="1" xfId="0" applyBorder="1" applyAlignment="1">
      <alignment horizontal="right"/>
    </xf>
    <xf numFmtId="166" fontId="10" fillId="0" borderId="0" xfId="0" applyNumberFormat="1" applyFont="1"/>
    <xf numFmtId="9" fontId="3" fillId="0" borderId="2" xfId="1" applyFont="1" applyBorder="1"/>
    <xf numFmtId="166" fontId="7" fillId="0" borderId="0" xfId="0" applyNumberFormat="1" applyFont="1"/>
    <xf numFmtId="0" fontId="11" fillId="0" borderId="0" xfId="2"/>
    <xf numFmtId="0" fontId="12" fillId="0" borderId="0" xfId="2" applyFont="1"/>
    <xf numFmtId="17" fontId="11" fillId="0" borderId="0" xfId="2" applyNumberFormat="1"/>
    <xf numFmtId="164" fontId="13" fillId="0" borderId="0" xfId="2" applyNumberFormat="1" applyFont="1"/>
    <xf numFmtId="0" fontId="11" fillId="0" borderId="0" xfId="2" applyFont="1"/>
    <xf numFmtId="0" fontId="13" fillId="0" borderId="0" xfId="2" applyFont="1"/>
    <xf numFmtId="164" fontId="11" fillId="0" borderId="0" xfId="2" applyNumberFormat="1" applyFont="1"/>
    <xf numFmtId="3" fontId="13" fillId="0" borderId="0" xfId="2" applyNumberFormat="1" applyFont="1"/>
    <xf numFmtId="9" fontId="13" fillId="0" borderId="0" xfId="2" applyNumberFormat="1" applyFont="1"/>
    <xf numFmtId="167" fontId="0" fillId="0" borderId="0" xfId="3" applyNumberFormat="1" applyFont="1"/>
    <xf numFmtId="164" fontId="11" fillId="0" borderId="0" xfId="2" applyNumberFormat="1"/>
    <xf numFmtId="9" fontId="14" fillId="0" borderId="0" xfId="2" applyNumberFormat="1" applyFont="1"/>
    <xf numFmtId="0" fontId="11" fillId="2" borderId="0" xfId="2" applyFill="1"/>
    <xf numFmtId="0" fontId="15" fillId="0" borderId="0" xfId="2" applyFont="1"/>
    <xf numFmtId="168" fontId="11" fillId="0" borderId="0" xfId="2" applyNumberFormat="1"/>
    <xf numFmtId="0" fontId="16" fillId="0" borderId="0" xfId="4"/>
    <xf numFmtId="0" fontId="11" fillId="0" borderId="0" xfId="2" applyAlignment="1">
      <alignment horizontal="right"/>
    </xf>
    <xf numFmtId="0" fontId="17" fillId="0" borderId="0" xfId="2" applyFont="1"/>
    <xf numFmtId="165" fontId="18" fillId="0" borderId="0" xfId="3" applyNumberFormat="1" applyFont="1"/>
    <xf numFmtId="0" fontId="11" fillId="3" borderId="0" xfId="2" applyFill="1" applyAlignment="1">
      <alignment horizontal="left" vertical="center" wrapText="1"/>
    </xf>
    <xf numFmtId="0" fontId="19" fillId="3" borderId="0" xfId="2" applyFont="1" applyFill="1" applyAlignment="1">
      <alignment horizontal="left" vertical="center" wrapText="1"/>
    </xf>
    <xf numFmtId="3" fontId="19" fillId="3" borderId="0" xfId="2" applyNumberFormat="1" applyFont="1" applyFill="1" applyAlignment="1">
      <alignment horizontal="left" vertical="center" wrapText="1"/>
    </xf>
    <xf numFmtId="165" fontId="17" fillId="0" borderId="0" xfId="3" applyNumberFormat="1" applyFont="1"/>
    <xf numFmtId="0" fontId="20" fillId="3" borderId="0" xfId="2" applyFont="1" applyFill="1" applyAlignment="1">
      <alignment horizontal="left" vertical="center" wrapText="1"/>
    </xf>
    <xf numFmtId="3" fontId="20" fillId="3" borderId="0" xfId="2" applyNumberFormat="1" applyFont="1" applyFill="1" applyAlignment="1">
      <alignment horizontal="left" vertical="center" wrapText="1"/>
    </xf>
    <xf numFmtId="17" fontId="11" fillId="0" borderId="0" xfId="2" quotePrefix="1" applyNumberFormat="1" applyAlignment="1">
      <alignment horizontal="right"/>
    </xf>
    <xf numFmtId="165" fontId="0" fillId="0" borderId="0" xfId="3" applyNumberFormat="1" applyFont="1"/>
    <xf numFmtId="165" fontId="11" fillId="0" borderId="0" xfId="2" applyNumberFormat="1"/>
    <xf numFmtId="17" fontId="11" fillId="0" borderId="0" xfId="2" applyNumberFormat="1" applyAlignment="1">
      <alignment horizontal="right"/>
    </xf>
    <xf numFmtId="169" fontId="13" fillId="0" borderId="0" xfId="5" applyNumberFormat="1" applyFont="1"/>
    <xf numFmtId="0" fontId="11" fillId="4" borderId="0" xfId="2" applyFill="1"/>
    <xf numFmtId="164" fontId="13" fillId="4" borderId="0" xfId="2" applyNumberFormat="1" applyFont="1" applyFill="1"/>
    <xf numFmtId="0" fontId="21" fillId="0" borderId="0" xfId="2" applyFont="1"/>
    <xf numFmtId="0" fontId="11" fillId="0" borderId="0" xfId="2" applyBorder="1"/>
    <xf numFmtId="0" fontId="12" fillId="0" borderId="0" xfId="2" applyFont="1" applyBorder="1" applyAlignment="1">
      <alignment horizontal="right"/>
    </xf>
    <xf numFmtId="0" fontId="12" fillId="0" borderId="0" xfId="2" applyFont="1" applyBorder="1" applyAlignment="1">
      <alignment horizontal="center"/>
    </xf>
    <xf numFmtId="165" fontId="0" fillId="0" borderId="0" xfId="3" applyNumberFormat="1" applyFont="1" applyBorder="1"/>
    <xf numFmtId="6" fontId="13" fillId="0" borderId="0" xfId="2" applyNumberFormat="1" applyFont="1"/>
    <xf numFmtId="0" fontId="12" fillId="0" borderId="0" xfId="2" applyFont="1" applyAlignment="1">
      <alignment horizontal="right"/>
    </xf>
    <xf numFmtId="0" fontId="11" fillId="0" borderId="0" xfId="2" applyAlignment="1">
      <alignment horizontal="center"/>
    </xf>
    <xf numFmtId="0" fontId="22" fillId="0" borderId="0" xfId="2" applyFont="1" applyAlignment="1">
      <alignment horizontal="left" vertical="center" wrapText="1" indent="1"/>
    </xf>
    <xf numFmtId="0" fontId="12" fillId="0" borderId="0" xfId="2" applyFont="1" applyAlignment="1">
      <alignment horizontal="left"/>
    </xf>
    <xf numFmtId="9" fontId="11" fillId="0" borderId="0" xfId="2" applyNumberFormat="1" applyAlignment="1">
      <alignment horizontal="center"/>
    </xf>
    <xf numFmtId="0" fontId="6" fillId="0" borderId="0" xfId="0" applyFont="1" applyFill="1"/>
    <xf numFmtId="17" fontId="6" fillId="0" borderId="0" xfId="0" applyNumberFormat="1" applyFont="1"/>
    <xf numFmtId="9" fontId="3" fillId="0" borderId="0" xfId="1" applyFont="1"/>
    <xf numFmtId="164" fontId="10" fillId="0" borderId="0" xfId="0" applyNumberFormat="1" applyFont="1"/>
    <xf numFmtId="6" fontId="3" fillId="0" borderId="0" xfId="0" applyNumberFormat="1" applyFont="1" applyFill="1"/>
    <xf numFmtId="0" fontId="0" fillId="2" borderId="4" xfId="0" applyFill="1" applyBorder="1"/>
    <xf numFmtId="0" fontId="0" fillId="2" borderId="5" xfId="0" applyFill="1" applyBorder="1"/>
    <xf numFmtId="0" fontId="3" fillId="2" borderId="5" xfId="0" applyFont="1" applyFill="1" applyBorder="1"/>
    <xf numFmtId="0" fontId="0" fillId="2" borderId="6" xfId="0" applyFill="1" applyBorder="1"/>
    <xf numFmtId="164" fontId="0" fillId="0" borderId="0" xfId="0" applyNumberFormat="1" applyFill="1"/>
    <xf numFmtId="170" fontId="0" fillId="0" borderId="0" xfId="3" applyNumberFormat="1" applyFont="1"/>
    <xf numFmtId="171" fontId="11" fillId="0" borderId="0" xfId="2" applyNumberFormat="1"/>
    <xf numFmtId="9" fontId="14" fillId="4" borderId="0" xfId="2" applyNumberFormat="1" applyFont="1" applyFill="1"/>
    <xf numFmtId="165" fontId="0" fillId="2" borderId="0" xfId="3" applyNumberFormat="1" applyFont="1" applyFill="1"/>
    <xf numFmtId="17" fontId="11" fillId="2" borderId="0" xfId="2" applyNumberFormat="1" applyFill="1"/>
    <xf numFmtId="17" fontId="12" fillId="0" borderId="0" xfId="2" quotePrefix="1" applyNumberFormat="1" applyFont="1" applyAlignment="1">
      <alignment horizontal="right"/>
    </xf>
    <xf numFmtId="17" fontId="12" fillId="2" borderId="0" xfId="2" quotePrefix="1" applyNumberFormat="1" applyFont="1" applyFill="1" applyAlignment="1">
      <alignment horizontal="right"/>
    </xf>
    <xf numFmtId="0" fontId="11" fillId="0" borderId="0" xfId="2" applyFill="1"/>
    <xf numFmtId="9" fontId="3" fillId="0" borderId="0" xfId="0" applyNumberFormat="1" applyFont="1"/>
    <xf numFmtId="164" fontId="3" fillId="5" borderId="0" xfId="0" applyNumberFormat="1" applyFont="1" applyFill="1"/>
    <xf numFmtId="164" fontId="0" fillId="5" borderId="0" xfId="0" applyNumberFormat="1" applyFill="1"/>
    <xf numFmtId="165" fontId="4" fillId="5" borderId="0" xfId="1" applyNumberFormat="1" applyFont="1" applyFill="1"/>
    <xf numFmtId="0" fontId="0" fillId="5" borderId="0" xfId="0" applyFill="1"/>
    <xf numFmtId="0" fontId="3" fillId="5" borderId="0" xfId="0" applyFont="1" applyFill="1"/>
    <xf numFmtId="166" fontId="3" fillId="5" borderId="0" xfId="0" applyNumberFormat="1" applyFont="1" applyFill="1"/>
    <xf numFmtId="166" fontId="0" fillId="5" borderId="0" xfId="0" applyNumberFormat="1" applyFill="1"/>
    <xf numFmtId="0" fontId="0" fillId="0" borderId="0" xfId="0" quotePrefix="1" applyFill="1"/>
    <xf numFmtId="165" fontId="4" fillId="0" borderId="0" xfId="1" applyNumberFormat="1" applyFont="1" applyFill="1"/>
    <xf numFmtId="0" fontId="5" fillId="0" borderId="0" xfId="0" applyFont="1" applyFill="1"/>
    <xf numFmtId="164" fontId="14" fillId="0" borderId="0" xfId="2" applyNumberFormat="1" applyFont="1" applyFill="1"/>
    <xf numFmtId="0" fontId="6" fillId="0" borderId="0" xfId="0" applyFont="1" applyAlignment="1">
      <alignment horizontal="center"/>
    </xf>
    <xf numFmtId="6" fontId="14" fillId="4" borderId="0" xfId="2" applyNumberFormat="1" applyFont="1" applyFill="1"/>
    <xf numFmtId="6" fontId="14" fillId="0" borderId="0" xfId="2" applyNumberFormat="1" applyFont="1"/>
    <xf numFmtId="171" fontId="12" fillId="0" borderId="0" xfId="2" applyNumberFormat="1" applyFont="1"/>
    <xf numFmtId="0" fontId="24" fillId="0" borderId="0" xfId="0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 wrapText="1"/>
    </xf>
    <xf numFmtId="0" fontId="26" fillId="6" borderId="0" xfId="0" applyFont="1" applyFill="1"/>
    <xf numFmtId="0" fontId="27" fillId="0" borderId="0" xfId="0" applyFont="1"/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7" fillId="0" borderId="0" xfId="0" applyFont="1" applyFill="1"/>
    <xf numFmtId="0" fontId="25" fillId="0" borderId="0" xfId="0" applyFont="1" applyFill="1"/>
    <xf numFmtId="0" fontId="28" fillId="6" borderId="0" xfId="0" applyFont="1" applyFill="1"/>
    <xf numFmtId="0" fontId="27" fillId="0" borderId="0" xfId="0" applyFont="1" applyAlignment="1">
      <alignment wrapText="1"/>
    </xf>
    <xf numFmtId="0" fontId="27" fillId="0" borderId="7" xfId="0" applyFont="1" applyBorder="1" applyAlignment="1">
      <alignment horizontal="left" indent="1"/>
    </xf>
    <xf numFmtId="0" fontId="27" fillId="0" borderId="7" xfId="0" applyFont="1" applyBorder="1" applyAlignment="1">
      <alignment wrapText="1"/>
    </xf>
    <xf numFmtId="0" fontId="27" fillId="0" borderId="7" xfId="0" applyFont="1" applyBorder="1"/>
    <xf numFmtId="0" fontId="29" fillId="0" borderId="7" xfId="0" applyFont="1" applyBorder="1" applyAlignment="1">
      <alignment horizontal="left" indent="1"/>
    </xf>
    <xf numFmtId="10" fontId="27" fillId="0" borderId="7" xfId="0" applyNumberFormat="1" applyFont="1" applyBorder="1"/>
    <xf numFmtId="0" fontId="27" fillId="0" borderId="0" xfId="0" applyFont="1" applyAlignment="1">
      <alignment horizontal="left" indent="1"/>
    </xf>
    <xf numFmtId="0" fontId="28" fillId="6" borderId="0" xfId="0" applyFont="1" applyFill="1" applyAlignment="1">
      <alignment horizontal="left"/>
    </xf>
    <xf numFmtId="0" fontId="30" fillId="0" borderId="0" xfId="0" applyFont="1"/>
    <xf numFmtId="0" fontId="27" fillId="0" borderId="7" xfId="0" applyFont="1" applyBorder="1" applyAlignment="1">
      <alignment vertical="center" wrapText="1"/>
    </xf>
    <xf numFmtId="3" fontId="27" fillId="0" borderId="7" xfId="0" applyNumberFormat="1" applyFont="1" applyBorder="1"/>
    <xf numFmtId="0" fontId="29" fillId="0" borderId="0" xfId="0" applyFont="1"/>
    <xf numFmtId="0" fontId="6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24" fillId="0" borderId="0" xfId="0" applyFont="1" applyFill="1" applyBorder="1" applyAlignment="1">
      <alignment vertical="center"/>
    </xf>
    <xf numFmtId="49" fontId="0" fillId="0" borderId="0" xfId="0" quotePrefix="1" applyNumberFormat="1"/>
    <xf numFmtId="0" fontId="0" fillId="0" borderId="0" xfId="0" quotePrefix="1"/>
    <xf numFmtId="0" fontId="0" fillId="0" borderId="0" xfId="0" applyAlignment="1"/>
    <xf numFmtId="9" fontId="0" fillId="0" borderId="0" xfId="0" quotePrefix="1" applyNumberFormat="1"/>
    <xf numFmtId="6" fontId="14" fillId="0" borderId="3" xfId="2" quotePrefix="1" applyNumberFormat="1" applyFont="1" applyBorder="1"/>
    <xf numFmtId="6" fontId="14" fillId="4" borderId="0" xfId="2" quotePrefix="1" applyNumberFormat="1" applyFont="1" applyFill="1"/>
    <xf numFmtId="172" fontId="0" fillId="0" borderId="0" xfId="0" applyNumberFormat="1" applyAlignment="1">
      <alignment horizontal="right"/>
    </xf>
    <xf numFmtId="0" fontId="7" fillId="0" borderId="0" xfId="0" applyFont="1" applyFill="1"/>
    <xf numFmtId="0" fontId="0" fillId="0" borderId="0" xfId="0" applyAlignment="1">
      <alignment horizontal="right"/>
    </xf>
    <xf numFmtId="0" fontId="0" fillId="0" borderId="0" xfId="0" quotePrefix="1" applyFill="1" applyAlignment="1">
      <alignment horizontal="right"/>
    </xf>
    <xf numFmtId="0" fontId="21" fillId="0" borderId="0" xfId="2" applyFont="1" applyBorder="1"/>
    <xf numFmtId="6" fontId="23" fillId="0" borderId="0" xfId="2" applyNumberFormat="1" applyFont="1" applyBorder="1"/>
    <xf numFmtId="6" fontId="33" fillId="0" borderId="3" xfId="2" applyNumberFormat="1" applyFont="1" applyBorder="1"/>
    <xf numFmtId="6" fontId="33" fillId="4" borderId="0" xfId="2" quotePrefix="1" applyNumberFormat="1" applyFont="1" applyFill="1" applyAlignment="1">
      <alignment horizontal="right"/>
    </xf>
    <xf numFmtId="170" fontId="7" fillId="0" borderId="0" xfId="3" applyNumberFormat="1" applyFont="1"/>
    <xf numFmtId="164" fontId="33" fillId="0" borderId="0" xfId="2" applyNumberFormat="1" applyFont="1" applyFill="1"/>
    <xf numFmtId="164" fontId="33" fillId="0" borderId="0" xfId="2" applyNumberFormat="1" applyFont="1"/>
    <xf numFmtId="172" fontId="7" fillId="0" borderId="0" xfId="0" applyNumberFormat="1" applyFont="1" applyAlignment="1">
      <alignment horizontal="right"/>
    </xf>
    <xf numFmtId="164" fontId="14" fillId="2" borderId="0" xfId="2" applyNumberFormat="1" applyFont="1" applyFill="1"/>
    <xf numFmtId="43" fontId="0" fillId="0" borderId="0" xfId="6" applyFont="1"/>
    <xf numFmtId="43" fontId="33" fillId="4" borderId="0" xfId="2" applyNumberFormat="1" applyFont="1" applyFill="1"/>
    <xf numFmtId="173" fontId="0" fillId="0" borderId="0" xfId="6" applyNumberFormat="1" applyFont="1"/>
    <xf numFmtId="173" fontId="7" fillId="0" borderId="0" xfId="6" applyNumberFormat="1" applyFont="1"/>
    <xf numFmtId="174" fontId="27" fillId="0" borderId="7" xfId="0" applyNumberFormat="1" applyFont="1" applyBorder="1"/>
    <xf numFmtId="167" fontId="7" fillId="0" borderId="0" xfId="3" applyNumberFormat="1" applyFont="1"/>
    <xf numFmtId="0" fontId="7" fillId="0" borderId="0" xfId="0" applyFont="1"/>
    <xf numFmtId="164" fontId="13" fillId="0" borderId="0" xfId="0" applyNumberFormat="1" applyFont="1"/>
    <xf numFmtId="171" fontId="33" fillId="0" borderId="0" xfId="2" applyNumberFormat="1" applyFont="1"/>
    <xf numFmtId="0" fontId="12" fillId="0" borderId="0" xfId="2" applyFont="1" applyBorder="1"/>
    <xf numFmtId="6" fontId="33" fillId="0" borderId="0" xfId="2" applyNumberFormat="1" applyFont="1" applyBorder="1"/>
    <xf numFmtId="6" fontId="14" fillId="0" borderId="0" xfId="2" applyNumberFormat="1" applyFont="1" applyBorder="1"/>
    <xf numFmtId="0" fontId="28" fillId="6" borderId="0" xfId="0" applyFont="1" applyFill="1" applyAlignment="1">
      <alignment horizontal="center"/>
    </xf>
    <xf numFmtId="0" fontId="0" fillId="7" borderId="0" xfId="0" applyFill="1" applyBorder="1" applyAlignment="1">
      <alignment vertical="center" wrapText="1"/>
    </xf>
    <xf numFmtId="0" fontId="7" fillId="0" borderId="0" xfId="0" quotePrefix="1" applyFont="1" applyFill="1"/>
    <xf numFmtId="0" fontId="3" fillId="0" borderId="0" xfId="0" quotePrefix="1" applyFont="1" applyFill="1"/>
    <xf numFmtId="164" fontId="7" fillId="0" borderId="0" xfId="0" quotePrefix="1" applyNumberFormat="1" applyFont="1"/>
    <xf numFmtId="170" fontId="0" fillId="0" borderId="0" xfId="3" quotePrefix="1" applyNumberFormat="1" applyFont="1"/>
    <xf numFmtId="164" fontId="14" fillId="0" borderId="0" xfId="2" quotePrefix="1" applyNumberFormat="1" applyFont="1" applyFill="1"/>
    <xf numFmtId="164" fontId="14" fillId="2" borderId="0" xfId="2" quotePrefix="1" applyNumberFormat="1" applyFont="1" applyFill="1"/>
    <xf numFmtId="43" fontId="0" fillId="0" borderId="0" xfId="6" quotePrefix="1" applyFont="1"/>
    <xf numFmtId="171" fontId="11" fillId="0" borderId="0" xfId="2" quotePrefix="1" applyNumberFormat="1"/>
    <xf numFmtId="173" fontId="0" fillId="0" borderId="0" xfId="6" quotePrefix="1" applyNumberFormat="1" applyFont="1"/>
  </cellXfs>
  <cellStyles count="7">
    <cellStyle name="Comma" xfId="6" builtinId="3"/>
    <cellStyle name="Comma 2" xfId="5" xr:uid="{01EC8536-58E9-4858-87BB-69A3988C2E53}"/>
    <cellStyle name="Hyperlink" xfId="4" builtinId="8"/>
    <cellStyle name="Normal" xfId="0" builtinId="0"/>
    <cellStyle name="Normal 2" xfId="2" xr:uid="{6CE02AE2-8EB4-498F-9CB8-54DF52A0A9D4}"/>
    <cellStyle name="Percent" xfId="1" builtinId="5"/>
    <cellStyle name="Percent 2" xfId="3" xr:uid="{6370D04F-59E6-48D4-877F-C2D92D31ED96}"/>
  </cellStyles>
  <dxfs count="3"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2017 Sales Concentration</a:t>
            </a:r>
          </a:p>
        </c:rich>
      </c:tx>
      <c:layout>
        <c:manualLayout>
          <c:xMode val="edge"/>
          <c:yMode val="edge"/>
          <c:x val="0.10363748829589818"/>
          <c:y val="3.801478352692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144471353344"/>
          <c:y val="0.17831109652960048"/>
          <c:w val="0.39954937971778487"/>
          <c:h val="0.6432137649460484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6-4A2A-8498-314EEC67BA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6-4A2A-8498-314EEC67BA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6-4A2A-8498-314EEC67BA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6-4A2A-8498-314EEC67BA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66-4A2A-8498-314EEC67BA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6-4A2A-8498-314EEC67BACB}"/>
              </c:ext>
            </c:extLst>
          </c:dPt>
          <c:cat>
            <c:strRef>
              <c:f>'OLD Calc IS'!$A$6:$A$11</c:f>
              <c:strCache>
                <c:ptCount val="6"/>
                <c:pt idx="0">
                  <c:v>Customer A</c:v>
                </c:pt>
                <c:pt idx="1">
                  <c:v>Customer B</c:v>
                </c:pt>
                <c:pt idx="2">
                  <c:v>Customer C</c:v>
                </c:pt>
                <c:pt idx="3">
                  <c:v>Customer D</c:v>
                </c:pt>
                <c:pt idx="4">
                  <c:v>Customer E</c:v>
                </c:pt>
                <c:pt idx="5">
                  <c:v>All Other Customers</c:v>
                </c:pt>
              </c:strCache>
            </c:strRef>
          </c:cat>
          <c:val>
            <c:numRef>
              <c:f>'OLD Calc IS'!$B$6:$B$11</c:f>
              <c:numCache>
                <c:formatCode>"$"#,##0</c:formatCode>
                <c:ptCount val="6"/>
                <c:pt idx="0">
                  <c:v>75000</c:v>
                </c:pt>
                <c:pt idx="1">
                  <c:v>69000</c:v>
                </c:pt>
                <c:pt idx="2">
                  <c:v>67000</c:v>
                </c:pt>
                <c:pt idx="3">
                  <c:v>54000</c:v>
                </c:pt>
                <c:pt idx="4">
                  <c:v>19000</c:v>
                </c:pt>
                <c:pt idx="5">
                  <c:v>716000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66-4A2A-8498-314EEC67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114443362945155"/>
          <c:y val="0.12293142871396619"/>
          <c:w val="0.4243658189323391"/>
          <c:h val="0.87706867181443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and Net Profit</a:t>
            </a:r>
            <a:r>
              <a:rPr lang="en-US" b="1" baseline="0"/>
              <a:t> Margin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Calc IS'!$B$41</c:f>
              <c:strCache>
                <c:ptCount val="1"/>
                <c:pt idx="0">
                  <c:v>Gross Margin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'OLD Calc IS'!$C$40:$F$40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2018E</c:v>
                </c:pt>
              </c:strCache>
            </c:strRef>
          </c:cat>
          <c:val>
            <c:numRef>
              <c:f>'OLD Calc IS'!$C$41:$F$41</c:f>
              <c:numCache>
                <c:formatCode>0.0%</c:formatCode>
                <c:ptCount val="4"/>
                <c:pt idx="0">
                  <c:v>0.56999999999999995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1-4859-9B6D-4BB73F81D446}"/>
            </c:ext>
          </c:extLst>
        </c:ser>
        <c:ser>
          <c:idx val="1"/>
          <c:order val="1"/>
          <c:tx>
            <c:strRef>
              <c:f>'OLD Calc IS'!$B$42</c:f>
              <c:strCache>
                <c:ptCount val="1"/>
                <c:pt idx="0">
                  <c:v>Net 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'OLD Calc IS'!$C$40:$F$40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2018E</c:v>
                </c:pt>
              </c:strCache>
            </c:strRef>
          </c:cat>
          <c:val>
            <c:numRef>
              <c:f>'OLD Calc IS'!$C$42:$F$42</c:f>
              <c:numCache>
                <c:formatCode>0.0%</c:formatCode>
                <c:ptCount val="4"/>
                <c:pt idx="0">
                  <c:v>0.35649999999999998</c:v>
                </c:pt>
                <c:pt idx="1">
                  <c:v>0.33550000000000002</c:v>
                </c:pt>
                <c:pt idx="2">
                  <c:v>0.36449999999999999</c:v>
                </c:pt>
                <c:pt idx="3">
                  <c:v>0.38750000000000001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1-4859-9B6D-4BB73F81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974960"/>
        <c:axId val="760975288"/>
      </c:barChart>
      <c:catAx>
        <c:axId val="7609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75288"/>
        <c:crosses val="autoZero"/>
        <c:auto val="1"/>
        <c:lblAlgn val="ctr"/>
        <c:lblOffset val="100"/>
        <c:noMultiLvlLbl val="0"/>
      </c:catAx>
      <c:valAx>
        <c:axId val="7609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24092341327805"/>
          <c:y val="0.88538938042327386"/>
          <c:w val="0.47299786274070948"/>
          <c:h val="9.9498177533451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for Dashes'!$C$3</c:f>
              <c:strCache>
                <c:ptCount val="1"/>
                <c:pt idx="0">
                  <c:v>+ Ending Inventory/ - Unfilled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'Charts for Dashes'!$D$2:$I$2</c:f>
              <c:numCache>
                <c:formatCode>mmm\-yy</c:formatCode>
                <c:ptCount val="6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</c:numCache>
            </c:numRef>
          </c:cat>
          <c:val>
            <c:numRef>
              <c:f>'Charts for Dashes'!$D$3:$I$3</c:f>
              <c:numCache>
                <c:formatCode>General</c:formatCode>
                <c:ptCount val="6"/>
                <c:pt idx="0">
                  <c:v>-5</c:v>
                </c:pt>
                <c:pt idx="1">
                  <c:v>55</c:v>
                </c:pt>
                <c:pt idx="2">
                  <c:v>53</c:v>
                </c:pt>
                <c:pt idx="3">
                  <c:v>45</c:v>
                </c:pt>
                <c:pt idx="4">
                  <c:v>55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2-4AD4-88E8-0C75008B6C70}"/>
            </c:ext>
          </c:extLst>
        </c:ser>
        <c:ser>
          <c:idx val="1"/>
          <c:order val="1"/>
          <c:tx>
            <c:strRef>
              <c:f>'Charts for Dashes'!$C$4</c:f>
              <c:strCache>
                <c:ptCount val="1"/>
                <c:pt idx="0">
                  <c:v>New Orders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'Charts for Dashes'!$D$2:$I$2</c:f>
              <c:numCache>
                <c:formatCode>mmm\-yy</c:formatCode>
                <c:ptCount val="6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</c:numCache>
            </c:numRef>
          </c:cat>
          <c:val>
            <c:numRef>
              <c:f>'Charts for Dashes'!$D$4:$I$4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2-4AD4-88E8-0C75008B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611248"/>
        <c:axId val="797611576"/>
      </c:lineChart>
      <c:dateAx>
        <c:axId val="7976112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11576"/>
        <c:crosses val="autoZero"/>
        <c:auto val="1"/>
        <c:lblOffset val="100"/>
        <c:baseTimeUnit val="months"/>
      </c:dateAx>
      <c:valAx>
        <c:axId val="7976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2017 Sales Concentration</a:t>
            </a:r>
          </a:p>
        </c:rich>
      </c:tx>
      <c:layout>
        <c:manualLayout>
          <c:xMode val="edge"/>
          <c:yMode val="edge"/>
          <c:x val="0.10363748829589818"/>
          <c:y val="3.801478352692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486555304641102"/>
          <c:y val="0.29428983216286331"/>
          <c:w val="0.39954937971778487"/>
          <c:h val="0.6432137649460484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7D-404C-AA87-4E58CE8A0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7D-404C-AA87-4E58CE8A0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7D-404C-AA87-4E58CE8A0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7D-404C-AA87-4E58CE8A0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E7D-404C-AA87-4E58CE8A0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E7D-404C-AA87-4E58CE8A027D}"/>
              </c:ext>
            </c:extLst>
          </c:dPt>
          <c:cat>
            <c:strRef>
              <c:f>'OLD Calc IS'!$A$6:$A$11</c:f>
              <c:strCache>
                <c:ptCount val="6"/>
                <c:pt idx="0">
                  <c:v>Customer A</c:v>
                </c:pt>
                <c:pt idx="1">
                  <c:v>Customer B</c:v>
                </c:pt>
                <c:pt idx="2">
                  <c:v>Customer C</c:v>
                </c:pt>
                <c:pt idx="3">
                  <c:v>Customer D</c:v>
                </c:pt>
                <c:pt idx="4">
                  <c:v>Customer E</c:v>
                </c:pt>
                <c:pt idx="5">
                  <c:v>All Other Customers</c:v>
                </c:pt>
              </c:strCache>
            </c:strRef>
          </c:cat>
          <c:val>
            <c:numRef>
              <c:f>'OLD Calc IS'!$B$6:$B$11</c:f>
              <c:numCache>
                <c:formatCode>"$"#,##0</c:formatCode>
                <c:ptCount val="6"/>
                <c:pt idx="0">
                  <c:v>75000</c:v>
                </c:pt>
                <c:pt idx="1">
                  <c:v>69000</c:v>
                </c:pt>
                <c:pt idx="2">
                  <c:v>67000</c:v>
                </c:pt>
                <c:pt idx="3">
                  <c:v>54000</c:v>
                </c:pt>
                <c:pt idx="4">
                  <c:v>19000</c:v>
                </c:pt>
                <c:pt idx="5">
                  <c:v>716000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7D-404C-AA87-4E58CE8A0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33579360141369"/>
          <c:y val="0.15983979753322114"/>
          <c:w val="0.81205823356600249"/>
          <c:h val="0.2932630737553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Management and</a:t>
            </a:r>
            <a:r>
              <a:rPr lang="en-US" baseline="0"/>
              <a:t> Operational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122457282419226"/>
          <c:y val="0.1920438286070941"/>
          <c:w val="0.33860731820870965"/>
          <c:h val="0.6683277444768948"/>
        </c:manualLayout>
      </c:layout>
      <c:doughnutChart>
        <c:varyColors val="1"/>
        <c:ser>
          <c:idx val="0"/>
          <c:order val="0"/>
          <c:tx>
            <c:strRef>
              <c:f>'[4]3. Enterprise Scores'!$D$4</c:f>
              <c:strCache>
                <c:ptCount val="1"/>
                <c:pt idx="0">
                  <c:v>Leadership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E0-4FAB-A9A9-3B4CB9009E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E0-4FAB-A9A9-3B4CB9009E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E0-4FAB-A9A9-3B4CB9009E99}"/>
              </c:ext>
            </c:extLst>
          </c:dPt>
          <c:cat>
            <c:strRef>
              <c:f>'[4]3. Enterprise Scores'!$C$5:$C$7</c:f>
              <c:strCache>
                <c:ptCount val="3"/>
                <c:pt idx="0">
                  <c:v>First Score</c:v>
                </c:pt>
                <c:pt idx="1">
                  <c:v>Improvement</c:v>
                </c:pt>
                <c:pt idx="2">
                  <c:v>missing</c:v>
                </c:pt>
              </c:strCache>
            </c:strRef>
          </c:cat>
          <c:val>
            <c:numRef>
              <c:f>'[4]3. Enterprise Scores'!$D$5:$D$7</c:f>
              <c:numCache>
                <c:formatCode>General</c:formatCode>
                <c:ptCount val="3"/>
                <c:pt idx="0">
                  <c:v>0.19</c:v>
                </c:pt>
                <c:pt idx="1">
                  <c:v>0.12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E0-4FAB-A9A9-3B4CB9009E99}"/>
            </c:ext>
          </c:extLst>
        </c:ser>
        <c:ser>
          <c:idx val="1"/>
          <c:order val="1"/>
          <c:tx>
            <c:strRef>
              <c:f>'[4]3. Enterprise Scores'!$E$4</c:f>
              <c:strCache>
                <c:ptCount val="1"/>
                <c:pt idx="0">
                  <c:v>Organization/Staff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5E0-4FAB-A9A9-3B4CB9009E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5E0-4FAB-A9A9-3B4CB9009E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5E0-4FAB-A9A9-3B4CB9009E99}"/>
              </c:ext>
            </c:extLst>
          </c:dPt>
          <c:cat>
            <c:strRef>
              <c:f>'[4]3. Enterprise Scores'!$C$5:$C$7</c:f>
              <c:strCache>
                <c:ptCount val="3"/>
                <c:pt idx="0">
                  <c:v>First Score</c:v>
                </c:pt>
                <c:pt idx="1">
                  <c:v>Improvement</c:v>
                </c:pt>
                <c:pt idx="2">
                  <c:v>missing</c:v>
                </c:pt>
              </c:strCache>
            </c:strRef>
          </c:cat>
          <c:val>
            <c:numRef>
              <c:f>'[4]3. Enterprise Scores'!$E$5:$E$7</c:f>
              <c:numCache>
                <c:formatCode>General</c:formatCode>
                <c:ptCount val="3"/>
                <c:pt idx="0">
                  <c:v>0.12</c:v>
                </c:pt>
                <c:pt idx="1">
                  <c:v>0.18</c:v>
                </c:pt>
                <c:pt idx="2">
                  <c:v>0.70000000000000007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E0-4FAB-A9A9-3B4CB9009E99}"/>
            </c:ext>
          </c:extLst>
        </c:ser>
        <c:ser>
          <c:idx val="2"/>
          <c:order val="2"/>
          <c:tx>
            <c:strRef>
              <c:f>'[4]3. Enterprise Scores'!$F$4</c:f>
              <c:strCache>
                <c:ptCount val="1"/>
                <c:pt idx="0">
                  <c:v>Product/Service &amp; Processing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E0-4FAB-A9A9-3B4CB9009E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E0-4FAB-A9A9-3B4CB9009E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E0-4FAB-A9A9-3B4CB9009E99}"/>
              </c:ext>
            </c:extLst>
          </c:dPt>
          <c:cat>
            <c:strRef>
              <c:f>'[4]3. Enterprise Scores'!$C$5:$C$7</c:f>
              <c:strCache>
                <c:ptCount val="3"/>
                <c:pt idx="0">
                  <c:v>First Score</c:v>
                </c:pt>
                <c:pt idx="1">
                  <c:v>Improvement</c:v>
                </c:pt>
                <c:pt idx="2">
                  <c:v>missing</c:v>
                </c:pt>
              </c:strCache>
            </c:strRef>
          </c:cat>
          <c:val>
            <c:numRef>
              <c:f>'[4]3. Enterprise Scores'!$F$5:$F$7</c:f>
              <c:numCache>
                <c:formatCode>General</c:formatCode>
                <c:ptCount val="3"/>
                <c:pt idx="0">
                  <c:v>0.35</c:v>
                </c:pt>
                <c:pt idx="1">
                  <c:v>0.12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5E0-4FAB-A9A9-3B4CB9009E99}"/>
            </c:ext>
          </c:extLst>
        </c:ser>
        <c:ser>
          <c:idx val="3"/>
          <c:order val="3"/>
          <c:tx>
            <c:strRef>
              <c:f>'[4]3. Enterprise Scores'!$G$4</c:f>
              <c:strCache>
                <c:ptCount val="1"/>
                <c:pt idx="0">
                  <c:v>Sales &amp; Marketing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5E0-4FAB-A9A9-3B4CB9009E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5E0-4FAB-A9A9-3B4CB9009E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5E0-4FAB-A9A9-3B4CB9009E99}"/>
              </c:ext>
            </c:extLst>
          </c:dPt>
          <c:dLbls>
            <c:dLbl>
              <c:idx val="0"/>
              <c:layout>
                <c:manualLayout>
                  <c:x val="0.20712954686719137"/>
                  <c:y val="-0.12151714635639926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790374660158324"/>
                      <c:h val="0.116703197866126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6-85E0-4FAB-A9A9-3B4CB9009E99}"/>
                </c:ext>
              </c:extLst>
            </c:dLbl>
            <c:dLbl>
              <c:idx val="1"/>
              <c:layout>
                <c:manualLayout>
                  <c:x val="0.33045317228348259"/>
                  <c:y val="0.11216967355975317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53310084952546"/>
                      <c:h val="0.116703197866126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85E0-4FAB-A9A9-3B4CB9009E99}"/>
                </c:ext>
              </c:extLst>
            </c:dLbl>
            <c:dLbl>
              <c:idx val="2"/>
              <c:layout>
                <c:manualLayout>
                  <c:x val="-0.15818898353534799"/>
                  <c:y val="-0.10749593716143016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5E0-4FAB-A9A9-3B4CB9009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'[4]3. Enterprise Scores'!$C$5:$C$7</c:f>
              <c:strCache>
                <c:ptCount val="3"/>
                <c:pt idx="0">
                  <c:v>First Score</c:v>
                </c:pt>
                <c:pt idx="1">
                  <c:v>Improvement</c:v>
                </c:pt>
                <c:pt idx="2">
                  <c:v>missing</c:v>
                </c:pt>
              </c:strCache>
            </c:strRef>
          </c:cat>
          <c:val>
            <c:numRef>
              <c:f>'[4]3. Enterprise Scores'!$G$5:$G$7</c:f>
              <c:numCache>
                <c:formatCode>General</c:formatCode>
                <c:ptCount val="3"/>
                <c:pt idx="0">
                  <c:v>0.42</c:v>
                </c:pt>
                <c:pt idx="1">
                  <c:v>0.09</c:v>
                </c:pt>
                <c:pt idx="2">
                  <c:v>0.49000000000000005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5E0-4FAB-A9A9-3B4CB9009E99}"/>
            </c:ext>
          </c:extLst>
        </c:ser>
        <c:ser>
          <c:idx val="4"/>
          <c:order val="4"/>
          <c:tx>
            <c:strRef>
              <c:f>'[4]3. Enterprise Scores'!$H$4</c:f>
              <c:strCache>
                <c:ptCount val="1"/>
                <c:pt idx="0">
                  <c:v>Financial Management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5E0-4FAB-A9A9-3B4CB9009E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5E0-4FAB-A9A9-3B4CB9009E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5E0-4FAB-A9A9-3B4CB9009E99}"/>
              </c:ext>
            </c:extLst>
          </c:dPt>
          <c:dLbls>
            <c:dLbl>
              <c:idx val="0"/>
              <c:layout>
                <c:manualLayout>
                  <c:x val="0.22293758010558179"/>
                  <c:y val="-8.8800807562767939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333316326785976"/>
                      <c:h val="0.16804437620707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85E0-4FAB-A9A9-3B4CB9009E99}"/>
                </c:ext>
              </c:extLst>
            </c:dLbl>
            <c:dLbl>
              <c:idx val="1"/>
              <c:layout>
                <c:manualLayout>
                  <c:x val="0.16921632270304321"/>
                  <c:y val="6.5432309576522601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743914817863913"/>
                      <c:h val="0.116703197866126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F-85E0-4FAB-A9A9-3B4CB9009E99}"/>
                </c:ext>
              </c:extLst>
            </c:dLbl>
            <c:dLbl>
              <c:idx val="2"/>
              <c:layout>
                <c:manualLayout>
                  <c:x val="-0.19875589571520577"/>
                  <c:y val="-1.4021209194969146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002590538471956"/>
                      <c:h val="0.116703197866126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85E0-4FAB-A9A9-3B4CB9009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'[4]3. Enterprise Scores'!$C$5:$C$7</c:f>
              <c:strCache>
                <c:ptCount val="3"/>
                <c:pt idx="0">
                  <c:v>First Score</c:v>
                </c:pt>
                <c:pt idx="1">
                  <c:v>Improvement</c:v>
                </c:pt>
                <c:pt idx="2">
                  <c:v>missing</c:v>
                </c:pt>
              </c:strCache>
            </c:strRef>
          </c:cat>
          <c:val>
            <c:numRef>
              <c:f>'[4]3. Enterprise Scores'!$H$5:$H$7</c:f>
              <c:numCache>
                <c:formatCode>General</c:formatCode>
                <c:ptCount val="3"/>
                <c:pt idx="0">
                  <c:v>0.28999999999999998</c:v>
                </c:pt>
                <c:pt idx="1">
                  <c:v>0.09</c:v>
                </c:pt>
                <c:pt idx="2">
                  <c:v>0.62000000000000011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5E0-4FAB-A9A9-3B4CB9009E99}"/>
            </c:ext>
          </c:extLst>
        </c:ser>
        <c:ser>
          <c:idx val="5"/>
          <c:order val="5"/>
          <c:tx>
            <c:strRef>
              <c:f>'[4]3. Enterprise Scores'!$I$4</c:f>
              <c:strCache>
                <c:ptCount val="1"/>
                <c:pt idx="0">
                  <c:v>Environmental &amp; Social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5E0-4FAB-A9A9-3B4CB9009E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85E0-4FAB-A9A9-3B4CB9009E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85E0-4FAB-A9A9-3B4CB9009E99}"/>
              </c:ext>
            </c:extLst>
          </c:dPt>
          <c:dLbls>
            <c:dLbl>
              <c:idx val="0"/>
              <c:layout>
                <c:manualLayout>
                  <c:x val="0.20060089744510684"/>
                  <c:y val="-9.8148280359414003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360616033116271"/>
                      <c:h val="0.16804437620707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4-85E0-4FAB-A9A9-3B4CB9009E99}"/>
                </c:ext>
              </c:extLst>
            </c:dLbl>
            <c:dLbl>
              <c:idx val="1"/>
              <c:layout>
                <c:manualLayout>
                  <c:x val="0.21348935491970075"/>
                  <c:y val="4.6737363983230487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292687577508277"/>
                      <c:h val="0.219385186537283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6-85E0-4FAB-A9A9-3B4CB9009E99}"/>
                </c:ext>
              </c:extLst>
            </c:dLbl>
            <c:dLbl>
              <c:idx val="2"/>
              <c:layout>
                <c:manualLayout>
                  <c:x val="-0.19995283912199072"/>
                  <c:y val="8.880099156813792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57970180310838"/>
                      <c:h val="0.116703197866126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8-85E0-4FAB-A9A9-3B4CB9009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'[4]3. Enterprise Scores'!$C$5:$C$7</c:f>
              <c:strCache>
                <c:ptCount val="3"/>
                <c:pt idx="0">
                  <c:v>First Score</c:v>
                </c:pt>
                <c:pt idx="1">
                  <c:v>Improvement</c:v>
                </c:pt>
                <c:pt idx="2">
                  <c:v>missing</c:v>
                </c:pt>
              </c:strCache>
            </c:strRef>
          </c:cat>
          <c:val>
            <c:numRef>
              <c:f>'[4]3. Enterprise Scores'!$I$5:$I$7</c:f>
              <c:numCache>
                <c:formatCode>General</c:formatCode>
                <c:ptCount val="3"/>
                <c:pt idx="0">
                  <c:v>0.19</c:v>
                </c:pt>
                <c:pt idx="1">
                  <c:v>0.12</c:v>
                </c:pt>
                <c:pt idx="2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5E0-4FAB-A9A9-3B4CB900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2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and Receivables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for Dashes'!$C$14</c:f>
              <c:strCache>
                <c:ptCount val="1"/>
                <c:pt idx="0">
                  <c:v>Cash in Bank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'Charts for Dashes'!$D$13:$I$13</c:f>
              <c:numCache>
                <c:formatCode>mmm\-yy</c:formatCode>
                <c:ptCount val="6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</c:numCache>
            </c:numRef>
          </c:cat>
          <c:val>
            <c:numRef>
              <c:f>'Charts for Dashes'!$D$14:$I$14</c:f>
              <c:numCache>
                <c:formatCode>"$"#,##0</c:formatCode>
                <c:ptCount val="6"/>
                <c:pt idx="0">
                  <c:v>800</c:v>
                </c:pt>
                <c:pt idx="1">
                  <c:v>1105</c:v>
                </c:pt>
                <c:pt idx="2">
                  <c:v>800</c:v>
                </c:pt>
                <c:pt idx="3">
                  <c:v>770</c:v>
                </c:pt>
                <c:pt idx="4">
                  <c:v>500</c:v>
                </c:pt>
                <c:pt idx="5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6-4FE3-9189-3F4157A5CB5D}"/>
            </c:ext>
          </c:extLst>
        </c:ser>
        <c:ser>
          <c:idx val="1"/>
          <c:order val="1"/>
          <c:tx>
            <c:strRef>
              <c:f>'Charts for Dashes'!$C$15</c:f>
              <c:strCache>
                <c:ptCount val="1"/>
                <c:pt idx="0">
                  <c:v>Accounts Receivable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'Charts for Dashes'!$D$13:$I$13</c:f>
              <c:numCache>
                <c:formatCode>mmm\-yy</c:formatCode>
                <c:ptCount val="6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</c:numCache>
            </c:numRef>
          </c:cat>
          <c:val>
            <c:numRef>
              <c:f>'Charts for Dashes'!$D$15:$I$15</c:f>
              <c:numCache>
                <c:formatCode>"$"#,##0</c:formatCode>
                <c:ptCount val="6"/>
                <c:pt idx="0">
                  <c:v>55.265999999999998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6-4FE3-9189-3F4157A5CB5D}"/>
            </c:ext>
          </c:extLst>
        </c:ser>
        <c:ser>
          <c:idx val="2"/>
          <c:order val="2"/>
          <c:tx>
            <c:strRef>
              <c:f>'Charts for Dashes'!$C$16</c:f>
              <c:strCache>
                <c:ptCount val="1"/>
                <c:pt idx="0">
                  <c:v>Accounts Payable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'Charts for Dashes'!$D$13:$I$13</c:f>
              <c:numCache>
                <c:formatCode>mmm\-yy</c:formatCode>
                <c:ptCount val="6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</c:numCache>
            </c:numRef>
          </c:cat>
          <c:val>
            <c:numRef>
              <c:f>'Charts for Dashes'!$D$16:$I$16</c:f>
              <c:numCache>
                <c:formatCode>"$"#,##0</c:formatCode>
                <c:ptCount val="6"/>
                <c:pt idx="0">
                  <c:v>61</c:v>
                </c:pt>
                <c:pt idx="1">
                  <c:v>130</c:v>
                </c:pt>
                <c:pt idx="2">
                  <c:v>110</c:v>
                </c:pt>
                <c:pt idx="3">
                  <c:v>120</c:v>
                </c:pt>
                <c:pt idx="4">
                  <c:v>110</c:v>
                </c:pt>
                <c:pt idx="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6-4FE3-9189-3F4157A5C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494528"/>
        <c:axId val="790496824"/>
      </c:lineChart>
      <c:dateAx>
        <c:axId val="790494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96824"/>
        <c:crosses val="autoZero"/>
        <c:auto val="1"/>
        <c:lblOffset val="100"/>
        <c:baseTimeUnit val="months"/>
      </c:dateAx>
      <c:valAx>
        <c:axId val="79049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-</a:t>
            </a:r>
            <a:r>
              <a:rPr lang="en-US" baseline="0"/>
              <a:t> from last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513825751538144"/>
          <c:y val="0.21214869147895904"/>
          <c:w val="0.48324575217571486"/>
          <c:h val="0.5079222671595958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B0-4B0E-9195-CF11423D31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B0-4B0E-9195-CF11423D31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B0-4B0E-9195-CF11423D31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B0-4B0E-9195-CF11423D31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B0-4B0E-9195-CF11423D31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B0-4B0E-9195-CF11423D31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B0-4B0E-9195-CF11423D31B5}"/>
              </c:ext>
            </c:extLst>
          </c:dPt>
          <c:dLbls>
            <c:dLbl>
              <c:idx val="0"/>
              <c:layout>
                <c:manualLayout>
                  <c:x val="0.11944444444444434"/>
                  <c:y val="2.31481481481481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B0-4B0E-9195-CF11423D31B5}"/>
                </c:ext>
              </c:extLst>
            </c:dLbl>
            <c:dLbl>
              <c:idx val="1"/>
              <c:layout>
                <c:manualLayout>
                  <c:x val="-0.1041665573053368"/>
                  <c:y val="0.10416684893554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33333333333331"/>
                      <c:h val="0.208264071157771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AB0-4B0E-9195-CF11423D31B5}"/>
                </c:ext>
              </c:extLst>
            </c:dLbl>
            <c:dLbl>
              <c:idx val="2"/>
              <c:layout>
                <c:manualLayout>
                  <c:x val="-0.15277777777777779"/>
                  <c:y val="3.70370370370369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B0-4B0E-9195-CF11423D31B5}"/>
                </c:ext>
              </c:extLst>
            </c:dLbl>
            <c:dLbl>
              <c:idx val="3"/>
              <c:layout>
                <c:manualLayout>
                  <c:x val="-0.17777777777777778"/>
                  <c:y val="-5.09259259259259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B0-4B0E-9195-CF11423D31B5}"/>
                </c:ext>
              </c:extLst>
            </c:dLbl>
            <c:dLbl>
              <c:idx val="4"/>
              <c:layout>
                <c:manualLayout>
                  <c:x val="-4.4444444444444495E-2"/>
                  <c:y val="-7.40740740740740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B0-4B0E-9195-CF11423D31B5}"/>
                </c:ext>
              </c:extLst>
            </c:dLbl>
            <c:dLbl>
              <c:idx val="5"/>
              <c:layout>
                <c:manualLayout>
                  <c:x val="0.19166666666666657"/>
                  <c:y val="-2.777777777777780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B0-4B0E-9195-CF11423D31B5}"/>
                </c:ext>
              </c:extLst>
            </c:dLbl>
            <c:dLbl>
              <c:idx val="6"/>
              <c:layout>
                <c:manualLayout>
                  <c:x val="0.11944444444444445"/>
                  <c:y val="-9.72222222222222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B0-4B0E-9195-CF11423D3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'Charts for Dashes'!$C$27:$C$33</c:f>
              <c:strCache>
                <c:ptCount val="7"/>
                <c:pt idx="0">
                  <c:v>    Cost of Goods Sold</c:v>
                </c:pt>
                <c:pt idx="1">
                  <c:v>    Payroll Costs</c:v>
                </c:pt>
                <c:pt idx="2">
                  <c:v>    Rent/ Leases</c:v>
                </c:pt>
                <c:pt idx="3">
                  <c:v>    Sales, General &amp; Administrative</c:v>
                </c:pt>
                <c:pt idx="4">
                  <c:v>    Other</c:v>
                </c:pt>
                <c:pt idx="5">
                  <c:v>    Interest</c:v>
                </c:pt>
                <c:pt idx="6">
                  <c:v>     Taxes</c:v>
                </c:pt>
              </c:strCache>
            </c:strRef>
          </c:cat>
          <c:val>
            <c:numRef>
              <c:f>'Charts for Dashes'!$D$27:$D$33</c:f>
              <c:numCache>
                <c:formatCode>"$"#,##0</c:formatCode>
                <c:ptCount val="7"/>
                <c:pt idx="0">
                  <c:v>520</c:v>
                </c:pt>
                <c:pt idx="1">
                  <c:v>120</c:v>
                </c:pt>
                <c:pt idx="2">
                  <c:v>75</c:v>
                </c:pt>
                <c:pt idx="3">
                  <c:v>62</c:v>
                </c:pt>
                <c:pt idx="4">
                  <c:v>25</c:v>
                </c:pt>
                <c:pt idx="5">
                  <c:v>0</c:v>
                </c:pt>
                <c:pt idx="6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B0-4B0E-9195-CF11423D3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719268621518021E-2"/>
          <c:y val="0.75957158909608691"/>
          <c:w val="0.95928073137848202"/>
          <c:h val="0.22681138597725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Turns and Accounts Payable 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for Dashes'!$C$22</c:f>
              <c:strCache>
                <c:ptCount val="1"/>
                <c:pt idx="0">
                  <c:v>Inventory 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'Charts for Dashes'!$D$21:$I$21</c:f>
              <c:numCache>
                <c:formatCode>mmm\-yy</c:formatCode>
                <c:ptCount val="6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</c:numCache>
            </c:numRef>
          </c:cat>
          <c:val>
            <c:numRef>
              <c:f>'Charts for Dashes'!$D$22:$I$22</c:f>
              <c:numCache>
                <c:formatCode>0.00\x</c:formatCode>
                <c:ptCount val="6"/>
                <c:pt idx="0">
                  <c:v>0</c:v>
                </c:pt>
                <c:pt idx="1">
                  <c:v>0.79242424242424248</c:v>
                </c:pt>
                <c:pt idx="2">
                  <c:v>0.8176100628930818</c:v>
                </c:pt>
                <c:pt idx="3">
                  <c:v>0.98148148148148151</c:v>
                </c:pt>
                <c:pt idx="4">
                  <c:v>0.78787878787878785</c:v>
                </c:pt>
                <c:pt idx="5">
                  <c:v>0.68783068783068779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E-4C3C-89C9-74B703043439}"/>
            </c:ext>
          </c:extLst>
        </c:ser>
        <c:ser>
          <c:idx val="1"/>
          <c:order val="1"/>
          <c:tx>
            <c:strRef>
              <c:f>'Charts for Dashes'!$C$23</c:f>
              <c:strCache>
                <c:ptCount val="1"/>
                <c:pt idx="0">
                  <c:v>Account Payable Turnover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'Charts for Dashes'!$D$21:$I$21</c:f>
              <c:numCache>
                <c:formatCode>mmm\-yy</c:formatCode>
                <c:ptCount val="6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</c:numCache>
            </c:numRef>
          </c:cat>
          <c:val>
            <c:numRef>
              <c:f>'Charts for Dashes'!$D$23:$I$23</c:f>
              <c:numCache>
                <c:formatCode>0.00\x</c:formatCode>
                <c:ptCount val="6"/>
                <c:pt idx="1">
                  <c:v>6.5265252716773876</c:v>
                </c:pt>
                <c:pt idx="2">
                  <c:v>4.165</c:v>
                </c:pt>
                <c:pt idx="3">
                  <c:v>4.165</c:v>
                </c:pt>
                <c:pt idx="4">
                  <c:v>4.165</c:v>
                </c:pt>
                <c:pt idx="5">
                  <c:v>4.165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E-4C3C-89C9-74B703043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59432"/>
        <c:axId val="756467632"/>
      </c:lineChart>
      <c:dateAx>
        <c:axId val="756459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67632"/>
        <c:crosses val="autoZero"/>
        <c:auto val="1"/>
        <c:lblOffset val="100"/>
        <c:baseTimeUnit val="months"/>
      </c:dateAx>
      <c:valAx>
        <c:axId val="7564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5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for Dashes'!$C$10</c:f>
              <c:strCache>
                <c:ptCount val="1"/>
                <c:pt idx="0">
                  <c:v>+ Ending Inventory/ - Unfilled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'Charts for Dashes'!$D$9:$I$9</c:f>
              <c:numCache>
                <c:formatCode>mmm\-yy</c:formatCode>
                <c:ptCount val="6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</c:numCache>
            </c:numRef>
          </c:cat>
          <c:val>
            <c:numRef>
              <c:f>'Charts for Dashes'!$D$10:$I$10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1</c:v>
                </c:pt>
                <c:pt idx="3">
                  <c:v>-4</c:v>
                </c:pt>
                <c:pt idx="4">
                  <c:v>-39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4-4573-B24F-1FF2E2EE3C16}"/>
            </c:ext>
          </c:extLst>
        </c:ser>
        <c:ser>
          <c:idx val="1"/>
          <c:order val="1"/>
          <c:tx>
            <c:strRef>
              <c:f>'Charts for Dashes'!$C$11</c:f>
              <c:strCache>
                <c:ptCount val="1"/>
                <c:pt idx="0">
                  <c:v>New Orders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'Charts for Dashes'!$D$9:$I$9</c:f>
              <c:numCache>
                <c:formatCode>mmm\-yy</c:formatCode>
                <c:ptCount val="6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</c:numCache>
            </c:numRef>
          </c:cat>
          <c:val>
            <c:numRef>
              <c:f>'Charts for Dashes'!$D$11:$I$11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4-4573-B24F-1FF2E2EE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41504"/>
        <c:axId val="563940848"/>
      </c:lineChart>
      <c:dateAx>
        <c:axId val="563941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0848"/>
        <c:crosses val="autoZero"/>
        <c:auto val="1"/>
        <c:lblOffset val="100"/>
        <c:baseTimeUnit val="months"/>
      </c:dateAx>
      <c:valAx>
        <c:axId val="563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3" Type="http://schemas.openxmlformats.org/officeDocument/2006/relationships/chart" Target="../charts/chart5.xml"/><Relationship Id="rId7" Type="http://schemas.openxmlformats.org/officeDocument/2006/relationships/image" Target="../media/image3.png"/><Relationship Id="rId12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ustomXml" Target="../ink/ink1.xml"/><Relationship Id="rId10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501649</xdr:colOff>
      <xdr:row>0</xdr:row>
      <xdr:rowOff>148168</xdr:rowOff>
    </xdr:from>
    <xdr:to>
      <xdr:col>7</xdr:col>
      <xdr:colOff>1026886</xdr:colOff>
      <xdr:row>7</xdr:row>
      <xdr:rowOff>32169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CA6453-0FAA-41DE-BFF5-4B43E31AB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9649" y="148168"/>
          <a:ext cx="1911351" cy="1490551"/>
        </a:xfrm>
        <a:prstGeom prst="rect">
          <a:avLst/>
        </a:prstGeom>
      </xdr:spPr>
    </xdr:pic>
    <xdr:clientData/>
  </xdr:twoCellAnchor>
  <xdr:twoCellAnchor>
    <xdr:from>
      <xdr:col>5</xdr:col>
      <xdr:colOff>542924</xdr:colOff>
      <xdr:row>5</xdr:row>
      <xdr:rowOff>76200</xdr:rowOff>
    </xdr:from>
    <xdr:to>
      <xdr:col>8</xdr:col>
      <xdr:colOff>342899</xdr:colOff>
      <xdr:row>6</xdr:row>
      <xdr:rowOff>98425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E2B546-36CB-476F-A82E-97A31874FEFA}"/>
            </a:ext>
          </a:extLst>
        </xdr:cNvPr>
        <xdr:cNvSpPr txBox="1"/>
      </xdr:nvSpPr>
      <xdr:spPr>
        <a:xfrm>
          <a:off x="3590924" y="1289050"/>
          <a:ext cx="162877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Sales:  Meeting</a:t>
          </a:r>
          <a:r>
            <a:rPr lang="en-US" sz="1100" b="1" baseline="0"/>
            <a:t> Targets</a:t>
          </a:r>
          <a:endParaRPr lang="en-US" sz="1100" b="1"/>
        </a:p>
      </xdr:txBody>
    </xdr:sp>
    <xdr:clientData/>
  </xdr:twoCellAnchor>
  <xdr:twoCellAnchor>
    <xdr:from>
      <xdr:col>0</xdr:col>
      <xdr:colOff>117475</xdr:colOff>
      <xdr:row>26</xdr:row>
      <xdr:rowOff>190499</xdr:rowOff>
    </xdr:from>
    <xdr:to>
      <xdr:col>5</xdr:col>
      <xdr:colOff>190210</xdr:colOff>
      <xdr:row>39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B69F9F-4C13-483A-BA2D-76CE1CCCB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499004</xdr:colOff>
      <xdr:row>26</xdr:row>
      <xdr:rowOff>150812</xdr:rowOff>
    </xdr:from>
    <xdr:to>
      <xdr:col>11</xdr:col>
      <xdr:colOff>284163</xdr:colOff>
      <xdr:row>37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C5C5A1-86B3-4966-A61B-91AE49883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187324</xdr:colOff>
      <xdr:row>34</xdr:row>
      <xdr:rowOff>85336</xdr:rowOff>
    </xdr:from>
    <xdr:ext cx="3476401" cy="1661519"/>
    <xdr:pic>
      <xdr:nvPicPr>
        <xdr:cNvPr id="15" name="Picture 14">
          <a:extLst>
            <a:ext uri="{FF2B5EF4-FFF2-40B4-BE49-F238E27FC236}">
              <a16:creationId xmlns:a16="http://schemas.microsoft.com/office/drawing/2014/main" id="{CBE752D6-CB87-4BDC-86EF-752E63E31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8074" y="7406886"/>
          <a:ext cx="3476401" cy="1661519"/>
        </a:xfrm>
        <a:prstGeom prst="rect">
          <a:avLst/>
        </a:prstGeom>
      </xdr:spPr>
    </xdr:pic>
    <xdr:clientData/>
  </xdr:oneCellAnchor>
  <xdr:twoCellAnchor>
    <xdr:from>
      <xdr:col>0</xdr:col>
      <xdr:colOff>335643</xdr:colOff>
      <xdr:row>1</xdr:row>
      <xdr:rowOff>81643</xdr:rowOff>
    </xdr:from>
    <xdr:to>
      <xdr:col>1</xdr:col>
      <xdr:colOff>625929</xdr:colOff>
      <xdr:row>5</xdr:row>
      <xdr:rowOff>136072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133F9C2-B5B3-4241-80A9-92FBCE778D3F}"/>
            </a:ext>
          </a:extLst>
        </xdr:cNvPr>
        <xdr:cNvSpPr txBox="1"/>
      </xdr:nvSpPr>
      <xdr:spPr>
        <a:xfrm>
          <a:off x="335643" y="335643"/>
          <a:ext cx="1859643" cy="10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SALES</a:t>
          </a:r>
        </a:p>
      </xdr:txBody>
    </xdr:sp>
    <xdr:clientData/>
  </xdr:twoCellAnchor>
  <xdr:twoCellAnchor>
    <xdr:from>
      <xdr:col>1</xdr:col>
      <xdr:colOff>725714</xdr:colOff>
      <xdr:row>1</xdr:row>
      <xdr:rowOff>127000</xdr:rowOff>
    </xdr:from>
    <xdr:to>
      <xdr:col>2</xdr:col>
      <xdr:colOff>362857</xdr:colOff>
      <xdr:row>5</xdr:row>
      <xdr:rowOff>127000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9C7B53-B552-4350-9974-D115335C1645}"/>
            </a:ext>
          </a:extLst>
        </xdr:cNvPr>
        <xdr:cNvSpPr txBox="1"/>
      </xdr:nvSpPr>
      <xdr:spPr>
        <a:xfrm>
          <a:off x="2295071" y="381000"/>
          <a:ext cx="2050143" cy="961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Net</a:t>
          </a:r>
          <a:r>
            <a:rPr lang="en-US" sz="1100" baseline="0"/>
            <a:t> Income</a:t>
          </a:r>
          <a:endParaRPr lang="en-US" sz="1100"/>
        </a:p>
      </xdr:txBody>
    </xdr:sp>
    <xdr:clientData/>
  </xdr:twoCellAnchor>
  <xdr:twoCellAnchor>
    <xdr:from>
      <xdr:col>2</xdr:col>
      <xdr:colOff>535214</xdr:colOff>
      <xdr:row>1</xdr:row>
      <xdr:rowOff>154214</xdr:rowOff>
    </xdr:from>
    <xdr:to>
      <xdr:col>5</xdr:col>
      <xdr:colOff>335643</xdr:colOff>
      <xdr:row>5</xdr:row>
      <xdr:rowOff>108858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146B7E-ABA0-43D4-86E9-F3EA1753216C}"/>
            </a:ext>
          </a:extLst>
        </xdr:cNvPr>
        <xdr:cNvSpPr txBox="1"/>
      </xdr:nvSpPr>
      <xdr:spPr>
        <a:xfrm>
          <a:off x="4517571" y="408214"/>
          <a:ext cx="1623786" cy="9162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Cash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217715</xdr:colOff>
      <xdr:row>1</xdr:row>
      <xdr:rowOff>340179</xdr:rowOff>
    </xdr:from>
    <xdr:to>
      <xdr:col>19</xdr:col>
      <xdr:colOff>534081</xdr:colOff>
      <xdr:row>15</xdr:row>
      <xdr:rowOff>126093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32AE8B2-E251-4FFD-8D15-A910FD63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171225</xdr:colOff>
      <xdr:row>2</xdr:row>
      <xdr:rowOff>87312</xdr:rowOff>
    </xdr:from>
    <xdr:to>
      <xdr:col>10</xdr:col>
      <xdr:colOff>543153</xdr:colOff>
      <xdr:row>19</xdr:row>
      <xdr:rowOff>15875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0DFEBCC-0E90-489D-8555-ABD2B5C7A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55562</xdr:rowOff>
    </xdr:from>
    <xdr:to>
      <xdr:col>8</xdr:col>
      <xdr:colOff>398038</xdr:colOff>
      <xdr:row>52</xdr:row>
      <xdr:rowOff>140230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F0902A3-7FD1-4716-B1CA-7222A5313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208643</xdr:colOff>
      <xdr:row>40</xdr:row>
      <xdr:rowOff>57074</xdr:rowOff>
    </xdr:from>
    <xdr:to>
      <xdr:col>7</xdr:col>
      <xdr:colOff>608920</xdr:colOff>
      <xdr:row>48</xdr:row>
      <xdr:rowOff>173869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D336AF-BD67-483F-B88E-B0B6E8431308}"/>
            </a:ext>
          </a:extLst>
        </xdr:cNvPr>
        <xdr:cNvSpPr txBox="1"/>
      </xdr:nvSpPr>
      <xdr:spPr>
        <a:xfrm>
          <a:off x="311831" y="8216824"/>
          <a:ext cx="4821464" cy="1704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replace</a:t>
          </a:r>
          <a:r>
            <a:rPr lang="en-US" sz="1800" b="1" baseline="0"/>
            <a:t> with Luca's cute 6 piece pie graph</a:t>
          </a:r>
          <a:endParaRPr lang="en-US" sz="1800" b="1"/>
        </a:p>
      </xdr:txBody>
    </xdr:sp>
    <xdr:clientData/>
  </xdr:twoCellAnchor>
  <xdr:twoCellAnchor>
    <xdr:from>
      <xdr:col>0</xdr:col>
      <xdr:colOff>0</xdr:colOff>
      <xdr:row>18</xdr:row>
      <xdr:rowOff>179916</xdr:rowOff>
    </xdr:from>
    <xdr:to>
      <xdr:col>7</xdr:col>
      <xdr:colOff>21167</xdr:colOff>
      <xdr:row>32</xdr:row>
      <xdr:rowOff>80433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A4B91CF-B2BD-4162-AAC8-6FD7FAA9B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314325</xdr:colOff>
      <xdr:row>0</xdr:row>
      <xdr:rowOff>119062</xdr:rowOff>
    </xdr:from>
    <xdr:to>
      <xdr:col>19</xdr:col>
      <xdr:colOff>561976</xdr:colOff>
      <xdr:row>1</xdr:row>
      <xdr:rowOff>296862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A9705A-9B7A-4E27-9E3B-7466853C62F8}"/>
            </a:ext>
          </a:extLst>
        </xdr:cNvPr>
        <xdr:cNvSpPr txBox="1"/>
      </xdr:nvSpPr>
      <xdr:spPr>
        <a:xfrm>
          <a:off x="7767638" y="119062"/>
          <a:ext cx="4525963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Inventory and Orders</a:t>
          </a:r>
        </a:p>
      </xdr:txBody>
    </xdr:sp>
    <xdr:clientData/>
  </xdr:twoCellAnchor>
  <xdr:twoCellAnchor>
    <xdr:from>
      <xdr:col>1</xdr:col>
      <xdr:colOff>84667</xdr:colOff>
      <xdr:row>2</xdr:row>
      <xdr:rowOff>148168</xdr:rowOff>
    </xdr:from>
    <xdr:to>
      <xdr:col>7</xdr:col>
      <xdr:colOff>21166</xdr:colOff>
      <xdr:row>13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7210664-59DF-4C5A-B2A1-3F7450AA42F1}"/>
            </a:ext>
          </a:extLst>
        </xdr:cNvPr>
        <xdr:cNvSpPr txBox="1"/>
      </xdr:nvSpPr>
      <xdr:spPr>
        <a:xfrm>
          <a:off x="187855" y="767293"/>
          <a:ext cx="4357686" cy="20346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INVOICES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$2,500 UNPAID - last 365 days</a:t>
          </a:r>
        </a:p>
        <a:p>
          <a:endParaRPr lang="en-US" sz="1100"/>
        </a:p>
        <a:p>
          <a:r>
            <a:rPr lang="en-US" sz="1100"/>
            <a:t>$1,400 overdue</a:t>
          </a:r>
          <a:r>
            <a:rPr lang="en-US" sz="1100" baseline="0"/>
            <a:t>                           $1,100 not due yet</a:t>
          </a:r>
        </a:p>
        <a:p>
          <a:endParaRPr lang="en-US" sz="1100" baseline="0"/>
        </a:p>
        <a:p>
          <a:r>
            <a:rPr lang="en-US" sz="1100" baseline="0"/>
            <a:t>Paid in last 30 days</a:t>
          </a:r>
        </a:p>
        <a:p>
          <a:r>
            <a:rPr lang="en-US" sz="1100" baseline="0"/>
            <a:t>$900</a:t>
          </a:r>
          <a:endParaRPr lang="en-US" sz="1100"/>
        </a:p>
      </xdr:txBody>
    </xdr:sp>
    <xdr:clientData/>
  </xdr:twoCellAnchor>
  <xdr:twoCellAnchor>
    <xdr:from>
      <xdr:col>8</xdr:col>
      <xdr:colOff>166342</xdr:colOff>
      <xdr:row>23</xdr:row>
      <xdr:rowOff>134812</xdr:rowOff>
    </xdr:from>
    <xdr:to>
      <xdr:col>8</xdr:col>
      <xdr:colOff>166702</xdr:colOff>
      <xdr:row>23</xdr:row>
      <xdr:rowOff>135172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A640677-A901-49D8-8DAA-F3541FF2723C}"/>
                </a:ext>
              </a:extLst>
            </xdr14:cNvPr>
            <xdr14:cNvContentPartPr/>
          </xdr14:nvContentPartPr>
          <xdr14:nvPr macro=""/>
          <xdr14:xfrm>
            <a:off x="5381280" y="4921125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A640677-A901-49D8-8DAA-F3541FF2723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363640" y="4903125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253572</xdr:colOff>
      <xdr:row>3</xdr:row>
      <xdr:rowOff>154002</xdr:rowOff>
    </xdr:from>
    <xdr:to>
      <xdr:col>2</xdr:col>
      <xdr:colOff>757225</xdr:colOff>
      <xdr:row>7</xdr:row>
      <xdr:rowOff>47492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E91AD6D3-64AC-4D2F-9DB0-E8DB4261E4CB}"/>
                </a:ext>
              </a:extLst>
            </xdr14:cNvPr>
            <xdr14:cNvContentPartPr/>
          </xdr14:nvContentPartPr>
          <xdr14:nvPr macro=""/>
          <xdr14:xfrm>
            <a:off x="356760" y="971565"/>
            <a:ext cx="2130840" cy="6872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E91AD6D3-64AC-4D2F-9DB0-E8DB4261E4C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3760" y="908565"/>
              <a:ext cx="2256480" cy="812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381000</xdr:colOff>
      <xdr:row>20</xdr:row>
      <xdr:rowOff>39689</xdr:rowOff>
    </xdr:from>
    <xdr:to>
      <xdr:col>12</xdr:col>
      <xdr:colOff>103188</xdr:colOff>
      <xdr:row>39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C1CF5D9-79A8-48BA-858C-769800E3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349249</xdr:colOff>
      <xdr:row>30</xdr:row>
      <xdr:rowOff>150813</xdr:rowOff>
    </xdr:from>
    <xdr:to>
      <xdr:col>20</xdr:col>
      <xdr:colOff>31749</xdr:colOff>
      <xdr:row>44</xdr:row>
      <xdr:rowOff>115888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E28B792-A824-4280-A512-EFBDC011B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309562</xdr:colOff>
      <xdr:row>16</xdr:row>
      <xdr:rowOff>190501</xdr:rowOff>
    </xdr:from>
    <xdr:to>
      <xdr:col>19</xdr:col>
      <xdr:colOff>603250</xdr:colOff>
      <xdr:row>30</xdr:row>
      <xdr:rowOff>155576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7E74E8-4F9A-4465-A85D-5C3885EA2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38100</xdr:rowOff>
    </xdr:from>
    <xdr:to>
      <xdr:col>3</xdr:col>
      <xdr:colOff>254000</xdr:colOff>
      <xdr:row>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F5CA94-061F-4468-AB8D-B7DD7EB741A7}"/>
            </a:ext>
          </a:extLst>
        </xdr:cNvPr>
        <xdr:cNvSpPr txBox="1"/>
      </xdr:nvSpPr>
      <xdr:spPr>
        <a:xfrm>
          <a:off x="12700" y="400050"/>
          <a:ext cx="63246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latin typeface="Rockwell" charset="0"/>
              <a:ea typeface="Rockwell" charset="0"/>
              <a:cs typeface="Rockwell" charset="0"/>
            </a:rPr>
            <a:t>Financial Ratios is the quantitative analysis of financial information from statements which provides input for evaluating and comparing a company to its peers or industry benchmark.</a:t>
          </a:r>
        </a:p>
        <a:p>
          <a:r>
            <a:rPr lang="en-US" sz="1100" baseline="0">
              <a:latin typeface="Rockwell" charset="0"/>
              <a:ea typeface="Rockwell" charset="0"/>
              <a:cs typeface="Rockwell" charset="0"/>
            </a:rPr>
            <a:t>Liquidity - measures the availabiity of cash to pay debt</a:t>
          </a:r>
        </a:p>
        <a:p>
          <a:r>
            <a:rPr lang="en-US" sz="1100" baseline="0">
              <a:latin typeface="Rockwell" charset="0"/>
              <a:ea typeface="Rockwell" charset="0"/>
              <a:cs typeface="Rockwell" charset="0"/>
            </a:rPr>
            <a:t>Activity - effectiveness of convertion on non-cash assets to cash assets</a:t>
          </a:r>
        </a:p>
        <a:p>
          <a:r>
            <a:rPr lang="en-US" sz="1100" baseline="0">
              <a:latin typeface="Rockwell" charset="0"/>
              <a:ea typeface="Rockwell" charset="0"/>
              <a:cs typeface="Rockwell" charset="0"/>
            </a:rPr>
            <a:t>Leverage - quantify the ability to repay long term debt</a:t>
          </a:r>
        </a:p>
        <a:p>
          <a:r>
            <a:rPr lang="en-US" sz="1100" baseline="0">
              <a:latin typeface="Rockwell" charset="0"/>
              <a:ea typeface="Rockwell" charset="0"/>
              <a:cs typeface="Rockwell" charset="0"/>
            </a:rPr>
            <a:t>Shareholder/Market - investor response to owning a company's stock</a:t>
          </a:r>
        </a:p>
        <a:p>
          <a:r>
            <a:rPr lang="en-US" sz="1100" baseline="0">
              <a:latin typeface="Rockwell" charset="0"/>
              <a:ea typeface="Rockwell" charset="0"/>
              <a:cs typeface="Rockwell" charset="0"/>
            </a:rPr>
            <a:t>Profitability = use of assets &amp; control of expenses to generate profit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101600</xdr:rowOff>
    </xdr:from>
    <xdr:to>
      <xdr:col>9</xdr:col>
      <xdr:colOff>107950</xdr:colOff>
      <xdr:row>12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073402-91A8-4338-A8F6-2F42AB49AEDE}"/>
            </a:ext>
          </a:extLst>
        </xdr:cNvPr>
        <xdr:cNvSpPr txBox="1"/>
      </xdr:nvSpPr>
      <xdr:spPr>
        <a:xfrm>
          <a:off x="8293100" y="692150"/>
          <a:ext cx="2540000" cy="172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Receivables</a:t>
          </a:r>
        </a:p>
        <a:p>
          <a:endParaRPr lang="en-US" sz="1100"/>
        </a:p>
        <a:p>
          <a:r>
            <a:rPr lang="en-US" sz="1100"/>
            <a:t>Total Inventory</a:t>
          </a:r>
        </a:p>
        <a:p>
          <a:endParaRPr lang="en-US" sz="1100"/>
        </a:p>
        <a:p>
          <a:endParaRPr lang="en-US" sz="1100" baseline="0"/>
        </a:p>
        <a:p>
          <a:r>
            <a:rPr lang="en-US" sz="1100" baseline="0"/>
            <a:t>Leave it in local currency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agnostic%20Data%20Room%20Merged-Debor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estions Database"/>
      <sheetName val="Questions Database (Deb)"/>
      <sheetName val="Data Points"/>
      <sheetName val="Calc BS"/>
      <sheetName val="Calc IS"/>
      <sheetName val="Monthly Figures"/>
      <sheetName val="INPUT Sheet"/>
      <sheetName val="Other Data"/>
      <sheetName val="Dashboard"/>
      <sheetName val="3. Enterprise Scores"/>
      <sheetName val="Meeting Notes"/>
      <sheetName val="Dashboard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D4" t="str">
            <v xml:space="preserve">Leadership </v>
          </cell>
          <cell r="E4" t="str">
            <v>Organization/Staff</v>
          </cell>
          <cell r="F4" t="str">
            <v>Product/Service &amp; Processing</v>
          </cell>
          <cell r="G4" t="str">
            <v xml:space="preserve">Sales &amp; Marketing </v>
          </cell>
          <cell r="H4" t="str">
            <v xml:space="preserve">Financial Management </v>
          </cell>
          <cell r="I4" t="str">
            <v xml:space="preserve">Environmental &amp; Social </v>
          </cell>
        </row>
        <row r="5">
          <cell r="C5" t="str">
            <v>First Score</v>
          </cell>
          <cell r="D5">
            <v>0.19</v>
          </cell>
          <cell r="E5">
            <v>0.12</v>
          </cell>
          <cell r="F5">
            <v>0.35</v>
          </cell>
          <cell r="G5">
            <v>0.42</v>
          </cell>
          <cell r="H5">
            <v>0.28999999999999998</v>
          </cell>
          <cell r="I5">
            <v>0.19</v>
          </cell>
        </row>
        <row r="6">
          <cell r="C6" t="str">
            <v>Improvement</v>
          </cell>
          <cell r="D6">
            <v>0.12</v>
          </cell>
          <cell r="E6">
            <v>0.18</v>
          </cell>
          <cell r="F6">
            <v>0.12</v>
          </cell>
          <cell r="G6">
            <v>0.09</v>
          </cell>
          <cell r="H6">
            <v>0.09</v>
          </cell>
          <cell r="I6">
            <v>0.12</v>
          </cell>
        </row>
        <row r="7">
          <cell r="C7" t="str">
            <v>missing</v>
          </cell>
          <cell r="D7">
            <v>0.69</v>
          </cell>
          <cell r="E7">
            <v>0.70000000000000007</v>
          </cell>
          <cell r="F7">
            <v>0.53</v>
          </cell>
          <cell r="G7">
            <v>0.49000000000000005</v>
          </cell>
          <cell r="H7">
            <v>0.62000000000000011</v>
          </cell>
          <cell r="I7">
            <v>0.69</v>
          </cell>
        </row>
      </sheetData>
      <sheetData sheetId="11"/>
      <sheetData sheetId="12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5-16T14:56:15.46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8-05-16T14:57:49.951"/>
    </inkml:context>
    <inkml:brush xml:id="br0">
      <inkml:brushProperty name="width" value="0.35" units="cm"/>
      <inkml:brushProperty name="height" value="0.35" units="cm"/>
      <inkml:brushProperty name="color" value="#E71224"/>
      <inkml:brushProperty name="ignorePressure" value="1"/>
    </inkml:brush>
  </inkml:definitions>
  <inkml:trace contextRef="#ctx0" brushRef="#br0">0 541,'1632'0,"-1602"2,0 0,18 6,-12-3,20 0,352-2,-216-5,-129 3,-1 3,38 8,14 7,-65-13,1-2,0-2,38-5,-1 2,1091 1,-1123-3,38-6,-4-1,-7 2,3-5,-41 3,-28 6,1 1,-1 0,4 1,37 0,-22 1,1-2,-1 0,4-4,261-48,-221 45,0 3,70 4,142 5,-263-2</inkml:trace>
  <inkml:trace contextRef="#ctx0" brushRef="#br0" timeOffset="6188.4706">3969 1909,'1'-305,"9"-412,38-24,-40 671,-8 70,0-1,-1 0,1 1,0-1,0 0,0 1,0-1,-1 1,1-1,0 0,0 1,-1-1,1 1,-1-1,1 1,0-1,-1 1,1-1,-1 1,1 0,-1-1,0 1,-6-10,-3-25,4 16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5E47-15BA-4EF9-AD58-6A72CD076DCA}">
  <dimension ref="A2:I72"/>
  <sheetViews>
    <sheetView workbookViewId="0">
      <pane xSplit="5" ySplit="2" topLeftCell="F3" activePane="bottomRight" state="frozen"/>
      <selection pane="topRight" activeCell="F1" sqref="F1"/>
      <selection pane="bottomLeft" activeCell="A2" sqref="A2"/>
      <selection pane="bottomRight" activeCell="D21" sqref="D21"/>
    </sheetView>
  </sheetViews>
  <sheetFormatPr defaultRowHeight="14.5" x14ac:dyDescent="0.35"/>
  <cols>
    <col min="1" max="1" width="2.08984375" customWidth="1"/>
    <col min="2" max="2" width="4.54296875" customWidth="1"/>
    <col min="3" max="3" width="36.08984375" customWidth="1"/>
    <col min="6" max="6" width="9.6328125" bestFit="1" customWidth="1"/>
    <col min="9" max="9" width="11.08984375" customWidth="1"/>
  </cols>
  <sheetData>
    <row r="2" spans="1:8" s="17" customFormat="1" x14ac:dyDescent="0.35">
      <c r="F2" s="17" t="s">
        <v>114</v>
      </c>
      <c r="G2" s="17" t="s">
        <v>115</v>
      </c>
      <c r="H2" s="17" t="s">
        <v>116</v>
      </c>
    </row>
    <row r="3" spans="1:8" x14ac:dyDescent="0.35">
      <c r="A3" s="17" t="s">
        <v>0</v>
      </c>
    </row>
    <row r="5" spans="1:8" x14ac:dyDescent="0.35">
      <c r="B5" t="s">
        <v>8</v>
      </c>
    </row>
    <row r="6" spans="1:8" x14ac:dyDescent="0.35">
      <c r="C6" s="5" t="s">
        <v>1</v>
      </c>
      <c r="F6" s="4">
        <v>200</v>
      </c>
      <c r="G6" s="4">
        <v>237.5</v>
      </c>
      <c r="H6" s="4">
        <v>600</v>
      </c>
    </row>
    <row r="7" spans="1:8" x14ac:dyDescent="0.35">
      <c r="C7" s="5" t="s">
        <v>2</v>
      </c>
      <c r="F7" s="4">
        <v>1200</v>
      </c>
      <c r="G7" s="4">
        <v>1900</v>
      </c>
      <c r="H7" s="4">
        <v>2400</v>
      </c>
    </row>
    <row r="8" spans="1:8" x14ac:dyDescent="0.35">
      <c r="C8" s="5" t="s">
        <v>3</v>
      </c>
      <c r="F8" s="4">
        <v>296</v>
      </c>
      <c r="G8" s="4">
        <v>351.5</v>
      </c>
      <c r="H8" s="4">
        <v>444</v>
      </c>
    </row>
    <row r="9" spans="1:8" x14ac:dyDescent="0.35">
      <c r="C9" s="5" t="s">
        <v>4</v>
      </c>
      <c r="F9" s="4">
        <v>656</v>
      </c>
      <c r="G9" s="4">
        <v>779</v>
      </c>
      <c r="H9" s="4">
        <v>984</v>
      </c>
    </row>
    <row r="10" spans="1:8" x14ac:dyDescent="0.35">
      <c r="C10" s="5" t="s">
        <v>5</v>
      </c>
      <c r="F10" s="4">
        <v>392</v>
      </c>
      <c r="G10" s="4">
        <v>465.5</v>
      </c>
      <c r="H10" s="4">
        <v>588</v>
      </c>
    </row>
    <row r="11" spans="1:8" x14ac:dyDescent="0.35">
      <c r="C11" t="s">
        <v>6</v>
      </c>
      <c r="F11" s="3">
        <v>3520</v>
      </c>
      <c r="G11" s="3">
        <v>4180</v>
      </c>
      <c r="H11" s="3">
        <v>5280</v>
      </c>
    </row>
    <row r="12" spans="1:8" x14ac:dyDescent="0.35">
      <c r="C12" t="s">
        <v>7</v>
      </c>
      <c r="F12" s="2">
        <f>SUM(F6:F11)</f>
        <v>6264</v>
      </c>
      <c r="G12" s="2">
        <f t="shared" ref="G12:H12" si="0">SUM(G6:G11)</f>
        <v>7913.5</v>
      </c>
      <c r="H12" s="2">
        <f t="shared" si="0"/>
        <v>10296</v>
      </c>
    </row>
    <row r="14" spans="1:8" x14ac:dyDescent="0.35">
      <c r="B14" t="s">
        <v>144</v>
      </c>
    </row>
    <row r="16" spans="1:8" x14ac:dyDescent="0.35">
      <c r="B16" t="s">
        <v>10</v>
      </c>
      <c r="F16" s="4">
        <v>4100</v>
      </c>
      <c r="G16" s="4">
        <v>4700</v>
      </c>
      <c r="H16" s="4">
        <v>6000</v>
      </c>
    </row>
    <row r="17" spans="2:8" x14ac:dyDescent="0.35">
      <c r="B17" t="s">
        <v>13</v>
      </c>
      <c r="F17" s="2">
        <f>F12-F16</f>
        <v>2164</v>
      </c>
      <c r="G17" s="2">
        <f>G12-G16</f>
        <v>3213.5</v>
      </c>
      <c r="H17" s="2">
        <f>H12-H16</f>
        <v>4296</v>
      </c>
    </row>
    <row r="18" spans="2:8" s="6" customFormat="1" x14ac:dyDescent="0.35">
      <c r="C18" s="6" t="s">
        <v>11</v>
      </c>
      <c r="F18" s="7">
        <f>F17/F12</f>
        <v>0.34546615581098339</v>
      </c>
      <c r="G18" s="7">
        <f>G17/G12</f>
        <v>0.40607822076198902</v>
      </c>
      <c r="H18" s="7">
        <f>H17/H12</f>
        <v>0.41724941724941728</v>
      </c>
    </row>
    <row r="20" spans="2:8" x14ac:dyDescent="0.35">
      <c r="B20" t="s">
        <v>12</v>
      </c>
      <c r="F20" s="4">
        <v>1000</v>
      </c>
      <c r="G20" s="4">
        <v>1100</v>
      </c>
      <c r="H20" s="4">
        <v>1200</v>
      </c>
    </row>
    <row r="21" spans="2:8" x14ac:dyDescent="0.35">
      <c r="C21" t="s">
        <v>138</v>
      </c>
      <c r="F21" s="4">
        <v>0</v>
      </c>
      <c r="G21" s="4">
        <v>0</v>
      </c>
      <c r="H21" s="4">
        <v>0</v>
      </c>
    </row>
    <row r="22" spans="2:8" x14ac:dyDescent="0.35">
      <c r="B22" t="s">
        <v>137</v>
      </c>
      <c r="F22" s="2">
        <f>SUM(F20:F21)</f>
        <v>1000</v>
      </c>
      <c r="G22" s="2">
        <f t="shared" ref="G22:H22" si="1">SUM(G20:G21)</f>
        <v>1100</v>
      </c>
      <c r="H22" s="2">
        <f t="shared" si="1"/>
        <v>1200</v>
      </c>
    </row>
    <row r="23" spans="2:8" x14ac:dyDescent="0.35">
      <c r="F23" s="5"/>
      <c r="G23" s="5"/>
      <c r="H23" s="5"/>
    </row>
    <row r="24" spans="2:8" x14ac:dyDescent="0.35">
      <c r="B24" t="s">
        <v>14</v>
      </c>
      <c r="F24" s="4">
        <f>800</f>
        <v>800</v>
      </c>
      <c r="G24" s="4">
        <v>900</v>
      </c>
      <c r="H24" s="4">
        <v>950</v>
      </c>
    </row>
    <row r="25" spans="2:8" x14ac:dyDescent="0.35">
      <c r="F25" s="5"/>
      <c r="G25" s="5"/>
      <c r="H25" s="5"/>
    </row>
    <row r="26" spans="2:8" x14ac:dyDescent="0.35">
      <c r="B26" t="s">
        <v>15</v>
      </c>
      <c r="F26" s="4">
        <v>180</v>
      </c>
      <c r="G26" s="4">
        <v>200</v>
      </c>
      <c r="H26" s="4">
        <v>275</v>
      </c>
    </row>
    <row r="27" spans="2:8" x14ac:dyDescent="0.35">
      <c r="F27" s="4"/>
      <c r="G27" s="4"/>
      <c r="H27" s="4"/>
    </row>
    <row r="28" spans="2:8" x14ac:dyDescent="0.35">
      <c r="B28" t="s">
        <v>17</v>
      </c>
      <c r="F28" s="4">
        <v>200</v>
      </c>
      <c r="G28" s="4">
        <v>250</v>
      </c>
      <c r="H28" s="4">
        <v>280</v>
      </c>
    </row>
    <row r="29" spans="2:8" x14ac:dyDescent="0.35">
      <c r="B29" t="s">
        <v>139</v>
      </c>
      <c r="F29" s="4">
        <v>0</v>
      </c>
      <c r="G29" s="4">
        <v>0</v>
      </c>
      <c r="H29" s="4">
        <v>0</v>
      </c>
    </row>
    <row r="30" spans="2:8" x14ac:dyDescent="0.35">
      <c r="F30" s="4"/>
      <c r="G30" s="4"/>
      <c r="H30" s="4"/>
    </row>
    <row r="31" spans="2:8" x14ac:dyDescent="0.35">
      <c r="B31" t="s">
        <v>134</v>
      </c>
      <c r="F31" s="4">
        <v>0</v>
      </c>
      <c r="G31" s="4">
        <v>0</v>
      </c>
      <c r="H31" s="4">
        <v>10</v>
      </c>
    </row>
    <row r="33" spans="1:9" x14ac:dyDescent="0.35">
      <c r="B33" t="s">
        <v>19</v>
      </c>
      <c r="F33" s="2">
        <f>F17-F22-F24-F26-F28-F29-F31</f>
        <v>-16</v>
      </c>
      <c r="G33" s="2">
        <f t="shared" ref="G33:H33" si="2">G17-G22-G24-G26-G28-G29-G31</f>
        <v>763.5</v>
      </c>
      <c r="H33" s="2">
        <f t="shared" si="2"/>
        <v>1581</v>
      </c>
    </row>
    <row r="35" spans="1:9" x14ac:dyDescent="0.35">
      <c r="B35" t="s">
        <v>16</v>
      </c>
      <c r="F35" s="9">
        <v>0</v>
      </c>
      <c r="G35" s="9">
        <v>50</v>
      </c>
      <c r="H35" s="9">
        <v>50</v>
      </c>
    </row>
    <row r="37" spans="1:9" x14ac:dyDescent="0.35">
      <c r="B37" t="s">
        <v>18</v>
      </c>
      <c r="F37" s="72">
        <f>$B$38*F33</f>
        <v>-4</v>
      </c>
      <c r="G37" s="72">
        <f t="shared" ref="G37:H37" si="3">$B$38*G33</f>
        <v>190.875</v>
      </c>
      <c r="H37" s="72">
        <f t="shared" si="3"/>
        <v>395.25</v>
      </c>
    </row>
    <row r="38" spans="1:9" x14ac:dyDescent="0.35">
      <c r="B38" s="71">
        <v>0.25</v>
      </c>
      <c r="C38" t="s">
        <v>117</v>
      </c>
    </row>
    <row r="39" spans="1:9" x14ac:dyDescent="0.35">
      <c r="B39" t="s">
        <v>20</v>
      </c>
      <c r="F39" s="2">
        <f>F33-F35-F37</f>
        <v>-12</v>
      </c>
      <c r="G39" s="2">
        <f t="shared" ref="G39:H39" si="4">G33-G35-G37</f>
        <v>522.625</v>
      </c>
      <c r="H39" s="2">
        <f t="shared" si="4"/>
        <v>1135.75</v>
      </c>
    </row>
    <row r="40" spans="1:9" s="6" customFormat="1" x14ac:dyDescent="0.35">
      <c r="C40" s="6" t="s">
        <v>21</v>
      </c>
      <c r="F40" s="7">
        <f>F39/F12</f>
        <v>-1.9157088122605363E-3</v>
      </c>
      <c r="G40" s="7">
        <f>G39/G12</f>
        <v>6.6042206356226707E-2</v>
      </c>
      <c r="H40" s="7">
        <f>H39/H12</f>
        <v>0.11030982905982906</v>
      </c>
    </row>
    <row r="43" spans="1:9" x14ac:dyDescent="0.35">
      <c r="A43" s="17" t="s">
        <v>22</v>
      </c>
    </row>
    <row r="44" spans="1:9" x14ac:dyDescent="0.35">
      <c r="C44" s="17" t="s">
        <v>27</v>
      </c>
    </row>
    <row r="45" spans="1:9" s="16" customFormat="1" x14ac:dyDescent="0.35">
      <c r="B45" s="95" t="s">
        <v>26</v>
      </c>
      <c r="I45"/>
    </row>
    <row r="46" spans="1:9" s="16" customFormat="1" x14ac:dyDescent="0.35">
      <c r="C46" s="16" t="s">
        <v>24</v>
      </c>
      <c r="F46" s="16">
        <v>200</v>
      </c>
      <c r="G46" s="16">
        <f>F50</f>
        <v>-30</v>
      </c>
      <c r="H46" s="16">
        <f>G50</f>
        <v>-151</v>
      </c>
      <c r="I46"/>
    </row>
    <row r="47" spans="1:9" s="16" customFormat="1" x14ac:dyDescent="0.35">
      <c r="C47" s="16" t="s">
        <v>29</v>
      </c>
      <c r="F47" s="10">
        <v>200</v>
      </c>
      <c r="G47" s="10">
        <v>359</v>
      </c>
      <c r="H47" s="10">
        <v>550</v>
      </c>
      <c r="I47"/>
    </row>
    <row r="48" spans="1:9" s="16" customFormat="1" x14ac:dyDescent="0.35">
      <c r="C48" s="16" t="s">
        <v>30</v>
      </c>
      <c r="F48" s="10">
        <v>420</v>
      </c>
      <c r="G48" s="10">
        <v>470</v>
      </c>
      <c r="H48" s="10">
        <v>535</v>
      </c>
      <c r="I48"/>
    </row>
    <row r="49" spans="1:9" s="16" customFormat="1" x14ac:dyDescent="0.35">
      <c r="C49" s="16" t="s">
        <v>31</v>
      </c>
      <c r="E49" s="10">
        <v>85</v>
      </c>
      <c r="F49" s="10">
        <v>10</v>
      </c>
      <c r="G49" s="10">
        <v>10</v>
      </c>
      <c r="H49" s="10">
        <v>10</v>
      </c>
      <c r="I49"/>
    </row>
    <row r="50" spans="1:9" s="16" customFormat="1" x14ac:dyDescent="0.35">
      <c r="C50" s="95" t="s">
        <v>25</v>
      </c>
      <c r="E50" s="16">
        <f>-85</f>
        <v>-85</v>
      </c>
      <c r="F50" s="97">
        <f>(F46+F47-F48-F49)</f>
        <v>-30</v>
      </c>
      <c r="G50" s="97">
        <f t="shared" ref="G50:H50" si="5">(G46+G47-G48-G49)</f>
        <v>-151</v>
      </c>
      <c r="H50" s="97">
        <f t="shared" si="5"/>
        <v>-146</v>
      </c>
      <c r="I50"/>
    </row>
    <row r="51" spans="1:9" s="16" customFormat="1" x14ac:dyDescent="0.35">
      <c r="I51"/>
    </row>
    <row r="52" spans="1:9" s="16" customFormat="1" ht="16.5" customHeight="1" x14ac:dyDescent="0.35"/>
    <row r="53" spans="1:9" s="16" customFormat="1" x14ac:dyDescent="0.35">
      <c r="A53" s="69" t="s">
        <v>111</v>
      </c>
    </row>
    <row r="54" spans="1:9" s="16" customFormat="1" x14ac:dyDescent="0.35">
      <c r="A54" s="69"/>
      <c r="B54" s="69" t="s">
        <v>125</v>
      </c>
    </row>
    <row r="55" spans="1:9" s="16" customFormat="1" x14ac:dyDescent="0.35">
      <c r="B55" s="16" t="s">
        <v>35</v>
      </c>
      <c r="F55" s="4">
        <v>800</v>
      </c>
      <c r="G55" s="4">
        <v>850</v>
      </c>
      <c r="H55" s="4">
        <v>1105</v>
      </c>
    </row>
    <row r="56" spans="1:9" s="16" customFormat="1" x14ac:dyDescent="0.35">
      <c r="B56" s="16" t="s">
        <v>28</v>
      </c>
      <c r="F56" s="4">
        <v>250</v>
      </c>
      <c r="G56" s="4">
        <v>300</v>
      </c>
      <c r="H56" s="4">
        <v>400</v>
      </c>
    </row>
    <row r="57" spans="1:9" s="16" customFormat="1" x14ac:dyDescent="0.35">
      <c r="B57" s="16" t="s">
        <v>23</v>
      </c>
      <c r="D57" s="73">
        <v>5</v>
      </c>
      <c r="E57" s="16" t="s">
        <v>120</v>
      </c>
      <c r="F57" s="72">
        <f>IF(F50&gt;0,F50*$D$57,0)</f>
        <v>0</v>
      </c>
      <c r="G57" s="72">
        <f>IF(G50&gt;0,G50*$D$57,0)</f>
        <v>0</v>
      </c>
      <c r="H57" s="72">
        <f>IF(H50&gt;0,H50*$D$57,0)</f>
        <v>0</v>
      </c>
    </row>
    <row r="58" spans="1:9" s="16" customFormat="1" x14ac:dyDescent="0.35">
      <c r="B58" s="16" t="s">
        <v>119</v>
      </c>
      <c r="F58" s="4">
        <v>0</v>
      </c>
      <c r="G58" s="4">
        <v>0</v>
      </c>
      <c r="H58" s="4">
        <v>0</v>
      </c>
    </row>
    <row r="59" spans="1:9" s="16" customFormat="1" x14ac:dyDescent="0.35">
      <c r="B59" s="16" t="s">
        <v>118</v>
      </c>
      <c r="F59" s="72">
        <f t="shared" ref="F59:G59" si="6">SUM(F55:F58)</f>
        <v>1050</v>
      </c>
      <c r="G59" s="72">
        <f t="shared" si="6"/>
        <v>1150</v>
      </c>
      <c r="H59" s="72">
        <f>SUM(H55:H58)</f>
        <v>1505</v>
      </c>
    </row>
    <row r="60" spans="1:9" s="16" customFormat="1" x14ac:dyDescent="0.35">
      <c r="F60" s="4"/>
    </row>
    <row r="61" spans="1:9" s="16" customFormat="1" x14ac:dyDescent="0.35">
      <c r="B61" s="16" t="s">
        <v>122</v>
      </c>
      <c r="F61" s="4">
        <v>200</v>
      </c>
      <c r="G61" s="4">
        <v>200</v>
      </c>
      <c r="H61" s="4">
        <v>240</v>
      </c>
    </row>
    <row r="62" spans="1:9" s="16" customFormat="1" x14ac:dyDescent="0.35">
      <c r="B62" s="16" t="s">
        <v>121</v>
      </c>
      <c r="F62" s="4">
        <f>F59+F61</f>
        <v>1250</v>
      </c>
      <c r="G62" s="72">
        <f>G59+G61</f>
        <v>1350</v>
      </c>
      <c r="H62" s="72">
        <f>H59+H61</f>
        <v>1745</v>
      </c>
    </row>
    <row r="63" spans="1:9" s="16" customFormat="1" x14ac:dyDescent="0.35"/>
    <row r="64" spans="1:9" s="16" customFormat="1" x14ac:dyDescent="0.35">
      <c r="B64" s="69" t="s">
        <v>124</v>
      </c>
    </row>
    <row r="65" spans="2:8" s="16" customFormat="1" x14ac:dyDescent="0.35">
      <c r="B65" s="16" t="s">
        <v>112</v>
      </c>
      <c r="F65" s="4">
        <v>0</v>
      </c>
      <c r="G65" s="4">
        <v>0</v>
      </c>
      <c r="H65" s="4">
        <v>50</v>
      </c>
    </row>
    <row r="66" spans="2:8" s="16" customFormat="1" x14ac:dyDescent="0.35">
      <c r="B66" s="16" t="s">
        <v>107</v>
      </c>
      <c r="F66" s="4">
        <v>75</v>
      </c>
      <c r="G66" s="4">
        <v>95</v>
      </c>
      <c r="H66" s="4">
        <v>130</v>
      </c>
    </row>
    <row r="67" spans="2:8" s="16" customFormat="1" x14ac:dyDescent="0.35">
      <c r="B67" s="16" t="s">
        <v>123</v>
      </c>
      <c r="F67" s="4">
        <v>0</v>
      </c>
      <c r="G67" s="4">
        <v>25</v>
      </c>
      <c r="H67" s="4">
        <v>32</v>
      </c>
    </row>
    <row r="68" spans="2:8" s="16" customFormat="1" x14ac:dyDescent="0.35">
      <c r="B68" s="16" t="s">
        <v>132</v>
      </c>
      <c r="F68" s="78">
        <f>SUM(F65:F67)</f>
        <v>75</v>
      </c>
      <c r="G68" s="78">
        <f t="shared" ref="G68:H68" si="7">SUM(G65:G67)</f>
        <v>120</v>
      </c>
      <c r="H68" s="78">
        <f t="shared" si="7"/>
        <v>212</v>
      </c>
    </row>
    <row r="70" spans="2:8" x14ac:dyDescent="0.35">
      <c r="B70" s="16" t="s">
        <v>113</v>
      </c>
      <c r="F70" s="4">
        <v>0</v>
      </c>
      <c r="G70" s="4">
        <v>500</v>
      </c>
      <c r="H70" s="4">
        <v>450</v>
      </c>
    </row>
    <row r="71" spans="2:8" x14ac:dyDescent="0.35">
      <c r="B71" s="16" t="s">
        <v>131</v>
      </c>
      <c r="F71" s="2">
        <f>F70+F68</f>
        <v>75</v>
      </c>
      <c r="G71" s="2">
        <f t="shared" ref="G71:H71" si="8">G70+G68</f>
        <v>620</v>
      </c>
      <c r="H71" s="2">
        <f t="shared" si="8"/>
        <v>662</v>
      </c>
    </row>
    <row r="72" spans="2:8" x14ac:dyDescent="0.35">
      <c r="B72" s="16" t="s">
        <v>133</v>
      </c>
      <c r="F72" s="2">
        <f>F62-F71</f>
        <v>1175</v>
      </c>
      <c r="G72" s="2">
        <f t="shared" ref="G72:H72" si="9">G62-G71</f>
        <v>730</v>
      </c>
      <c r="H72" s="2">
        <f t="shared" si="9"/>
        <v>1083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A7EE9-6B21-4634-8374-1165238BE042}">
  <dimension ref="A1:Q67"/>
  <sheetViews>
    <sheetView workbookViewId="0">
      <selection activeCell="D14" sqref="D14"/>
    </sheetView>
  </sheetViews>
  <sheetFormatPr defaultRowHeight="14.5" x14ac:dyDescent="0.35"/>
  <cols>
    <col min="3" max="3" width="29.6328125" customWidth="1"/>
  </cols>
  <sheetData>
    <row r="1" spans="3:9" x14ac:dyDescent="0.35">
      <c r="C1" s="139" t="s">
        <v>374</v>
      </c>
    </row>
    <row r="2" spans="3:9" x14ac:dyDescent="0.35">
      <c r="D2" s="70">
        <v>43040</v>
      </c>
      <c r="E2" s="70">
        <v>43070</v>
      </c>
      <c r="F2" s="70">
        <v>43101</v>
      </c>
      <c r="G2" s="70">
        <v>43132</v>
      </c>
      <c r="H2" s="70">
        <v>43160</v>
      </c>
      <c r="I2" s="70">
        <v>43191</v>
      </c>
    </row>
    <row r="3" spans="3:9" x14ac:dyDescent="0.35">
      <c r="C3" s="140" t="s">
        <v>377</v>
      </c>
      <c r="D3" s="138">
        <f>'Finance Sheet'!J51</f>
        <v>-5</v>
      </c>
      <c r="E3" s="138">
        <f>'Finance Sheet'!K51</f>
        <v>55</v>
      </c>
      <c r="F3" s="138">
        <f>'Finance Sheet'!L51</f>
        <v>53</v>
      </c>
      <c r="G3" s="138">
        <f>'Finance Sheet'!M51</f>
        <v>45</v>
      </c>
      <c r="H3" s="138">
        <f>'Finance Sheet'!N51</f>
        <v>55</v>
      </c>
      <c r="I3" s="138">
        <v>60</v>
      </c>
    </row>
    <row r="4" spans="3:9" x14ac:dyDescent="0.35">
      <c r="C4" s="16" t="s">
        <v>376</v>
      </c>
      <c r="D4" s="10">
        <v>10</v>
      </c>
      <c r="E4" s="10">
        <v>15</v>
      </c>
      <c r="F4" s="10">
        <v>85</v>
      </c>
      <c r="G4" s="10">
        <v>85</v>
      </c>
      <c r="H4" s="10">
        <v>85</v>
      </c>
      <c r="I4" s="10">
        <v>85</v>
      </c>
    </row>
    <row r="5" spans="3:9" x14ac:dyDescent="0.35">
      <c r="C5" s="139"/>
    </row>
    <row r="6" spans="3:9" x14ac:dyDescent="0.35">
      <c r="C6" s="139"/>
    </row>
    <row r="7" spans="3:9" x14ac:dyDescent="0.35">
      <c r="C7" s="139"/>
    </row>
    <row r="8" spans="3:9" x14ac:dyDescent="0.35">
      <c r="C8" s="139" t="s">
        <v>375</v>
      </c>
    </row>
    <row r="9" spans="3:9" x14ac:dyDescent="0.35">
      <c r="C9" s="139"/>
      <c r="D9" s="70">
        <v>43040</v>
      </c>
      <c r="E9" s="70">
        <v>43070</v>
      </c>
      <c r="F9" s="70">
        <v>43101</v>
      </c>
      <c r="G9" s="70">
        <v>43132</v>
      </c>
      <c r="H9" s="70">
        <v>43160</v>
      </c>
      <c r="I9" s="70">
        <v>43191</v>
      </c>
    </row>
    <row r="10" spans="3:9" x14ac:dyDescent="0.35">
      <c r="C10" s="140" t="s">
        <v>377</v>
      </c>
      <c r="D10" s="10">
        <v>20</v>
      </c>
      <c r="E10" s="10">
        <v>25</v>
      </c>
      <c r="F10" s="10">
        <v>1</v>
      </c>
      <c r="G10" s="10">
        <v>-4</v>
      </c>
      <c r="H10" s="10">
        <v>-39</v>
      </c>
      <c r="I10" s="10">
        <v>66</v>
      </c>
    </row>
    <row r="11" spans="3:9" x14ac:dyDescent="0.35">
      <c r="C11" s="16" t="s">
        <v>376</v>
      </c>
      <c r="D11" s="10">
        <v>10</v>
      </c>
      <c r="E11" s="10">
        <v>15</v>
      </c>
      <c r="F11" s="10">
        <v>85</v>
      </c>
      <c r="G11" s="10">
        <v>85</v>
      </c>
      <c r="H11" s="10">
        <v>85</v>
      </c>
      <c r="I11" s="10">
        <v>85</v>
      </c>
    </row>
    <row r="13" spans="3:9" x14ac:dyDescent="0.35">
      <c r="D13" s="70">
        <v>43040</v>
      </c>
      <c r="E13" s="70">
        <v>43070</v>
      </c>
      <c r="F13" s="70">
        <v>43101</v>
      </c>
      <c r="G13" s="70">
        <v>43132</v>
      </c>
      <c r="H13" s="70">
        <v>43160</v>
      </c>
      <c r="I13" s="70">
        <v>43191</v>
      </c>
    </row>
    <row r="14" spans="3:9" x14ac:dyDescent="0.35">
      <c r="C14" t="s">
        <v>105</v>
      </c>
      <c r="D14" s="19">
        <f>'Finance Sheet'!J56</f>
        <v>800</v>
      </c>
      <c r="E14" s="19">
        <f>'Finance Sheet'!K56</f>
        <v>1105</v>
      </c>
      <c r="F14" s="19">
        <f>'Finance Sheet'!L56</f>
        <v>800</v>
      </c>
      <c r="G14" s="19">
        <f>'Finance Sheet'!M56</f>
        <v>770</v>
      </c>
      <c r="H14" s="19">
        <f>'Finance Sheet'!N56</f>
        <v>500</v>
      </c>
      <c r="I14" s="19">
        <f>'Finance Sheet'!O56</f>
        <v>500</v>
      </c>
    </row>
    <row r="15" spans="3:9" x14ac:dyDescent="0.35">
      <c r="C15" t="s">
        <v>28</v>
      </c>
      <c r="D15" s="19">
        <f>'Finance Sheet'!J57</f>
        <v>55.265999999999998</v>
      </c>
      <c r="E15" s="19">
        <f>'Finance Sheet'!K57</f>
        <v>200</v>
      </c>
      <c r="F15" s="19">
        <f>'Finance Sheet'!L57</f>
        <v>200</v>
      </c>
      <c r="G15" s="19">
        <f>'Finance Sheet'!M57</f>
        <v>200</v>
      </c>
      <c r="H15" s="19">
        <f>'Finance Sheet'!N57</f>
        <v>200</v>
      </c>
      <c r="I15" s="19">
        <f>'Finance Sheet'!O57</f>
        <v>200</v>
      </c>
    </row>
    <row r="16" spans="3:9" x14ac:dyDescent="0.35">
      <c r="C16" t="s">
        <v>107</v>
      </c>
      <c r="D16" s="19">
        <f>'Finance Sheet'!J67</f>
        <v>61</v>
      </c>
      <c r="E16" s="19">
        <f>'Finance Sheet'!K67</f>
        <v>130</v>
      </c>
      <c r="F16" s="19">
        <f>'Finance Sheet'!L67</f>
        <v>110</v>
      </c>
      <c r="G16" s="19">
        <f>'Finance Sheet'!M67</f>
        <v>120</v>
      </c>
      <c r="H16" s="19">
        <f>'Finance Sheet'!N67</f>
        <v>110</v>
      </c>
      <c r="I16" s="19">
        <f>'Finance Sheet'!O67</f>
        <v>110</v>
      </c>
    </row>
    <row r="17" spans="3:10" x14ac:dyDescent="0.35">
      <c r="J17" s="156"/>
    </row>
    <row r="18" spans="3:10" x14ac:dyDescent="0.35">
      <c r="J18" s="156"/>
    </row>
    <row r="19" spans="3:10" x14ac:dyDescent="0.35">
      <c r="F19" s="153"/>
      <c r="G19" s="153"/>
      <c r="H19" s="153"/>
    </row>
    <row r="20" spans="3:10" x14ac:dyDescent="0.35">
      <c r="F20" s="153"/>
      <c r="G20" s="153"/>
      <c r="H20" s="153"/>
    </row>
    <row r="21" spans="3:10" x14ac:dyDescent="0.35">
      <c r="D21" s="70">
        <v>43040</v>
      </c>
      <c r="E21" s="70">
        <v>43070</v>
      </c>
      <c r="F21" s="70">
        <v>43101</v>
      </c>
      <c r="G21" s="70">
        <v>43132</v>
      </c>
      <c r="H21" s="70">
        <v>43160</v>
      </c>
      <c r="I21" s="70">
        <v>43191</v>
      </c>
    </row>
    <row r="22" spans="3:10" x14ac:dyDescent="0.35">
      <c r="C22" t="s">
        <v>390</v>
      </c>
      <c r="D22" s="155" t="e">
        <f>'Finance Sheet'!J16/'Finance Sheet'!J58</f>
        <v>#DIV/0!</v>
      </c>
      <c r="E22" s="155">
        <f>'Finance Sheet'!K16/'Finance Sheet'!K58</f>
        <v>0.79242424242424248</v>
      </c>
      <c r="F22" s="155">
        <f>'Finance Sheet'!L16/'Finance Sheet'!L58</f>
        <v>0.8176100628930818</v>
      </c>
      <c r="G22" s="155">
        <f>'Finance Sheet'!M16/'Finance Sheet'!M58</f>
        <v>0.98148148148148151</v>
      </c>
      <c r="H22" s="155">
        <f>'Finance Sheet'!N16/'Finance Sheet'!N58</f>
        <v>0.78787878787878785</v>
      </c>
      <c r="I22" s="155">
        <f>'Finance Sheet'!O16/'Finance Sheet'!O58</f>
        <v>0.68783068783068779</v>
      </c>
    </row>
    <row r="23" spans="3:10" x14ac:dyDescent="0.35">
      <c r="C23" t="s">
        <v>194</v>
      </c>
      <c r="D23" s="156"/>
      <c r="E23" s="155">
        <f>'Finance Sheet'!K107</f>
        <v>6.5265252716773876</v>
      </c>
      <c r="F23" s="155">
        <f>'Finance Sheet'!L107</f>
        <v>4.165</v>
      </c>
      <c r="G23" s="155">
        <f>'Finance Sheet'!M107</f>
        <v>4.165</v>
      </c>
      <c r="H23" s="155">
        <f>'Finance Sheet'!N107</f>
        <v>4.165</v>
      </c>
      <c r="I23" s="155">
        <f>'Finance Sheet'!O107</f>
        <v>4.165</v>
      </c>
    </row>
    <row r="25" spans="3:10" x14ac:dyDescent="0.35">
      <c r="D25" s="1">
        <f>I13</f>
        <v>43191</v>
      </c>
    </row>
    <row r="26" spans="3:10" x14ac:dyDescent="0.35">
      <c r="C26" t="s">
        <v>382</v>
      </c>
    </row>
    <row r="27" spans="3:10" x14ac:dyDescent="0.35">
      <c r="C27" t="s">
        <v>383</v>
      </c>
      <c r="D27" s="19">
        <f>'Finance Sheet'!O16</f>
        <v>520</v>
      </c>
    </row>
    <row r="28" spans="3:10" x14ac:dyDescent="0.35">
      <c r="C28" t="s">
        <v>384</v>
      </c>
      <c r="D28" s="19">
        <f>'Finance Sheet'!O22</f>
        <v>120</v>
      </c>
    </row>
    <row r="29" spans="3:10" x14ac:dyDescent="0.35">
      <c r="C29" t="s">
        <v>385</v>
      </c>
      <c r="D29" s="19">
        <f>'Finance Sheet'!O24</f>
        <v>75</v>
      </c>
    </row>
    <row r="30" spans="3:10" x14ac:dyDescent="0.35">
      <c r="C30" t="s">
        <v>386</v>
      </c>
      <c r="D30" s="19">
        <f>'Finance Sheet'!O26</f>
        <v>62</v>
      </c>
    </row>
    <row r="31" spans="3:10" x14ac:dyDescent="0.35">
      <c r="C31" t="s">
        <v>387</v>
      </c>
      <c r="D31" s="19">
        <f>'Finance Sheet'!O28+'Finance Sheet'!O29</f>
        <v>25</v>
      </c>
    </row>
    <row r="32" spans="3:10" x14ac:dyDescent="0.35">
      <c r="C32" t="s">
        <v>388</v>
      </c>
      <c r="D32" s="19">
        <f>'Finance Sheet'!O36</f>
        <v>0</v>
      </c>
    </row>
    <row r="33" spans="1:17" x14ac:dyDescent="0.35">
      <c r="C33" t="s">
        <v>389</v>
      </c>
      <c r="D33" s="19">
        <f>'Finance Sheet'!O38</f>
        <v>12.75</v>
      </c>
    </row>
    <row r="36" spans="1:17" x14ac:dyDescent="0.35">
      <c r="C36" t="s">
        <v>391</v>
      </c>
      <c r="F36" s="153">
        <f>'Charts for Dashes'!E48</f>
        <v>7.9365079365079367</v>
      </c>
      <c r="G36" s="153">
        <f>'Charts for Dashes'!F48</f>
        <v>15.909090909090908</v>
      </c>
      <c r="H36" s="153">
        <f>'Charts for Dashes'!G48</f>
        <v>15.208333333333334</v>
      </c>
    </row>
    <row r="38" spans="1:17" ht="15.5" x14ac:dyDescent="0.35">
      <c r="C38" s="39" t="s">
        <v>60</v>
      </c>
      <c r="D38" s="26"/>
      <c r="E38" s="26"/>
      <c r="F38" s="158">
        <f>'Charts for Dashes'!E47</f>
        <v>1.6666666666666667</v>
      </c>
      <c r="G38" s="158">
        <f>'Charts for Dashes'!F47</f>
        <v>9.5833333333333339</v>
      </c>
      <c r="H38" s="158">
        <f>'Charts for Dashes'!G47</f>
        <v>7.0990566037735849</v>
      </c>
    </row>
    <row r="41" spans="1:17" ht="15.5" x14ac:dyDescent="0.35">
      <c r="A41" s="26"/>
      <c r="B41" s="27" t="s">
        <v>55</v>
      </c>
      <c r="C41" s="26"/>
      <c r="D41" s="26"/>
      <c r="E41" s="17" t="s">
        <v>114</v>
      </c>
      <c r="F41" s="17" t="s">
        <v>115</v>
      </c>
      <c r="G41" s="17" t="s">
        <v>116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ht="15.5" x14ac:dyDescent="0.35">
      <c r="A42" s="26"/>
      <c r="B42" s="26" t="s">
        <v>56</v>
      </c>
      <c r="C42" s="26"/>
      <c r="D42" s="26"/>
      <c r="E42" s="79">
        <f>'Finance Sheet'!F60/'Finance Sheet'!F69</f>
        <v>3.3466666666666667</v>
      </c>
      <c r="F42" s="79">
        <f>'Finance Sheet'!G60/'Finance Sheet'!G69</f>
        <v>15.083333333333334</v>
      </c>
      <c r="G42" s="79">
        <f>'Finance Sheet'!H60/'Finance Sheet'!H69</f>
        <v>10.495283018867925</v>
      </c>
      <c r="H42" s="26"/>
      <c r="I42" s="26"/>
      <c r="J42" s="26"/>
      <c r="K42" s="26"/>
      <c r="L42" s="26"/>
      <c r="M42" s="26"/>
      <c r="N42" s="80">
        <f>'Finance Sheet'!O60/'Finance Sheet'!O69</f>
        <v>11.2</v>
      </c>
      <c r="O42" s="26"/>
      <c r="P42" s="26"/>
      <c r="Q42" s="26"/>
    </row>
    <row r="43" spans="1:17" ht="15.5" x14ac:dyDescent="0.35">
      <c r="A43" s="26"/>
      <c r="B43" s="86" t="s">
        <v>57</v>
      </c>
      <c r="C43" s="86"/>
      <c r="D43" s="86"/>
      <c r="E43" s="98">
        <f>'Finance Sheet'!F40+'Finance Sheet'!F32</f>
        <v>3168</v>
      </c>
      <c r="F43" s="98">
        <f>'Finance Sheet'!G40+'Finance Sheet'!G32</f>
        <v>3077.5</v>
      </c>
      <c r="G43" s="98">
        <f>'Finance Sheet'!H40+'Finance Sheet'!H32</f>
        <v>3689.75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ht="15.5" x14ac:dyDescent="0.35">
      <c r="A44" s="26"/>
      <c r="B44" s="38" t="s">
        <v>58</v>
      </c>
      <c r="C44" s="38"/>
      <c r="D44" s="38"/>
      <c r="E44" s="149">
        <f>'Finance Sheet'!F62+'Finance Sheet'!F60-'Finance Sheet'!F69</f>
        <v>1960</v>
      </c>
      <c r="F44" s="149">
        <f>'Finance Sheet'!G62+'Finance Sheet'!G60-'Finance Sheet'!G69</f>
        <v>1890</v>
      </c>
      <c r="G44" s="149">
        <f>'Finance Sheet'!H62+'Finance Sheet'!H60-'Finance Sheet'!H69</f>
        <v>2253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ht="15.5" x14ac:dyDescent="0.35">
      <c r="A45" s="26"/>
      <c r="B45" s="56" t="s">
        <v>59</v>
      </c>
      <c r="C45" s="56"/>
      <c r="D45" s="56"/>
      <c r="E45" s="150">
        <f>('Finance Sheet'!F66+'Finance Sheet'!F71)/'Finance Sheet'!F73</f>
        <v>0</v>
      </c>
      <c r="F45" s="150">
        <f>('Finance Sheet'!G66+'Finance Sheet'!G71)/'Finance Sheet'!G73</f>
        <v>0.35971223021582732</v>
      </c>
      <c r="G45" s="150">
        <f>('Finance Sheet'!H66+'Finance Sheet'!H71)/'Finance Sheet'!H73</f>
        <v>0.27731558513588461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ht="15.5" x14ac:dyDescent="0.35">
      <c r="A46" s="26"/>
      <c r="B46" s="26"/>
      <c r="C46" s="26"/>
      <c r="D46" s="26"/>
      <c r="E46" s="26"/>
      <c r="F46" s="26"/>
      <c r="G46" s="26"/>
      <c r="H46" s="26"/>
      <c r="I46" s="70">
        <v>43040</v>
      </c>
      <c r="J46" s="70">
        <v>43070</v>
      </c>
      <c r="K46" s="70">
        <v>43101</v>
      </c>
      <c r="L46" s="70">
        <v>43132</v>
      </c>
      <c r="M46" s="70">
        <v>43160</v>
      </c>
      <c r="N46" s="70">
        <v>43191</v>
      </c>
      <c r="O46" s="70">
        <v>43221</v>
      </c>
      <c r="P46" s="26"/>
      <c r="Q46" s="26"/>
    </row>
    <row r="47" spans="1:17" ht="15.5" x14ac:dyDescent="0.35">
      <c r="A47" s="26"/>
      <c r="B47" s="39" t="s">
        <v>60</v>
      </c>
      <c r="C47" s="26"/>
      <c r="D47" s="26"/>
      <c r="E47" s="80">
        <f>('Finance Sheet'!F56+'Finance Sheet'!F57)/'Finance Sheet'!F69</f>
        <v>1.6666666666666667</v>
      </c>
      <c r="F47" s="80">
        <f>('Finance Sheet'!G56+'Finance Sheet'!G57)/'Finance Sheet'!G69</f>
        <v>9.5833333333333339</v>
      </c>
      <c r="G47" s="80">
        <f>('Finance Sheet'!H56+'Finance Sheet'!H57)/'Finance Sheet'!H69</f>
        <v>7.0990566037735849</v>
      </c>
      <c r="H47" s="26"/>
      <c r="I47" s="26"/>
      <c r="J47" s="26"/>
      <c r="K47" s="26"/>
      <c r="L47" s="26"/>
      <c r="M47" s="26"/>
      <c r="N47" s="80">
        <f>('Finance Sheet'!O56+'Finance Sheet'!O57)/'Finance Sheet'!O69</f>
        <v>5.384615384615385</v>
      </c>
      <c r="O47" s="26"/>
      <c r="P47" s="26"/>
      <c r="Q47" s="26"/>
    </row>
    <row r="48" spans="1:17" x14ac:dyDescent="0.35">
      <c r="B48" t="s">
        <v>391</v>
      </c>
      <c r="E48" s="152">
        <f>'Finance Sheet'!F16/'Finance Sheet'!F58</f>
        <v>7.9365079365079367</v>
      </c>
      <c r="F48" s="152">
        <f>'Finance Sheet'!G16/'Finance Sheet'!G58</f>
        <v>15.909090909090908</v>
      </c>
      <c r="G48" s="152">
        <f>'Finance Sheet'!H16/'Finance Sheet'!H58</f>
        <v>15.208333333333334</v>
      </c>
      <c r="I48" s="152" t="e">
        <f>'Finance Sheet'!J16/'Finance Sheet'!J58</f>
        <v>#DIV/0!</v>
      </c>
      <c r="J48" s="152">
        <f>'Finance Sheet'!K16/'Finance Sheet'!K58</f>
        <v>0.79242424242424248</v>
      </c>
      <c r="K48" s="152">
        <f>'Finance Sheet'!L16/'Finance Sheet'!L58</f>
        <v>0.8176100628930818</v>
      </c>
      <c r="L48" s="152">
        <f>'Finance Sheet'!M16/'Finance Sheet'!M58</f>
        <v>0.98148148148148151</v>
      </c>
      <c r="M48" s="152">
        <f>'Finance Sheet'!N16/'Finance Sheet'!N58</f>
        <v>0.78787878787878785</v>
      </c>
      <c r="N48" s="152">
        <f>'Finance Sheet'!O16/'Finance Sheet'!O58</f>
        <v>0.68783068783068779</v>
      </c>
    </row>
    <row r="50" spans="1:8" ht="15.5" x14ac:dyDescent="0.35">
      <c r="B50" s="27" t="s">
        <v>55</v>
      </c>
      <c r="E50" s="84" t="s">
        <v>73</v>
      </c>
      <c r="F50" s="84" t="s">
        <v>74</v>
      </c>
      <c r="G50" s="84" t="s">
        <v>75</v>
      </c>
      <c r="H50" s="85" t="s">
        <v>76</v>
      </c>
    </row>
    <row r="51" spans="1:8" ht="15.5" x14ac:dyDescent="0.35">
      <c r="B51" s="26" t="s">
        <v>77</v>
      </c>
      <c r="E51" s="26"/>
      <c r="F51" s="26"/>
      <c r="G51" s="26"/>
      <c r="H51" s="38"/>
    </row>
    <row r="52" spans="1:8" ht="15.5" x14ac:dyDescent="0.35">
      <c r="B52" s="26" t="s">
        <v>78</v>
      </c>
      <c r="E52" s="52">
        <f>SUM('Finance Sheet'!F6:F10)/'Finance Sheet'!F12</f>
        <v>0.85820174025136964</v>
      </c>
      <c r="F52" s="52">
        <f>SUM('Finance Sheet'!G6:G10)/'Finance Sheet'!G12</f>
        <v>0.80430528375733856</v>
      </c>
      <c r="G52" s="52">
        <f>SUM('Finance Sheet'!H6:H10)/'Finance Sheet'!H12</f>
        <v>0.78699963275798757</v>
      </c>
      <c r="H52" s="82" t="e">
        <f>SUM('Finance Sheet'!I6:I10)/'Finance Sheet'!I12</f>
        <v>#DIV/0!</v>
      </c>
    </row>
    <row r="53" spans="1:8" ht="15.5" x14ac:dyDescent="0.35">
      <c r="B53" s="26"/>
      <c r="E53" s="52"/>
      <c r="F53" s="52"/>
      <c r="G53" s="52"/>
      <c r="H53" s="38"/>
    </row>
    <row r="54" spans="1:8" ht="15.5" x14ac:dyDescent="0.35">
      <c r="B54" s="26"/>
      <c r="E54" s="28"/>
      <c r="F54" s="28"/>
      <c r="G54" s="28"/>
      <c r="H54" s="83"/>
    </row>
    <row r="55" spans="1:8" ht="15.5" x14ac:dyDescent="0.35">
      <c r="B55" s="26" t="s">
        <v>79</v>
      </c>
      <c r="E55" s="53">
        <f>'Finance Sheet'!F18</f>
        <v>0.59716403480502744</v>
      </c>
      <c r="F55" s="53">
        <f>'Finance Sheet'!G18</f>
        <v>0.58904109589041098</v>
      </c>
      <c r="G55" s="53">
        <f>'Finance Sheet'!H18</f>
        <v>0.59786999632757987</v>
      </c>
      <c r="H55" s="53">
        <f>'Finance Sheet'!I18</f>
        <v>0</v>
      </c>
    </row>
    <row r="56" spans="1:8" ht="15.5" x14ac:dyDescent="0.35">
      <c r="B56" s="26"/>
      <c r="E56" s="26"/>
      <c r="F56" s="26"/>
      <c r="G56" s="26"/>
      <c r="H56" s="38"/>
    </row>
    <row r="57" spans="1:8" ht="15.5" x14ac:dyDescent="0.35">
      <c r="B57" s="26" t="s">
        <v>80</v>
      </c>
      <c r="E57" s="53">
        <f>'Finance Sheet'!F41</f>
        <v>0.12761843377376733</v>
      </c>
      <c r="F57" s="53">
        <f>'Finance Sheet'!G41</f>
        <v>0.12045009784735812</v>
      </c>
      <c r="G57" s="53">
        <f>'Finance Sheet'!H41</f>
        <v>0.13513587954461989</v>
      </c>
      <c r="H57" s="53">
        <f>'Finance Sheet'!I41</f>
        <v>0</v>
      </c>
    </row>
    <row r="58" spans="1:8" ht="15.5" x14ac:dyDescent="0.35">
      <c r="B58" s="26"/>
      <c r="E58" s="26"/>
      <c r="F58" s="26"/>
      <c r="G58" s="26"/>
      <c r="H58" s="38"/>
    </row>
    <row r="59" spans="1:8" ht="15.5" x14ac:dyDescent="0.35">
      <c r="B59" s="26" t="s">
        <v>57</v>
      </c>
      <c r="E59" s="36">
        <f>'Finance Sheet'!F40+'Finance Sheet'!F32</f>
        <v>3168</v>
      </c>
      <c r="F59" s="36">
        <f>'Finance Sheet'!G40+'Finance Sheet'!G32</f>
        <v>3077.5</v>
      </c>
      <c r="G59" s="36">
        <f>'Finance Sheet'!H40+'Finance Sheet'!H32</f>
        <v>3689.75</v>
      </c>
      <c r="H59" s="36">
        <f>'Finance Sheet'!I40+'Finance Sheet'!I32</f>
        <v>0</v>
      </c>
    </row>
    <row r="60" spans="1:8" ht="15.5" x14ac:dyDescent="0.35">
      <c r="B60" s="86" t="s">
        <v>371</v>
      </c>
      <c r="E60" s="137" t="str">
        <f>IF('Finance Sheet'!F36&gt;0,'Finance Sheet'!F31/'Finance Sheet'!F36,"NA")</f>
        <v>NA</v>
      </c>
      <c r="F60" s="137">
        <f>IF('Finance Sheet'!G36&gt;0,'Finance Sheet'!G31/'Finance Sheet'!G36,"NA")</f>
        <v>83.4</v>
      </c>
      <c r="G60" s="137">
        <f>IF('Finance Sheet'!H36&gt;0,'Finance Sheet'!H31/'Finance Sheet'!H36,"NA")</f>
        <v>99.66</v>
      </c>
      <c r="H60" s="137" t="str">
        <f>IF('Finance Sheet'!I36&gt;0,'Finance Sheet'!I31/'Finance Sheet'!I36,"NA")</f>
        <v>NA</v>
      </c>
    </row>
    <row r="62" spans="1:8" x14ac:dyDescent="0.35">
      <c r="A62" t="s">
        <v>135</v>
      </c>
    </row>
    <row r="63" spans="1:8" x14ac:dyDescent="0.35">
      <c r="B63" t="s">
        <v>136</v>
      </c>
      <c r="E63" s="87">
        <v>1</v>
      </c>
      <c r="F63" s="87">
        <v>1</v>
      </c>
      <c r="G63" s="87">
        <v>1</v>
      </c>
    </row>
    <row r="66" spans="1:17" x14ac:dyDescent="0.35">
      <c r="A66" t="s">
        <v>145</v>
      </c>
    </row>
    <row r="67" spans="1:17" x14ac:dyDescent="0.35">
      <c r="A67" s="13"/>
      <c r="B67" s="13" t="s">
        <v>146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8A59-9101-4D59-9FCD-A72D208F4365}">
  <dimension ref="A1:L75"/>
  <sheetViews>
    <sheetView showGridLines="0" topLeftCell="A26" workbookViewId="0">
      <selection activeCell="D37" sqref="D37"/>
    </sheetView>
  </sheetViews>
  <sheetFormatPr defaultColWidth="10.81640625" defaultRowHeight="14" x14ac:dyDescent="0.3"/>
  <cols>
    <col min="1" max="1" width="35.81640625" style="105" customWidth="1"/>
    <col min="2" max="2" width="40.453125" style="104" customWidth="1"/>
    <col min="3" max="16384" width="10.81640625" style="105"/>
  </cols>
  <sheetData>
    <row r="1" spans="1:12" ht="28.5" x14ac:dyDescent="0.65">
      <c r="A1" s="103" t="s">
        <v>147</v>
      </c>
    </row>
    <row r="10" spans="1:12" ht="16" x14ac:dyDescent="0.4">
      <c r="A10" s="106" t="s">
        <v>148</v>
      </c>
      <c r="B10" s="107" t="s">
        <v>149</v>
      </c>
      <c r="C10" s="108" t="s">
        <v>150</v>
      </c>
      <c r="D10" s="109"/>
    </row>
    <row r="11" spans="1:12" s="113" customFormat="1" ht="16" x14ac:dyDescent="0.3">
      <c r="A11" s="110"/>
      <c r="B11" s="111"/>
      <c r="C11" s="112"/>
      <c r="D11" s="112"/>
    </row>
    <row r="12" spans="1:12" ht="15.5" x14ac:dyDescent="0.35">
      <c r="A12" s="114" t="s">
        <v>151</v>
      </c>
      <c r="B12" s="115"/>
      <c r="C12" s="109"/>
      <c r="D12" s="109"/>
    </row>
    <row r="13" spans="1:12" ht="15" x14ac:dyDescent="0.3">
      <c r="A13" s="116" t="s">
        <v>152</v>
      </c>
      <c r="B13" s="117" t="s">
        <v>153</v>
      </c>
      <c r="C13" s="118">
        <v>0.4</v>
      </c>
      <c r="D13" s="109"/>
    </row>
    <row r="14" spans="1:12" ht="15.5" x14ac:dyDescent="0.35">
      <c r="A14" s="119" t="s">
        <v>154</v>
      </c>
      <c r="B14" s="117" t="s">
        <v>155</v>
      </c>
      <c r="C14" s="118">
        <v>0.5</v>
      </c>
      <c r="D14" s="109"/>
    </row>
    <row r="15" spans="1:12" ht="30" x14ac:dyDescent="0.3">
      <c r="A15" s="116" t="s">
        <v>156</v>
      </c>
      <c r="B15" s="117" t="s">
        <v>157</v>
      </c>
      <c r="C15" s="118">
        <v>0.4</v>
      </c>
      <c r="D15" s="109"/>
    </row>
    <row r="16" spans="1:12" ht="30.5" x14ac:dyDescent="0.35">
      <c r="A16" s="119" t="s">
        <v>158</v>
      </c>
      <c r="B16" s="117" t="s">
        <v>159</v>
      </c>
      <c r="C16" s="118">
        <v>0.5</v>
      </c>
      <c r="D16" s="109"/>
    </row>
    <row r="17" spans="1:4" ht="30" x14ac:dyDescent="0.3">
      <c r="A17" s="116" t="s">
        <v>160</v>
      </c>
      <c r="B17" s="117" t="s">
        <v>161</v>
      </c>
      <c r="C17" s="118">
        <v>0.5</v>
      </c>
      <c r="D17" s="109"/>
    </row>
    <row r="18" spans="1:4" ht="15.5" x14ac:dyDescent="0.35">
      <c r="A18" s="119" t="s">
        <v>162</v>
      </c>
      <c r="B18" s="117" t="s">
        <v>163</v>
      </c>
      <c r="C18" s="118"/>
      <c r="D18" s="109"/>
    </row>
    <row r="19" spans="1:4" ht="15.5" x14ac:dyDescent="0.35">
      <c r="A19" s="119" t="s">
        <v>164</v>
      </c>
      <c r="B19" s="117" t="s">
        <v>165</v>
      </c>
      <c r="C19" s="120">
        <v>0.61</v>
      </c>
      <c r="D19" s="109"/>
    </row>
    <row r="20" spans="1:4" ht="15" x14ac:dyDescent="0.3">
      <c r="A20" s="116" t="s">
        <v>166</v>
      </c>
      <c r="B20" s="117" t="s">
        <v>167</v>
      </c>
      <c r="C20" s="120">
        <v>0.157</v>
      </c>
      <c r="D20" s="109"/>
    </row>
    <row r="21" spans="1:4" ht="15.5" x14ac:dyDescent="0.35">
      <c r="A21" s="119" t="s">
        <v>168</v>
      </c>
      <c r="B21" s="117" t="s">
        <v>169</v>
      </c>
      <c r="C21" s="120">
        <v>-0.04</v>
      </c>
      <c r="D21" s="109"/>
    </row>
    <row r="22" spans="1:4" ht="15" x14ac:dyDescent="0.3">
      <c r="A22" s="121"/>
      <c r="B22" s="115"/>
      <c r="C22" s="109"/>
      <c r="D22" s="109"/>
    </row>
    <row r="23" spans="1:4" ht="15.5" x14ac:dyDescent="0.35">
      <c r="A23" s="114" t="s">
        <v>170</v>
      </c>
      <c r="B23" s="115"/>
      <c r="C23" s="109"/>
      <c r="D23" s="109"/>
    </row>
    <row r="24" spans="1:4" ht="15.5" x14ac:dyDescent="0.35">
      <c r="A24" s="119" t="s">
        <v>171</v>
      </c>
      <c r="B24" s="117" t="s">
        <v>172</v>
      </c>
      <c r="C24" s="118">
        <v>1.4</v>
      </c>
      <c r="D24" s="109"/>
    </row>
    <row r="25" spans="1:4" ht="30.5" x14ac:dyDescent="0.35">
      <c r="A25" s="119" t="s">
        <v>173</v>
      </c>
      <c r="B25" s="117" t="s">
        <v>174</v>
      </c>
      <c r="C25" s="118">
        <v>1.2</v>
      </c>
      <c r="D25" s="109"/>
    </row>
    <row r="26" spans="1:4" ht="30" x14ac:dyDescent="0.3">
      <c r="A26" s="116" t="s">
        <v>175</v>
      </c>
      <c r="B26" s="117" t="s">
        <v>176</v>
      </c>
      <c r="C26" s="118">
        <v>0.8</v>
      </c>
      <c r="D26" s="109"/>
    </row>
    <row r="27" spans="1:4" ht="30" x14ac:dyDescent="0.3">
      <c r="A27" s="116" t="s">
        <v>177</v>
      </c>
      <c r="B27" s="117" t="s">
        <v>178</v>
      </c>
      <c r="C27" s="118" t="s">
        <v>179</v>
      </c>
      <c r="D27" s="109"/>
    </row>
    <row r="28" spans="1:4" ht="30" x14ac:dyDescent="0.3">
      <c r="A28" s="116" t="s">
        <v>180</v>
      </c>
      <c r="B28" s="117" t="s">
        <v>181</v>
      </c>
      <c r="C28" s="118"/>
      <c r="D28" s="109"/>
    </row>
    <row r="29" spans="1:4" ht="15" x14ac:dyDescent="0.3">
      <c r="A29" s="109"/>
      <c r="B29" s="115"/>
      <c r="C29" s="109"/>
      <c r="D29" s="109"/>
    </row>
    <row r="30" spans="1:4" ht="15.5" x14ac:dyDescent="0.35">
      <c r="A30" s="122" t="s">
        <v>182</v>
      </c>
      <c r="B30" s="115"/>
      <c r="C30" s="109"/>
      <c r="D30" s="109"/>
    </row>
    <row r="31" spans="1:4" ht="15.5" x14ac:dyDescent="0.35">
      <c r="A31" s="119" t="s">
        <v>183</v>
      </c>
      <c r="B31" s="117" t="s">
        <v>184</v>
      </c>
      <c r="C31" s="118" t="s">
        <v>185</v>
      </c>
      <c r="D31" s="109"/>
    </row>
    <row r="32" spans="1:4" ht="15.5" x14ac:dyDescent="0.35">
      <c r="A32" s="119" t="s">
        <v>186</v>
      </c>
      <c r="B32" s="117" t="s">
        <v>187</v>
      </c>
      <c r="C32" s="118">
        <v>0</v>
      </c>
      <c r="D32" s="109"/>
    </row>
    <row r="33" spans="1:6" ht="30" x14ac:dyDescent="0.3">
      <c r="A33" s="116" t="s">
        <v>188</v>
      </c>
      <c r="B33" s="117" t="s">
        <v>189</v>
      </c>
      <c r="C33" s="118" t="s">
        <v>190</v>
      </c>
      <c r="D33" s="109"/>
    </row>
    <row r="34" spans="1:6" ht="30" x14ac:dyDescent="0.3">
      <c r="A34" s="116" t="s">
        <v>191</v>
      </c>
      <c r="B34" s="117" t="s">
        <v>192</v>
      </c>
      <c r="C34" s="118" t="s">
        <v>193</v>
      </c>
      <c r="D34" s="109"/>
    </row>
    <row r="35" spans="1:6" ht="30.5" x14ac:dyDescent="0.35">
      <c r="A35" s="119" t="s">
        <v>194</v>
      </c>
      <c r="B35" s="117" t="s">
        <v>392</v>
      </c>
      <c r="C35" s="118" t="s">
        <v>195</v>
      </c>
      <c r="D35" s="109"/>
    </row>
    <row r="36" spans="1:6" ht="30" x14ac:dyDescent="0.3">
      <c r="A36" s="116" t="s">
        <v>196</v>
      </c>
      <c r="B36" s="117" t="s">
        <v>197</v>
      </c>
      <c r="C36" s="118" t="s">
        <v>198</v>
      </c>
      <c r="D36" s="109"/>
    </row>
    <row r="37" spans="1:6" ht="15.5" x14ac:dyDescent="0.35">
      <c r="A37" s="119" t="s">
        <v>199</v>
      </c>
      <c r="B37" s="117" t="s">
        <v>200</v>
      </c>
      <c r="C37" s="118">
        <v>2.5</v>
      </c>
      <c r="D37" s="109"/>
    </row>
    <row r="38" spans="1:6" ht="15" x14ac:dyDescent="0.3">
      <c r="A38" s="116" t="s">
        <v>201</v>
      </c>
      <c r="B38" s="117" t="s">
        <v>202</v>
      </c>
      <c r="C38" s="118">
        <v>2.7</v>
      </c>
      <c r="D38" s="109"/>
      <c r="F38" s="123"/>
    </row>
    <row r="39" spans="1:6" ht="15" x14ac:dyDescent="0.3">
      <c r="A39" s="121"/>
      <c r="B39" s="115"/>
      <c r="C39" s="109"/>
      <c r="D39" s="109"/>
    </row>
    <row r="40" spans="1:6" ht="15.5" x14ac:dyDescent="0.35">
      <c r="A40" s="122" t="s">
        <v>203</v>
      </c>
      <c r="B40" s="115"/>
      <c r="C40" s="109"/>
      <c r="D40" s="109"/>
    </row>
    <row r="41" spans="1:6" ht="15" x14ac:dyDescent="0.3">
      <c r="A41" s="116" t="s">
        <v>204</v>
      </c>
      <c r="B41" s="117" t="s">
        <v>205</v>
      </c>
      <c r="C41" s="118">
        <v>0.4</v>
      </c>
      <c r="D41" s="109"/>
    </row>
    <row r="42" spans="1:6" ht="15" x14ac:dyDescent="0.3">
      <c r="A42" s="116" t="s">
        <v>206</v>
      </c>
      <c r="B42" s="117" t="s">
        <v>207</v>
      </c>
      <c r="C42" s="118">
        <v>0.4</v>
      </c>
      <c r="D42" s="109"/>
    </row>
    <row r="43" spans="1:6" ht="30.5" x14ac:dyDescent="0.35">
      <c r="A43" s="119" t="s">
        <v>208</v>
      </c>
      <c r="B43" s="117" t="s">
        <v>209</v>
      </c>
      <c r="C43" s="118">
        <v>0.6</v>
      </c>
      <c r="D43" s="109"/>
    </row>
    <row r="44" spans="1:6" ht="30" x14ac:dyDescent="0.3">
      <c r="A44" s="116" t="s">
        <v>210</v>
      </c>
      <c r="B44" s="117" t="s">
        <v>211</v>
      </c>
      <c r="C44" s="118">
        <v>1.6</v>
      </c>
      <c r="D44" s="109"/>
    </row>
    <row r="45" spans="1:6" ht="15" x14ac:dyDescent="0.3">
      <c r="A45" s="109"/>
      <c r="B45" s="109"/>
      <c r="C45" s="109"/>
      <c r="D45" s="109"/>
    </row>
    <row r="46" spans="1:6" ht="15.5" x14ac:dyDescent="0.35">
      <c r="A46" s="122" t="s">
        <v>212</v>
      </c>
      <c r="B46" s="115"/>
      <c r="C46" s="109"/>
      <c r="D46" s="109"/>
    </row>
    <row r="47" spans="1:6" ht="30.5" x14ac:dyDescent="0.35">
      <c r="A47" s="119" t="s">
        <v>213</v>
      </c>
      <c r="B47" s="117" t="s">
        <v>214</v>
      </c>
      <c r="C47" s="118">
        <v>2.7</v>
      </c>
      <c r="D47" s="109"/>
    </row>
    <row r="48" spans="1:6" ht="45" x14ac:dyDescent="0.3">
      <c r="A48" s="116" t="s">
        <v>215</v>
      </c>
      <c r="B48" s="117" t="s">
        <v>216</v>
      </c>
      <c r="C48" s="118">
        <v>0</v>
      </c>
      <c r="D48" s="109"/>
    </row>
    <row r="49" spans="1:4" ht="15" x14ac:dyDescent="0.3">
      <c r="A49" s="121"/>
      <c r="B49" s="115"/>
      <c r="C49" s="109"/>
      <c r="D49" s="109"/>
    </row>
    <row r="50" spans="1:4" ht="15.5" x14ac:dyDescent="0.35">
      <c r="A50" s="122" t="s">
        <v>217</v>
      </c>
      <c r="B50" s="115"/>
      <c r="C50" s="109"/>
      <c r="D50" s="109"/>
    </row>
    <row r="51" spans="1:4" ht="30" x14ac:dyDescent="0.3">
      <c r="A51" s="116" t="s">
        <v>218</v>
      </c>
      <c r="B51" s="117" t="s">
        <v>219</v>
      </c>
      <c r="C51" s="118"/>
      <c r="D51" s="109"/>
    </row>
    <row r="52" spans="1:4" ht="30" x14ac:dyDescent="0.3">
      <c r="A52" s="116" t="s">
        <v>220</v>
      </c>
      <c r="B52" s="124" t="s">
        <v>221</v>
      </c>
      <c r="C52" s="118"/>
      <c r="D52" s="109"/>
    </row>
    <row r="53" spans="1:4" ht="15" x14ac:dyDescent="0.3">
      <c r="A53" s="116" t="s">
        <v>222</v>
      </c>
      <c r="B53" s="117" t="s">
        <v>223</v>
      </c>
      <c r="C53" s="118"/>
      <c r="D53" s="109"/>
    </row>
    <row r="54" spans="1:4" ht="15" x14ac:dyDescent="0.3">
      <c r="A54" s="116" t="s">
        <v>224</v>
      </c>
      <c r="B54" s="117" t="s">
        <v>225</v>
      </c>
      <c r="C54" s="118"/>
      <c r="D54" s="109"/>
    </row>
    <row r="55" spans="1:4" ht="30" x14ac:dyDescent="0.3">
      <c r="A55" s="116" t="s">
        <v>226</v>
      </c>
      <c r="B55" s="117" t="s">
        <v>227</v>
      </c>
      <c r="C55" s="118"/>
      <c r="D55" s="109"/>
    </row>
    <row r="56" spans="1:4" ht="15" x14ac:dyDescent="0.3">
      <c r="A56" s="116" t="s">
        <v>228</v>
      </c>
      <c r="B56" s="117" t="s">
        <v>229</v>
      </c>
      <c r="C56" s="118">
        <v>0.3</v>
      </c>
      <c r="D56" s="109"/>
    </row>
    <row r="57" spans="1:4" ht="15" x14ac:dyDescent="0.3">
      <c r="A57" s="121"/>
      <c r="B57" s="115"/>
      <c r="C57" s="109"/>
      <c r="D57" s="109"/>
    </row>
    <row r="58" spans="1:4" ht="15.5" x14ac:dyDescent="0.35">
      <c r="A58" s="114" t="s">
        <v>230</v>
      </c>
      <c r="B58" s="115"/>
      <c r="C58" s="109"/>
      <c r="D58" s="109"/>
    </row>
    <row r="59" spans="1:4" ht="30" x14ac:dyDescent="0.3">
      <c r="A59" s="116" t="s">
        <v>231</v>
      </c>
      <c r="B59" s="117" t="s">
        <v>232</v>
      </c>
      <c r="C59" s="125">
        <v>46968</v>
      </c>
      <c r="D59" s="109"/>
    </row>
    <row r="60" spans="1:4" ht="15" x14ac:dyDescent="0.3">
      <c r="A60" s="116" t="s">
        <v>233</v>
      </c>
      <c r="B60" s="117" t="s">
        <v>234</v>
      </c>
      <c r="C60" s="118">
        <v>121.8</v>
      </c>
      <c r="D60" s="109"/>
    </row>
    <row r="61" spans="1:4" ht="15" x14ac:dyDescent="0.3">
      <c r="A61" s="121"/>
      <c r="B61" s="115"/>
      <c r="C61" s="109"/>
      <c r="D61" s="109"/>
    </row>
    <row r="62" spans="1:4" ht="15.5" x14ac:dyDescent="0.35">
      <c r="A62" s="122" t="s">
        <v>235</v>
      </c>
      <c r="B62" s="115"/>
      <c r="C62" s="109"/>
      <c r="D62" s="109"/>
    </row>
    <row r="63" spans="1:4" ht="15" x14ac:dyDescent="0.3">
      <c r="A63" s="116" t="s">
        <v>236</v>
      </c>
      <c r="B63" s="117" t="s">
        <v>237</v>
      </c>
      <c r="C63" s="118">
        <v>0.2</v>
      </c>
      <c r="D63" s="109"/>
    </row>
    <row r="64" spans="1:4" ht="15.5" x14ac:dyDescent="0.35">
      <c r="A64" s="119" t="s">
        <v>238</v>
      </c>
      <c r="B64" s="117" t="s">
        <v>239</v>
      </c>
      <c r="C64" s="118">
        <v>1</v>
      </c>
      <c r="D64" s="109"/>
    </row>
    <row r="65" spans="1:4" ht="30" x14ac:dyDescent="0.3">
      <c r="A65" s="116" t="s">
        <v>240</v>
      </c>
      <c r="B65" s="117" t="s">
        <v>241</v>
      </c>
      <c r="C65" s="118"/>
      <c r="D65" s="109"/>
    </row>
    <row r="66" spans="1:4" ht="30" x14ac:dyDescent="0.3">
      <c r="A66" s="116" t="s">
        <v>242</v>
      </c>
      <c r="B66" s="117" t="s">
        <v>243</v>
      </c>
      <c r="C66" s="118">
        <v>-4</v>
      </c>
      <c r="D66" s="109"/>
    </row>
    <row r="67" spans="1:4" ht="15" x14ac:dyDescent="0.3">
      <c r="A67" s="121"/>
      <c r="B67" s="115"/>
      <c r="C67" s="109"/>
      <c r="D67" s="109"/>
    </row>
    <row r="68" spans="1:4" ht="15.5" x14ac:dyDescent="0.35">
      <c r="A68" s="162" t="s">
        <v>244</v>
      </c>
      <c r="B68" s="162"/>
      <c r="C68" s="162"/>
      <c r="D68" s="162"/>
    </row>
    <row r="69" spans="1:4" ht="15" x14ac:dyDescent="0.3">
      <c r="A69" s="109"/>
      <c r="B69" s="115" t="s">
        <v>245</v>
      </c>
      <c r="C69" s="109"/>
      <c r="D69" s="109"/>
    </row>
    <row r="70" spans="1:4" ht="15" x14ac:dyDescent="0.3">
      <c r="A70" s="109" t="s">
        <v>246</v>
      </c>
      <c r="B70" s="115">
        <v>3.3</v>
      </c>
      <c r="C70" s="109">
        <f>$B$70*$C$13</f>
        <v>1.32</v>
      </c>
      <c r="D70" s="109"/>
    </row>
    <row r="71" spans="1:4" ht="15" x14ac:dyDescent="0.3">
      <c r="A71" s="109" t="s">
        <v>247</v>
      </c>
      <c r="B71" s="115">
        <v>0.999</v>
      </c>
      <c r="C71" s="109">
        <f>$B$71*$C$37</f>
        <v>2.4975000000000001</v>
      </c>
      <c r="D71" s="109"/>
    </row>
    <row r="72" spans="1:4" ht="15" x14ac:dyDescent="0.3">
      <c r="A72" s="109" t="s">
        <v>248</v>
      </c>
      <c r="B72" s="115">
        <v>0.6</v>
      </c>
      <c r="C72" s="109">
        <f>$B$72*$C$44</f>
        <v>0.96</v>
      </c>
      <c r="D72" s="109"/>
    </row>
    <row r="73" spans="1:4" ht="15" x14ac:dyDescent="0.3">
      <c r="A73" s="109" t="s">
        <v>249</v>
      </c>
      <c r="B73" s="115">
        <v>1.2</v>
      </c>
      <c r="C73" s="109">
        <f>$B$73 *$C$63</f>
        <v>0.24</v>
      </c>
      <c r="D73" s="109"/>
    </row>
    <row r="74" spans="1:4" ht="15" x14ac:dyDescent="0.3">
      <c r="A74" s="109" t="s">
        <v>228</v>
      </c>
      <c r="B74" s="115">
        <v>1.4</v>
      </c>
      <c r="C74" s="109">
        <f>$B$74*$C$56</f>
        <v>0.42</v>
      </c>
      <c r="D74" s="109"/>
    </row>
    <row r="75" spans="1:4" ht="15.5" x14ac:dyDescent="0.35">
      <c r="A75" s="126" t="s">
        <v>244</v>
      </c>
      <c r="B75" s="115"/>
      <c r="C75" s="126">
        <f>SUM(C70:C74)</f>
        <v>5.4375</v>
      </c>
      <c r="D75" s="109"/>
    </row>
  </sheetData>
  <mergeCells count="1">
    <mergeCell ref="A68:D68"/>
  </mergeCells>
  <conditionalFormatting sqref="C75">
    <cfRule type="cellIs" dxfId="2" priority="1" operator="greaterThanOrEqual">
      <formula>3</formula>
    </cfRule>
    <cfRule type="cellIs" dxfId="1" priority="2" operator="between">
      <formula>1.9</formula>
      <formula>2.99</formula>
    </cfRule>
    <cfRule type="cellIs" dxfId="0" priority="3" operator="lessThanOrEqual">
      <formula>1.87</formula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AC3B-A18C-4070-9BB7-E5DB38147627}">
  <dimension ref="A1:L67"/>
  <sheetViews>
    <sheetView workbookViewId="0">
      <pane xSplit="2" ySplit="2" topLeftCell="C13" activePane="bottomRight" state="frozen"/>
      <selection pane="topRight" activeCell="C1" sqref="C1"/>
      <selection pane="bottomLeft" activeCell="A3" sqref="A3"/>
      <selection pane="bottomRight" activeCell="J13" sqref="J13"/>
    </sheetView>
  </sheetViews>
  <sheetFormatPr defaultColWidth="11.453125" defaultRowHeight="14.5" x14ac:dyDescent="0.35"/>
  <cols>
    <col min="2" max="2" width="36.81640625" customWidth="1"/>
    <col min="6" max="6" width="10.81640625" customWidth="1"/>
  </cols>
  <sheetData>
    <row r="1" spans="1:12" ht="38" customHeight="1" x14ac:dyDescent="0.65">
      <c r="A1" s="103" t="s">
        <v>250</v>
      </c>
    </row>
    <row r="2" spans="1:12" ht="29" x14ac:dyDescent="0.35">
      <c r="B2" s="127" t="s">
        <v>251</v>
      </c>
      <c r="C2" s="127" t="s">
        <v>252</v>
      </c>
      <c r="D2" s="127" t="s">
        <v>253</v>
      </c>
      <c r="E2" s="127" t="s">
        <v>254</v>
      </c>
      <c r="F2" s="127" t="s">
        <v>255</v>
      </c>
      <c r="G2" s="128"/>
      <c r="H2" s="128"/>
      <c r="I2" s="128"/>
      <c r="J2" s="128"/>
    </row>
    <row r="3" spans="1:12" x14ac:dyDescent="0.35">
      <c r="B3" s="129" t="s">
        <v>256</v>
      </c>
      <c r="C3" s="129">
        <v>5</v>
      </c>
      <c r="D3" s="129">
        <v>4</v>
      </c>
      <c r="E3" s="129">
        <v>1</v>
      </c>
      <c r="F3" s="129">
        <v>-3</v>
      </c>
      <c r="G3" s="128"/>
      <c r="H3" s="128"/>
      <c r="I3" s="128"/>
      <c r="J3" s="128"/>
    </row>
    <row r="4" spans="1:12" x14ac:dyDescent="0.35">
      <c r="B4" s="129" t="s">
        <v>257</v>
      </c>
      <c r="C4" s="129">
        <v>3</v>
      </c>
      <c r="D4" s="129">
        <v>3</v>
      </c>
      <c r="E4" s="129">
        <v>1</v>
      </c>
      <c r="F4" s="129">
        <v>0</v>
      </c>
      <c r="G4" s="128"/>
      <c r="H4" s="128"/>
      <c r="I4" s="128"/>
      <c r="J4" s="128"/>
    </row>
    <row r="5" spans="1:12" x14ac:dyDescent="0.35">
      <c r="B5" s="129" t="s">
        <v>258</v>
      </c>
      <c r="C5" s="129">
        <v>6</v>
      </c>
      <c r="D5" s="129">
        <v>4</v>
      </c>
      <c r="E5" s="129">
        <v>2</v>
      </c>
      <c r="F5" s="129">
        <v>-3</v>
      </c>
      <c r="G5" s="128"/>
      <c r="H5" s="128"/>
      <c r="I5" s="128"/>
      <c r="J5" s="128"/>
    </row>
    <row r="6" spans="1:12" x14ac:dyDescent="0.35">
      <c r="B6" s="129" t="s">
        <v>259</v>
      </c>
      <c r="C6" s="129">
        <v>6</v>
      </c>
      <c r="D6" s="129">
        <v>4</v>
      </c>
      <c r="E6" s="129">
        <v>2</v>
      </c>
      <c r="F6" s="129">
        <v>-3</v>
      </c>
      <c r="G6" s="128"/>
      <c r="H6" s="128"/>
      <c r="I6" s="128"/>
      <c r="J6" s="128"/>
    </row>
    <row r="7" spans="1:12" x14ac:dyDescent="0.35">
      <c r="B7" s="129" t="s">
        <v>260</v>
      </c>
      <c r="C7" s="129">
        <v>4</v>
      </c>
      <c r="D7" s="129">
        <v>4</v>
      </c>
      <c r="E7" s="129">
        <v>2</v>
      </c>
      <c r="F7" s="129">
        <v>-3</v>
      </c>
      <c r="G7" s="128"/>
      <c r="H7" s="128"/>
      <c r="I7" s="128"/>
      <c r="J7" s="128"/>
    </row>
    <row r="8" spans="1:12" ht="19" customHeight="1" x14ac:dyDescent="0.35">
      <c r="B8" s="129" t="s">
        <v>261</v>
      </c>
      <c r="C8" s="129">
        <v>3</v>
      </c>
      <c r="D8" s="129">
        <v>3</v>
      </c>
      <c r="E8" s="129">
        <v>1</v>
      </c>
      <c r="F8" s="129">
        <v>0</v>
      </c>
      <c r="G8" s="128"/>
      <c r="H8" s="130"/>
      <c r="I8" s="130"/>
      <c r="J8" s="130"/>
      <c r="K8" s="130"/>
      <c r="L8" s="130"/>
    </row>
    <row r="9" spans="1:12" x14ac:dyDescent="0.35">
      <c r="B9" s="129" t="s">
        <v>262</v>
      </c>
      <c r="C9" s="129">
        <v>4</v>
      </c>
      <c r="D9" s="129">
        <v>4</v>
      </c>
      <c r="E9" s="129">
        <v>2</v>
      </c>
      <c r="F9" s="129">
        <v>-3</v>
      </c>
      <c r="G9" s="128"/>
      <c r="H9" s="128"/>
      <c r="I9" s="128"/>
      <c r="J9" s="128"/>
    </row>
    <row r="10" spans="1:12" x14ac:dyDescent="0.35">
      <c r="B10" s="129" t="s">
        <v>263</v>
      </c>
      <c r="C10" s="129">
        <v>5</v>
      </c>
      <c r="D10" s="129">
        <v>4</v>
      </c>
      <c r="E10" s="129">
        <v>2</v>
      </c>
      <c r="F10" s="129">
        <v>0</v>
      </c>
      <c r="G10" s="128"/>
      <c r="H10" s="128"/>
      <c r="I10" s="128"/>
      <c r="J10" s="128"/>
    </row>
    <row r="11" spans="1:12" x14ac:dyDescent="0.35">
      <c r="B11" s="129" t="s">
        <v>264</v>
      </c>
      <c r="C11" s="129">
        <v>4</v>
      </c>
      <c r="D11" s="129">
        <v>4</v>
      </c>
      <c r="E11" s="129">
        <v>1</v>
      </c>
      <c r="F11" s="129">
        <v>0</v>
      </c>
      <c r="G11" s="128"/>
      <c r="H11" s="128"/>
      <c r="I11" s="128"/>
      <c r="J11" s="128"/>
    </row>
    <row r="12" spans="1:12" x14ac:dyDescent="0.35">
      <c r="B12" s="127"/>
      <c r="C12" s="127"/>
      <c r="D12" s="127"/>
      <c r="E12" s="127"/>
      <c r="F12" s="127"/>
      <c r="G12" s="128"/>
      <c r="H12" s="128"/>
      <c r="I12" s="128"/>
      <c r="J12" s="128"/>
    </row>
    <row r="13" spans="1:12" x14ac:dyDescent="0.35">
      <c r="B13" s="127" t="s">
        <v>265</v>
      </c>
      <c r="C13" s="127" t="s">
        <v>266</v>
      </c>
      <c r="D13" s="127" t="s">
        <v>267</v>
      </c>
      <c r="E13" s="127" t="s">
        <v>268</v>
      </c>
      <c r="F13" s="127" t="s">
        <v>269</v>
      </c>
      <c r="G13" s="128"/>
      <c r="H13" s="128"/>
      <c r="I13" s="128"/>
      <c r="J13" s="128"/>
    </row>
    <row r="14" spans="1:12" x14ac:dyDescent="0.35">
      <c r="B14" s="129" t="s">
        <v>270</v>
      </c>
      <c r="C14" s="129">
        <v>8</v>
      </c>
      <c r="D14" s="129">
        <v>6</v>
      </c>
      <c r="E14" s="129">
        <v>2</v>
      </c>
      <c r="F14" s="129">
        <v>-5</v>
      </c>
      <c r="G14" s="128"/>
      <c r="H14" s="128"/>
      <c r="I14" s="128"/>
      <c r="J14" s="128"/>
    </row>
    <row r="15" spans="1:12" x14ac:dyDescent="0.35">
      <c r="B15" s="129" t="s">
        <v>271</v>
      </c>
      <c r="C15" s="129">
        <v>5</v>
      </c>
      <c r="D15" s="129">
        <v>5</v>
      </c>
      <c r="E15" s="129">
        <v>2</v>
      </c>
      <c r="F15" s="129">
        <v>-5</v>
      </c>
      <c r="G15" s="128"/>
      <c r="H15" s="128"/>
      <c r="I15" s="128"/>
      <c r="J15" s="128"/>
    </row>
    <row r="16" spans="1:12" x14ac:dyDescent="0.35">
      <c r="B16" s="129" t="s">
        <v>272</v>
      </c>
      <c r="C16" s="129">
        <v>5</v>
      </c>
      <c r="D16" s="129">
        <v>5</v>
      </c>
      <c r="E16" s="129">
        <v>2</v>
      </c>
      <c r="F16" s="129">
        <v>-2</v>
      </c>
      <c r="G16" s="128"/>
      <c r="H16" s="128"/>
      <c r="I16" s="128"/>
      <c r="J16" s="128"/>
    </row>
    <row r="17" spans="2:10" x14ac:dyDescent="0.35">
      <c r="B17" s="127"/>
      <c r="C17" s="127"/>
      <c r="D17" s="127"/>
      <c r="E17" s="127"/>
      <c r="F17" s="127"/>
      <c r="G17" s="128"/>
      <c r="H17" s="128"/>
      <c r="I17" s="128"/>
      <c r="J17" s="128"/>
    </row>
    <row r="18" spans="2:10" ht="29" x14ac:dyDescent="0.35">
      <c r="B18" s="127" t="s">
        <v>273</v>
      </c>
      <c r="C18" s="127" t="s">
        <v>274</v>
      </c>
      <c r="D18" s="127" t="s">
        <v>275</v>
      </c>
      <c r="E18" s="127" t="s">
        <v>276</v>
      </c>
      <c r="F18" s="127" t="s">
        <v>277</v>
      </c>
      <c r="G18" s="128"/>
      <c r="H18" s="128"/>
      <c r="I18" s="128"/>
      <c r="J18" s="128"/>
    </row>
    <row r="19" spans="2:10" x14ac:dyDescent="0.35">
      <c r="B19" s="129" t="s">
        <v>278</v>
      </c>
      <c r="C19" s="129">
        <v>6</v>
      </c>
      <c r="D19" s="129">
        <v>5</v>
      </c>
      <c r="E19" s="129">
        <v>4</v>
      </c>
      <c r="F19" s="129">
        <v>2</v>
      </c>
      <c r="G19" s="128"/>
      <c r="H19" s="128"/>
      <c r="I19" s="128"/>
      <c r="J19" s="128"/>
    </row>
    <row r="20" spans="2:10" x14ac:dyDescent="0.35">
      <c r="B20" s="129" t="s">
        <v>279</v>
      </c>
      <c r="C20" s="129">
        <v>7</v>
      </c>
      <c r="D20" s="129">
        <v>6</v>
      </c>
      <c r="E20" s="129">
        <v>5</v>
      </c>
      <c r="F20" s="129">
        <v>3</v>
      </c>
      <c r="G20" s="128"/>
      <c r="H20" s="128"/>
      <c r="I20" s="128"/>
      <c r="J20" s="128"/>
    </row>
    <row r="21" spans="2:10" x14ac:dyDescent="0.35">
      <c r="B21" s="129" t="s">
        <v>280</v>
      </c>
      <c r="C21" s="129">
        <v>7</v>
      </c>
      <c r="D21" s="129">
        <v>7</v>
      </c>
      <c r="E21" s="129">
        <v>5</v>
      </c>
      <c r="F21" s="129">
        <v>2</v>
      </c>
      <c r="G21" s="128"/>
      <c r="H21" s="128"/>
      <c r="I21" s="128"/>
      <c r="J21" s="128"/>
    </row>
    <row r="22" spans="2:10" x14ac:dyDescent="0.35">
      <c r="B22" s="129"/>
      <c r="C22" s="127"/>
      <c r="D22" s="129"/>
      <c r="E22" s="129"/>
      <c r="F22" s="129"/>
      <c r="G22" s="128"/>
      <c r="H22" s="128"/>
      <c r="I22" s="128"/>
      <c r="J22" s="128"/>
    </row>
    <row r="23" spans="2:10" ht="29" x14ac:dyDescent="0.35">
      <c r="B23" s="127" t="s">
        <v>281</v>
      </c>
      <c r="C23" s="127" t="s">
        <v>282</v>
      </c>
      <c r="D23" s="127" t="s">
        <v>283</v>
      </c>
      <c r="E23" s="127" t="s">
        <v>284</v>
      </c>
      <c r="F23" s="127" t="s">
        <v>285</v>
      </c>
      <c r="G23" s="128"/>
      <c r="H23" s="128"/>
      <c r="I23" s="128"/>
      <c r="J23" s="128"/>
    </row>
    <row r="24" spans="2:10" x14ac:dyDescent="0.35">
      <c r="B24" s="129" t="s">
        <v>286</v>
      </c>
      <c r="C24" s="129">
        <v>9</v>
      </c>
      <c r="D24" s="129">
        <v>6</v>
      </c>
      <c r="E24" s="129">
        <v>3</v>
      </c>
      <c r="F24" s="129">
        <v>-5</v>
      </c>
      <c r="G24" s="128"/>
      <c r="H24" s="128"/>
      <c r="I24" s="128"/>
      <c r="J24" s="128"/>
    </row>
    <row r="25" spans="2:10" x14ac:dyDescent="0.35">
      <c r="B25" s="129" t="s">
        <v>287</v>
      </c>
      <c r="C25" s="129">
        <v>5</v>
      </c>
      <c r="D25" s="129">
        <v>5</v>
      </c>
      <c r="E25" s="129">
        <v>3</v>
      </c>
      <c r="F25" s="129">
        <v>3</v>
      </c>
      <c r="G25" s="128"/>
      <c r="H25" s="128"/>
      <c r="I25" s="128"/>
      <c r="J25" s="128"/>
    </row>
    <row r="26" spans="2:10" x14ac:dyDescent="0.35">
      <c r="B26" s="129" t="s">
        <v>288</v>
      </c>
      <c r="C26" s="129">
        <v>4</v>
      </c>
      <c r="D26" s="129">
        <v>3</v>
      </c>
      <c r="E26" s="129">
        <v>2</v>
      </c>
      <c r="F26" s="129">
        <v>2</v>
      </c>
      <c r="G26" s="128"/>
      <c r="H26" s="128"/>
      <c r="I26" s="128"/>
      <c r="J26" s="128"/>
    </row>
    <row r="27" spans="2:10" x14ac:dyDescent="0.35">
      <c r="B27" s="129" t="s">
        <v>289</v>
      </c>
      <c r="C27" s="129">
        <v>4</v>
      </c>
      <c r="D27" s="129">
        <v>4</v>
      </c>
      <c r="E27" s="129">
        <v>2</v>
      </c>
      <c r="F27" s="129">
        <v>0</v>
      </c>
      <c r="G27" s="128"/>
      <c r="H27" s="128"/>
      <c r="I27" s="128"/>
      <c r="J27" s="128"/>
    </row>
    <row r="28" spans="2:10" x14ac:dyDescent="0.35">
      <c r="B28" s="127" t="s">
        <v>290</v>
      </c>
      <c r="C28" s="127">
        <v>100</v>
      </c>
      <c r="D28" s="129"/>
      <c r="E28" s="129"/>
      <c r="F28" s="129"/>
      <c r="G28" s="128"/>
      <c r="H28" s="128"/>
      <c r="I28" s="128"/>
      <c r="J28" s="128"/>
    </row>
    <row r="29" spans="2:10" x14ac:dyDescent="0.35">
      <c r="B29" s="163"/>
      <c r="C29" s="163"/>
      <c r="D29" s="163"/>
      <c r="E29" s="163"/>
      <c r="F29" s="163"/>
      <c r="G29" s="128"/>
      <c r="H29" s="128"/>
      <c r="I29" s="128"/>
      <c r="J29" s="128"/>
    </row>
    <row r="30" spans="2:10" x14ac:dyDescent="0.35">
      <c r="B30" s="128"/>
      <c r="C30" s="128"/>
      <c r="D30" s="128"/>
      <c r="E30" s="128"/>
      <c r="F30" s="128"/>
      <c r="G30" s="128"/>
      <c r="H30" s="128"/>
      <c r="I30" s="128"/>
      <c r="J30" s="128"/>
    </row>
    <row r="31" spans="2:10" x14ac:dyDescent="0.35">
      <c r="B31" s="128"/>
      <c r="C31" s="128"/>
      <c r="D31" s="128"/>
      <c r="E31" s="128"/>
      <c r="F31" s="128"/>
      <c r="G31" s="128"/>
      <c r="H31" s="128"/>
      <c r="I31" s="128"/>
      <c r="J31" s="128"/>
    </row>
    <row r="32" spans="2:10" x14ac:dyDescent="0.35">
      <c r="B32" s="128"/>
      <c r="C32" s="128"/>
      <c r="D32" s="128"/>
      <c r="E32" s="128"/>
      <c r="F32" s="128"/>
      <c r="G32" s="128"/>
      <c r="H32" s="128"/>
      <c r="I32" s="128"/>
      <c r="J32" s="128"/>
    </row>
    <row r="33" spans="2:10" x14ac:dyDescent="0.35">
      <c r="B33" s="128"/>
      <c r="C33" s="128"/>
      <c r="D33" s="128"/>
      <c r="E33" s="128"/>
      <c r="F33" s="128"/>
      <c r="G33" s="128"/>
      <c r="H33" s="128"/>
      <c r="I33" s="128"/>
      <c r="J33" s="128"/>
    </row>
    <row r="34" spans="2:10" x14ac:dyDescent="0.35">
      <c r="B34" s="128"/>
      <c r="C34" s="128"/>
      <c r="D34" s="128"/>
      <c r="E34" s="128"/>
      <c r="F34" s="128"/>
      <c r="G34" s="128"/>
      <c r="H34" s="128"/>
      <c r="I34" s="128"/>
      <c r="J34" s="128"/>
    </row>
    <row r="35" spans="2:10" x14ac:dyDescent="0.35">
      <c r="B35" s="128"/>
      <c r="C35" s="128"/>
      <c r="D35" s="128"/>
      <c r="E35" s="128"/>
      <c r="F35" s="128"/>
      <c r="G35" s="128"/>
      <c r="H35" s="128"/>
      <c r="I35" s="128"/>
      <c r="J35" s="128"/>
    </row>
    <row r="36" spans="2:10" x14ac:dyDescent="0.35">
      <c r="B36" s="128"/>
      <c r="C36" s="128"/>
      <c r="D36" s="128"/>
      <c r="E36" s="128"/>
      <c r="F36" s="128"/>
      <c r="G36" s="128"/>
      <c r="H36" s="128"/>
      <c r="I36" s="128"/>
      <c r="J36" s="128"/>
    </row>
    <row r="37" spans="2:10" x14ac:dyDescent="0.35">
      <c r="B37" s="128"/>
      <c r="C37" s="128"/>
      <c r="D37" s="128"/>
      <c r="E37" s="128"/>
      <c r="F37" s="128"/>
      <c r="G37" s="128"/>
      <c r="H37" s="128"/>
      <c r="I37" s="128"/>
      <c r="J37" s="128"/>
    </row>
    <row r="38" spans="2:10" x14ac:dyDescent="0.35">
      <c r="B38" s="128"/>
      <c r="C38" s="128"/>
      <c r="D38" s="128"/>
      <c r="E38" s="128"/>
      <c r="F38" s="128"/>
      <c r="G38" s="128"/>
      <c r="H38" s="128"/>
      <c r="I38" s="128"/>
      <c r="J38" s="128"/>
    </row>
    <row r="39" spans="2:10" x14ac:dyDescent="0.35">
      <c r="B39" s="128"/>
      <c r="C39" s="128"/>
      <c r="D39" s="128"/>
      <c r="E39" s="128"/>
      <c r="F39" s="128"/>
      <c r="G39" s="128"/>
      <c r="H39" s="128"/>
      <c r="I39" s="128"/>
      <c r="J39" s="128"/>
    </row>
    <row r="40" spans="2:10" x14ac:dyDescent="0.35">
      <c r="B40" s="128"/>
      <c r="C40" s="128"/>
      <c r="D40" s="128"/>
      <c r="E40" s="128"/>
      <c r="F40" s="128"/>
      <c r="G40" s="128"/>
      <c r="H40" s="128"/>
      <c r="I40" s="128"/>
      <c r="J40" s="128"/>
    </row>
    <row r="41" spans="2:10" x14ac:dyDescent="0.35">
      <c r="B41" s="128"/>
      <c r="C41" s="128"/>
      <c r="D41" s="128"/>
      <c r="E41" s="128"/>
      <c r="F41" s="128"/>
      <c r="G41" s="128"/>
      <c r="H41" s="128"/>
      <c r="I41" s="128"/>
      <c r="J41" s="128"/>
    </row>
    <row r="42" spans="2:10" x14ac:dyDescent="0.35">
      <c r="B42" s="128"/>
      <c r="C42" s="128"/>
      <c r="D42" s="128"/>
      <c r="E42" s="128"/>
      <c r="F42" s="128"/>
      <c r="G42" s="128"/>
      <c r="H42" s="128"/>
      <c r="I42" s="128"/>
      <c r="J42" s="128"/>
    </row>
    <row r="43" spans="2:10" x14ac:dyDescent="0.35">
      <c r="B43" s="128"/>
      <c r="C43" s="128"/>
      <c r="D43" s="128"/>
      <c r="E43" s="128"/>
      <c r="F43" s="128"/>
      <c r="G43" s="128"/>
      <c r="H43" s="128"/>
      <c r="I43" s="128"/>
      <c r="J43" s="128"/>
    </row>
    <row r="44" spans="2:10" x14ac:dyDescent="0.35">
      <c r="B44" s="128"/>
      <c r="C44" s="128"/>
      <c r="D44" s="128"/>
      <c r="E44" s="128"/>
      <c r="F44" s="128"/>
      <c r="G44" s="128"/>
      <c r="H44" s="128"/>
      <c r="I44" s="128"/>
      <c r="J44" s="128"/>
    </row>
    <row r="45" spans="2:10" x14ac:dyDescent="0.35">
      <c r="B45" s="128"/>
      <c r="C45" s="128"/>
      <c r="D45" s="128"/>
      <c r="E45" s="128"/>
      <c r="F45" s="128"/>
      <c r="G45" s="128"/>
      <c r="H45" s="128"/>
      <c r="I45" s="128"/>
      <c r="J45" s="128"/>
    </row>
    <row r="46" spans="2:10" x14ac:dyDescent="0.35">
      <c r="B46" s="128"/>
      <c r="C46" s="128"/>
      <c r="D46" s="128"/>
      <c r="E46" s="128"/>
      <c r="F46" s="128"/>
      <c r="G46" s="128"/>
      <c r="H46" s="128"/>
      <c r="I46" s="128"/>
      <c r="J46" s="128"/>
    </row>
    <row r="47" spans="2:10" x14ac:dyDescent="0.35">
      <c r="B47" s="128"/>
      <c r="C47" s="128"/>
      <c r="D47" s="128"/>
      <c r="E47" s="128"/>
      <c r="F47" s="128"/>
      <c r="G47" s="128"/>
      <c r="H47" s="128"/>
      <c r="I47" s="128"/>
      <c r="J47" s="128"/>
    </row>
    <row r="48" spans="2:10" x14ac:dyDescent="0.35">
      <c r="B48" s="128"/>
      <c r="C48" s="128"/>
      <c r="D48" s="128"/>
      <c r="E48" s="128"/>
      <c r="F48" s="128"/>
      <c r="G48" s="128"/>
      <c r="H48" s="128"/>
      <c r="I48" s="128"/>
      <c r="J48" s="128"/>
    </row>
    <row r="49" spans="2:10" x14ac:dyDescent="0.35">
      <c r="B49" s="128"/>
      <c r="C49" s="128"/>
      <c r="D49" s="128"/>
      <c r="E49" s="128"/>
      <c r="F49" s="128"/>
      <c r="G49" s="128"/>
      <c r="H49" s="128"/>
      <c r="I49" s="128"/>
      <c r="J49" s="128"/>
    </row>
    <row r="50" spans="2:10" x14ac:dyDescent="0.35">
      <c r="B50" s="128"/>
      <c r="C50" s="128"/>
      <c r="D50" s="128"/>
      <c r="E50" s="128"/>
      <c r="F50" s="128"/>
      <c r="G50" s="128"/>
      <c r="H50" s="128"/>
      <c r="I50" s="128"/>
      <c r="J50" s="128"/>
    </row>
    <row r="51" spans="2:10" x14ac:dyDescent="0.35">
      <c r="B51" s="128"/>
      <c r="C51" s="128"/>
      <c r="D51" s="128"/>
      <c r="E51" s="128"/>
      <c r="F51" s="128"/>
      <c r="G51" s="128"/>
      <c r="H51" s="128"/>
      <c r="I51" s="128"/>
      <c r="J51" s="128"/>
    </row>
    <row r="52" spans="2:10" x14ac:dyDescent="0.35">
      <c r="B52" s="128"/>
      <c r="C52" s="128"/>
      <c r="D52" s="128"/>
      <c r="E52" s="128"/>
      <c r="F52" s="128"/>
      <c r="G52" s="128"/>
      <c r="H52" s="128"/>
      <c r="I52" s="128"/>
      <c r="J52" s="128"/>
    </row>
    <row r="53" spans="2:10" x14ac:dyDescent="0.35">
      <c r="B53" s="128"/>
      <c r="C53" s="128"/>
      <c r="D53" s="128"/>
      <c r="E53" s="128"/>
      <c r="F53" s="128"/>
      <c r="G53" s="128"/>
      <c r="H53" s="128"/>
      <c r="I53" s="128"/>
      <c r="J53" s="128"/>
    </row>
    <row r="54" spans="2:10" x14ac:dyDescent="0.35">
      <c r="B54" s="128"/>
      <c r="C54" s="128"/>
      <c r="D54" s="128"/>
      <c r="E54" s="128"/>
      <c r="F54" s="128"/>
      <c r="G54" s="128"/>
      <c r="H54" s="128"/>
      <c r="I54" s="128"/>
      <c r="J54" s="128"/>
    </row>
    <row r="55" spans="2:10" x14ac:dyDescent="0.35">
      <c r="B55" s="128"/>
      <c r="C55" s="128"/>
      <c r="D55" s="128"/>
      <c r="E55" s="128"/>
      <c r="F55" s="128"/>
      <c r="G55" s="128"/>
      <c r="H55" s="128"/>
      <c r="I55" s="128"/>
      <c r="J55" s="128"/>
    </row>
    <row r="56" spans="2:10" x14ac:dyDescent="0.35">
      <c r="B56" s="128"/>
      <c r="C56" s="128"/>
      <c r="D56" s="128"/>
      <c r="E56" s="128"/>
      <c r="F56" s="128"/>
      <c r="G56" s="128"/>
      <c r="H56" s="128"/>
      <c r="I56" s="128"/>
      <c r="J56" s="128"/>
    </row>
    <row r="57" spans="2:10" x14ac:dyDescent="0.35">
      <c r="B57" s="128"/>
      <c r="C57" s="128"/>
      <c r="D57" s="128"/>
      <c r="E57" s="128"/>
      <c r="F57" s="128"/>
      <c r="G57" s="128"/>
      <c r="H57" s="128"/>
      <c r="I57" s="128"/>
      <c r="J57" s="128"/>
    </row>
    <row r="58" spans="2:10" x14ac:dyDescent="0.35">
      <c r="B58" s="128"/>
      <c r="C58" s="128"/>
      <c r="D58" s="128"/>
      <c r="E58" s="128"/>
      <c r="F58" s="128"/>
      <c r="G58" s="128"/>
      <c r="H58" s="128"/>
      <c r="I58" s="128"/>
      <c r="J58" s="128"/>
    </row>
    <row r="59" spans="2:10" x14ac:dyDescent="0.35">
      <c r="B59" s="128"/>
      <c r="C59" s="128"/>
      <c r="D59" s="128"/>
      <c r="E59" s="128"/>
      <c r="F59" s="128"/>
      <c r="G59" s="128"/>
      <c r="H59" s="128"/>
      <c r="I59" s="128"/>
      <c r="J59" s="128"/>
    </row>
    <row r="60" spans="2:10" x14ac:dyDescent="0.35">
      <c r="B60" s="128"/>
      <c r="C60" s="128"/>
      <c r="D60" s="128"/>
      <c r="E60" s="128"/>
      <c r="F60" s="128"/>
      <c r="G60" s="128"/>
      <c r="H60" s="128"/>
      <c r="I60" s="128"/>
      <c r="J60" s="128"/>
    </row>
    <row r="61" spans="2:10" x14ac:dyDescent="0.35">
      <c r="B61" s="128"/>
      <c r="C61" s="128"/>
      <c r="D61" s="128"/>
      <c r="E61" s="128"/>
      <c r="F61" s="128"/>
      <c r="G61" s="128"/>
      <c r="H61" s="128"/>
      <c r="I61" s="128"/>
      <c r="J61" s="128"/>
    </row>
    <row r="62" spans="2:10" x14ac:dyDescent="0.35">
      <c r="B62" s="128"/>
      <c r="C62" s="128"/>
      <c r="D62" s="128"/>
      <c r="E62" s="128"/>
      <c r="F62" s="128"/>
      <c r="G62" s="128"/>
      <c r="H62" s="128"/>
      <c r="I62" s="128"/>
      <c r="J62" s="128"/>
    </row>
    <row r="63" spans="2:10" x14ac:dyDescent="0.35">
      <c r="B63" s="128"/>
      <c r="C63" s="128"/>
      <c r="D63" s="128"/>
      <c r="E63" s="128"/>
      <c r="F63" s="128"/>
      <c r="G63" s="128"/>
      <c r="H63" s="128"/>
      <c r="I63" s="128"/>
      <c r="J63" s="128"/>
    </row>
    <row r="64" spans="2:10" x14ac:dyDescent="0.35">
      <c r="B64" s="128"/>
      <c r="C64" s="128"/>
      <c r="D64" s="128"/>
      <c r="E64" s="128"/>
      <c r="F64" s="128"/>
      <c r="G64" s="128"/>
      <c r="H64" s="128"/>
      <c r="I64" s="128"/>
      <c r="J64" s="128"/>
    </row>
    <row r="65" spans="2:10" x14ac:dyDescent="0.35">
      <c r="B65" s="128"/>
      <c r="C65" s="128"/>
      <c r="D65" s="128"/>
      <c r="E65" s="128"/>
      <c r="F65" s="128"/>
      <c r="G65" s="128"/>
      <c r="H65" s="128"/>
      <c r="I65" s="128"/>
      <c r="J65" s="128"/>
    </row>
    <row r="66" spans="2:10" x14ac:dyDescent="0.35">
      <c r="B66" s="128"/>
      <c r="C66" s="128"/>
      <c r="D66" s="128"/>
      <c r="E66" s="128"/>
      <c r="F66" s="128"/>
      <c r="G66" s="128"/>
      <c r="H66" s="128"/>
      <c r="I66" s="128"/>
      <c r="J66" s="128"/>
    </row>
    <row r="67" spans="2:10" x14ac:dyDescent="0.35">
      <c r="B67" s="128"/>
      <c r="C67" s="128"/>
      <c r="D67" s="128"/>
      <c r="E67" s="128"/>
      <c r="F67" s="128"/>
      <c r="G67" s="128"/>
      <c r="H67" s="128"/>
      <c r="I67" s="128"/>
      <c r="J67" s="128"/>
    </row>
  </sheetData>
  <mergeCells count="1">
    <mergeCell ref="B29:F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1603-023B-46FC-BE9E-ADB22D5006C6}">
  <dimension ref="A1:L42"/>
  <sheetViews>
    <sheetView topLeftCell="A25" zoomScale="110" zoomScaleNormal="110" workbookViewId="0">
      <selection activeCell="A37" sqref="A37"/>
    </sheetView>
  </sheetViews>
  <sheetFormatPr defaultRowHeight="15.5" x14ac:dyDescent="0.35"/>
  <cols>
    <col min="1" max="1" width="57.26953125" style="26" customWidth="1"/>
    <col min="2" max="2" width="13.26953125" style="26" customWidth="1"/>
    <col min="3" max="3" width="10.81640625" style="26" customWidth="1"/>
    <col min="4" max="8" width="10.6328125" style="26" bestFit="1" customWidth="1"/>
    <col min="9" max="16384" width="8.7265625" style="26"/>
  </cols>
  <sheetData>
    <row r="1" spans="1:12" x14ac:dyDescent="0.35">
      <c r="C1" s="27" t="s">
        <v>61</v>
      </c>
      <c r="L1" s="27"/>
    </row>
    <row r="2" spans="1:12" x14ac:dyDescent="0.35">
      <c r="B2" s="42" t="s">
        <v>62</v>
      </c>
      <c r="C2" s="42" t="s">
        <v>62</v>
      </c>
      <c r="D2" s="42" t="s">
        <v>62</v>
      </c>
      <c r="E2" s="42" t="s">
        <v>63</v>
      </c>
    </row>
    <row r="3" spans="1:12" x14ac:dyDescent="0.35">
      <c r="B3" s="28">
        <v>42369</v>
      </c>
      <c r="C3" s="28">
        <v>42735</v>
      </c>
      <c r="D3" s="28">
        <v>43100</v>
      </c>
      <c r="E3" s="28">
        <v>43465</v>
      </c>
    </row>
    <row r="4" spans="1:12" x14ac:dyDescent="0.35">
      <c r="A4" s="26" t="s">
        <v>64</v>
      </c>
      <c r="B4" s="29">
        <v>1000000</v>
      </c>
      <c r="C4" s="29">
        <v>1000000</v>
      </c>
      <c r="D4" s="29">
        <v>1000000</v>
      </c>
      <c r="E4" s="29">
        <v>1000000</v>
      </c>
    </row>
    <row r="5" spans="1:12" x14ac:dyDescent="0.35">
      <c r="B5" s="29"/>
      <c r="C5" s="29"/>
      <c r="D5" s="29"/>
      <c r="E5" s="29"/>
    </row>
    <row r="6" spans="1:12" x14ac:dyDescent="0.35">
      <c r="A6" t="s">
        <v>1</v>
      </c>
      <c r="B6" s="29">
        <v>75000</v>
      </c>
      <c r="C6" s="29">
        <v>30000</v>
      </c>
      <c r="D6" s="29">
        <v>40000</v>
      </c>
      <c r="E6" s="29">
        <v>50000</v>
      </c>
    </row>
    <row r="7" spans="1:12" x14ac:dyDescent="0.35">
      <c r="A7" t="s">
        <v>2</v>
      </c>
      <c r="B7" s="29">
        <v>69000</v>
      </c>
      <c r="C7" s="29">
        <f t="shared" ref="C7:D10" si="0">D7-5000</f>
        <v>25000</v>
      </c>
      <c r="D7" s="29">
        <f t="shared" si="0"/>
        <v>30000</v>
      </c>
      <c r="E7" s="29">
        <v>35000</v>
      </c>
    </row>
    <row r="8" spans="1:12" x14ac:dyDescent="0.35">
      <c r="A8" t="s">
        <v>3</v>
      </c>
      <c r="B8" s="29">
        <v>67000</v>
      </c>
      <c r="C8" s="29">
        <f t="shared" si="0"/>
        <v>22000</v>
      </c>
      <c r="D8" s="29">
        <f t="shared" si="0"/>
        <v>27000</v>
      </c>
      <c r="E8" s="29">
        <v>32000</v>
      </c>
    </row>
    <row r="9" spans="1:12" x14ac:dyDescent="0.35">
      <c r="A9" t="s">
        <v>4</v>
      </c>
      <c r="B9" s="29">
        <v>54000</v>
      </c>
      <c r="C9" s="29">
        <f t="shared" si="0"/>
        <v>21000</v>
      </c>
      <c r="D9" s="29">
        <f t="shared" si="0"/>
        <v>26000</v>
      </c>
      <c r="E9" s="29">
        <v>31000</v>
      </c>
    </row>
    <row r="10" spans="1:12" x14ac:dyDescent="0.35">
      <c r="A10" t="s">
        <v>5</v>
      </c>
      <c r="B10" s="29">
        <v>19000</v>
      </c>
      <c r="C10" s="29">
        <f t="shared" si="0"/>
        <v>19000</v>
      </c>
      <c r="D10" s="29">
        <f t="shared" si="0"/>
        <v>24000</v>
      </c>
      <c r="E10" s="29">
        <v>29000</v>
      </c>
    </row>
    <row r="11" spans="1:12" x14ac:dyDescent="0.35">
      <c r="A11" t="s">
        <v>6</v>
      </c>
      <c r="B11" s="32">
        <f>B4-SUM(B6:B10)</f>
        <v>716000</v>
      </c>
      <c r="C11" s="32">
        <f>C4-SUM(C6:C10)</f>
        <v>883000</v>
      </c>
      <c r="D11" s="32">
        <f>D4-SUM(D6:D10)</f>
        <v>853000</v>
      </c>
      <c r="E11" s="32">
        <f>E4-SUM(E6:E10)</f>
        <v>823000</v>
      </c>
    </row>
    <row r="12" spans="1:12" x14ac:dyDescent="0.35">
      <c r="B12" s="32"/>
      <c r="C12" s="32"/>
      <c r="D12" s="32"/>
      <c r="E12" s="32"/>
    </row>
    <row r="13" spans="1:12" x14ac:dyDescent="0.35">
      <c r="A13" s="26" t="s">
        <v>10</v>
      </c>
      <c r="B13" s="29">
        <v>430000</v>
      </c>
      <c r="C13" s="29">
        <v>450000</v>
      </c>
      <c r="D13" s="29">
        <v>420000</v>
      </c>
      <c r="E13" s="29">
        <v>400000</v>
      </c>
    </row>
    <row r="14" spans="1:12" x14ac:dyDescent="0.35">
      <c r="A14" s="43" t="s">
        <v>65</v>
      </c>
      <c r="B14" s="44">
        <f>((B4-B13)/B4)</f>
        <v>0.56999999999999995</v>
      </c>
      <c r="C14" s="44">
        <f>((C4-C13)/C4)</f>
        <v>0.55000000000000004</v>
      </c>
      <c r="D14" s="44">
        <f>((D4-D13)/D4)</f>
        <v>0.57999999999999996</v>
      </c>
      <c r="E14" s="44">
        <f>((E4-E13)/E4)</f>
        <v>0.6</v>
      </c>
    </row>
    <row r="15" spans="1:12" x14ac:dyDescent="0.35">
      <c r="B15" s="29"/>
      <c r="C15" s="29"/>
      <c r="D15" s="29"/>
      <c r="E15" s="29"/>
    </row>
    <row r="16" spans="1:12" x14ac:dyDescent="0.35">
      <c r="A16" s="26" t="s">
        <v>66</v>
      </c>
      <c r="B16" s="29">
        <v>120000</v>
      </c>
      <c r="C16" s="29">
        <v>120000</v>
      </c>
      <c r="D16" s="29">
        <v>120000</v>
      </c>
      <c r="E16" s="29">
        <v>120000</v>
      </c>
    </row>
    <row r="17" spans="1:11" x14ac:dyDescent="0.35">
      <c r="A17" s="26" t="s">
        <v>67</v>
      </c>
      <c r="B17" s="29">
        <v>65000</v>
      </c>
      <c r="C17" s="29">
        <v>65000</v>
      </c>
      <c r="D17" s="29">
        <v>65000</v>
      </c>
      <c r="E17" s="29">
        <v>65000</v>
      </c>
    </row>
    <row r="18" spans="1:11" x14ac:dyDescent="0.35">
      <c r="A18" s="26" t="s">
        <v>68</v>
      </c>
      <c r="B18" s="29">
        <v>25000</v>
      </c>
      <c r="C18" s="29">
        <v>25000</v>
      </c>
      <c r="D18" s="29">
        <v>25000</v>
      </c>
      <c r="E18" s="29">
        <v>25000</v>
      </c>
    </row>
    <row r="19" spans="1:11" x14ac:dyDescent="0.35">
      <c r="A19" s="26" t="s">
        <v>69</v>
      </c>
      <c r="B19" s="29">
        <v>3000</v>
      </c>
      <c r="C19" s="29">
        <v>4000</v>
      </c>
      <c r="D19" s="29">
        <v>5000</v>
      </c>
      <c r="E19" s="29">
        <v>2000</v>
      </c>
    </row>
    <row r="20" spans="1:11" x14ac:dyDescent="0.35">
      <c r="A20" s="26" t="s">
        <v>70</v>
      </c>
      <c r="B20" s="29">
        <v>500</v>
      </c>
      <c r="C20" s="29">
        <v>500</v>
      </c>
      <c r="D20" s="29">
        <v>500</v>
      </c>
      <c r="E20" s="29">
        <v>500</v>
      </c>
    </row>
    <row r="21" spans="1:11" x14ac:dyDescent="0.35">
      <c r="A21" s="26" t="s">
        <v>71</v>
      </c>
      <c r="B21" s="36">
        <f>SUM(B13,B16:B20)</f>
        <v>643500</v>
      </c>
      <c r="C21" s="36">
        <f>SUM(C13,C16:C20)</f>
        <v>664500</v>
      </c>
      <c r="D21" s="36">
        <f>SUM(D13,D16:D20)</f>
        <v>635500</v>
      </c>
      <c r="E21" s="36">
        <f>SUM(E13,E16:E20)</f>
        <v>612500</v>
      </c>
      <c r="I21" s="45"/>
    </row>
    <row r="22" spans="1:11" x14ac:dyDescent="0.35">
      <c r="A22" s="26" t="s">
        <v>20</v>
      </c>
      <c r="B22" s="36">
        <f>B4-B21</f>
        <v>356500</v>
      </c>
      <c r="C22" s="36">
        <f>C4-C21</f>
        <v>335500</v>
      </c>
      <c r="D22" s="36">
        <f>D4-D21</f>
        <v>364500</v>
      </c>
      <c r="E22" s="36">
        <f>E4-E21</f>
        <v>387500</v>
      </c>
      <c r="I22" s="46"/>
      <c r="J22" s="47"/>
      <c r="K22" s="46"/>
    </row>
    <row r="23" spans="1:11" s="43" customFormat="1" x14ac:dyDescent="0.35">
      <c r="A23" s="43" t="s">
        <v>72</v>
      </c>
      <c r="B23" s="48">
        <f>B22/B4</f>
        <v>0.35649999999999998</v>
      </c>
      <c r="C23" s="48">
        <f>C22/C4</f>
        <v>0.33550000000000002</v>
      </c>
      <c r="D23" s="48">
        <f>D22/D4</f>
        <v>0.36449999999999999</v>
      </c>
      <c r="E23" s="48">
        <f>E22/E4</f>
        <v>0.38750000000000001</v>
      </c>
      <c r="I23" s="49"/>
      <c r="J23" s="50"/>
      <c r="K23" s="49"/>
    </row>
    <row r="26" spans="1:11" x14ac:dyDescent="0.35">
      <c r="A26" s="27" t="s">
        <v>55</v>
      </c>
      <c r="B26" s="51" t="s">
        <v>73</v>
      </c>
      <c r="C26" s="51" t="s">
        <v>74</v>
      </c>
      <c r="D26" s="51" t="s">
        <v>75</v>
      </c>
      <c r="E26" s="51" t="s">
        <v>76</v>
      </c>
    </row>
    <row r="27" spans="1:11" x14ac:dyDescent="0.35">
      <c r="A27" s="26" t="s">
        <v>77</v>
      </c>
    </row>
    <row r="28" spans="1:11" x14ac:dyDescent="0.35">
      <c r="A28" s="26" t="s">
        <v>78</v>
      </c>
      <c r="B28" s="52">
        <f>SUM(B6:B10)/B4</f>
        <v>0.28399999999999997</v>
      </c>
      <c r="C28" s="52">
        <f>SUM(C6:C10)/C4</f>
        <v>0.11700000000000001</v>
      </c>
      <c r="D28" s="52">
        <f>SUM(D6:D10)/D4</f>
        <v>0.14699999999999999</v>
      </c>
      <c r="E28" s="52">
        <f>SUM(E6:E10)/E4</f>
        <v>0.17699999999999999</v>
      </c>
    </row>
    <row r="29" spans="1:11" x14ac:dyDescent="0.35">
      <c r="B29" s="52"/>
      <c r="C29" s="52"/>
      <c r="D29" s="52"/>
    </row>
    <row r="30" spans="1:11" x14ac:dyDescent="0.35">
      <c r="B30" s="28">
        <v>42369</v>
      </c>
      <c r="C30" s="28">
        <v>42735</v>
      </c>
      <c r="D30" s="28">
        <v>43100</v>
      </c>
      <c r="E30" s="28">
        <v>43464</v>
      </c>
    </row>
    <row r="31" spans="1:11" x14ac:dyDescent="0.35">
      <c r="A31" s="26" t="s">
        <v>79</v>
      </c>
      <c r="B31" s="53">
        <f>B14</f>
        <v>0.56999999999999995</v>
      </c>
      <c r="C31" s="53">
        <f>C14</f>
        <v>0.55000000000000004</v>
      </c>
      <c r="D31" s="53">
        <f>D14</f>
        <v>0.57999999999999996</v>
      </c>
      <c r="E31" s="53">
        <f>E14</f>
        <v>0.6</v>
      </c>
    </row>
    <row r="33" spans="1:6" x14ac:dyDescent="0.35">
      <c r="A33" s="26" t="s">
        <v>80</v>
      </c>
      <c r="B33" s="53">
        <f t="shared" ref="B33" si="1">B23</f>
        <v>0.35649999999999998</v>
      </c>
      <c r="C33" s="53">
        <f>C23</f>
        <v>0.33550000000000002</v>
      </c>
      <c r="D33" s="53">
        <f>D23</f>
        <v>0.36449999999999999</v>
      </c>
      <c r="E33" s="53">
        <f>E23</f>
        <v>0.38750000000000001</v>
      </c>
    </row>
    <row r="35" spans="1:6" x14ac:dyDescent="0.35">
      <c r="A35" s="26" t="s">
        <v>57</v>
      </c>
      <c r="B35" s="36">
        <f t="shared" ref="B35" si="2">B22+B20</f>
        <v>357000</v>
      </c>
      <c r="C35" s="36">
        <f>C22+C20</f>
        <v>336000</v>
      </c>
      <c r="D35" s="36">
        <f>D22+D20</f>
        <v>365000</v>
      </c>
      <c r="E35" s="36">
        <f>E22+E20</f>
        <v>388000</v>
      </c>
    </row>
    <row r="40" spans="1:6" x14ac:dyDescent="0.35">
      <c r="A40" s="27" t="s">
        <v>81</v>
      </c>
      <c r="C40" s="26">
        <v>2015</v>
      </c>
      <c r="D40" s="26">
        <v>2016</v>
      </c>
      <c r="E40" s="26">
        <v>2017</v>
      </c>
      <c r="F40" s="42" t="s">
        <v>82</v>
      </c>
    </row>
    <row r="41" spans="1:6" x14ac:dyDescent="0.35">
      <c r="B41" s="42" t="s">
        <v>65</v>
      </c>
      <c r="C41" s="53">
        <f>B31</f>
        <v>0.56999999999999995</v>
      </c>
      <c r="D41" s="53">
        <f>C31</f>
        <v>0.55000000000000004</v>
      </c>
      <c r="E41" s="53">
        <f>D31</f>
        <v>0.57999999999999996</v>
      </c>
      <c r="F41" s="53">
        <f>E14</f>
        <v>0.6</v>
      </c>
    </row>
    <row r="42" spans="1:6" x14ac:dyDescent="0.35">
      <c r="B42" s="42" t="s">
        <v>72</v>
      </c>
      <c r="C42" s="53">
        <f>B33</f>
        <v>0.35649999999999998</v>
      </c>
      <c r="D42" s="53">
        <f>C33</f>
        <v>0.33550000000000002</v>
      </c>
      <c r="E42" s="53">
        <f>D33</f>
        <v>0.36449999999999999</v>
      </c>
      <c r="F42" s="53">
        <f>E23</f>
        <v>0.38750000000000001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1EE4-ED0D-4780-A682-523AF5C409BD}">
  <dimension ref="A1:K38"/>
  <sheetViews>
    <sheetView workbookViewId="0">
      <pane xSplit="1" ySplit="3" topLeftCell="B21" activePane="bottomRight" state="frozen"/>
      <selection activeCell="A22" sqref="A22"/>
      <selection pane="topRight" activeCell="A22" sqref="A22"/>
      <selection pane="bottomLeft" activeCell="A22" sqref="A22"/>
      <selection pane="bottomRight" activeCell="A37" sqref="A37"/>
    </sheetView>
  </sheetViews>
  <sheetFormatPr defaultRowHeight="15.5" x14ac:dyDescent="0.35"/>
  <cols>
    <col min="1" max="1" width="73.81640625" style="26" customWidth="1"/>
    <col min="2" max="4" width="10.81640625" style="26" customWidth="1"/>
    <col min="5" max="16384" width="8.7265625" style="26"/>
  </cols>
  <sheetData>
    <row r="1" spans="1:11" x14ac:dyDescent="0.35">
      <c r="B1" s="27" t="s">
        <v>34</v>
      </c>
      <c r="K1" s="27"/>
    </row>
    <row r="3" spans="1:11" x14ac:dyDescent="0.35">
      <c r="B3" s="28">
        <v>43100</v>
      </c>
      <c r="C3" s="28">
        <v>42735</v>
      </c>
      <c r="D3" s="28">
        <v>42369</v>
      </c>
    </row>
    <row r="4" spans="1:11" x14ac:dyDescent="0.35">
      <c r="A4" s="26" t="s">
        <v>35</v>
      </c>
      <c r="B4" s="29">
        <v>5000</v>
      </c>
      <c r="C4" s="29">
        <v>5000</v>
      </c>
      <c r="D4" s="29">
        <v>5000</v>
      </c>
    </row>
    <row r="5" spans="1:11" x14ac:dyDescent="0.35">
      <c r="A5" s="30" t="s">
        <v>28</v>
      </c>
      <c r="B5" s="29">
        <v>4000</v>
      </c>
      <c r="C5" s="29">
        <v>3000</v>
      </c>
      <c r="D5" s="29">
        <v>5000</v>
      </c>
    </row>
    <row r="6" spans="1:11" x14ac:dyDescent="0.35">
      <c r="A6" s="26" t="s">
        <v>36</v>
      </c>
      <c r="B6" s="29">
        <v>40000</v>
      </c>
      <c r="C6" s="29">
        <v>40000</v>
      </c>
      <c r="D6" s="29">
        <v>40000</v>
      </c>
    </row>
    <row r="7" spans="1:11" x14ac:dyDescent="0.35">
      <c r="A7" s="26" t="s">
        <v>37</v>
      </c>
      <c r="B7" s="29">
        <v>9000</v>
      </c>
      <c r="C7" s="29">
        <v>15000</v>
      </c>
      <c r="D7" s="29">
        <v>20000</v>
      </c>
    </row>
    <row r="8" spans="1:11" x14ac:dyDescent="0.35">
      <c r="B8" s="31"/>
      <c r="C8" s="31"/>
      <c r="D8" s="31"/>
    </row>
    <row r="9" spans="1:11" x14ac:dyDescent="0.35">
      <c r="A9" s="26" t="s">
        <v>38</v>
      </c>
      <c r="B9" s="29">
        <v>40000</v>
      </c>
      <c r="C9" s="29">
        <v>40000</v>
      </c>
      <c r="D9" s="29">
        <v>40000</v>
      </c>
    </row>
    <row r="10" spans="1:11" x14ac:dyDescent="0.35">
      <c r="A10" s="26" t="s">
        <v>39</v>
      </c>
      <c r="B10" s="29">
        <v>40000</v>
      </c>
      <c r="C10" s="29">
        <v>40000</v>
      </c>
      <c r="D10" s="29">
        <v>40000</v>
      </c>
    </row>
    <row r="11" spans="1:11" x14ac:dyDescent="0.35">
      <c r="A11" s="26" t="s">
        <v>40</v>
      </c>
      <c r="B11" s="29">
        <v>40000</v>
      </c>
      <c r="C11" s="29">
        <v>40000</v>
      </c>
      <c r="D11" s="29">
        <v>40000</v>
      </c>
    </row>
    <row r="12" spans="1:11" x14ac:dyDescent="0.35">
      <c r="A12" s="26" t="s">
        <v>41</v>
      </c>
      <c r="B12" s="29">
        <v>40000</v>
      </c>
      <c r="C12" s="29">
        <v>40000</v>
      </c>
      <c r="D12" s="29">
        <v>40000</v>
      </c>
    </row>
    <row r="13" spans="1:11" x14ac:dyDescent="0.35">
      <c r="A13" s="26" t="s">
        <v>42</v>
      </c>
      <c r="B13" s="29">
        <v>40000</v>
      </c>
      <c r="C13" s="29">
        <v>40000</v>
      </c>
      <c r="D13" s="29">
        <v>40000</v>
      </c>
    </row>
    <row r="14" spans="1:11" x14ac:dyDescent="0.35">
      <c r="A14" s="26" t="s">
        <v>43</v>
      </c>
      <c r="B14" s="29">
        <v>5000</v>
      </c>
      <c r="C14" s="29">
        <v>5000</v>
      </c>
      <c r="D14" s="29">
        <v>5000</v>
      </c>
    </row>
    <row r="15" spans="1:11" x14ac:dyDescent="0.35">
      <c r="A15" s="26" t="s">
        <v>44</v>
      </c>
      <c r="B15" s="32">
        <f>SUM(B9:B14)</f>
        <v>205000</v>
      </c>
      <c r="C15" s="32">
        <f t="shared" ref="C15:D15" si="0">SUM(C9:C14)</f>
        <v>205000</v>
      </c>
      <c r="D15" s="32">
        <f t="shared" si="0"/>
        <v>205000</v>
      </c>
    </row>
    <row r="16" spans="1:11" x14ac:dyDescent="0.35">
      <c r="B16" s="31"/>
      <c r="C16" s="31"/>
      <c r="D16" s="31"/>
    </row>
    <row r="17" spans="1:4" x14ac:dyDescent="0.35">
      <c r="A17" s="26" t="s">
        <v>45</v>
      </c>
      <c r="B17" s="33">
        <v>100</v>
      </c>
      <c r="C17" s="33">
        <v>100</v>
      </c>
      <c r="D17" s="33">
        <v>100</v>
      </c>
    </row>
    <row r="18" spans="1:4" x14ac:dyDescent="0.35">
      <c r="A18" s="26" t="s">
        <v>46</v>
      </c>
      <c r="B18" s="33">
        <v>100</v>
      </c>
      <c r="C18" s="33">
        <v>100</v>
      </c>
      <c r="D18" s="33">
        <v>100</v>
      </c>
    </row>
    <row r="19" spans="1:4" x14ac:dyDescent="0.35">
      <c r="A19" s="26" t="s">
        <v>47</v>
      </c>
      <c r="B19" s="33">
        <v>100</v>
      </c>
      <c r="C19" s="33">
        <v>100</v>
      </c>
      <c r="D19" s="33">
        <v>100</v>
      </c>
    </row>
    <row r="20" spans="1:4" x14ac:dyDescent="0.35">
      <c r="A20" s="26" t="s">
        <v>48</v>
      </c>
      <c r="B20" s="33">
        <v>100</v>
      </c>
      <c r="C20" s="33">
        <v>100</v>
      </c>
      <c r="D20" s="33">
        <v>100</v>
      </c>
    </row>
    <row r="21" spans="1:4" x14ac:dyDescent="0.35">
      <c r="A21" s="26" t="s">
        <v>49</v>
      </c>
      <c r="B21" s="33">
        <v>100</v>
      </c>
      <c r="C21" s="33">
        <v>100</v>
      </c>
      <c r="D21" s="33">
        <v>100</v>
      </c>
    </row>
    <row r="22" spans="1:4" x14ac:dyDescent="0.35">
      <c r="B22" s="31"/>
      <c r="C22" s="31"/>
      <c r="D22" s="31"/>
    </row>
    <row r="23" spans="1:4" x14ac:dyDescent="0.35">
      <c r="A23" s="26" t="s">
        <v>50</v>
      </c>
      <c r="B23" s="31"/>
      <c r="C23" s="31"/>
      <c r="D23" s="31"/>
    </row>
    <row r="24" spans="1:4" x14ac:dyDescent="0.35">
      <c r="A24" s="26" t="s">
        <v>51</v>
      </c>
      <c r="B24" s="29">
        <v>500</v>
      </c>
      <c r="C24" s="29">
        <v>500</v>
      </c>
      <c r="D24" s="29">
        <v>500</v>
      </c>
    </row>
    <row r="25" spans="1:4" x14ac:dyDescent="0.35">
      <c r="A25" s="26" t="s">
        <v>52</v>
      </c>
      <c r="B25" s="29">
        <v>15000</v>
      </c>
      <c r="C25" s="29">
        <v>15000</v>
      </c>
      <c r="D25" s="29">
        <v>15000</v>
      </c>
    </row>
    <row r="26" spans="1:4" x14ac:dyDescent="0.35">
      <c r="A26" s="26" t="s">
        <v>53</v>
      </c>
      <c r="B26" s="34">
        <v>0.2</v>
      </c>
      <c r="C26" s="34">
        <v>0.2</v>
      </c>
      <c r="D26" s="34">
        <v>0.2</v>
      </c>
    </row>
    <row r="27" spans="1:4" x14ac:dyDescent="0.35">
      <c r="A27" s="26" t="s">
        <v>54</v>
      </c>
      <c r="B27" s="29">
        <v>80000</v>
      </c>
      <c r="C27" s="29">
        <v>80000</v>
      </c>
      <c r="D27" s="29">
        <v>80000</v>
      </c>
    </row>
    <row r="29" spans="1:4" x14ac:dyDescent="0.35">
      <c r="A29" s="27" t="s">
        <v>55</v>
      </c>
    </row>
    <row r="30" spans="1:4" x14ac:dyDescent="0.35">
      <c r="A30" s="26" t="s">
        <v>56</v>
      </c>
      <c r="B30" s="35">
        <f>(B15+B5+B4)/B7</f>
        <v>23.777777777777779</v>
      </c>
      <c r="C30" s="35">
        <f t="shared" ref="C30:D30" si="1">(C15+C5+C4)/C7</f>
        <v>14.2</v>
      </c>
      <c r="D30" s="35">
        <f t="shared" si="1"/>
        <v>10.75</v>
      </c>
    </row>
    <row r="31" spans="1:4" x14ac:dyDescent="0.35">
      <c r="A31" s="26" t="s">
        <v>57</v>
      </c>
      <c r="B31" s="29">
        <f>'OLD Calc IS'!D22+'OLD Calc IS'!D20</f>
        <v>365000</v>
      </c>
      <c r="C31" s="29">
        <f>'OLD Calc IS'!C22+'OLD Calc IS'!C20</f>
        <v>336000</v>
      </c>
      <c r="D31" s="29">
        <f>'OLD Calc IS'!B22+'OLD Calc IS'!B20</f>
        <v>357000</v>
      </c>
    </row>
    <row r="32" spans="1:4" x14ac:dyDescent="0.35">
      <c r="A32" s="26" t="s">
        <v>58</v>
      </c>
      <c r="B32" s="36">
        <f>B6+(B5)+B4-B7</f>
        <v>40000</v>
      </c>
      <c r="C32" s="36">
        <f t="shared" ref="C32:D32" si="2">C6+(C5)+C4-C7</f>
        <v>33000</v>
      </c>
      <c r="D32" s="36">
        <f t="shared" si="2"/>
        <v>30000</v>
      </c>
    </row>
    <row r="33" spans="1:4" x14ac:dyDescent="0.35">
      <c r="A33" s="26" t="s">
        <v>59</v>
      </c>
      <c r="B33" s="37">
        <f>(B24+B25)/B27</f>
        <v>0.19375000000000001</v>
      </c>
      <c r="C33" s="37">
        <f t="shared" ref="C33:D33" si="3">(C24+C25)/C27</f>
        <v>0.19375000000000001</v>
      </c>
      <c r="D33" s="37">
        <f t="shared" si="3"/>
        <v>0.19375000000000001</v>
      </c>
    </row>
    <row r="35" spans="1:4" x14ac:dyDescent="0.35">
      <c r="A35" s="39" t="s">
        <v>60</v>
      </c>
      <c r="B35" s="40">
        <f>(B4+B5)/B7</f>
        <v>1</v>
      </c>
      <c r="C35" s="40">
        <f>(C4+C5)/C7</f>
        <v>0.53333333333333333</v>
      </c>
      <c r="D35" s="40">
        <f>(D4+D5)/D7</f>
        <v>0.5</v>
      </c>
    </row>
    <row r="37" spans="1:4" x14ac:dyDescent="0.35">
      <c r="A37" s="39"/>
    </row>
    <row r="38" spans="1:4" x14ac:dyDescent="0.35">
      <c r="A38" s="41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86B09-DCE5-4175-BDC0-FD4A3195A361}">
  <dimension ref="A1:R26"/>
  <sheetViews>
    <sheetView workbookViewId="0">
      <pane xSplit="1" ySplit="3" topLeftCell="B11" activePane="bottomRight" state="frozen"/>
      <selection activeCell="A22" sqref="A22"/>
      <selection pane="topRight" activeCell="A22" sqref="A22"/>
      <selection pane="bottomLeft" activeCell="A22" sqref="A22"/>
      <selection pane="bottomRight" activeCell="A23" sqref="A23"/>
    </sheetView>
  </sheetViews>
  <sheetFormatPr defaultRowHeight="15.5" x14ac:dyDescent="0.35"/>
  <cols>
    <col min="1" max="1" width="45" style="26" bestFit="1" customWidth="1"/>
    <col min="2" max="2" width="10.81640625" style="26" bestFit="1" customWidth="1"/>
    <col min="3" max="3" width="10.6328125" style="26" bestFit="1" customWidth="1"/>
    <col min="4" max="16384" width="8.7265625" style="26"/>
  </cols>
  <sheetData>
    <row r="1" spans="1:18" x14ac:dyDescent="0.35">
      <c r="B1" s="27" t="s">
        <v>61</v>
      </c>
    </row>
    <row r="2" spans="1:18" x14ac:dyDescent="0.35">
      <c r="A2" s="26" t="s">
        <v>83</v>
      </c>
    </row>
    <row r="3" spans="1:18" x14ac:dyDescent="0.35">
      <c r="A3" s="54"/>
      <c r="B3" s="28">
        <v>43191</v>
      </c>
      <c r="C3" s="28">
        <v>43221</v>
      </c>
      <c r="D3" s="28">
        <v>43252</v>
      </c>
      <c r="E3" s="28">
        <v>43282</v>
      </c>
      <c r="F3" s="28">
        <v>43313</v>
      </c>
      <c r="G3" s="28">
        <v>43344</v>
      </c>
      <c r="H3" s="28">
        <v>43374</v>
      </c>
      <c r="I3" s="28">
        <v>43405</v>
      </c>
      <c r="J3" s="28">
        <v>43435</v>
      </c>
      <c r="K3" s="28">
        <v>43466</v>
      </c>
      <c r="L3" s="28">
        <v>43497</v>
      </c>
      <c r="M3" s="28">
        <v>43525</v>
      </c>
      <c r="N3" s="28">
        <v>43556</v>
      </c>
      <c r="O3" s="28">
        <v>43586</v>
      </c>
      <c r="P3" s="28">
        <v>43617</v>
      </c>
      <c r="Q3" s="28">
        <v>43647</v>
      </c>
      <c r="R3" s="28">
        <v>43678</v>
      </c>
    </row>
    <row r="4" spans="1:18" x14ac:dyDescent="0.35">
      <c r="A4" s="26" t="s">
        <v>84</v>
      </c>
      <c r="B4" s="29">
        <v>12000</v>
      </c>
      <c r="C4" s="29">
        <f>12000+500</f>
        <v>12500</v>
      </c>
      <c r="D4" s="29">
        <f>C4+500</f>
        <v>13000</v>
      </c>
      <c r="E4" s="29">
        <f t="shared" ref="E4:L4" si="0">D4+500</f>
        <v>13500</v>
      </c>
      <c r="F4" s="29">
        <f t="shared" si="0"/>
        <v>14000</v>
      </c>
      <c r="G4" s="29">
        <f t="shared" si="0"/>
        <v>14500</v>
      </c>
      <c r="H4" s="29">
        <f t="shared" si="0"/>
        <v>15000</v>
      </c>
      <c r="I4" s="29">
        <f t="shared" si="0"/>
        <v>15500</v>
      </c>
      <c r="J4" s="29">
        <f t="shared" si="0"/>
        <v>16000</v>
      </c>
      <c r="K4" s="29">
        <f t="shared" si="0"/>
        <v>16500</v>
      </c>
      <c r="L4" s="29">
        <f t="shared" si="0"/>
        <v>17000</v>
      </c>
    </row>
    <row r="5" spans="1:18" x14ac:dyDescent="0.35">
      <c r="A5" s="26" t="s">
        <v>85</v>
      </c>
      <c r="B5" s="29">
        <v>18000</v>
      </c>
      <c r="C5" s="29">
        <v>18500</v>
      </c>
      <c r="D5" s="29">
        <v>19000</v>
      </c>
      <c r="E5" s="29">
        <v>19500</v>
      </c>
      <c r="F5" s="29">
        <v>20000</v>
      </c>
      <c r="G5" s="29">
        <v>20500</v>
      </c>
      <c r="H5" s="29">
        <v>21000</v>
      </c>
      <c r="I5" s="29">
        <v>21500</v>
      </c>
      <c r="J5" s="29">
        <v>22000</v>
      </c>
      <c r="K5" s="29">
        <v>22500</v>
      </c>
      <c r="L5" s="29">
        <v>23000</v>
      </c>
      <c r="M5" s="29">
        <v>23500</v>
      </c>
      <c r="N5" s="29">
        <v>24000</v>
      </c>
      <c r="O5" s="29">
        <v>24500</v>
      </c>
      <c r="P5" s="29">
        <v>25000</v>
      </c>
      <c r="Q5" s="29">
        <v>25500</v>
      </c>
      <c r="R5" s="29">
        <v>26000</v>
      </c>
    </row>
    <row r="7" spans="1:18" x14ac:dyDescent="0.35">
      <c r="A7" s="26" t="s">
        <v>86</v>
      </c>
      <c r="B7" s="29">
        <v>25000</v>
      </c>
      <c r="C7" s="29">
        <f>25000+500</f>
        <v>25500</v>
      </c>
      <c r="D7" s="29">
        <v>25001</v>
      </c>
      <c r="E7" s="29">
        <f t="shared" ref="E7" si="1">25000+500</f>
        <v>25500</v>
      </c>
      <c r="F7" s="29">
        <v>25002</v>
      </c>
      <c r="G7" s="29">
        <f t="shared" ref="G7:K7" si="2">25000+500</f>
        <v>25500</v>
      </c>
      <c r="H7" s="29">
        <v>25003</v>
      </c>
      <c r="I7" s="29">
        <f t="shared" si="2"/>
        <v>25500</v>
      </c>
      <c r="J7" s="29">
        <v>25003</v>
      </c>
      <c r="K7" s="29">
        <f t="shared" si="2"/>
        <v>25500</v>
      </c>
      <c r="L7" s="29">
        <v>25003</v>
      </c>
    </row>
    <row r="9" spans="1:18" x14ac:dyDescent="0.35">
      <c r="A9" s="26" t="s">
        <v>87</v>
      </c>
      <c r="B9" s="55">
        <v>15000</v>
      </c>
      <c r="C9" s="55">
        <v>14500</v>
      </c>
      <c r="D9" s="55">
        <v>14500</v>
      </c>
      <c r="E9" s="55">
        <v>14500</v>
      </c>
      <c r="F9" s="55">
        <v>14500</v>
      </c>
      <c r="G9" s="55">
        <v>14500</v>
      </c>
      <c r="H9" s="55">
        <v>14500</v>
      </c>
      <c r="I9" s="55">
        <v>14500</v>
      </c>
      <c r="J9" s="55">
        <v>14500</v>
      </c>
      <c r="K9" s="55">
        <v>14500</v>
      </c>
      <c r="L9" s="55">
        <v>14500</v>
      </c>
    </row>
    <row r="10" spans="1:18" x14ac:dyDescent="0.35">
      <c r="A10" s="26" t="s">
        <v>88</v>
      </c>
      <c r="B10" s="55">
        <v>12000</v>
      </c>
      <c r="C10" s="55">
        <v>13000</v>
      </c>
      <c r="D10" s="55">
        <v>13200</v>
      </c>
      <c r="E10" s="55">
        <v>12000</v>
      </c>
      <c r="F10" s="55">
        <v>14000</v>
      </c>
      <c r="G10" s="55">
        <v>13500</v>
      </c>
      <c r="H10" s="55">
        <v>11950</v>
      </c>
      <c r="I10" s="55">
        <v>10400</v>
      </c>
      <c r="J10" s="55">
        <v>8850</v>
      </c>
      <c r="K10" s="55">
        <v>10300</v>
      </c>
      <c r="L10" s="55">
        <v>8000</v>
      </c>
    </row>
    <row r="12" spans="1:18" s="38" customFormat="1" x14ac:dyDescent="0.35">
      <c r="A12" s="38" t="s">
        <v>89</v>
      </c>
    </row>
    <row r="13" spans="1:18" s="38" customFormat="1" x14ac:dyDescent="0.35">
      <c r="A13" s="38" t="s">
        <v>90</v>
      </c>
    </row>
    <row r="15" spans="1:18" s="38" customFormat="1" x14ac:dyDescent="0.35">
      <c r="A15" s="38" t="s">
        <v>91</v>
      </c>
    </row>
    <row r="16" spans="1:18" s="38" customFormat="1" x14ac:dyDescent="0.35">
      <c r="A16" s="38" t="s">
        <v>92</v>
      </c>
    </row>
    <row r="17" spans="1:12" x14ac:dyDescent="0.35">
      <c r="B17" s="28">
        <f>B3</f>
        <v>43191</v>
      </c>
      <c r="C17" s="28">
        <f t="shared" ref="C17:L18" si="3">C3</f>
        <v>43221</v>
      </c>
      <c r="D17" s="28">
        <f t="shared" si="3"/>
        <v>43252</v>
      </c>
      <c r="E17" s="28">
        <f t="shared" si="3"/>
        <v>43282</v>
      </c>
      <c r="F17" s="28">
        <f t="shared" si="3"/>
        <v>43313</v>
      </c>
      <c r="G17" s="28">
        <f t="shared" si="3"/>
        <v>43344</v>
      </c>
      <c r="H17" s="28">
        <f t="shared" si="3"/>
        <v>43374</v>
      </c>
      <c r="I17" s="28">
        <f t="shared" si="3"/>
        <v>43405</v>
      </c>
      <c r="J17" s="28">
        <f t="shared" si="3"/>
        <v>43435</v>
      </c>
      <c r="K17" s="28">
        <f t="shared" si="3"/>
        <v>43466</v>
      </c>
      <c r="L17" s="28">
        <f t="shared" si="3"/>
        <v>43497</v>
      </c>
    </row>
    <row r="18" spans="1:12" x14ac:dyDescent="0.35">
      <c r="A18" s="42" t="s">
        <v>93</v>
      </c>
      <c r="B18" s="36">
        <f>B4</f>
        <v>12000</v>
      </c>
      <c r="C18" s="36">
        <f t="shared" si="3"/>
        <v>12500</v>
      </c>
      <c r="D18" s="36">
        <f t="shared" si="3"/>
        <v>13000</v>
      </c>
      <c r="E18" s="36">
        <f t="shared" si="3"/>
        <v>13500</v>
      </c>
      <c r="F18" s="36">
        <f t="shared" si="3"/>
        <v>14000</v>
      </c>
      <c r="G18" s="36">
        <f t="shared" si="3"/>
        <v>14500</v>
      </c>
      <c r="H18" s="36">
        <f t="shared" si="3"/>
        <v>15000</v>
      </c>
      <c r="I18" s="36">
        <f t="shared" si="3"/>
        <v>15500</v>
      </c>
      <c r="J18" s="36">
        <f t="shared" si="3"/>
        <v>16000</v>
      </c>
      <c r="K18" s="36">
        <f t="shared" si="3"/>
        <v>16500</v>
      </c>
      <c r="L18" s="36">
        <f t="shared" si="3"/>
        <v>17000</v>
      </c>
    </row>
    <row r="19" spans="1:12" x14ac:dyDescent="0.35">
      <c r="A19" s="42" t="s">
        <v>94</v>
      </c>
      <c r="B19" s="29">
        <v>11500</v>
      </c>
      <c r="C19" s="29">
        <v>12800</v>
      </c>
      <c r="D19" s="29">
        <v>11800</v>
      </c>
      <c r="E19" s="29">
        <f t="shared" ref="E19:K19" si="4">E18*0.805</f>
        <v>10867.5</v>
      </c>
      <c r="F19" s="29">
        <f t="shared" si="4"/>
        <v>11270</v>
      </c>
      <c r="G19" s="29">
        <v>12060</v>
      </c>
      <c r="H19" s="29">
        <v>13000</v>
      </c>
      <c r="I19" s="29">
        <f t="shared" si="4"/>
        <v>12477.5</v>
      </c>
      <c r="J19" s="29">
        <v>13800</v>
      </c>
      <c r="K19" s="29">
        <f t="shared" si="4"/>
        <v>13282.5</v>
      </c>
      <c r="L19" s="29">
        <f>L18*0.805</f>
        <v>13685</v>
      </c>
    </row>
    <row r="20" spans="1:12" x14ac:dyDescent="0.35">
      <c r="A20" s="42" t="s">
        <v>95</v>
      </c>
      <c r="B20" s="36">
        <f>B18-B19</f>
        <v>500</v>
      </c>
      <c r="C20" s="36">
        <f t="shared" ref="C20:L20" si="5">C18-C19</f>
        <v>-300</v>
      </c>
      <c r="D20" s="36">
        <f t="shared" si="5"/>
        <v>1200</v>
      </c>
      <c r="E20" s="36">
        <f t="shared" si="5"/>
        <v>2632.5</v>
      </c>
      <c r="F20" s="36">
        <f t="shared" si="5"/>
        <v>2730</v>
      </c>
      <c r="G20" s="36">
        <f t="shared" si="5"/>
        <v>2440</v>
      </c>
      <c r="H20" s="36">
        <f t="shared" si="5"/>
        <v>2000</v>
      </c>
      <c r="I20" s="36">
        <f t="shared" si="5"/>
        <v>3022.5</v>
      </c>
      <c r="J20" s="36">
        <f t="shared" si="5"/>
        <v>2200</v>
      </c>
      <c r="K20" s="36">
        <f t="shared" si="5"/>
        <v>3217.5</v>
      </c>
      <c r="L20" s="36">
        <f t="shared" si="5"/>
        <v>3315</v>
      </c>
    </row>
    <row r="23" spans="1:12" x14ac:dyDescent="0.35">
      <c r="A23" s="42" t="s">
        <v>96</v>
      </c>
    </row>
    <row r="24" spans="1:12" x14ac:dyDescent="0.35">
      <c r="A24" s="42" t="s">
        <v>97</v>
      </c>
    </row>
    <row r="25" spans="1:12" x14ac:dyDescent="0.35">
      <c r="A25" s="42" t="s">
        <v>98</v>
      </c>
    </row>
    <row r="26" spans="1:12" x14ac:dyDescent="0.35">
      <c r="A26" s="42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6DB87-DB28-4308-8E06-1FDAEF2F6E8F}">
  <dimension ref="A1:F50"/>
  <sheetViews>
    <sheetView zoomScale="70" zoomScaleNormal="70" workbookViewId="0">
      <selection activeCell="I14" sqref="I14"/>
    </sheetView>
  </sheetViews>
  <sheetFormatPr defaultRowHeight="14.5" x14ac:dyDescent="0.35"/>
  <cols>
    <col min="3" max="3" width="14.08984375" customWidth="1"/>
  </cols>
  <sheetData>
    <row r="1" spans="1:6" x14ac:dyDescent="0.35">
      <c r="C1" t="s">
        <v>32</v>
      </c>
      <c r="F1" s="1">
        <v>43191</v>
      </c>
    </row>
    <row r="2" spans="1:6" x14ac:dyDescent="0.35">
      <c r="A2" t="s">
        <v>0</v>
      </c>
      <c r="F2" s="1"/>
    </row>
    <row r="4" spans="1:6" x14ac:dyDescent="0.35">
      <c r="B4" t="s">
        <v>8</v>
      </c>
    </row>
    <row r="5" spans="1:6" x14ac:dyDescent="0.35">
      <c r="C5" t="s">
        <v>1</v>
      </c>
      <c r="F5" s="4">
        <v>25</v>
      </c>
    </row>
    <row r="6" spans="1:6" x14ac:dyDescent="0.35">
      <c r="C6" t="s">
        <v>2</v>
      </c>
      <c r="F6" s="4">
        <v>200</v>
      </c>
    </row>
    <row r="7" spans="1:6" x14ac:dyDescent="0.35">
      <c r="C7" t="s">
        <v>3</v>
      </c>
      <c r="F7" s="4">
        <v>37</v>
      </c>
    </row>
    <row r="8" spans="1:6" x14ac:dyDescent="0.35">
      <c r="C8" t="s">
        <v>4</v>
      </c>
      <c r="F8" s="4">
        <v>82</v>
      </c>
    </row>
    <row r="9" spans="1:6" x14ac:dyDescent="0.35">
      <c r="C9" t="s">
        <v>5</v>
      </c>
      <c r="F9" s="4">
        <v>49</v>
      </c>
    </row>
    <row r="10" spans="1:6" x14ac:dyDescent="0.35">
      <c r="C10" t="s">
        <v>6</v>
      </c>
      <c r="F10" s="18">
        <v>440</v>
      </c>
    </row>
    <row r="11" spans="1:6" x14ac:dyDescent="0.35">
      <c r="C11" t="s">
        <v>7</v>
      </c>
      <c r="F11" s="2">
        <f>SUM(F5:F10)</f>
        <v>833</v>
      </c>
    </row>
    <row r="13" spans="1:6" x14ac:dyDescent="0.35">
      <c r="B13" t="s">
        <v>9</v>
      </c>
      <c r="F13" s="4">
        <v>900</v>
      </c>
    </row>
    <row r="16" spans="1:6" x14ac:dyDescent="0.35">
      <c r="B16" t="s">
        <v>10</v>
      </c>
      <c r="F16" s="2">
        <v>520</v>
      </c>
    </row>
    <row r="18" spans="1:6" x14ac:dyDescent="0.35">
      <c r="B18" t="s">
        <v>12</v>
      </c>
      <c r="F18" s="9">
        <v>100</v>
      </c>
    </row>
    <row r="19" spans="1:6" x14ac:dyDescent="0.35">
      <c r="F19" s="10"/>
    </row>
    <row r="20" spans="1:6" x14ac:dyDescent="0.35">
      <c r="B20" t="s">
        <v>14</v>
      </c>
      <c r="F20" s="9">
        <v>75</v>
      </c>
    </row>
    <row r="21" spans="1:6" x14ac:dyDescent="0.35">
      <c r="F21" s="10"/>
    </row>
    <row r="22" spans="1:6" x14ac:dyDescent="0.35">
      <c r="B22" t="s">
        <v>15</v>
      </c>
      <c r="F22" s="9">
        <v>62</v>
      </c>
    </row>
    <row r="23" spans="1:6" x14ac:dyDescent="0.35">
      <c r="F23" s="10"/>
    </row>
    <row r="24" spans="1:6" x14ac:dyDescent="0.35">
      <c r="B24" t="s">
        <v>17</v>
      </c>
      <c r="F24" s="9">
        <v>25</v>
      </c>
    </row>
    <row r="25" spans="1:6" x14ac:dyDescent="0.35">
      <c r="B25" t="s">
        <v>140</v>
      </c>
      <c r="F25" s="9">
        <v>0</v>
      </c>
    </row>
    <row r="26" spans="1:6" x14ac:dyDescent="0.35">
      <c r="F26" s="2"/>
    </row>
    <row r="27" spans="1:6" x14ac:dyDescent="0.35">
      <c r="B27" t="s">
        <v>19</v>
      </c>
      <c r="F27" s="2">
        <f>F11-F16-F18-F20-F22-F24</f>
        <v>51</v>
      </c>
    </row>
    <row r="29" spans="1:6" x14ac:dyDescent="0.35">
      <c r="B29" t="s">
        <v>16</v>
      </c>
      <c r="F29" s="9">
        <v>0</v>
      </c>
    </row>
    <row r="30" spans="1:6" x14ac:dyDescent="0.35">
      <c r="A30" s="22" t="s">
        <v>33</v>
      </c>
    </row>
    <row r="31" spans="1:6" x14ac:dyDescent="0.35">
      <c r="A31" s="24">
        <v>0.25</v>
      </c>
      <c r="B31" t="s">
        <v>18</v>
      </c>
      <c r="F31" s="23">
        <f>F27*A31</f>
        <v>12.75</v>
      </c>
    </row>
    <row r="33" spans="1:6" x14ac:dyDescent="0.35">
      <c r="B33" t="s">
        <v>20</v>
      </c>
      <c r="F33" s="11">
        <f>F27-F29-F31</f>
        <v>38.25</v>
      </c>
    </row>
    <row r="34" spans="1:6" x14ac:dyDescent="0.35">
      <c r="A34" s="6"/>
      <c r="B34" s="6"/>
      <c r="C34" s="6" t="s">
        <v>21</v>
      </c>
      <c r="D34" s="6"/>
      <c r="E34" s="6"/>
      <c r="F34" s="7">
        <f>F33/F11</f>
        <v>4.5918367346938778E-2</v>
      </c>
    </row>
    <row r="37" spans="1:6" x14ac:dyDescent="0.35">
      <c r="A37" t="s">
        <v>22</v>
      </c>
    </row>
    <row r="38" spans="1:6" x14ac:dyDescent="0.35">
      <c r="C38" s="17" t="s">
        <v>27</v>
      </c>
    </row>
    <row r="39" spans="1:6" x14ac:dyDescent="0.35">
      <c r="B39" s="15" t="s">
        <v>26</v>
      </c>
      <c r="C39" s="13"/>
      <c r="D39" s="13"/>
      <c r="E39" s="13"/>
      <c r="F39" s="13"/>
    </row>
    <row r="40" spans="1:6" x14ac:dyDescent="0.35">
      <c r="B40" s="13"/>
      <c r="C40" s="13" t="s">
        <v>24</v>
      </c>
      <c r="D40" s="13"/>
      <c r="E40" s="13"/>
      <c r="F40" s="13">
        <f>E44</f>
        <v>-85</v>
      </c>
    </row>
    <row r="41" spans="1:6" x14ac:dyDescent="0.35">
      <c r="B41" s="13"/>
      <c r="C41" s="13" t="s">
        <v>29</v>
      </c>
      <c r="D41" s="13"/>
      <c r="E41" s="13"/>
      <c r="F41" s="8">
        <v>10</v>
      </c>
    </row>
    <row r="42" spans="1:6" x14ac:dyDescent="0.35">
      <c r="B42" s="13"/>
      <c r="C42" s="13" t="s">
        <v>30</v>
      </c>
      <c r="D42" s="13"/>
      <c r="E42" s="13"/>
      <c r="F42" s="8">
        <v>15</v>
      </c>
    </row>
    <row r="43" spans="1:6" x14ac:dyDescent="0.35">
      <c r="B43" s="13"/>
      <c r="C43" s="13" t="s">
        <v>31</v>
      </c>
      <c r="D43" s="13"/>
      <c r="E43" s="8">
        <v>85</v>
      </c>
      <c r="F43" s="8">
        <v>10</v>
      </c>
    </row>
    <row r="44" spans="1:6" x14ac:dyDescent="0.35">
      <c r="B44" s="13"/>
      <c r="C44" s="15" t="s">
        <v>25</v>
      </c>
      <c r="D44" s="13"/>
      <c r="E44" s="13">
        <f>-85</f>
        <v>-85</v>
      </c>
      <c r="F44" s="14">
        <f>(F40+F41-F42-F43)</f>
        <v>-100</v>
      </c>
    </row>
    <row r="45" spans="1:6" x14ac:dyDescent="0.35">
      <c r="A45" s="16"/>
      <c r="B45" s="16"/>
      <c r="C45" s="16"/>
      <c r="D45" s="16"/>
      <c r="E45" s="16"/>
      <c r="F45" s="16"/>
    </row>
    <row r="46" spans="1:6" x14ac:dyDescent="0.35">
      <c r="A46" t="s">
        <v>141</v>
      </c>
      <c r="B46" s="16"/>
      <c r="C46" s="16"/>
      <c r="D46" s="16"/>
      <c r="E46" s="16"/>
      <c r="F46" s="16"/>
    </row>
    <row r="47" spans="1:6" x14ac:dyDescent="0.35">
      <c r="A47" s="16"/>
      <c r="B47" s="16" t="s">
        <v>142</v>
      </c>
      <c r="C47" s="10">
        <v>8</v>
      </c>
      <c r="D47" s="16"/>
      <c r="E47" s="16"/>
      <c r="F47" s="10"/>
    </row>
    <row r="48" spans="1:6" x14ac:dyDescent="0.35">
      <c r="A48" s="16"/>
      <c r="B48" s="16" t="s">
        <v>143</v>
      </c>
      <c r="C48" s="10">
        <v>11</v>
      </c>
      <c r="D48" s="16"/>
      <c r="E48" s="16"/>
      <c r="F48" s="10"/>
    </row>
    <row r="49" spans="1:6" x14ac:dyDescent="0.35">
      <c r="A49" s="16"/>
      <c r="B49" s="16"/>
      <c r="C49" s="16"/>
      <c r="D49" s="16"/>
      <c r="E49" s="16"/>
      <c r="F49" s="10"/>
    </row>
    <row r="50" spans="1:6" x14ac:dyDescent="0.35">
      <c r="A50" s="16"/>
      <c r="B50" s="16"/>
      <c r="C50" s="16"/>
      <c r="D50" s="16"/>
      <c r="E50" s="16"/>
      <c r="F5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7373D-EE10-451D-BBDD-192D29C6274D}">
  <dimension ref="A2:B33"/>
  <sheetViews>
    <sheetView topLeftCell="A13" workbookViewId="0">
      <selection activeCell="L22" sqref="L22"/>
    </sheetView>
  </sheetViews>
  <sheetFormatPr defaultRowHeight="14.5" x14ac:dyDescent="0.35"/>
  <cols>
    <col min="1" max="1" width="3.1796875" customWidth="1"/>
  </cols>
  <sheetData>
    <row r="2" spans="1:2" x14ac:dyDescent="0.35">
      <c r="A2" t="s">
        <v>291</v>
      </c>
      <c r="B2" t="s">
        <v>345</v>
      </c>
    </row>
    <row r="3" spans="1:2" x14ac:dyDescent="0.35">
      <c r="B3" t="s">
        <v>346</v>
      </c>
    </row>
    <row r="4" spans="1:2" x14ac:dyDescent="0.35">
      <c r="B4" t="s">
        <v>347</v>
      </c>
    </row>
    <row r="5" spans="1:2" x14ac:dyDescent="0.35">
      <c r="B5" t="s">
        <v>348</v>
      </c>
    </row>
    <row r="6" spans="1:2" x14ac:dyDescent="0.35">
      <c r="B6" s="132" t="s">
        <v>349</v>
      </c>
    </row>
    <row r="7" spans="1:2" x14ac:dyDescent="0.35">
      <c r="B7" t="s">
        <v>350</v>
      </c>
    </row>
    <row r="8" spans="1:2" x14ac:dyDescent="0.35">
      <c r="B8" t="s">
        <v>351</v>
      </c>
    </row>
    <row r="10" spans="1:2" x14ac:dyDescent="0.35">
      <c r="A10" t="s">
        <v>352</v>
      </c>
    </row>
    <row r="12" spans="1:2" x14ac:dyDescent="0.35">
      <c r="A12" t="s">
        <v>353</v>
      </c>
    </row>
    <row r="13" spans="1:2" x14ac:dyDescent="0.35">
      <c r="A13" t="s">
        <v>354</v>
      </c>
    </row>
    <row r="14" spans="1:2" x14ac:dyDescent="0.35">
      <c r="A14" t="s">
        <v>355</v>
      </c>
    </row>
    <row r="15" spans="1:2" x14ac:dyDescent="0.35">
      <c r="A15" t="s">
        <v>356</v>
      </c>
    </row>
    <row r="16" spans="1:2" x14ac:dyDescent="0.35">
      <c r="A16" t="s">
        <v>357</v>
      </c>
    </row>
    <row r="18" spans="1:1" x14ac:dyDescent="0.35">
      <c r="A18" t="s">
        <v>358</v>
      </c>
    </row>
    <row r="19" spans="1:1" x14ac:dyDescent="0.35">
      <c r="A19" t="s">
        <v>359</v>
      </c>
    </row>
    <row r="20" spans="1:1" x14ac:dyDescent="0.35">
      <c r="A20" t="s">
        <v>366</v>
      </c>
    </row>
    <row r="21" spans="1:1" x14ac:dyDescent="0.35">
      <c r="A21" t="s">
        <v>367</v>
      </c>
    </row>
    <row r="22" spans="1:1" x14ac:dyDescent="0.35">
      <c r="A22" t="s">
        <v>368</v>
      </c>
    </row>
    <row r="23" spans="1:1" x14ac:dyDescent="0.35">
      <c r="A23" t="s">
        <v>369</v>
      </c>
    </row>
    <row r="26" spans="1:1" x14ac:dyDescent="0.35">
      <c r="A26" t="s">
        <v>360</v>
      </c>
    </row>
    <row r="27" spans="1:1" x14ac:dyDescent="0.35">
      <c r="A27" t="s">
        <v>361</v>
      </c>
    </row>
    <row r="28" spans="1:1" x14ac:dyDescent="0.35">
      <c r="A28" t="s">
        <v>362</v>
      </c>
    </row>
    <row r="31" spans="1:1" x14ac:dyDescent="0.35">
      <c r="A31" t="s">
        <v>363</v>
      </c>
    </row>
    <row r="32" spans="1:1" x14ac:dyDescent="0.35">
      <c r="A32" t="s">
        <v>364</v>
      </c>
    </row>
    <row r="33" spans="1:1" x14ac:dyDescent="0.35">
      <c r="A33" t="s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E17-1DFF-4DA9-878B-7A07778D82FD}">
  <dimension ref="A1:R28"/>
  <sheetViews>
    <sheetView workbookViewId="0">
      <selection activeCell="E18" sqref="E18"/>
    </sheetView>
  </sheetViews>
  <sheetFormatPr defaultRowHeight="15.5" x14ac:dyDescent="0.35"/>
  <cols>
    <col min="1" max="1" width="44.08984375" style="26" customWidth="1"/>
    <col min="2" max="16384" width="8.7265625" style="26"/>
  </cols>
  <sheetData>
    <row r="1" spans="1:18" x14ac:dyDescent="0.35">
      <c r="B1" s="27" t="s">
        <v>61</v>
      </c>
      <c r="E1" s="26" t="s">
        <v>100</v>
      </c>
    </row>
    <row r="2" spans="1:18" x14ac:dyDescent="0.35">
      <c r="A2" s="26" t="s">
        <v>83</v>
      </c>
    </row>
    <row r="3" spans="1:18" x14ac:dyDescent="0.35">
      <c r="A3" s="54"/>
      <c r="B3" s="28">
        <v>43191</v>
      </c>
      <c r="C3" s="28">
        <v>43221</v>
      </c>
      <c r="D3" s="28">
        <v>43252</v>
      </c>
      <c r="E3" s="28">
        <v>43282</v>
      </c>
      <c r="F3" s="28">
        <v>43313</v>
      </c>
      <c r="G3" s="28">
        <v>43344</v>
      </c>
      <c r="H3" s="28">
        <v>43374</v>
      </c>
      <c r="I3" s="28">
        <v>43405</v>
      </c>
      <c r="J3" s="28">
        <v>43435</v>
      </c>
      <c r="K3" s="28">
        <v>43466</v>
      </c>
      <c r="L3" s="28">
        <v>43497</v>
      </c>
      <c r="M3" s="28">
        <v>43525</v>
      </c>
      <c r="N3" s="28">
        <v>43556</v>
      </c>
      <c r="O3" s="28">
        <v>43586</v>
      </c>
      <c r="P3" s="28">
        <v>43617</v>
      </c>
      <c r="Q3" s="28">
        <v>43647</v>
      </c>
      <c r="R3" s="28">
        <v>43678</v>
      </c>
    </row>
    <row r="4" spans="1:18" x14ac:dyDescent="0.35">
      <c r="A4" s="26" t="s">
        <v>84</v>
      </c>
      <c r="B4" s="29">
        <v>12000</v>
      </c>
      <c r="C4" s="29">
        <f>12000+500</f>
        <v>12500</v>
      </c>
      <c r="D4" s="29">
        <f>C4+500</f>
        <v>13000</v>
      </c>
      <c r="E4" s="29">
        <f t="shared" ref="E4:L4" si="0">D4+500</f>
        <v>13500</v>
      </c>
      <c r="F4" s="29">
        <f t="shared" si="0"/>
        <v>14000</v>
      </c>
      <c r="G4" s="29">
        <f t="shared" si="0"/>
        <v>14500</v>
      </c>
      <c r="H4" s="29">
        <f t="shared" si="0"/>
        <v>15000</v>
      </c>
      <c r="I4" s="29">
        <f t="shared" si="0"/>
        <v>15500</v>
      </c>
      <c r="J4" s="29">
        <f t="shared" si="0"/>
        <v>16000</v>
      </c>
      <c r="K4" s="29">
        <f t="shared" si="0"/>
        <v>16500</v>
      </c>
      <c r="L4" s="29">
        <f t="shared" si="0"/>
        <v>17000</v>
      </c>
    </row>
    <row r="5" spans="1:18" x14ac:dyDescent="0.35">
      <c r="A5" s="26" t="s">
        <v>85</v>
      </c>
      <c r="B5" s="29"/>
      <c r="C5" s="29"/>
      <c r="D5" s="29"/>
      <c r="E5" s="29"/>
      <c r="F5" s="29"/>
      <c r="G5" s="29"/>
      <c r="H5" s="29">
        <v>21000</v>
      </c>
      <c r="I5" s="29">
        <v>21500</v>
      </c>
      <c r="J5" s="29">
        <v>22000</v>
      </c>
      <c r="K5" s="29">
        <v>22500</v>
      </c>
      <c r="L5" s="29">
        <v>23000</v>
      </c>
      <c r="M5" s="29">
        <v>23500</v>
      </c>
      <c r="N5" s="29">
        <v>24000</v>
      </c>
      <c r="O5" s="29">
        <v>24500</v>
      </c>
      <c r="P5" s="29">
        <v>25000</v>
      </c>
      <c r="Q5" s="29">
        <v>25500</v>
      </c>
      <c r="R5" s="29">
        <v>26000</v>
      </c>
    </row>
    <row r="7" spans="1:18" x14ac:dyDescent="0.35">
      <c r="A7" s="26" t="s">
        <v>86</v>
      </c>
      <c r="B7" s="29">
        <v>25000</v>
      </c>
      <c r="C7" s="29">
        <f>25000+500</f>
        <v>25500</v>
      </c>
      <c r="D7" s="29">
        <v>25001</v>
      </c>
      <c r="E7" s="29">
        <f t="shared" ref="E7" si="1">25000+500</f>
        <v>25500</v>
      </c>
      <c r="F7" s="29">
        <v>25002</v>
      </c>
      <c r="G7" s="29">
        <f t="shared" ref="G7:K7" si="2">25000+500</f>
        <v>25500</v>
      </c>
      <c r="H7" s="29">
        <v>25003</v>
      </c>
      <c r="I7" s="29">
        <f t="shared" si="2"/>
        <v>25500</v>
      </c>
      <c r="J7" s="29">
        <v>25003</v>
      </c>
      <c r="K7" s="29">
        <f t="shared" si="2"/>
        <v>25500</v>
      </c>
      <c r="L7" s="29">
        <v>25003</v>
      </c>
    </row>
    <row r="9" spans="1:18" x14ac:dyDescent="0.35">
      <c r="A9" s="26" t="s">
        <v>87</v>
      </c>
      <c r="B9" s="55">
        <v>950</v>
      </c>
      <c r="C9" s="55">
        <v>950</v>
      </c>
      <c r="D9" s="55">
        <v>950</v>
      </c>
      <c r="E9" s="55">
        <v>950</v>
      </c>
      <c r="F9" s="55">
        <v>950</v>
      </c>
      <c r="G9" s="55">
        <v>950</v>
      </c>
      <c r="H9" s="55">
        <v>950</v>
      </c>
      <c r="I9" s="55">
        <v>950</v>
      </c>
      <c r="J9" s="55">
        <v>950</v>
      </c>
      <c r="K9" s="55">
        <v>950</v>
      </c>
      <c r="L9" s="55">
        <v>950</v>
      </c>
    </row>
    <row r="10" spans="1:18" x14ac:dyDescent="0.35">
      <c r="A10" s="26" t="s">
        <v>88</v>
      </c>
      <c r="B10" s="55">
        <v>1600</v>
      </c>
      <c r="C10" s="55">
        <v>1600</v>
      </c>
      <c r="D10" s="55">
        <v>1600</v>
      </c>
      <c r="E10" s="55">
        <v>1600</v>
      </c>
      <c r="F10" s="55">
        <v>1600</v>
      </c>
      <c r="G10" s="55">
        <v>1600</v>
      </c>
      <c r="H10" s="55">
        <v>1600</v>
      </c>
      <c r="I10" s="55">
        <v>1600</v>
      </c>
      <c r="J10" s="55">
        <v>1600</v>
      </c>
      <c r="K10" s="55">
        <v>1600</v>
      </c>
      <c r="L10" s="55">
        <v>1600</v>
      </c>
    </row>
    <row r="12" spans="1:18" s="56" customFormat="1" x14ac:dyDescent="0.35">
      <c r="A12" s="56" t="s">
        <v>101</v>
      </c>
      <c r="B12" s="57">
        <v>8000</v>
      </c>
      <c r="C12" s="57">
        <v>8500</v>
      </c>
      <c r="D12" s="57">
        <v>9000</v>
      </c>
      <c r="E12" s="57">
        <v>9500</v>
      </c>
      <c r="F12" s="57">
        <v>10000</v>
      </c>
      <c r="G12" s="57">
        <v>10500</v>
      </c>
      <c r="H12" s="57">
        <v>11000</v>
      </c>
      <c r="I12" s="57">
        <v>11500</v>
      </c>
      <c r="J12" s="57">
        <v>12000</v>
      </c>
      <c r="K12" s="57">
        <v>12500</v>
      </c>
      <c r="L12" s="57">
        <v>13000</v>
      </c>
    </row>
    <row r="13" spans="1:18" s="56" customFormat="1" x14ac:dyDescent="0.35">
      <c r="B13" s="57"/>
    </row>
    <row r="15" spans="1:18" s="38" customFormat="1" x14ac:dyDescent="0.35">
      <c r="A15" s="38" t="s">
        <v>102</v>
      </c>
      <c r="B15" s="57">
        <v>12000</v>
      </c>
      <c r="C15" s="55">
        <v>13000</v>
      </c>
      <c r="D15" s="57">
        <v>12001</v>
      </c>
      <c r="E15" s="55">
        <v>13001</v>
      </c>
      <c r="F15" s="57">
        <v>12002</v>
      </c>
    </row>
    <row r="16" spans="1:18" s="38" customFormat="1" x14ac:dyDescent="0.35">
      <c r="A16" s="38" t="s">
        <v>92</v>
      </c>
      <c r="B16" s="55">
        <v>8000</v>
      </c>
      <c r="C16" s="55">
        <v>8000</v>
      </c>
      <c r="D16" s="55">
        <v>8000</v>
      </c>
      <c r="E16" s="55">
        <v>8000</v>
      </c>
      <c r="F16" s="55">
        <v>8000</v>
      </c>
    </row>
    <row r="17" spans="1:12" s="38" customFormat="1" x14ac:dyDescent="0.35">
      <c r="A17" s="38" t="s">
        <v>28</v>
      </c>
      <c r="B17" s="55">
        <v>10000</v>
      </c>
      <c r="C17" s="55">
        <v>10000</v>
      </c>
      <c r="D17" s="55">
        <v>10000</v>
      </c>
      <c r="E17" s="55">
        <v>10000</v>
      </c>
      <c r="F17" s="55">
        <v>10000</v>
      </c>
    </row>
    <row r="18" spans="1:12" x14ac:dyDescent="0.35">
      <c r="B18" s="28">
        <f t="shared" ref="B18:L18" si="3">B3</f>
        <v>43191</v>
      </c>
      <c r="C18" s="28">
        <f t="shared" si="3"/>
        <v>43221</v>
      </c>
      <c r="D18" s="28">
        <f t="shared" si="3"/>
        <v>43252</v>
      </c>
      <c r="E18" s="28">
        <f t="shared" si="3"/>
        <v>43282</v>
      </c>
      <c r="F18" s="28">
        <f t="shared" si="3"/>
        <v>43313</v>
      </c>
      <c r="G18" s="28">
        <f t="shared" si="3"/>
        <v>43344</v>
      </c>
      <c r="H18" s="28">
        <f t="shared" si="3"/>
        <v>43374</v>
      </c>
      <c r="I18" s="28">
        <f t="shared" si="3"/>
        <v>43405</v>
      </c>
      <c r="J18" s="28">
        <f t="shared" si="3"/>
        <v>43435</v>
      </c>
      <c r="K18" s="28">
        <f t="shared" si="3"/>
        <v>43466</v>
      </c>
      <c r="L18" s="28">
        <f t="shared" si="3"/>
        <v>43497</v>
      </c>
    </row>
    <row r="19" spans="1:12" x14ac:dyDescent="0.35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1:12" x14ac:dyDescent="0.35">
      <c r="A20" s="42" t="s">
        <v>93</v>
      </c>
      <c r="B20" s="36">
        <f t="shared" ref="B20:L20" si="4">B4</f>
        <v>12000</v>
      </c>
      <c r="C20" s="36">
        <f t="shared" si="4"/>
        <v>12500</v>
      </c>
      <c r="D20" s="36">
        <f t="shared" si="4"/>
        <v>13000</v>
      </c>
      <c r="E20" s="36">
        <f t="shared" si="4"/>
        <v>13500</v>
      </c>
      <c r="F20" s="36">
        <f t="shared" si="4"/>
        <v>14000</v>
      </c>
      <c r="G20" s="36">
        <f t="shared" si="4"/>
        <v>14500</v>
      </c>
      <c r="H20" s="36">
        <f t="shared" si="4"/>
        <v>15000</v>
      </c>
      <c r="I20" s="36">
        <f t="shared" si="4"/>
        <v>15500</v>
      </c>
      <c r="J20" s="36">
        <f t="shared" si="4"/>
        <v>16000</v>
      </c>
      <c r="K20" s="36">
        <f t="shared" si="4"/>
        <v>16500</v>
      </c>
      <c r="L20" s="36">
        <f t="shared" si="4"/>
        <v>17000</v>
      </c>
    </row>
    <row r="21" spans="1:12" x14ac:dyDescent="0.35">
      <c r="A21" s="42" t="s">
        <v>94</v>
      </c>
      <c r="B21" s="29">
        <v>11500</v>
      </c>
      <c r="C21" s="29">
        <v>12800</v>
      </c>
      <c r="D21" s="29">
        <v>11800</v>
      </c>
      <c r="E21" s="29">
        <f t="shared" ref="E21:K21" si="5">E20*0.805</f>
        <v>10867.5</v>
      </c>
      <c r="F21" s="29">
        <f t="shared" si="5"/>
        <v>11270</v>
      </c>
      <c r="G21" s="29">
        <v>12060</v>
      </c>
      <c r="H21" s="29">
        <v>13000</v>
      </c>
      <c r="I21" s="29">
        <f t="shared" si="5"/>
        <v>12477.5</v>
      </c>
      <c r="J21" s="29">
        <v>13800</v>
      </c>
      <c r="K21" s="29">
        <f t="shared" si="5"/>
        <v>13282.5</v>
      </c>
      <c r="L21" s="29">
        <f>L20*0.805</f>
        <v>13685</v>
      </c>
    </row>
    <row r="22" spans="1:12" x14ac:dyDescent="0.35">
      <c r="A22" s="42" t="s">
        <v>95</v>
      </c>
      <c r="B22" s="36">
        <f>B20-B21</f>
        <v>500</v>
      </c>
      <c r="C22" s="36">
        <f t="shared" ref="C22:L22" si="6">C20-C21</f>
        <v>-300</v>
      </c>
      <c r="D22" s="36">
        <f t="shared" si="6"/>
        <v>1200</v>
      </c>
      <c r="E22" s="36">
        <f t="shared" si="6"/>
        <v>2632.5</v>
      </c>
      <c r="F22" s="36">
        <f t="shared" si="6"/>
        <v>2730</v>
      </c>
      <c r="G22" s="36">
        <f t="shared" si="6"/>
        <v>2440</v>
      </c>
      <c r="H22" s="36">
        <f t="shared" si="6"/>
        <v>2000</v>
      </c>
      <c r="I22" s="36">
        <f t="shared" si="6"/>
        <v>3022.5</v>
      </c>
      <c r="J22" s="36">
        <f t="shared" si="6"/>
        <v>2200</v>
      </c>
      <c r="K22" s="36">
        <f t="shared" si="6"/>
        <v>3217.5</v>
      </c>
      <c r="L22" s="36">
        <f t="shared" si="6"/>
        <v>3315</v>
      </c>
    </row>
    <row r="25" spans="1:12" x14ac:dyDescent="0.35">
      <c r="A25" s="42" t="s">
        <v>96</v>
      </c>
    </row>
    <row r="26" spans="1:12" x14ac:dyDescent="0.35">
      <c r="A26" s="42" t="s">
        <v>97</v>
      </c>
    </row>
    <row r="27" spans="1:12" x14ac:dyDescent="0.35">
      <c r="A27" s="42" t="s">
        <v>98</v>
      </c>
    </row>
    <row r="28" spans="1:12" x14ac:dyDescent="0.35">
      <c r="A28" s="42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E759-9A9C-4F59-ADF1-EB596CDB1F2F}">
  <dimension ref="A1:V108"/>
  <sheetViews>
    <sheetView workbookViewId="0">
      <pane xSplit="5" ySplit="2" topLeftCell="F3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defaultRowHeight="14.5" x14ac:dyDescent="0.35"/>
  <cols>
    <col min="1" max="1" width="2.08984375" customWidth="1"/>
    <col min="2" max="2" width="4.54296875" customWidth="1"/>
    <col min="3" max="3" width="36.08984375" customWidth="1"/>
    <col min="4" max="4" width="17.81640625" customWidth="1"/>
    <col min="6" max="6" width="9.6328125" bestFit="1" customWidth="1"/>
    <col min="9" max="9" width="11.08984375" customWidth="1"/>
  </cols>
  <sheetData>
    <row r="1" spans="1:22" x14ac:dyDescent="0.35">
      <c r="O1" s="99" t="s">
        <v>32</v>
      </c>
    </row>
    <row r="2" spans="1:22" s="17" customFormat="1" x14ac:dyDescent="0.35">
      <c r="F2" s="17" t="s">
        <v>114</v>
      </c>
      <c r="G2" s="17" t="s">
        <v>115</v>
      </c>
      <c r="H2" s="17" t="s">
        <v>116</v>
      </c>
      <c r="J2" s="70">
        <v>43040</v>
      </c>
      <c r="K2" s="70">
        <v>43070</v>
      </c>
      <c r="L2" s="70">
        <v>43101</v>
      </c>
      <c r="M2" s="70">
        <v>43132</v>
      </c>
      <c r="N2" s="70">
        <v>43160</v>
      </c>
      <c r="O2" s="70">
        <v>43191</v>
      </c>
      <c r="P2" s="70">
        <v>43221</v>
      </c>
      <c r="Q2" s="70">
        <v>43252</v>
      </c>
      <c r="R2" s="70">
        <v>43282</v>
      </c>
      <c r="S2" s="70">
        <v>43313</v>
      </c>
      <c r="T2" s="70">
        <v>43344</v>
      </c>
      <c r="U2" s="70">
        <v>43374</v>
      </c>
      <c r="V2" s="70">
        <v>43405</v>
      </c>
    </row>
    <row r="3" spans="1:22" x14ac:dyDescent="0.35">
      <c r="A3" s="17" t="s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5" spans="1:22" x14ac:dyDescent="0.35">
      <c r="B5" t="s">
        <v>8</v>
      </c>
    </row>
    <row r="6" spans="1:22" ht="15.5" x14ac:dyDescent="0.35">
      <c r="C6" s="5" t="s">
        <v>1</v>
      </c>
      <c r="F6" s="4">
        <v>5000</v>
      </c>
      <c r="G6" s="4">
        <v>5100</v>
      </c>
      <c r="H6" s="4">
        <v>5500</v>
      </c>
      <c r="J6" s="157">
        <v>25</v>
      </c>
      <c r="K6" s="157">
        <v>25</v>
      </c>
      <c r="L6" s="157">
        <v>25</v>
      </c>
      <c r="M6" s="157">
        <v>25</v>
      </c>
      <c r="N6" s="157">
        <v>25</v>
      </c>
      <c r="O6" s="19">
        <f>'Input Sheet'!F5</f>
        <v>25</v>
      </c>
      <c r="P6" s="91"/>
      <c r="Q6" s="91"/>
      <c r="R6" s="91"/>
      <c r="S6" s="91"/>
      <c r="T6" s="91"/>
      <c r="U6" s="91"/>
    </row>
    <row r="7" spans="1:22" ht="15.5" x14ac:dyDescent="0.35">
      <c r="C7" s="5" t="s">
        <v>2</v>
      </c>
      <c r="F7" s="4">
        <v>14000</v>
      </c>
      <c r="G7" s="4">
        <v>13000</v>
      </c>
      <c r="H7" s="4">
        <v>13200</v>
      </c>
      <c r="J7" s="157">
        <v>200</v>
      </c>
      <c r="K7" s="157">
        <v>200</v>
      </c>
      <c r="L7" s="157">
        <v>200</v>
      </c>
      <c r="M7" s="157">
        <v>200</v>
      </c>
      <c r="N7" s="157">
        <v>200</v>
      </c>
      <c r="O7" s="19">
        <f>'Input Sheet'!F6</f>
        <v>200</v>
      </c>
      <c r="P7" s="91"/>
      <c r="Q7" s="91"/>
      <c r="R7" s="91"/>
      <c r="S7" s="91"/>
      <c r="T7" s="91"/>
      <c r="U7" s="91"/>
    </row>
    <row r="8" spans="1:22" ht="15.5" x14ac:dyDescent="0.35">
      <c r="C8" s="5" t="s">
        <v>3</v>
      </c>
      <c r="F8" s="4">
        <v>584</v>
      </c>
      <c r="G8" s="4">
        <v>600</v>
      </c>
      <c r="H8" s="4">
        <v>800</v>
      </c>
      <c r="J8" s="157">
        <v>37</v>
      </c>
      <c r="K8" s="157">
        <v>37</v>
      </c>
      <c r="L8" s="157">
        <v>37</v>
      </c>
      <c r="M8" s="157">
        <v>37</v>
      </c>
      <c r="N8" s="157">
        <v>37</v>
      </c>
      <c r="O8" s="19">
        <f>'Input Sheet'!F7</f>
        <v>37</v>
      </c>
      <c r="P8" s="91"/>
      <c r="Q8" s="91"/>
      <c r="R8" s="91"/>
      <c r="S8" s="91"/>
      <c r="T8" s="91"/>
      <c r="U8" s="91"/>
    </row>
    <row r="9" spans="1:22" ht="15.5" x14ac:dyDescent="0.35">
      <c r="C9" s="5" t="s">
        <v>4</v>
      </c>
      <c r="F9" s="4">
        <v>900</v>
      </c>
      <c r="G9" s="4">
        <v>900</v>
      </c>
      <c r="H9" s="4">
        <v>900</v>
      </c>
      <c r="J9" s="157">
        <v>82</v>
      </c>
      <c r="K9" s="157">
        <v>82</v>
      </c>
      <c r="L9" s="157">
        <v>82</v>
      </c>
      <c r="M9" s="157">
        <v>82</v>
      </c>
      <c r="N9" s="157">
        <v>82</v>
      </c>
      <c r="O9" s="19">
        <f>'Input Sheet'!F8</f>
        <v>82</v>
      </c>
      <c r="P9" s="91"/>
      <c r="Q9" s="91"/>
      <c r="R9" s="91"/>
      <c r="S9" s="91"/>
      <c r="T9" s="91"/>
      <c r="U9" s="91"/>
    </row>
    <row r="10" spans="1:22" ht="15.5" x14ac:dyDescent="0.35">
      <c r="C10" s="5" t="s">
        <v>5</v>
      </c>
      <c r="F10" s="4">
        <v>820</v>
      </c>
      <c r="G10" s="4">
        <v>950</v>
      </c>
      <c r="H10" s="4">
        <v>1030</v>
      </c>
      <c r="J10" s="157">
        <v>49</v>
      </c>
      <c r="K10" s="157">
        <v>49</v>
      </c>
      <c r="L10" s="157">
        <v>49</v>
      </c>
      <c r="M10" s="157">
        <v>49</v>
      </c>
      <c r="N10" s="157">
        <v>49</v>
      </c>
      <c r="O10" s="19">
        <f>'Input Sheet'!F9</f>
        <v>49</v>
      </c>
      <c r="P10" s="91"/>
      <c r="Q10" s="91"/>
      <c r="R10" s="91"/>
      <c r="S10" s="91"/>
      <c r="T10" s="91"/>
      <c r="U10" s="91"/>
    </row>
    <row r="11" spans="1:22" x14ac:dyDescent="0.35">
      <c r="C11" t="s">
        <v>6</v>
      </c>
      <c r="F11" s="18">
        <v>3520</v>
      </c>
      <c r="G11" s="18">
        <v>5000</v>
      </c>
      <c r="H11" s="18">
        <v>5800</v>
      </c>
      <c r="J11" s="3">
        <v>440</v>
      </c>
      <c r="K11" s="3">
        <v>440</v>
      </c>
      <c r="L11" s="3">
        <v>440</v>
      </c>
      <c r="M11" s="3">
        <v>440</v>
      </c>
      <c r="N11" s="3">
        <v>440</v>
      </c>
      <c r="O11" s="20">
        <f>'Input Sheet'!F10</f>
        <v>440</v>
      </c>
      <c r="P11" s="91"/>
      <c r="Q11" s="91"/>
      <c r="R11" s="91"/>
      <c r="S11" s="91"/>
      <c r="T11" s="91"/>
      <c r="U11" s="91"/>
    </row>
    <row r="12" spans="1:22" x14ac:dyDescent="0.35">
      <c r="C12" t="s">
        <v>7</v>
      </c>
      <c r="F12" s="2">
        <f>SUM(F6:F11)</f>
        <v>24824</v>
      </c>
      <c r="G12" s="2">
        <f>SUM(G6:G11)</f>
        <v>25550</v>
      </c>
      <c r="H12" s="2">
        <f>SUM(H6:H11)</f>
        <v>27230</v>
      </c>
      <c r="J12" s="2">
        <f t="shared" ref="J12:O12" si="0">SUM(J6:J11)</f>
        <v>833</v>
      </c>
      <c r="K12" s="2">
        <f t="shared" si="0"/>
        <v>833</v>
      </c>
      <c r="L12" s="2">
        <f t="shared" si="0"/>
        <v>833</v>
      </c>
      <c r="M12" s="2">
        <f t="shared" si="0"/>
        <v>833</v>
      </c>
      <c r="N12" s="2">
        <f t="shared" si="0"/>
        <v>833</v>
      </c>
      <c r="O12" s="2">
        <f t="shared" si="0"/>
        <v>833</v>
      </c>
      <c r="P12" s="91"/>
      <c r="Q12" s="91"/>
      <c r="R12" s="91"/>
      <c r="S12" s="91"/>
      <c r="T12" s="91"/>
      <c r="U12" s="91"/>
    </row>
    <row r="14" spans="1:22" x14ac:dyDescent="0.35">
      <c r="B14" t="s">
        <v>144</v>
      </c>
      <c r="J14" s="4">
        <v>835</v>
      </c>
      <c r="K14" s="4">
        <v>840</v>
      </c>
      <c r="L14" s="4">
        <v>855</v>
      </c>
      <c r="M14" s="4">
        <v>855</v>
      </c>
      <c r="N14" s="4">
        <v>855</v>
      </c>
      <c r="O14" s="4">
        <v>855</v>
      </c>
      <c r="P14" s="4">
        <v>855</v>
      </c>
      <c r="Q14" s="4">
        <v>855</v>
      </c>
      <c r="R14" s="4">
        <v>855</v>
      </c>
      <c r="S14" s="4">
        <v>855</v>
      </c>
      <c r="T14" s="4">
        <v>855</v>
      </c>
      <c r="U14" s="19">
        <f>'Input Sheet'!F13</f>
        <v>900</v>
      </c>
    </row>
    <row r="15" spans="1:22" x14ac:dyDescent="0.35">
      <c r="P15" s="5"/>
      <c r="Q15" s="5"/>
      <c r="R15" s="5"/>
      <c r="S15" s="5"/>
      <c r="T15" s="5"/>
      <c r="U15" s="5"/>
    </row>
    <row r="16" spans="1:22" x14ac:dyDescent="0.35">
      <c r="B16" t="s">
        <v>10</v>
      </c>
      <c r="F16" s="4">
        <v>10000</v>
      </c>
      <c r="G16" s="4">
        <v>10500</v>
      </c>
      <c r="H16" s="4">
        <v>10950</v>
      </c>
      <c r="J16" s="2">
        <v>520</v>
      </c>
      <c r="K16" s="2">
        <v>523</v>
      </c>
      <c r="L16" s="2">
        <v>520</v>
      </c>
      <c r="M16" s="2">
        <v>530</v>
      </c>
      <c r="N16" s="2">
        <v>520</v>
      </c>
      <c r="O16" s="19">
        <f>'Input Sheet'!F16</f>
        <v>520</v>
      </c>
      <c r="P16" s="88"/>
      <c r="Q16" s="88"/>
      <c r="R16" s="88"/>
      <c r="S16" s="88"/>
      <c r="T16" s="88"/>
      <c r="U16" s="88"/>
    </row>
    <row r="17" spans="2:21" x14ac:dyDescent="0.35">
      <c r="B17" t="s">
        <v>13</v>
      </c>
      <c r="F17" s="2">
        <f>F12-F16</f>
        <v>14824</v>
      </c>
      <c r="G17" s="2">
        <f>G12-G16</f>
        <v>15050</v>
      </c>
      <c r="H17" s="2">
        <f>H12-H16</f>
        <v>16280</v>
      </c>
      <c r="J17" s="2">
        <f t="shared" ref="J17:O17" si="1">J12-J16</f>
        <v>313</v>
      </c>
      <c r="K17" s="2">
        <f t="shared" si="1"/>
        <v>310</v>
      </c>
      <c r="L17" s="2">
        <f t="shared" si="1"/>
        <v>313</v>
      </c>
      <c r="M17" s="2">
        <f t="shared" si="1"/>
        <v>303</v>
      </c>
      <c r="N17" s="2">
        <f t="shared" si="1"/>
        <v>313</v>
      </c>
      <c r="O17" s="2">
        <f t="shared" si="1"/>
        <v>313</v>
      </c>
      <c r="P17" s="89"/>
      <c r="Q17" s="89"/>
      <c r="R17" s="89"/>
      <c r="S17" s="89"/>
      <c r="T17" s="89"/>
      <c r="U17" s="89"/>
    </row>
    <row r="18" spans="2:21" s="6" customFormat="1" x14ac:dyDescent="0.35">
      <c r="C18" s="6" t="s">
        <v>11</v>
      </c>
      <c r="F18" s="7">
        <f>F17/F12</f>
        <v>0.59716403480502744</v>
      </c>
      <c r="G18" s="7">
        <f>G17/G12</f>
        <v>0.58904109589041098</v>
      </c>
      <c r="H18" s="7">
        <f>H17/H12</f>
        <v>0.59786999632757987</v>
      </c>
      <c r="J18" s="7">
        <f t="shared" ref="J18:O18" si="2">(J17)/J12</f>
        <v>0.37575030012004801</v>
      </c>
      <c r="K18" s="7">
        <f t="shared" si="2"/>
        <v>0.37214885954381755</v>
      </c>
      <c r="L18" s="7">
        <f t="shared" si="2"/>
        <v>0.37575030012004801</v>
      </c>
      <c r="M18" s="7">
        <f t="shared" si="2"/>
        <v>0.3637454981992797</v>
      </c>
      <c r="N18" s="7">
        <f t="shared" si="2"/>
        <v>0.37575030012004801</v>
      </c>
      <c r="O18" s="7">
        <f t="shared" si="2"/>
        <v>0.37575030012004801</v>
      </c>
      <c r="P18" s="90"/>
      <c r="Q18" s="90"/>
      <c r="R18" s="90"/>
      <c r="S18" s="90"/>
      <c r="T18" s="90"/>
      <c r="U18" s="90"/>
    </row>
    <row r="19" spans="2:21" x14ac:dyDescent="0.35">
      <c r="P19" s="91"/>
      <c r="Q19" s="91"/>
      <c r="R19" s="91"/>
      <c r="S19" s="91"/>
      <c r="T19" s="91"/>
      <c r="U19" s="91"/>
    </row>
    <row r="20" spans="2:21" x14ac:dyDescent="0.35">
      <c r="B20" t="s">
        <v>12</v>
      </c>
      <c r="F20" s="4">
        <v>6000</v>
      </c>
      <c r="G20" s="4">
        <v>6200</v>
      </c>
      <c r="H20" s="4">
        <v>6600</v>
      </c>
      <c r="J20" s="9">
        <v>100</v>
      </c>
      <c r="K20" s="9">
        <v>100</v>
      </c>
      <c r="L20" s="9">
        <v>100</v>
      </c>
      <c r="M20" s="9">
        <v>100</v>
      </c>
      <c r="N20" s="9">
        <v>100</v>
      </c>
      <c r="O20" s="21">
        <f>'Input Sheet'!F18</f>
        <v>100</v>
      </c>
      <c r="P20" s="88"/>
      <c r="Q20" s="88"/>
      <c r="R20" s="88"/>
      <c r="S20" s="88"/>
      <c r="T20" s="88"/>
      <c r="U20" s="88"/>
    </row>
    <row r="21" spans="2:21" x14ac:dyDescent="0.35">
      <c r="C21" t="s">
        <v>138</v>
      </c>
      <c r="F21" s="4">
        <v>0</v>
      </c>
      <c r="G21" s="4">
        <v>0</v>
      </c>
      <c r="H21" s="4">
        <v>0</v>
      </c>
      <c r="J21" s="9">
        <v>0</v>
      </c>
      <c r="K21" s="9">
        <v>0</v>
      </c>
      <c r="L21" s="9">
        <v>10</v>
      </c>
      <c r="M21" s="9">
        <v>10</v>
      </c>
      <c r="N21" s="9">
        <v>20</v>
      </c>
      <c r="O21" s="21">
        <v>20</v>
      </c>
      <c r="P21" s="88"/>
      <c r="Q21" s="88"/>
      <c r="R21" s="88"/>
      <c r="S21" s="88"/>
      <c r="T21" s="88"/>
      <c r="U21" s="88"/>
    </row>
    <row r="22" spans="2:21" x14ac:dyDescent="0.35">
      <c r="B22" t="s">
        <v>137</v>
      </c>
      <c r="F22" s="2">
        <f>SUM(F20:F21)</f>
        <v>6000</v>
      </c>
      <c r="G22" s="2">
        <f>SUM(G20:G21)</f>
        <v>6200</v>
      </c>
      <c r="H22" s="2">
        <f>SUM(H20:H21)</f>
        <v>6600</v>
      </c>
      <c r="J22" s="2">
        <f t="shared" ref="J22:O22" si="3">SUM(J20:J21)</f>
        <v>100</v>
      </c>
      <c r="K22" s="2">
        <f t="shared" si="3"/>
        <v>100</v>
      </c>
      <c r="L22" s="2">
        <f t="shared" si="3"/>
        <v>110</v>
      </c>
      <c r="M22" s="2">
        <f t="shared" si="3"/>
        <v>110</v>
      </c>
      <c r="N22" s="2">
        <f t="shared" si="3"/>
        <v>120</v>
      </c>
      <c r="O22" s="2">
        <f t="shared" si="3"/>
        <v>120</v>
      </c>
      <c r="P22" s="89"/>
      <c r="Q22" s="89"/>
      <c r="R22" s="89"/>
      <c r="S22" s="89"/>
      <c r="T22" s="89"/>
      <c r="U22" s="89"/>
    </row>
    <row r="23" spans="2:21" x14ac:dyDescent="0.35">
      <c r="F23" s="5"/>
      <c r="G23" s="5"/>
      <c r="H23" s="5"/>
      <c r="J23" s="10"/>
      <c r="K23" s="10"/>
      <c r="L23" s="10"/>
      <c r="M23" s="10"/>
      <c r="N23" s="10"/>
      <c r="O23" s="10"/>
      <c r="P23" s="92"/>
      <c r="Q23" s="92"/>
      <c r="R23" s="92"/>
      <c r="S23" s="92"/>
      <c r="T23" s="92"/>
      <c r="U23" s="92"/>
    </row>
    <row r="24" spans="2:21" x14ac:dyDescent="0.35">
      <c r="B24" t="s">
        <v>14</v>
      </c>
      <c r="F24" s="4">
        <v>2900</v>
      </c>
      <c r="G24" s="4">
        <v>2900</v>
      </c>
      <c r="H24" s="4">
        <v>2900</v>
      </c>
      <c r="J24" s="9">
        <v>75</v>
      </c>
      <c r="K24" s="9">
        <v>75</v>
      </c>
      <c r="L24" s="9">
        <v>75</v>
      </c>
      <c r="M24" s="9">
        <v>75</v>
      </c>
      <c r="N24" s="9">
        <v>75</v>
      </c>
      <c r="O24" s="21">
        <f>'Input Sheet'!F20</f>
        <v>75</v>
      </c>
      <c r="P24" s="88"/>
      <c r="Q24" s="88"/>
      <c r="R24" s="88"/>
      <c r="S24" s="88"/>
      <c r="T24" s="88"/>
      <c r="U24" s="88"/>
    </row>
    <row r="25" spans="2:21" x14ac:dyDescent="0.35">
      <c r="F25" s="5"/>
      <c r="G25" s="5"/>
      <c r="H25" s="5"/>
      <c r="J25" s="10"/>
      <c r="K25" s="10"/>
      <c r="L25" s="10"/>
      <c r="M25" s="10"/>
      <c r="N25" s="10"/>
      <c r="O25" s="10"/>
      <c r="P25" s="92"/>
      <c r="Q25" s="92"/>
      <c r="R25" s="92"/>
      <c r="S25" s="92"/>
      <c r="T25" s="92"/>
      <c r="U25" s="92"/>
    </row>
    <row r="26" spans="2:21" x14ac:dyDescent="0.35">
      <c r="B26" t="s">
        <v>15</v>
      </c>
      <c r="F26" s="4">
        <v>1200</v>
      </c>
      <c r="G26" s="4">
        <v>1200</v>
      </c>
      <c r="H26" s="4">
        <v>1200</v>
      </c>
      <c r="J26" s="9">
        <v>62</v>
      </c>
      <c r="K26" s="9">
        <v>62</v>
      </c>
      <c r="L26" s="9">
        <v>62</v>
      </c>
      <c r="M26" s="9">
        <v>62</v>
      </c>
      <c r="N26" s="9">
        <v>62</v>
      </c>
      <c r="O26" s="21">
        <f>'Input Sheet'!F22</f>
        <v>62</v>
      </c>
      <c r="P26" s="88"/>
      <c r="Q26" s="88"/>
      <c r="R26" s="88"/>
      <c r="S26" s="88"/>
      <c r="T26" s="88"/>
      <c r="U26" s="88"/>
    </row>
    <row r="27" spans="2:21" x14ac:dyDescent="0.35">
      <c r="F27" s="4"/>
      <c r="G27" s="4"/>
      <c r="H27" s="4"/>
      <c r="J27" s="10"/>
      <c r="K27" s="10"/>
      <c r="L27" s="10"/>
      <c r="M27" s="10"/>
      <c r="N27" s="10"/>
      <c r="O27" s="10"/>
      <c r="P27" s="92"/>
      <c r="Q27" s="92"/>
      <c r="R27" s="92"/>
      <c r="S27" s="92"/>
      <c r="T27" s="92"/>
      <c r="U27" s="92"/>
    </row>
    <row r="28" spans="2:21" x14ac:dyDescent="0.35">
      <c r="B28" t="s">
        <v>17</v>
      </c>
      <c r="F28" s="4">
        <v>500</v>
      </c>
      <c r="G28" s="4">
        <v>500</v>
      </c>
      <c r="H28" s="4">
        <v>500</v>
      </c>
      <c r="J28" s="9">
        <v>25</v>
      </c>
      <c r="K28" s="9">
        <v>25</v>
      </c>
      <c r="L28" s="9">
        <v>25</v>
      </c>
      <c r="M28" s="9">
        <v>25</v>
      </c>
      <c r="N28" s="9">
        <v>25</v>
      </c>
      <c r="O28" s="21">
        <f>'Input Sheet'!F24</f>
        <v>25</v>
      </c>
      <c r="P28" s="88"/>
      <c r="Q28" s="88"/>
      <c r="R28" s="88"/>
      <c r="S28" s="88"/>
      <c r="T28" s="88"/>
      <c r="U28" s="88"/>
    </row>
    <row r="29" spans="2:21" x14ac:dyDescent="0.35">
      <c r="B29" t="s">
        <v>139</v>
      </c>
      <c r="F29" s="4">
        <v>0</v>
      </c>
      <c r="G29" s="4">
        <v>80</v>
      </c>
      <c r="H29" s="4">
        <v>97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21">
        <f>'Input Sheet'!F25</f>
        <v>0</v>
      </c>
      <c r="P29" s="88"/>
      <c r="Q29" s="88"/>
      <c r="R29" s="88"/>
      <c r="S29" s="88"/>
      <c r="T29" s="88"/>
      <c r="U29" s="88"/>
    </row>
    <row r="30" spans="2:21" x14ac:dyDescent="0.35">
      <c r="F30" s="4"/>
      <c r="G30" s="4"/>
      <c r="H30" s="4"/>
      <c r="J30" s="9"/>
      <c r="K30" s="9"/>
      <c r="L30" s="9"/>
      <c r="M30" s="9"/>
      <c r="N30" s="9"/>
      <c r="O30" s="21"/>
      <c r="P30" s="88"/>
      <c r="Q30" s="88"/>
      <c r="R30" s="88"/>
      <c r="S30" s="88"/>
      <c r="T30" s="88"/>
      <c r="U30" s="88"/>
    </row>
    <row r="31" spans="2:21" x14ac:dyDescent="0.35">
      <c r="B31" t="s">
        <v>370</v>
      </c>
      <c r="F31" s="2">
        <f>F34+F32</f>
        <v>4224</v>
      </c>
      <c r="G31" s="2">
        <f>G34+G32</f>
        <v>4170</v>
      </c>
      <c r="H31" s="2">
        <f>H34+H32</f>
        <v>4983</v>
      </c>
      <c r="J31" s="2">
        <f t="shared" ref="J31:O31" si="4">J34+J32</f>
        <v>51</v>
      </c>
      <c r="K31" s="2">
        <f t="shared" si="4"/>
        <v>48</v>
      </c>
      <c r="L31" s="2">
        <f t="shared" si="4"/>
        <v>41</v>
      </c>
      <c r="M31" s="2">
        <f t="shared" si="4"/>
        <v>31</v>
      </c>
      <c r="N31" s="2">
        <f t="shared" si="4"/>
        <v>31</v>
      </c>
      <c r="O31" s="2">
        <f t="shared" si="4"/>
        <v>31</v>
      </c>
      <c r="P31" s="88"/>
      <c r="Q31" s="88"/>
      <c r="R31" s="88"/>
      <c r="S31" s="88"/>
      <c r="T31" s="88"/>
      <c r="U31" s="88"/>
    </row>
    <row r="32" spans="2:21" x14ac:dyDescent="0.35">
      <c r="B32" t="s">
        <v>134</v>
      </c>
      <c r="F32" s="4">
        <v>0</v>
      </c>
      <c r="G32" s="4">
        <v>0</v>
      </c>
      <c r="H32" s="4">
        <v>10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88"/>
      <c r="Q32" s="88"/>
      <c r="R32" s="88"/>
      <c r="S32" s="88"/>
      <c r="T32" s="88"/>
      <c r="U32" s="88"/>
    </row>
    <row r="33" spans="1:21" x14ac:dyDescent="0.35">
      <c r="J33" s="2"/>
      <c r="K33" s="2"/>
      <c r="L33" s="2"/>
      <c r="M33" s="2"/>
      <c r="N33" s="2"/>
      <c r="O33" s="2"/>
      <c r="P33" s="89"/>
      <c r="Q33" s="89"/>
      <c r="R33" s="89"/>
      <c r="S33" s="89"/>
      <c r="T33" s="89"/>
      <c r="U33" s="89"/>
    </row>
    <row r="34" spans="1:21" x14ac:dyDescent="0.35">
      <c r="B34" t="s">
        <v>19</v>
      </c>
      <c r="F34" s="2">
        <f>F17-F22-F24-F26-F28-F29-F32</f>
        <v>4224</v>
      </c>
      <c r="G34" s="2">
        <f>G17-G22-G24-G26-G28-G29-G32</f>
        <v>4170</v>
      </c>
      <c r="H34" s="2">
        <f>H17-H22-H24-H26-H28-H29-H32</f>
        <v>4973</v>
      </c>
      <c r="J34" s="2">
        <f t="shared" ref="J34:O34" si="5">J17-J22-J24-J26-J28-J29-J32</f>
        <v>51</v>
      </c>
      <c r="K34" s="2">
        <f t="shared" si="5"/>
        <v>48</v>
      </c>
      <c r="L34" s="2">
        <f t="shared" si="5"/>
        <v>41</v>
      </c>
      <c r="M34" s="2">
        <f t="shared" si="5"/>
        <v>31</v>
      </c>
      <c r="N34" s="2">
        <f t="shared" si="5"/>
        <v>31</v>
      </c>
      <c r="O34" s="2">
        <f t="shared" si="5"/>
        <v>31</v>
      </c>
      <c r="P34" s="89"/>
      <c r="Q34" s="89"/>
      <c r="R34" s="89"/>
      <c r="S34" s="89"/>
      <c r="T34" s="89"/>
      <c r="U34" s="89"/>
    </row>
    <row r="35" spans="1:21" x14ac:dyDescent="0.35">
      <c r="P35" s="91"/>
      <c r="Q35" s="91"/>
      <c r="R35" s="91"/>
      <c r="S35" s="91"/>
      <c r="T35" s="91"/>
      <c r="U35" s="91"/>
    </row>
    <row r="36" spans="1:21" x14ac:dyDescent="0.35">
      <c r="B36" t="s">
        <v>16</v>
      </c>
      <c r="F36" s="9">
        <v>0</v>
      </c>
      <c r="G36" s="9">
        <v>50</v>
      </c>
      <c r="H36" s="9">
        <v>50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21">
        <f>'Input Sheet'!F29</f>
        <v>0</v>
      </c>
      <c r="P36" s="88"/>
      <c r="Q36" s="88"/>
      <c r="R36" s="88"/>
      <c r="S36" s="88"/>
      <c r="T36" s="88"/>
      <c r="U36" s="88"/>
    </row>
    <row r="37" spans="1:21" x14ac:dyDescent="0.35">
      <c r="P37" s="91"/>
      <c r="Q37" s="91"/>
      <c r="R37" s="91"/>
      <c r="S37" s="91"/>
      <c r="T37" s="91"/>
      <c r="U37" s="91"/>
    </row>
    <row r="38" spans="1:21" x14ac:dyDescent="0.35">
      <c r="B38" t="s">
        <v>18</v>
      </c>
      <c r="F38" s="72">
        <f>$B$39*F34</f>
        <v>1056</v>
      </c>
      <c r="G38" s="72">
        <f>$B$39*G34</f>
        <v>1042.5</v>
      </c>
      <c r="H38" s="72">
        <f>$B$39*H34</f>
        <v>1243.25</v>
      </c>
      <c r="J38" s="12">
        <f>J34*0.25</f>
        <v>12.75</v>
      </c>
      <c r="K38" s="12">
        <f>K34*0.25</f>
        <v>12</v>
      </c>
      <c r="L38" s="12">
        <f>L34*0.25</f>
        <v>10.25</v>
      </c>
      <c r="M38" s="12">
        <f>M34*0.25</f>
        <v>7.75</v>
      </c>
      <c r="N38" s="12">
        <f>N34*0.25</f>
        <v>7.75</v>
      </c>
      <c r="O38" s="25">
        <f>'Input Sheet'!F31</f>
        <v>12.75</v>
      </c>
      <c r="P38" s="93"/>
      <c r="Q38" s="93"/>
      <c r="R38" s="93"/>
      <c r="S38" s="93"/>
      <c r="T38" s="93"/>
      <c r="U38" s="93"/>
    </row>
    <row r="39" spans="1:21" x14ac:dyDescent="0.35">
      <c r="B39" s="71">
        <v>0.25</v>
      </c>
      <c r="C39" t="s">
        <v>117</v>
      </c>
      <c r="P39" s="91"/>
      <c r="Q39" s="91"/>
      <c r="R39" s="91"/>
      <c r="S39" s="91"/>
      <c r="T39" s="91"/>
      <c r="U39" s="91"/>
    </row>
    <row r="40" spans="1:21" x14ac:dyDescent="0.35">
      <c r="B40" t="s">
        <v>20</v>
      </c>
      <c r="F40" s="2">
        <f>F34-F36-F38</f>
        <v>3168</v>
      </c>
      <c r="G40" s="2">
        <f>G34-G36-G38</f>
        <v>3077.5</v>
      </c>
      <c r="H40" s="2">
        <f>H34-H36-H38</f>
        <v>3679.75</v>
      </c>
      <c r="J40" s="11">
        <f t="shared" ref="J40:O40" si="6">J34-J36-J38</f>
        <v>38.25</v>
      </c>
      <c r="K40" s="11">
        <f t="shared" si="6"/>
        <v>36</v>
      </c>
      <c r="L40" s="11">
        <f t="shared" si="6"/>
        <v>30.75</v>
      </c>
      <c r="M40" s="11">
        <f t="shared" si="6"/>
        <v>23.25</v>
      </c>
      <c r="N40" s="11">
        <f t="shared" si="6"/>
        <v>23.25</v>
      </c>
      <c r="O40" s="11">
        <f t="shared" si="6"/>
        <v>18.25</v>
      </c>
      <c r="P40" s="94"/>
      <c r="Q40" s="94"/>
      <c r="R40" s="94"/>
      <c r="S40" s="94"/>
      <c r="T40" s="94"/>
      <c r="U40" s="94"/>
    </row>
    <row r="41" spans="1:21" s="6" customFormat="1" x14ac:dyDescent="0.35">
      <c r="C41" s="6" t="s">
        <v>21</v>
      </c>
      <c r="F41" s="7">
        <f>F40/F12</f>
        <v>0.12761843377376733</v>
      </c>
      <c r="G41" s="7">
        <f>G40/G12</f>
        <v>0.12045009784735812</v>
      </c>
      <c r="H41" s="7">
        <f>H40/H12</f>
        <v>0.13513587954461989</v>
      </c>
      <c r="J41" s="7">
        <f t="shared" ref="J41:O41" si="7">J40/J12</f>
        <v>4.5918367346938778E-2</v>
      </c>
      <c r="K41" s="7">
        <f t="shared" si="7"/>
        <v>4.3217286914765909E-2</v>
      </c>
      <c r="L41" s="7">
        <f t="shared" si="7"/>
        <v>3.6914765906362543E-2</v>
      </c>
      <c r="M41" s="7">
        <f t="shared" si="7"/>
        <v>2.7911164465786314E-2</v>
      </c>
      <c r="N41" s="7">
        <f t="shared" si="7"/>
        <v>2.7911164465786314E-2</v>
      </c>
      <c r="O41" s="7">
        <f t="shared" si="7"/>
        <v>2.1908763505402162E-2</v>
      </c>
      <c r="P41" s="90"/>
      <c r="Q41" s="90"/>
      <c r="R41" s="90"/>
      <c r="S41" s="90"/>
      <c r="T41" s="90"/>
      <c r="U41" s="90"/>
    </row>
    <row r="44" spans="1:21" x14ac:dyDescent="0.35">
      <c r="A44" s="17" t="s">
        <v>22</v>
      </c>
    </row>
    <row r="45" spans="1:21" ht="15" thickBot="1" x14ac:dyDescent="0.4">
      <c r="C45" s="17" t="s">
        <v>27</v>
      </c>
    </row>
    <row r="46" spans="1:21" s="16" customFormat="1" x14ac:dyDescent="0.35">
      <c r="B46" s="95" t="s">
        <v>26</v>
      </c>
      <c r="I46" s="74" t="s">
        <v>126</v>
      </c>
      <c r="P46" s="96"/>
      <c r="Q46" s="96"/>
      <c r="R46" s="96"/>
      <c r="S46" s="96"/>
      <c r="T46" s="96"/>
      <c r="U46" s="96"/>
    </row>
    <row r="47" spans="1:21" s="16" customFormat="1" x14ac:dyDescent="0.35">
      <c r="C47" s="16" t="s">
        <v>24</v>
      </c>
      <c r="F47" s="16">
        <f>E51</f>
        <v>15</v>
      </c>
      <c r="G47" s="16">
        <f>F51</f>
        <v>105</v>
      </c>
      <c r="H47" s="16">
        <f>G51</f>
        <v>55</v>
      </c>
      <c r="I47" s="75" t="s">
        <v>127</v>
      </c>
      <c r="J47" s="16">
        <v>10</v>
      </c>
      <c r="K47" s="16">
        <f>J51</f>
        <v>-5</v>
      </c>
      <c r="L47" s="16">
        <f>K51</f>
        <v>55</v>
      </c>
      <c r="M47" s="16">
        <f>L51</f>
        <v>53</v>
      </c>
      <c r="N47" s="16">
        <f>M51</f>
        <v>45</v>
      </c>
      <c r="O47" s="16">
        <f>N51</f>
        <v>55</v>
      </c>
      <c r="P47" s="96"/>
      <c r="Q47" s="96"/>
      <c r="R47" s="96"/>
      <c r="S47" s="96"/>
      <c r="T47" s="96"/>
      <c r="U47" s="96"/>
    </row>
    <row r="48" spans="1:21" s="16" customFormat="1" x14ac:dyDescent="0.35">
      <c r="C48" s="16" t="s">
        <v>29</v>
      </c>
      <c r="F48" s="10">
        <v>700</v>
      </c>
      <c r="G48" s="10">
        <v>600</v>
      </c>
      <c r="H48" s="10">
        <v>550</v>
      </c>
      <c r="I48" s="75" t="s">
        <v>128</v>
      </c>
      <c r="J48" s="10">
        <v>45</v>
      </c>
      <c r="K48" s="10">
        <v>100</v>
      </c>
      <c r="L48" s="10">
        <v>45</v>
      </c>
      <c r="M48" s="10">
        <v>47</v>
      </c>
      <c r="N48" s="10">
        <v>60</v>
      </c>
      <c r="O48" s="10">
        <v>60</v>
      </c>
      <c r="P48" s="96"/>
      <c r="Q48" s="96"/>
      <c r="R48" s="96"/>
      <c r="S48" s="96"/>
      <c r="T48" s="96"/>
      <c r="U48" s="96"/>
    </row>
    <row r="49" spans="1:22" s="16" customFormat="1" x14ac:dyDescent="0.35">
      <c r="C49" s="16" t="s">
        <v>30</v>
      </c>
      <c r="F49" s="10">
        <v>600</v>
      </c>
      <c r="G49" s="10">
        <v>640</v>
      </c>
      <c r="H49" s="10">
        <v>535</v>
      </c>
      <c r="I49" s="75" t="s">
        <v>130</v>
      </c>
      <c r="J49" s="10">
        <v>50</v>
      </c>
      <c r="K49" s="10">
        <v>40</v>
      </c>
      <c r="L49" s="10">
        <v>47</v>
      </c>
      <c r="M49" s="10">
        <v>40</v>
      </c>
      <c r="N49" s="10">
        <v>50</v>
      </c>
      <c r="O49" s="10">
        <v>52</v>
      </c>
      <c r="P49" s="96"/>
      <c r="Q49" s="96"/>
      <c r="R49" s="96"/>
      <c r="S49" s="96"/>
      <c r="T49" s="96"/>
      <c r="U49" s="96"/>
    </row>
    <row r="50" spans="1:22" s="16" customFormat="1" x14ac:dyDescent="0.35">
      <c r="C50" s="16" t="s">
        <v>31</v>
      </c>
      <c r="E50" s="10"/>
      <c r="F50" s="10">
        <v>10</v>
      </c>
      <c r="G50" s="10">
        <v>10</v>
      </c>
      <c r="H50" s="10">
        <v>10</v>
      </c>
      <c r="I50" s="76" t="s">
        <v>129</v>
      </c>
      <c r="J50" s="10">
        <v>10</v>
      </c>
      <c r="K50" s="10">
        <v>0</v>
      </c>
      <c r="L50" s="10">
        <v>0</v>
      </c>
      <c r="M50" s="10">
        <v>15</v>
      </c>
      <c r="N50" s="10">
        <v>0</v>
      </c>
      <c r="O50" s="10">
        <v>0</v>
      </c>
      <c r="P50" s="96"/>
      <c r="Q50" s="96"/>
      <c r="R50" s="96"/>
      <c r="S50" s="96"/>
      <c r="T50" s="96"/>
      <c r="U50" s="96"/>
    </row>
    <row r="51" spans="1:22" s="16" customFormat="1" ht="15" thickBot="1" x14ac:dyDescent="0.4">
      <c r="C51" s="95" t="s">
        <v>25</v>
      </c>
      <c r="E51" s="16">
        <f>15</f>
        <v>15</v>
      </c>
      <c r="F51" s="97">
        <f>(F47+F48-F49-F50)</f>
        <v>105</v>
      </c>
      <c r="G51" s="97">
        <f>(G47+G48-G49-G50)</f>
        <v>55</v>
      </c>
      <c r="H51" s="97">
        <f>(H47+H48-H49-H50)</f>
        <v>60</v>
      </c>
      <c r="I51" s="77"/>
      <c r="J51" s="97">
        <f t="shared" ref="J51:O51" si="8">(J47+J48-J49-J50)</f>
        <v>-5</v>
      </c>
      <c r="K51" s="97">
        <f t="shared" si="8"/>
        <v>55</v>
      </c>
      <c r="L51" s="97">
        <f t="shared" si="8"/>
        <v>53</v>
      </c>
      <c r="M51" s="97">
        <f t="shared" si="8"/>
        <v>45</v>
      </c>
      <c r="N51" s="97">
        <f t="shared" si="8"/>
        <v>55</v>
      </c>
      <c r="O51" s="97">
        <f t="shared" si="8"/>
        <v>63</v>
      </c>
      <c r="P51" s="96"/>
      <c r="Q51" s="96"/>
      <c r="R51" s="96"/>
      <c r="S51" s="96"/>
      <c r="T51" s="96"/>
      <c r="U51" s="96"/>
    </row>
    <row r="52" spans="1:22" s="16" customFormat="1" x14ac:dyDescent="0.35"/>
    <row r="53" spans="1:22" s="16" customFormat="1" ht="16.5" customHeight="1" x14ac:dyDescent="0.35"/>
    <row r="54" spans="1:22" s="16" customFormat="1" x14ac:dyDescent="0.35">
      <c r="A54" s="69" t="s">
        <v>111</v>
      </c>
      <c r="J54" s="10"/>
    </row>
    <row r="55" spans="1:22" s="16" customFormat="1" x14ac:dyDescent="0.35">
      <c r="A55" s="69"/>
      <c r="B55" s="69" t="s">
        <v>125</v>
      </c>
      <c r="J55" s="10"/>
    </row>
    <row r="56" spans="1:22" s="16" customFormat="1" x14ac:dyDescent="0.35">
      <c r="B56" s="16" t="s">
        <v>35</v>
      </c>
      <c r="F56" s="4">
        <v>800</v>
      </c>
      <c r="G56" s="4">
        <v>850</v>
      </c>
      <c r="H56" s="4">
        <v>1105</v>
      </c>
      <c r="J56" s="4">
        <v>800</v>
      </c>
      <c r="K56" s="4">
        <v>1105</v>
      </c>
      <c r="L56" s="4">
        <v>800</v>
      </c>
      <c r="M56" s="4">
        <v>770</v>
      </c>
      <c r="N56" s="4">
        <v>500</v>
      </c>
      <c r="O56" s="4">
        <v>500</v>
      </c>
      <c r="P56" s="91"/>
      <c r="Q56" s="91"/>
      <c r="R56" s="91"/>
      <c r="S56" s="91"/>
      <c r="T56" s="91"/>
      <c r="U56" s="91"/>
      <c r="V56" s="91"/>
    </row>
    <row r="57" spans="1:22" s="16" customFormat="1" x14ac:dyDescent="0.35">
      <c r="B57" s="16" t="s">
        <v>28</v>
      </c>
      <c r="F57" s="4">
        <v>450</v>
      </c>
      <c r="G57" s="4">
        <v>300</v>
      </c>
      <c r="H57" s="4">
        <v>400</v>
      </c>
      <c r="J57" s="4">
        <v>55.265999999999998</v>
      </c>
      <c r="K57" s="4">
        <v>200</v>
      </c>
      <c r="L57" s="4">
        <v>200</v>
      </c>
      <c r="M57" s="4">
        <v>200</v>
      </c>
      <c r="N57" s="4">
        <v>200</v>
      </c>
      <c r="O57" s="4">
        <v>200</v>
      </c>
      <c r="P57" s="92"/>
      <c r="Q57" s="92"/>
      <c r="R57" s="92"/>
      <c r="S57" s="92"/>
      <c r="T57" s="92"/>
      <c r="U57" s="92"/>
      <c r="V57" s="92"/>
    </row>
    <row r="58" spans="1:22" s="16" customFormat="1" x14ac:dyDescent="0.35">
      <c r="B58" s="16" t="s">
        <v>23</v>
      </c>
      <c r="D58" s="73">
        <v>12</v>
      </c>
      <c r="E58" s="16" t="s">
        <v>120</v>
      </c>
      <c r="F58" s="72">
        <f>IF(F51&gt;0,F51*$D$58,0)</f>
        <v>1260</v>
      </c>
      <c r="G58" s="72">
        <f>IF(G51&gt;0,G51*$D$58,0)</f>
        <v>660</v>
      </c>
      <c r="H58" s="72">
        <f>IF(H51&gt;0,H51*$D$58,0)</f>
        <v>720</v>
      </c>
      <c r="J58" s="72">
        <f t="shared" ref="J58:O58" si="9">IF(J51&gt;0,J51*$D$58,0)</f>
        <v>0</v>
      </c>
      <c r="K58" s="72">
        <f t="shared" si="9"/>
        <v>660</v>
      </c>
      <c r="L58" s="72">
        <f t="shared" si="9"/>
        <v>636</v>
      </c>
      <c r="M58" s="72">
        <f t="shared" si="9"/>
        <v>540</v>
      </c>
      <c r="N58" s="72">
        <f t="shared" si="9"/>
        <v>660</v>
      </c>
      <c r="O58" s="72">
        <f t="shared" si="9"/>
        <v>756</v>
      </c>
      <c r="P58" s="92"/>
      <c r="Q58" s="92"/>
      <c r="R58" s="92"/>
      <c r="S58" s="92"/>
      <c r="T58" s="92"/>
      <c r="U58" s="92"/>
      <c r="V58" s="92"/>
    </row>
    <row r="59" spans="1:22" s="16" customFormat="1" x14ac:dyDescent="0.35">
      <c r="B59" s="16" t="s">
        <v>119</v>
      </c>
      <c r="F59" s="4">
        <v>0</v>
      </c>
      <c r="G59" s="4">
        <v>0</v>
      </c>
      <c r="H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92"/>
      <c r="Q59" s="92"/>
      <c r="R59" s="92"/>
      <c r="S59" s="92"/>
      <c r="T59" s="92"/>
      <c r="U59" s="92"/>
      <c r="V59" s="92"/>
    </row>
    <row r="60" spans="1:22" s="16" customFormat="1" x14ac:dyDescent="0.35">
      <c r="B60" s="16" t="s">
        <v>118</v>
      </c>
      <c r="F60" s="72">
        <f>SUM(F56:F59)</f>
        <v>2510</v>
      </c>
      <c r="G60" s="72">
        <f>SUM(G56:G59)</f>
        <v>1810</v>
      </c>
      <c r="H60" s="72">
        <f>SUM(H56:H59)</f>
        <v>2225</v>
      </c>
      <c r="J60" s="72">
        <f t="shared" ref="J60:O60" si="10">SUM(J56:J59)</f>
        <v>855.26599999999996</v>
      </c>
      <c r="K60" s="72">
        <f t="shared" si="10"/>
        <v>1965</v>
      </c>
      <c r="L60" s="72">
        <f t="shared" si="10"/>
        <v>1636</v>
      </c>
      <c r="M60" s="72">
        <f t="shared" si="10"/>
        <v>1510</v>
      </c>
      <c r="N60" s="72">
        <f t="shared" si="10"/>
        <v>1360</v>
      </c>
      <c r="O60" s="72">
        <f t="shared" si="10"/>
        <v>1456</v>
      </c>
      <c r="P60" s="92"/>
      <c r="Q60" s="92"/>
      <c r="R60" s="92"/>
      <c r="S60" s="92"/>
      <c r="T60" s="92"/>
      <c r="U60" s="92"/>
      <c r="V60" s="92"/>
    </row>
    <row r="61" spans="1:22" s="16" customFormat="1" x14ac:dyDescent="0.35">
      <c r="F61" s="4"/>
      <c r="J61" s="4"/>
      <c r="K61" s="4"/>
      <c r="L61" s="4"/>
      <c r="M61" s="4"/>
      <c r="N61" s="4"/>
      <c r="O61" s="4"/>
      <c r="P61" s="92"/>
      <c r="Q61" s="92"/>
      <c r="R61" s="92"/>
      <c r="S61" s="92"/>
      <c r="T61" s="92"/>
      <c r="U61" s="92"/>
      <c r="V61" s="92"/>
    </row>
    <row r="62" spans="1:22" s="16" customFormat="1" x14ac:dyDescent="0.35">
      <c r="B62" s="16" t="s">
        <v>122</v>
      </c>
      <c r="F62" s="4">
        <v>200</v>
      </c>
      <c r="G62" s="4">
        <v>200</v>
      </c>
      <c r="H62" s="4">
        <v>240</v>
      </c>
      <c r="J62" s="4">
        <v>119.4</v>
      </c>
      <c r="K62" s="4">
        <v>180</v>
      </c>
      <c r="L62" s="4">
        <v>180</v>
      </c>
      <c r="M62" s="4">
        <v>180</v>
      </c>
      <c r="N62" s="4">
        <v>180</v>
      </c>
      <c r="O62" s="4">
        <v>180</v>
      </c>
      <c r="P62" s="92"/>
      <c r="Q62" s="92"/>
      <c r="R62" s="92"/>
      <c r="S62" s="92"/>
      <c r="T62" s="92"/>
      <c r="U62" s="92"/>
      <c r="V62" s="92"/>
    </row>
    <row r="63" spans="1:22" s="16" customFormat="1" x14ac:dyDescent="0.35">
      <c r="B63" s="16" t="s">
        <v>121</v>
      </c>
      <c r="F63" s="72">
        <f>F60+F62</f>
        <v>2710</v>
      </c>
      <c r="G63" s="72">
        <f>G60+G62</f>
        <v>2010</v>
      </c>
      <c r="H63" s="72">
        <f>H60+H62</f>
        <v>2465</v>
      </c>
      <c r="J63" s="72">
        <f t="shared" ref="J63:O63" si="11">J60+J62</f>
        <v>974.66599999999994</v>
      </c>
      <c r="K63" s="72">
        <f t="shared" si="11"/>
        <v>2145</v>
      </c>
      <c r="L63" s="72">
        <f t="shared" si="11"/>
        <v>1816</v>
      </c>
      <c r="M63" s="72">
        <f t="shared" si="11"/>
        <v>1690</v>
      </c>
      <c r="N63" s="72">
        <f t="shared" si="11"/>
        <v>1540</v>
      </c>
      <c r="O63" s="72">
        <f t="shared" si="11"/>
        <v>1636</v>
      </c>
      <c r="P63" s="92"/>
      <c r="Q63" s="92"/>
      <c r="R63" s="92"/>
      <c r="S63" s="92"/>
      <c r="T63" s="92"/>
      <c r="U63" s="92"/>
      <c r="V63" s="92"/>
    </row>
    <row r="64" spans="1:22" s="16" customFormat="1" x14ac:dyDescent="0.35">
      <c r="J64" s="4"/>
      <c r="K64" s="4"/>
      <c r="L64" s="4"/>
      <c r="M64" s="4"/>
      <c r="N64" s="4"/>
      <c r="O64" s="4"/>
      <c r="P64" s="92"/>
      <c r="Q64" s="92"/>
      <c r="R64" s="92"/>
      <c r="S64" s="92"/>
      <c r="T64" s="92"/>
      <c r="U64" s="92"/>
      <c r="V64" s="92"/>
    </row>
    <row r="65" spans="2:22" s="16" customFormat="1" x14ac:dyDescent="0.35">
      <c r="B65" s="69" t="s">
        <v>124</v>
      </c>
      <c r="J65" s="4"/>
      <c r="K65" s="4"/>
      <c r="L65" s="4"/>
      <c r="M65" s="4"/>
      <c r="N65" s="4"/>
      <c r="O65" s="4"/>
      <c r="P65" s="92"/>
      <c r="Q65" s="92"/>
      <c r="R65" s="92"/>
      <c r="S65" s="92"/>
      <c r="T65" s="92"/>
      <c r="U65" s="92"/>
      <c r="V65" s="92"/>
    </row>
    <row r="66" spans="2:22" s="16" customFormat="1" x14ac:dyDescent="0.35">
      <c r="B66" s="16" t="s">
        <v>112</v>
      </c>
      <c r="F66" s="4">
        <v>0</v>
      </c>
      <c r="G66" s="4">
        <v>0</v>
      </c>
      <c r="H66" s="4">
        <v>50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91"/>
      <c r="Q66" s="91"/>
      <c r="R66" s="91"/>
      <c r="S66" s="91"/>
      <c r="T66" s="91"/>
      <c r="U66" s="91"/>
      <c r="V66" s="91"/>
    </row>
    <row r="67" spans="2:22" s="16" customFormat="1" x14ac:dyDescent="0.35">
      <c r="B67" s="16" t="s">
        <v>107</v>
      </c>
      <c r="F67" s="4">
        <v>750</v>
      </c>
      <c r="G67" s="4">
        <v>95</v>
      </c>
      <c r="H67" s="4">
        <v>130</v>
      </c>
      <c r="J67" s="4">
        <v>61</v>
      </c>
      <c r="K67" s="4">
        <v>130</v>
      </c>
      <c r="L67" s="4">
        <v>110</v>
      </c>
      <c r="M67" s="4">
        <v>120</v>
      </c>
      <c r="N67" s="4">
        <v>110</v>
      </c>
      <c r="O67" s="4">
        <v>110</v>
      </c>
      <c r="P67" s="91"/>
      <c r="Q67" s="91"/>
      <c r="R67" s="91"/>
      <c r="S67" s="91"/>
      <c r="T67" s="91"/>
      <c r="U67" s="91"/>
      <c r="V67" s="91"/>
    </row>
    <row r="68" spans="2:22" s="16" customFormat="1" x14ac:dyDescent="0.35">
      <c r="B68" s="16" t="s">
        <v>123</v>
      </c>
      <c r="F68" s="4">
        <v>0</v>
      </c>
      <c r="G68" s="4">
        <v>25</v>
      </c>
      <c r="H68" s="4">
        <v>32</v>
      </c>
      <c r="J68" s="4">
        <v>20</v>
      </c>
      <c r="K68" s="4">
        <v>20</v>
      </c>
      <c r="L68" s="4">
        <v>20</v>
      </c>
      <c r="M68" s="4">
        <v>20</v>
      </c>
      <c r="N68" s="4">
        <v>20</v>
      </c>
      <c r="O68" s="4">
        <v>20</v>
      </c>
      <c r="P68" s="91"/>
      <c r="Q68" s="91"/>
      <c r="R68" s="91"/>
      <c r="S68" s="91"/>
      <c r="T68" s="91"/>
      <c r="U68" s="91"/>
      <c r="V68" s="91"/>
    </row>
    <row r="69" spans="2:22" s="16" customFormat="1" x14ac:dyDescent="0.35">
      <c r="B69" s="16" t="s">
        <v>132</v>
      </c>
      <c r="F69" s="78">
        <f>SUM(F66:F68)</f>
        <v>750</v>
      </c>
      <c r="G69" s="78">
        <f>SUM(G66:G68)</f>
        <v>120</v>
      </c>
      <c r="H69" s="78">
        <f>SUM(H66:H68)</f>
        <v>212</v>
      </c>
      <c r="J69" s="78">
        <f t="shared" ref="J69:O69" si="12">SUM(J66:J68)</f>
        <v>81</v>
      </c>
      <c r="K69" s="78">
        <f t="shared" si="12"/>
        <v>150</v>
      </c>
      <c r="L69" s="78">
        <f t="shared" si="12"/>
        <v>130</v>
      </c>
      <c r="M69" s="78">
        <f t="shared" si="12"/>
        <v>140</v>
      </c>
      <c r="N69" s="78">
        <f t="shared" si="12"/>
        <v>130</v>
      </c>
      <c r="O69" s="78">
        <f t="shared" si="12"/>
        <v>130</v>
      </c>
      <c r="P69" s="91"/>
      <c r="Q69" s="91"/>
      <c r="R69" s="91"/>
      <c r="S69" s="91"/>
      <c r="T69" s="91"/>
      <c r="U69" s="91"/>
      <c r="V69" s="91"/>
    </row>
    <row r="70" spans="2:22" x14ac:dyDescent="0.35">
      <c r="P70" s="91"/>
      <c r="Q70" s="91"/>
      <c r="R70" s="91"/>
      <c r="S70" s="91"/>
      <c r="T70" s="91"/>
      <c r="U70" s="91"/>
      <c r="V70" s="91"/>
    </row>
    <row r="71" spans="2:22" x14ac:dyDescent="0.35">
      <c r="B71" s="16" t="s">
        <v>113</v>
      </c>
      <c r="F71" s="4">
        <v>0</v>
      </c>
      <c r="G71" s="4">
        <v>500</v>
      </c>
      <c r="H71" s="4">
        <v>450</v>
      </c>
      <c r="J71" s="4">
        <v>500</v>
      </c>
      <c r="K71" s="4">
        <v>450</v>
      </c>
      <c r="L71" s="4">
        <v>450</v>
      </c>
      <c r="M71" s="4">
        <v>450</v>
      </c>
      <c r="N71" s="4">
        <v>450</v>
      </c>
      <c r="O71" s="4">
        <v>450</v>
      </c>
      <c r="P71" s="91"/>
      <c r="Q71" s="91"/>
      <c r="R71" s="91"/>
      <c r="S71" s="91"/>
      <c r="T71" s="91"/>
      <c r="U71" s="91"/>
      <c r="V71" s="91"/>
    </row>
    <row r="72" spans="2:22" x14ac:dyDescent="0.35">
      <c r="B72" s="16" t="s">
        <v>131</v>
      </c>
      <c r="F72" s="2">
        <f>F71+F69</f>
        <v>750</v>
      </c>
      <c r="G72" s="2">
        <f>G71+G69</f>
        <v>620</v>
      </c>
      <c r="H72" s="2">
        <f>H71+H69</f>
        <v>662</v>
      </c>
      <c r="J72" s="2">
        <f t="shared" ref="J72:O72" si="13">J71+J69</f>
        <v>581</v>
      </c>
      <c r="K72" s="2">
        <f t="shared" si="13"/>
        <v>600</v>
      </c>
      <c r="L72" s="2">
        <f t="shared" si="13"/>
        <v>580</v>
      </c>
      <c r="M72" s="2">
        <f t="shared" si="13"/>
        <v>590</v>
      </c>
      <c r="N72" s="2">
        <f t="shared" si="13"/>
        <v>580</v>
      </c>
      <c r="O72" s="2">
        <f t="shared" si="13"/>
        <v>580</v>
      </c>
      <c r="P72" s="91"/>
      <c r="Q72" s="91"/>
      <c r="R72" s="91"/>
      <c r="S72" s="91"/>
      <c r="T72" s="91"/>
      <c r="U72" s="91"/>
      <c r="V72" s="91"/>
    </row>
    <row r="73" spans="2:22" x14ac:dyDescent="0.35">
      <c r="B73" s="16" t="s">
        <v>133</v>
      </c>
      <c r="F73" s="2">
        <f>F63-F72</f>
        <v>1960</v>
      </c>
      <c r="G73" s="2">
        <f>G63-G72</f>
        <v>1390</v>
      </c>
      <c r="H73" s="2">
        <f>H63-H72</f>
        <v>1803</v>
      </c>
      <c r="J73" s="2">
        <f t="shared" ref="J73:O73" si="14">J63-J72</f>
        <v>393.66599999999994</v>
      </c>
      <c r="K73" s="2">
        <f t="shared" si="14"/>
        <v>1545</v>
      </c>
      <c r="L73" s="2">
        <f t="shared" si="14"/>
        <v>1236</v>
      </c>
      <c r="M73" s="2">
        <f t="shared" si="14"/>
        <v>1100</v>
      </c>
      <c r="N73" s="2">
        <f t="shared" si="14"/>
        <v>960</v>
      </c>
      <c r="O73" s="2">
        <f t="shared" si="14"/>
        <v>1056</v>
      </c>
    </row>
    <row r="74" spans="2:22" x14ac:dyDescent="0.35"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22" s="26" customFormat="1" ht="15.5" x14ac:dyDescent="0.35"/>
    <row r="76" spans="2:22" s="26" customFormat="1" ht="15.5" x14ac:dyDescent="0.35"/>
    <row r="77" spans="2:22" s="26" customFormat="1" ht="15.5" x14ac:dyDescent="0.35"/>
    <row r="78" spans="2:22" s="26" customFormat="1" ht="15.5" x14ac:dyDescent="0.35"/>
    <row r="79" spans="2:22" s="26" customFormat="1" ht="15.5" x14ac:dyDescent="0.35"/>
    <row r="80" spans="2:22" s="26" customFormat="1" ht="15.5" x14ac:dyDescent="0.35"/>
    <row r="81" s="26" customFormat="1" ht="15.5" x14ac:dyDescent="0.35"/>
    <row r="101" spans="3:22" s="13" customFormat="1" x14ac:dyDescent="0.35"/>
    <row r="104" spans="3:22" ht="45.5" x14ac:dyDescent="0.35">
      <c r="C104" s="119" t="s">
        <v>186</v>
      </c>
      <c r="D104" s="117" t="s">
        <v>187</v>
      </c>
      <c r="E104" s="118">
        <v>0</v>
      </c>
    </row>
    <row r="105" spans="3:22" ht="15.5" x14ac:dyDescent="0.35">
      <c r="C105" s="116"/>
      <c r="D105" s="117"/>
      <c r="E105" s="118"/>
    </row>
    <row r="106" spans="3:22" ht="45.5" x14ac:dyDescent="0.35">
      <c r="C106" s="116" t="s">
        <v>191</v>
      </c>
      <c r="D106" s="117" t="s">
        <v>192</v>
      </c>
      <c r="E106" s="118" t="s">
        <v>193</v>
      </c>
    </row>
    <row r="107" spans="3:22" ht="60.5" x14ac:dyDescent="0.35">
      <c r="C107" s="119" t="s">
        <v>194</v>
      </c>
      <c r="D107" s="117" t="s">
        <v>392</v>
      </c>
      <c r="E107" s="118" t="s">
        <v>195</v>
      </c>
      <c r="F107" s="154">
        <f>F12/AVERAGE(F57,E57)</f>
        <v>55.164444444444442</v>
      </c>
      <c r="G107" s="154">
        <f>G12/AVERAGE(G57,F57)</f>
        <v>68.13333333333334</v>
      </c>
      <c r="H107" s="154">
        <f>H12/AVERAGE(H57,G57)</f>
        <v>77.8</v>
      </c>
      <c r="K107" s="154">
        <f>K12/AVERAGE(K57,J57)</f>
        <v>6.5265252716773876</v>
      </c>
      <c r="L107" s="154">
        <f t="shared" ref="L107:O107" si="15">L12/AVERAGE(L57,K57)</f>
        <v>4.165</v>
      </c>
      <c r="M107" s="154">
        <f t="shared" si="15"/>
        <v>4.165</v>
      </c>
      <c r="N107" s="154">
        <f t="shared" si="15"/>
        <v>4.165</v>
      </c>
      <c r="O107" s="154">
        <f t="shared" si="15"/>
        <v>4.165</v>
      </c>
      <c r="P107" s="154"/>
      <c r="Q107" s="154"/>
      <c r="R107" s="154"/>
      <c r="S107" s="154"/>
      <c r="T107" s="154"/>
      <c r="U107" s="154"/>
      <c r="V107" s="154"/>
    </row>
    <row r="108" spans="3:22" ht="15.5" x14ac:dyDescent="0.35">
      <c r="C108" s="116"/>
      <c r="D108" s="117"/>
      <c r="E108" s="1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ECF-C740-427D-80AD-6380EF02A2D3}">
  <dimension ref="A3:E59"/>
  <sheetViews>
    <sheetView topLeftCell="A10" workbookViewId="0">
      <selection activeCell="B28" sqref="B28"/>
    </sheetView>
  </sheetViews>
  <sheetFormatPr defaultRowHeight="14.5" x14ac:dyDescent="0.35"/>
  <cols>
    <col min="1" max="1" width="2.81640625" customWidth="1"/>
    <col min="2" max="2" width="23.1796875" bestFit="1" customWidth="1"/>
    <col min="3" max="3" width="46.1796875" bestFit="1" customWidth="1"/>
    <col min="4" max="4" width="23.1796875" bestFit="1" customWidth="1"/>
    <col min="5" max="5" width="44.6328125" bestFit="1" customWidth="1"/>
  </cols>
  <sheetData>
    <row r="3" spans="1:5" x14ac:dyDescent="0.35">
      <c r="A3" t="s">
        <v>291</v>
      </c>
      <c r="B3" t="s">
        <v>292</v>
      </c>
    </row>
    <row r="4" spans="1:5" x14ac:dyDescent="0.35">
      <c r="B4" t="s">
        <v>293</v>
      </c>
    </row>
    <row r="6" spans="1:5" x14ac:dyDescent="0.35">
      <c r="B6" t="s">
        <v>294</v>
      </c>
      <c r="C6" s="131" t="s">
        <v>394</v>
      </c>
    </row>
    <row r="7" spans="1:5" x14ac:dyDescent="0.35">
      <c r="B7" t="s">
        <v>295</v>
      </c>
      <c r="C7" s="132" t="s">
        <v>395</v>
      </c>
    </row>
    <row r="11" spans="1:5" x14ac:dyDescent="0.35">
      <c r="A11" t="s">
        <v>296</v>
      </c>
      <c r="B11" t="s">
        <v>297</v>
      </c>
      <c r="C11" s="17" t="s">
        <v>298</v>
      </c>
      <c r="D11" s="17" t="s">
        <v>299</v>
      </c>
      <c r="E11" s="17" t="s">
        <v>300</v>
      </c>
    </row>
    <row r="12" spans="1:5" x14ac:dyDescent="0.35">
      <c r="B12" t="s">
        <v>301</v>
      </c>
      <c r="C12" s="132" t="s">
        <v>396</v>
      </c>
      <c r="D12" s="132" t="s">
        <v>397</v>
      </c>
      <c r="E12" s="132" t="s">
        <v>394</v>
      </c>
    </row>
    <row r="13" spans="1:5" x14ac:dyDescent="0.35">
      <c r="B13" t="s">
        <v>302</v>
      </c>
      <c r="C13" s="132" t="s">
        <v>398</v>
      </c>
      <c r="D13" s="132" t="s">
        <v>399</v>
      </c>
      <c r="E13" s="132" t="s">
        <v>400</v>
      </c>
    </row>
    <row r="14" spans="1:5" x14ac:dyDescent="0.35">
      <c r="B14" t="s">
        <v>95</v>
      </c>
      <c r="C14" s="132" t="s">
        <v>401</v>
      </c>
      <c r="D14" s="132" t="s">
        <v>402</v>
      </c>
      <c r="E14" s="132" t="s">
        <v>403</v>
      </c>
    </row>
    <row r="17" spans="1:5" x14ac:dyDescent="0.35">
      <c r="B17" t="s">
        <v>303</v>
      </c>
      <c r="C17" t="s">
        <v>304</v>
      </c>
      <c r="D17" t="s">
        <v>305</v>
      </c>
      <c r="E17" t="s">
        <v>306</v>
      </c>
    </row>
    <row r="18" spans="1:5" x14ac:dyDescent="0.35">
      <c r="A18" t="s">
        <v>307</v>
      </c>
      <c r="B18" t="s">
        <v>65</v>
      </c>
      <c r="C18" s="132" t="s">
        <v>404</v>
      </c>
      <c r="D18" s="132" t="s">
        <v>405</v>
      </c>
      <c r="E18" s="132" t="s">
        <v>406</v>
      </c>
    </row>
    <row r="19" spans="1:5" x14ac:dyDescent="0.35">
      <c r="B19" t="s">
        <v>72</v>
      </c>
      <c r="C19" s="132" t="s">
        <v>407</v>
      </c>
      <c r="D19" s="132" t="s">
        <v>408</v>
      </c>
      <c r="E19" s="132" t="s">
        <v>409</v>
      </c>
    </row>
    <row r="23" spans="1:5" x14ac:dyDescent="0.35">
      <c r="A23" t="s">
        <v>308</v>
      </c>
      <c r="B23" t="s">
        <v>309</v>
      </c>
    </row>
    <row r="24" spans="1:5" x14ac:dyDescent="0.35">
      <c r="B24" t="s">
        <v>310</v>
      </c>
    </row>
    <row r="25" spans="1:5" x14ac:dyDescent="0.35">
      <c r="B25" t="s">
        <v>1</v>
      </c>
      <c r="C25" s="132" t="s">
        <v>416</v>
      </c>
      <c r="D25" t="s">
        <v>417</v>
      </c>
    </row>
    <row r="26" spans="1:5" x14ac:dyDescent="0.35">
      <c r="B26" t="s">
        <v>2</v>
      </c>
      <c r="C26" s="132" t="s">
        <v>418</v>
      </c>
      <c r="D26" t="s">
        <v>417</v>
      </c>
    </row>
    <row r="27" spans="1:5" x14ac:dyDescent="0.35">
      <c r="B27" t="s">
        <v>3</v>
      </c>
      <c r="C27" s="132" t="s">
        <v>419</v>
      </c>
      <c r="D27" t="s">
        <v>417</v>
      </c>
    </row>
    <row r="28" spans="1:5" x14ac:dyDescent="0.35">
      <c r="B28" t="s">
        <v>4</v>
      </c>
      <c r="C28" s="132" t="s">
        <v>420</v>
      </c>
      <c r="D28" t="s">
        <v>417</v>
      </c>
    </row>
    <row r="29" spans="1:5" x14ac:dyDescent="0.35">
      <c r="B29" t="s">
        <v>5</v>
      </c>
      <c r="C29" s="132" t="s">
        <v>421</v>
      </c>
      <c r="D29" t="s">
        <v>417</v>
      </c>
    </row>
    <row r="30" spans="1:5" x14ac:dyDescent="0.35">
      <c r="B30" t="s">
        <v>311</v>
      </c>
      <c r="C30" s="132" t="s">
        <v>422</v>
      </c>
      <c r="D30" t="s">
        <v>417</v>
      </c>
    </row>
    <row r="33" spans="1:4" x14ac:dyDescent="0.35">
      <c r="A33" t="s">
        <v>312</v>
      </c>
      <c r="B33" t="s">
        <v>313</v>
      </c>
    </row>
    <row r="34" spans="1:4" x14ac:dyDescent="0.35">
      <c r="B34" t="s">
        <v>314</v>
      </c>
    </row>
    <row r="35" spans="1:4" x14ac:dyDescent="0.35">
      <c r="C35" t="s">
        <v>315</v>
      </c>
      <c r="D35" t="s">
        <v>316</v>
      </c>
    </row>
    <row r="36" spans="1:4" x14ac:dyDescent="0.35">
      <c r="B36" s="133" t="s">
        <v>317</v>
      </c>
      <c r="C36" s="134" t="s">
        <v>318</v>
      </c>
      <c r="D36" s="134" t="s">
        <v>319</v>
      </c>
    </row>
    <row r="37" spans="1:4" x14ac:dyDescent="0.35">
      <c r="B37" s="133" t="s">
        <v>320</v>
      </c>
      <c r="C37" s="134" t="s">
        <v>321</v>
      </c>
      <c r="D37" s="134" t="s">
        <v>322</v>
      </c>
    </row>
    <row r="38" spans="1:4" x14ac:dyDescent="0.35">
      <c r="B38" s="133" t="s">
        <v>323</v>
      </c>
      <c r="C38" s="134" t="s">
        <v>324</v>
      </c>
      <c r="D38" s="134" t="s">
        <v>325</v>
      </c>
    </row>
    <row r="39" spans="1:4" x14ac:dyDescent="0.35">
      <c r="B39" s="133" t="s">
        <v>326</v>
      </c>
      <c r="C39" s="134" t="s">
        <v>327</v>
      </c>
      <c r="D39" s="134" t="s">
        <v>328</v>
      </c>
    </row>
    <row r="40" spans="1:4" x14ac:dyDescent="0.35">
      <c r="B40" s="133" t="s">
        <v>329</v>
      </c>
      <c r="C40" s="134" t="s">
        <v>330</v>
      </c>
      <c r="D40" s="134" t="s">
        <v>331</v>
      </c>
    </row>
    <row r="41" spans="1:4" x14ac:dyDescent="0.35">
      <c r="B41" s="133" t="s">
        <v>332</v>
      </c>
      <c r="C41" s="134" t="s">
        <v>333</v>
      </c>
      <c r="D41" s="134" t="s">
        <v>334</v>
      </c>
    </row>
    <row r="44" spans="1:4" x14ac:dyDescent="0.35">
      <c r="A44" t="s">
        <v>335</v>
      </c>
      <c r="B44" t="s">
        <v>336</v>
      </c>
    </row>
    <row r="45" spans="1:4" x14ac:dyDescent="0.35">
      <c r="B45" t="s">
        <v>337</v>
      </c>
      <c r="C45" s="132" t="s">
        <v>338</v>
      </c>
    </row>
    <row r="46" spans="1:4" x14ac:dyDescent="0.35">
      <c r="B46" t="s">
        <v>339</v>
      </c>
      <c r="C46" s="132" t="s">
        <v>340</v>
      </c>
    </row>
    <row r="50" spans="2:3" x14ac:dyDescent="0.35">
      <c r="B50" t="s">
        <v>341</v>
      </c>
      <c r="C50" t="s">
        <v>342</v>
      </c>
    </row>
    <row r="51" spans="2:3" x14ac:dyDescent="0.35">
      <c r="B51" t="s">
        <v>109</v>
      </c>
      <c r="C51" s="132" t="s">
        <v>410</v>
      </c>
    </row>
    <row r="52" spans="2:3" x14ac:dyDescent="0.35">
      <c r="B52" t="s">
        <v>106</v>
      </c>
      <c r="C52" s="132" t="s">
        <v>411</v>
      </c>
    </row>
    <row r="53" spans="2:3" x14ac:dyDescent="0.35">
      <c r="B53" t="s">
        <v>343</v>
      </c>
      <c r="C53" s="134" t="s">
        <v>412</v>
      </c>
    </row>
    <row r="56" spans="2:3" x14ac:dyDescent="0.35">
      <c r="B56" t="s">
        <v>344</v>
      </c>
    </row>
    <row r="57" spans="2:3" ht="15.5" x14ac:dyDescent="0.35">
      <c r="B57" s="135" t="s">
        <v>413</v>
      </c>
      <c r="C57" s="26" t="s">
        <v>105</v>
      </c>
    </row>
    <row r="58" spans="2:3" ht="15.5" x14ac:dyDescent="0.35">
      <c r="B58" s="136" t="s">
        <v>414</v>
      </c>
      <c r="C58" s="26" t="s">
        <v>28</v>
      </c>
    </row>
    <row r="59" spans="2:3" ht="15.5" x14ac:dyDescent="0.35">
      <c r="B59" s="136" t="s">
        <v>415</v>
      </c>
      <c r="C59" s="26" t="s">
        <v>107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7ED2-E52F-4BB0-B71F-DCEA32FC0196}">
  <dimension ref="A1:Q67"/>
  <sheetViews>
    <sheetView tabSelected="1" topLeftCell="A39" workbookViewId="0">
      <selection activeCell="A47" sqref="A47"/>
    </sheetView>
  </sheetViews>
  <sheetFormatPr defaultRowHeight="14.5" x14ac:dyDescent="0.35"/>
  <cols>
    <col min="3" max="3" width="29.6328125" customWidth="1"/>
    <col min="4" max="9" width="34.6328125" bestFit="1" customWidth="1"/>
    <col min="10" max="10" width="17.81640625" customWidth="1"/>
  </cols>
  <sheetData>
    <row r="1" spans="3:9" x14ac:dyDescent="0.35">
      <c r="C1" s="139" t="s">
        <v>374</v>
      </c>
    </row>
    <row r="2" spans="3:9" x14ac:dyDescent="0.35">
      <c r="D2" s="70">
        <v>43040</v>
      </c>
      <c r="E2" s="70">
        <v>43070</v>
      </c>
      <c r="F2" s="70">
        <v>43101</v>
      </c>
      <c r="G2" s="70">
        <v>43132</v>
      </c>
      <c r="H2" s="70">
        <v>43160</v>
      </c>
      <c r="I2" s="70">
        <v>43191</v>
      </c>
    </row>
    <row r="3" spans="3:9" x14ac:dyDescent="0.35">
      <c r="C3" s="140" t="s">
        <v>377</v>
      </c>
      <c r="D3" s="164" t="s">
        <v>423</v>
      </c>
      <c r="E3" s="164" t="s">
        <v>424</v>
      </c>
      <c r="F3" s="164" t="s">
        <v>425</v>
      </c>
      <c r="G3" s="164" t="s">
        <v>426</v>
      </c>
      <c r="H3" s="164" t="s">
        <v>427</v>
      </c>
      <c r="I3" s="164" t="s">
        <v>428</v>
      </c>
    </row>
    <row r="4" spans="3:9" x14ac:dyDescent="0.35">
      <c r="C4" s="16" t="s">
        <v>376</v>
      </c>
      <c r="D4" s="165" t="s">
        <v>429</v>
      </c>
      <c r="E4" s="165" t="s">
        <v>430</v>
      </c>
      <c r="F4" s="165" t="s">
        <v>431</v>
      </c>
      <c r="G4" s="165" t="s">
        <v>432</v>
      </c>
      <c r="H4" s="165" t="s">
        <v>433</v>
      </c>
      <c r="I4" s="165" t="s">
        <v>434</v>
      </c>
    </row>
    <row r="5" spans="3:9" x14ac:dyDescent="0.35">
      <c r="C5" s="139"/>
    </row>
    <row r="6" spans="3:9" x14ac:dyDescent="0.35">
      <c r="C6" s="139"/>
    </row>
    <row r="7" spans="3:9" x14ac:dyDescent="0.35">
      <c r="C7" s="139"/>
    </row>
    <row r="8" spans="3:9" x14ac:dyDescent="0.35">
      <c r="C8" s="139" t="s">
        <v>375</v>
      </c>
    </row>
    <row r="9" spans="3:9" x14ac:dyDescent="0.35">
      <c r="C9" s="139"/>
      <c r="D9" s="70">
        <v>43040</v>
      </c>
      <c r="E9" s="70">
        <v>43070</v>
      </c>
      <c r="F9" s="70">
        <v>43101</v>
      </c>
      <c r="G9" s="70">
        <v>43132</v>
      </c>
      <c r="H9" s="70">
        <v>43160</v>
      </c>
      <c r="I9" s="70">
        <v>43191</v>
      </c>
    </row>
    <row r="10" spans="3:9" x14ac:dyDescent="0.35">
      <c r="C10" s="140" t="s">
        <v>377</v>
      </c>
      <c r="D10" s="10">
        <v>20</v>
      </c>
      <c r="E10" s="10">
        <v>25</v>
      </c>
      <c r="F10" s="10">
        <v>1</v>
      </c>
      <c r="G10" s="10">
        <v>-4</v>
      </c>
      <c r="H10" s="10">
        <v>-39</v>
      </c>
      <c r="I10" s="10">
        <v>66</v>
      </c>
    </row>
    <row r="11" spans="3:9" x14ac:dyDescent="0.35">
      <c r="C11" s="16" t="s">
        <v>376</v>
      </c>
      <c r="D11" s="10">
        <v>10</v>
      </c>
      <c r="E11" s="10">
        <v>15</v>
      </c>
      <c r="F11" s="10">
        <v>85</v>
      </c>
      <c r="G11" s="10">
        <v>85</v>
      </c>
      <c r="H11" s="10">
        <v>85</v>
      </c>
      <c r="I11" s="10">
        <v>85</v>
      </c>
    </row>
    <row r="13" spans="3:9" x14ac:dyDescent="0.35">
      <c r="D13" s="70">
        <v>43040</v>
      </c>
      <c r="E13" s="70">
        <v>43070</v>
      </c>
      <c r="F13" s="70">
        <v>43101</v>
      </c>
      <c r="G13" s="70">
        <v>43132</v>
      </c>
      <c r="H13" s="70">
        <v>43160</v>
      </c>
      <c r="I13" s="70">
        <v>43191</v>
      </c>
    </row>
    <row r="14" spans="3:9" x14ac:dyDescent="0.35">
      <c r="C14" t="s">
        <v>105</v>
      </c>
      <c r="D14" s="166" t="s">
        <v>435</v>
      </c>
      <c r="E14" s="166" t="s">
        <v>438</v>
      </c>
      <c r="F14" s="166" t="s">
        <v>441</v>
      </c>
      <c r="G14" s="166" t="s">
        <v>444</v>
      </c>
      <c r="H14" s="166" t="s">
        <v>447</v>
      </c>
      <c r="I14" s="166" t="s">
        <v>414</v>
      </c>
    </row>
    <row r="15" spans="3:9" x14ac:dyDescent="0.35">
      <c r="C15" t="s">
        <v>28</v>
      </c>
      <c r="D15" s="166" t="s">
        <v>436</v>
      </c>
      <c r="E15" s="166" t="s">
        <v>439</v>
      </c>
      <c r="F15" s="166" t="s">
        <v>442</v>
      </c>
      <c r="G15" s="166" t="s">
        <v>445</v>
      </c>
      <c r="H15" s="166" t="s">
        <v>448</v>
      </c>
      <c r="I15" s="166" t="s">
        <v>450</v>
      </c>
    </row>
    <row r="16" spans="3:9" x14ac:dyDescent="0.35">
      <c r="C16" t="s">
        <v>107</v>
      </c>
      <c r="D16" s="166" t="s">
        <v>437</v>
      </c>
      <c r="E16" s="166" t="s">
        <v>440</v>
      </c>
      <c r="F16" s="166" t="s">
        <v>443</v>
      </c>
      <c r="G16" s="166" t="s">
        <v>446</v>
      </c>
      <c r="H16" s="166" t="s">
        <v>449</v>
      </c>
      <c r="I16" s="166" t="s">
        <v>451</v>
      </c>
    </row>
    <row r="17" spans="3:10" x14ac:dyDescent="0.35">
      <c r="J17" s="156"/>
    </row>
    <row r="18" spans="3:10" x14ac:dyDescent="0.35">
      <c r="J18" s="156"/>
    </row>
    <row r="19" spans="3:10" x14ac:dyDescent="0.35">
      <c r="F19" s="153"/>
      <c r="G19" s="153"/>
      <c r="H19" s="153"/>
    </row>
    <row r="20" spans="3:10" x14ac:dyDescent="0.35">
      <c r="F20" s="153"/>
      <c r="G20" s="153"/>
      <c r="H20" s="153"/>
    </row>
    <row r="21" spans="3:10" x14ac:dyDescent="0.35">
      <c r="D21" s="70">
        <v>43040</v>
      </c>
      <c r="E21" s="70">
        <v>43070</v>
      </c>
      <c r="F21" s="70">
        <v>43101</v>
      </c>
      <c r="G21" s="70">
        <v>43132</v>
      </c>
      <c r="H21" s="70">
        <v>43160</v>
      </c>
      <c r="I21" s="70">
        <v>43191</v>
      </c>
    </row>
    <row r="22" spans="3:10" x14ac:dyDescent="0.35">
      <c r="C22" t="s">
        <v>390</v>
      </c>
      <c r="D22" s="155" t="e">
        <f>'Finance Sheet'!J16/'Finance Sheet'!J58</f>
        <v>#DIV/0!</v>
      </c>
      <c r="E22" s="155">
        <f>'Finance Sheet'!K16/'Finance Sheet'!K58</f>
        <v>0.79242424242424248</v>
      </c>
      <c r="F22" s="155">
        <f>'Finance Sheet'!L16/'Finance Sheet'!L58</f>
        <v>0.8176100628930818</v>
      </c>
      <c r="G22" s="155">
        <f>'Finance Sheet'!M16/'Finance Sheet'!M58</f>
        <v>0.98148148148148151</v>
      </c>
      <c r="H22" s="155">
        <f>'Finance Sheet'!N16/'Finance Sheet'!N58</f>
        <v>0.78787878787878785</v>
      </c>
      <c r="I22" s="155">
        <f>'Finance Sheet'!O16/'Finance Sheet'!O58</f>
        <v>0.68783068783068779</v>
      </c>
    </row>
    <row r="23" spans="3:10" x14ac:dyDescent="0.35">
      <c r="C23" t="s">
        <v>194</v>
      </c>
      <c r="D23" s="156"/>
      <c r="E23" s="155">
        <f>'Finance Sheet'!K107</f>
        <v>6.5265252716773876</v>
      </c>
      <c r="F23" s="155">
        <f>'Finance Sheet'!L107</f>
        <v>4.165</v>
      </c>
      <c r="G23" s="155">
        <f>'Finance Sheet'!M107</f>
        <v>4.165</v>
      </c>
      <c r="H23" s="155">
        <f>'Finance Sheet'!N107</f>
        <v>4.165</v>
      </c>
      <c r="I23" s="155">
        <f>'Finance Sheet'!O107</f>
        <v>4.165</v>
      </c>
    </row>
    <row r="25" spans="3:10" x14ac:dyDescent="0.35">
      <c r="D25" s="1">
        <f>I13</f>
        <v>43191</v>
      </c>
    </row>
    <row r="26" spans="3:10" x14ac:dyDescent="0.35">
      <c r="C26" t="s">
        <v>382</v>
      </c>
    </row>
    <row r="27" spans="3:10" x14ac:dyDescent="0.35">
      <c r="C27" t="s">
        <v>383</v>
      </c>
      <c r="D27" s="166" t="s">
        <v>452</v>
      </c>
    </row>
    <row r="28" spans="3:10" x14ac:dyDescent="0.35">
      <c r="C28" t="s">
        <v>384</v>
      </c>
      <c r="D28" s="166" t="s">
        <v>453</v>
      </c>
    </row>
    <row r="29" spans="3:10" x14ac:dyDescent="0.35">
      <c r="C29" t="s">
        <v>385</v>
      </c>
      <c r="D29" s="166" t="s">
        <v>454</v>
      </c>
    </row>
    <row r="30" spans="3:10" x14ac:dyDescent="0.35">
      <c r="C30" t="s">
        <v>386</v>
      </c>
      <c r="D30" s="166" t="s">
        <v>455</v>
      </c>
    </row>
    <row r="31" spans="3:10" x14ac:dyDescent="0.35">
      <c r="C31" t="s">
        <v>387</v>
      </c>
      <c r="D31" s="166" t="s">
        <v>456</v>
      </c>
    </row>
    <row r="32" spans="3:10" x14ac:dyDescent="0.35">
      <c r="C32" t="s">
        <v>388</v>
      </c>
      <c r="D32" s="166" t="s">
        <v>457</v>
      </c>
    </row>
    <row r="33" spans="1:17" x14ac:dyDescent="0.35">
      <c r="C33" t="s">
        <v>389</v>
      </c>
      <c r="D33" s="166" t="s">
        <v>458</v>
      </c>
    </row>
    <row r="36" spans="1:17" x14ac:dyDescent="0.35">
      <c r="C36" t="s">
        <v>391</v>
      </c>
      <c r="F36" s="153" t="str">
        <f>'For Luca -another'!E48</f>
        <v>='Finance Sheet'!F16/'Finance Sheet'!F58</v>
      </c>
      <c r="G36" s="153" t="str">
        <f>'For Luca -another'!F48</f>
        <v>='Finance Sheet'!G16/'Finance Sheet'!G58</v>
      </c>
      <c r="H36" s="153" t="str">
        <f>'For Luca -another'!G48</f>
        <v>='Finance Sheet'!H16/'Finance Sheet'!H58</v>
      </c>
    </row>
    <row r="38" spans="1:17" ht="15.5" x14ac:dyDescent="0.35">
      <c r="C38" s="39" t="s">
        <v>60</v>
      </c>
      <c r="D38" s="26"/>
      <c r="E38" s="26"/>
      <c r="F38" s="158" t="str">
        <f>'For Luca -another'!E47</f>
        <v>=('Finance Sheet'!F56+'Finance Sheet'!F57)/'Finance Sheet'!F69</v>
      </c>
      <c r="G38" s="158" t="str">
        <f>'For Luca -another'!F47</f>
        <v>=('Finance Sheet'!G56+'Finance Sheet'!G57)/'Finance Sheet'!G69</v>
      </c>
      <c r="H38" s="158" t="str">
        <f>'For Luca -another'!G47</f>
        <v>=('Finance Sheet'!H56+'Finance Sheet'!H57)/'Finance Sheet'!H69</v>
      </c>
    </row>
    <row r="41" spans="1:17" ht="15.5" x14ac:dyDescent="0.35">
      <c r="A41" s="26"/>
      <c r="B41" s="27" t="s">
        <v>55</v>
      </c>
      <c r="C41" s="26"/>
      <c r="D41" s="26"/>
      <c r="E41" s="17" t="s">
        <v>114</v>
      </c>
      <c r="F41" s="17" t="s">
        <v>115</v>
      </c>
      <c r="G41" s="17" t="s">
        <v>116</v>
      </c>
      <c r="H41" s="26"/>
      <c r="I41" s="26"/>
      <c r="J41" s="26"/>
      <c r="K41" s="26"/>
      <c r="L41" s="26"/>
      <c r="M41" s="26"/>
      <c r="N41" s="26"/>
      <c r="O41" s="26"/>
      <c r="P41" s="26"/>
      <c r="Q41" s="26"/>
    </row>
    <row r="42" spans="1:17" ht="15.5" x14ac:dyDescent="0.35">
      <c r="A42" s="26"/>
      <c r="B42" s="26" t="s">
        <v>56</v>
      </c>
      <c r="C42" s="26"/>
      <c r="D42" s="26"/>
      <c r="E42" s="167" t="s">
        <v>459</v>
      </c>
      <c r="F42" s="167" t="s">
        <v>462</v>
      </c>
      <c r="G42" s="167" t="s">
        <v>465</v>
      </c>
      <c r="H42" s="26"/>
      <c r="I42" s="26"/>
      <c r="J42" s="26"/>
      <c r="K42" s="26"/>
      <c r="L42" s="26"/>
      <c r="M42" s="26"/>
      <c r="N42" s="80">
        <f>'Finance Sheet'!O60/'Finance Sheet'!O69</f>
        <v>11.2</v>
      </c>
      <c r="O42" s="26"/>
      <c r="P42" s="26"/>
      <c r="Q42" s="26"/>
    </row>
    <row r="43" spans="1:17" ht="15.5" x14ac:dyDescent="0.35">
      <c r="A43" s="26"/>
      <c r="B43" s="86" t="s">
        <v>57</v>
      </c>
      <c r="C43" s="86"/>
      <c r="D43" s="86"/>
      <c r="E43" s="168" t="s">
        <v>460</v>
      </c>
      <c r="F43" s="168" t="s">
        <v>463</v>
      </c>
      <c r="G43" s="168" t="s">
        <v>466</v>
      </c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ht="15.5" x14ac:dyDescent="0.35">
      <c r="A44" s="26"/>
      <c r="B44" s="38" t="s">
        <v>58</v>
      </c>
      <c r="C44" s="38"/>
      <c r="D44" s="38"/>
      <c r="E44" s="169" t="s">
        <v>461</v>
      </c>
      <c r="F44" s="169" t="s">
        <v>464</v>
      </c>
      <c r="G44" s="169" t="s">
        <v>467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ht="15.5" x14ac:dyDescent="0.35">
      <c r="A45" s="26"/>
      <c r="B45" s="56" t="s">
        <v>59</v>
      </c>
      <c r="C45" s="56"/>
      <c r="D45" s="56"/>
      <c r="E45" s="170" t="s">
        <v>468</v>
      </c>
      <c r="F45" s="170" t="s">
        <v>469</v>
      </c>
      <c r="G45" s="170" t="s">
        <v>470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</row>
    <row r="46" spans="1:17" ht="15.5" x14ac:dyDescent="0.35">
      <c r="A46" s="26"/>
      <c r="B46" s="26"/>
      <c r="C46" s="26"/>
      <c r="D46" s="26"/>
      <c r="E46" s="26"/>
      <c r="F46" s="26"/>
      <c r="G46" s="26"/>
      <c r="H46" s="26"/>
      <c r="I46" s="70">
        <v>43040</v>
      </c>
      <c r="J46" s="70">
        <v>43070</v>
      </c>
      <c r="K46" s="70">
        <v>43101</v>
      </c>
      <c r="L46" s="70">
        <v>43132</v>
      </c>
      <c r="M46" s="70">
        <v>43160</v>
      </c>
      <c r="N46" s="70">
        <v>43191</v>
      </c>
      <c r="O46" s="70">
        <v>43221</v>
      </c>
      <c r="P46" s="26"/>
      <c r="Q46" s="26"/>
    </row>
    <row r="47" spans="1:17" ht="15.5" x14ac:dyDescent="0.35">
      <c r="A47" s="26"/>
      <c r="B47" s="39" t="s">
        <v>60</v>
      </c>
      <c r="C47" s="26"/>
      <c r="D47" s="26"/>
      <c r="E47" s="171" t="s">
        <v>471</v>
      </c>
      <c r="F47" s="171" t="s">
        <v>473</v>
      </c>
      <c r="G47" s="171" t="s">
        <v>475</v>
      </c>
      <c r="H47" s="26"/>
      <c r="I47" s="26"/>
      <c r="J47" s="26"/>
      <c r="K47" s="26"/>
      <c r="L47" s="26"/>
      <c r="M47" s="26"/>
      <c r="N47" s="80">
        <f>('Finance Sheet'!O56+'Finance Sheet'!O57)/'Finance Sheet'!O69</f>
        <v>5.384615384615385</v>
      </c>
      <c r="O47" s="26"/>
      <c r="P47" s="26"/>
      <c r="Q47" s="26"/>
    </row>
    <row r="48" spans="1:17" x14ac:dyDescent="0.35">
      <c r="B48" t="s">
        <v>391</v>
      </c>
      <c r="E48" s="172" t="s">
        <v>472</v>
      </c>
      <c r="F48" s="172" t="s">
        <v>474</v>
      </c>
      <c r="G48" s="172" t="s">
        <v>476</v>
      </c>
      <c r="I48" s="152" t="e">
        <f>'Finance Sheet'!J16/'Finance Sheet'!J58</f>
        <v>#DIV/0!</v>
      </c>
      <c r="J48" s="152">
        <f>'Finance Sheet'!K16/'Finance Sheet'!K58</f>
        <v>0.79242424242424248</v>
      </c>
      <c r="K48" s="152">
        <f>'Finance Sheet'!L16/'Finance Sheet'!L58</f>
        <v>0.8176100628930818</v>
      </c>
      <c r="L48" s="152">
        <f>'Finance Sheet'!M16/'Finance Sheet'!M58</f>
        <v>0.98148148148148151</v>
      </c>
      <c r="M48" s="152">
        <f>'Finance Sheet'!N16/'Finance Sheet'!N58</f>
        <v>0.78787878787878785</v>
      </c>
      <c r="N48" s="152">
        <f>'Finance Sheet'!O16/'Finance Sheet'!O58</f>
        <v>0.68783068783068779</v>
      </c>
    </row>
    <row r="50" spans="2:8" ht="15.5" x14ac:dyDescent="0.35">
      <c r="B50" s="27" t="s">
        <v>55</v>
      </c>
      <c r="E50" s="84" t="s">
        <v>73</v>
      </c>
      <c r="F50" s="84" t="s">
        <v>74</v>
      </c>
      <c r="G50" s="84" t="s">
        <v>75</v>
      </c>
      <c r="H50" s="85" t="s">
        <v>76</v>
      </c>
    </row>
    <row r="51" spans="2:8" ht="15.5" x14ac:dyDescent="0.35">
      <c r="B51" s="26" t="s">
        <v>77</v>
      </c>
      <c r="E51" s="26"/>
      <c r="F51" s="26"/>
      <c r="G51" s="26"/>
      <c r="H51" s="38"/>
    </row>
    <row r="52" spans="2:8" ht="15.5" x14ac:dyDescent="0.35">
      <c r="B52" s="26" t="s">
        <v>78</v>
      </c>
      <c r="E52" s="52">
        <f>SUM('Finance Sheet'!F6:F10)/'Finance Sheet'!F12</f>
        <v>0.85820174025136964</v>
      </c>
      <c r="F52" s="52">
        <f>SUM('Finance Sheet'!G6:G10)/'Finance Sheet'!G12</f>
        <v>0.80430528375733856</v>
      </c>
      <c r="G52" s="52">
        <f>SUM('Finance Sheet'!H6:H10)/'Finance Sheet'!H12</f>
        <v>0.78699963275798757</v>
      </c>
      <c r="H52" s="82" t="e">
        <f>SUM('Finance Sheet'!I6:I10)/'Finance Sheet'!I12</f>
        <v>#DIV/0!</v>
      </c>
    </row>
    <row r="53" spans="2:8" ht="15.5" x14ac:dyDescent="0.35">
      <c r="B53" s="26"/>
      <c r="E53" s="52"/>
      <c r="F53" s="52"/>
      <c r="G53" s="52"/>
      <c r="H53" s="38"/>
    </row>
    <row r="54" spans="2:8" ht="15.5" x14ac:dyDescent="0.35">
      <c r="B54" s="26"/>
      <c r="E54" s="28"/>
      <c r="F54" s="28"/>
      <c r="G54" s="28"/>
      <c r="H54" s="83"/>
    </row>
    <row r="55" spans="2:8" ht="15.5" x14ac:dyDescent="0.35">
      <c r="B55" s="26"/>
      <c r="E55" s="53"/>
      <c r="F55" s="53"/>
      <c r="G55" s="53"/>
      <c r="H55" s="53"/>
    </row>
    <row r="56" spans="2:8" ht="15.5" x14ac:dyDescent="0.35">
      <c r="B56" s="26"/>
      <c r="E56" s="26"/>
      <c r="F56" s="26"/>
      <c r="G56" s="26"/>
      <c r="H56" s="38"/>
    </row>
    <row r="57" spans="2:8" ht="15.5" x14ac:dyDescent="0.35">
      <c r="B57" s="26"/>
      <c r="E57" s="53"/>
      <c r="F57" s="53"/>
      <c r="G57" s="53"/>
      <c r="H57" s="53"/>
    </row>
    <row r="58" spans="2:8" ht="15.5" x14ac:dyDescent="0.35">
      <c r="B58" s="26"/>
      <c r="E58" s="26"/>
      <c r="F58" s="26"/>
      <c r="G58" s="26"/>
      <c r="H58" s="38"/>
    </row>
    <row r="59" spans="2:8" ht="15.5" x14ac:dyDescent="0.35">
      <c r="B59" s="26"/>
      <c r="E59" s="36"/>
      <c r="F59" s="36"/>
      <c r="G59" s="36"/>
      <c r="H59" s="36"/>
    </row>
    <row r="60" spans="2:8" ht="15.5" x14ac:dyDescent="0.35">
      <c r="B60" s="86"/>
      <c r="E60" s="137"/>
      <c r="F60" s="137"/>
      <c r="G60" s="137"/>
      <c r="H60" s="137"/>
    </row>
    <row r="63" spans="2:8" x14ac:dyDescent="0.35">
      <c r="E63" s="87"/>
      <c r="F63" s="87"/>
      <c r="G63" s="87"/>
    </row>
    <row r="67" spans="1:17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0CD7-B8B0-48EC-9E19-CEA6FEDF8754}">
  <dimension ref="A1:M47"/>
  <sheetViews>
    <sheetView topLeftCell="A24" zoomScale="70" zoomScaleNormal="70" workbookViewId="0">
      <selection activeCell="O38" sqref="O38"/>
    </sheetView>
  </sheetViews>
  <sheetFormatPr defaultRowHeight="14.5" x14ac:dyDescent="0.35"/>
  <cols>
    <col min="1" max="1" width="22.453125" customWidth="1"/>
    <col min="2" max="2" width="34.54296875" customWidth="1"/>
    <col min="6" max="6" width="11.08984375" customWidth="1"/>
    <col min="8" max="8" width="14.81640625" customWidth="1"/>
  </cols>
  <sheetData>
    <row r="1" spans="1:10" s="26" customFormat="1" ht="20" customHeight="1" x14ac:dyDescent="0.6">
      <c r="B1" s="58" t="s">
        <v>103</v>
      </c>
    </row>
    <row r="2" spans="1:10" s="26" customFormat="1" ht="15.5" x14ac:dyDescent="0.35"/>
    <row r="3" spans="1:10" s="26" customFormat="1" ht="15.5" x14ac:dyDescent="0.35">
      <c r="A3" s="59"/>
      <c r="B3" s="159"/>
      <c r="C3" s="160"/>
      <c r="D3" s="59"/>
      <c r="E3" s="59"/>
      <c r="F3" s="59"/>
      <c r="J3" s="27"/>
    </row>
    <row r="4" spans="1:10" s="26" customFormat="1" ht="28.5" x14ac:dyDescent="0.65">
      <c r="A4" s="59"/>
      <c r="B4" s="142"/>
      <c r="C4" s="59"/>
      <c r="D4" s="59"/>
      <c r="E4" s="59"/>
      <c r="F4" s="59"/>
    </row>
    <row r="5" spans="1:10" s="26" customFormat="1" ht="15.5" x14ac:dyDescent="0.35">
      <c r="A5" s="59"/>
      <c r="B5" s="59"/>
      <c r="C5" s="59"/>
      <c r="D5" s="59"/>
      <c r="E5" s="59"/>
      <c r="F5" s="59"/>
    </row>
    <row r="6" spans="1:10" s="26" customFormat="1" ht="15.5" x14ac:dyDescent="0.35">
      <c r="A6" s="59"/>
      <c r="B6" s="159"/>
      <c r="C6" s="60"/>
      <c r="D6" s="61"/>
      <c r="E6" s="59"/>
      <c r="F6" s="59"/>
    </row>
    <row r="7" spans="1:10" s="26" customFormat="1" ht="15.5" x14ac:dyDescent="0.35">
      <c r="A7" s="59"/>
      <c r="B7" s="161"/>
      <c r="C7" s="62"/>
      <c r="D7" s="59"/>
      <c r="E7" s="59"/>
      <c r="F7" s="59"/>
    </row>
    <row r="8" spans="1:10" s="26" customFormat="1" ht="15.5" x14ac:dyDescent="0.35">
      <c r="A8" s="59"/>
      <c r="B8" s="59"/>
      <c r="C8" s="59"/>
      <c r="D8" s="59"/>
      <c r="E8" s="59"/>
      <c r="F8" s="59"/>
      <c r="G8" s="26" t="s">
        <v>104</v>
      </c>
    </row>
    <row r="9" spans="1:10" s="26" customFormat="1" ht="15.5" x14ac:dyDescent="0.35">
      <c r="A9" s="59"/>
      <c r="B9" s="59"/>
      <c r="C9" s="59"/>
      <c r="D9" s="59"/>
      <c r="E9" s="59"/>
      <c r="F9" s="59"/>
    </row>
    <row r="10" spans="1:10" s="26" customFormat="1" ht="15.5" x14ac:dyDescent="0.35">
      <c r="B10" s="143">
        <f>'Finance Sheet'!O56</f>
        <v>500</v>
      </c>
      <c r="C10" s="26" t="s">
        <v>105</v>
      </c>
    </row>
    <row r="11" spans="1:10" s="26" customFormat="1" ht="15.5" x14ac:dyDescent="0.35">
      <c r="B11" s="144" t="s">
        <v>380</v>
      </c>
      <c r="C11" s="26" t="s">
        <v>379</v>
      </c>
      <c r="D11" s="63"/>
      <c r="E11" s="31"/>
      <c r="F11" s="63"/>
      <c r="G11" s="64" t="s">
        <v>106</v>
      </c>
      <c r="H11" s="102">
        <f>'Charts for Dashes'!H38</f>
        <v>7.0990566037735849</v>
      </c>
    </row>
    <row r="12" spans="1:10" s="26" customFormat="1" ht="15.5" x14ac:dyDescent="0.35">
      <c r="B12" s="143">
        <f>'Finance Sheet'!O57</f>
        <v>200</v>
      </c>
      <c r="C12" s="26" t="s">
        <v>107</v>
      </c>
      <c r="D12" s="101" t="s">
        <v>108</v>
      </c>
      <c r="E12" s="31"/>
      <c r="F12" s="63"/>
      <c r="G12" s="64" t="s">
        <v>109</v>
      </c>
      <c r="H12" s="102">
        <f>F17</f>
        <v>10.495283018867925</v>
      </c>
    </row>
    <row r="13" spans="1:10" s="26" customFormat="1" ht="15.5" x14ac:dyDescent="0.35">
      <c r="B13" s="100"/>
      <c r="D13" s="101"/>
      <c r="E13" s="31"/>
      <c r="F13" s="63"/>
      <c r="G13" s="64"/>
      <c r="H13" s="102"/>
    </row>
    <row r="14" spans="1:10" s="26" customFormat="1" ht="15.5" x14ac:dyDescent="0.35">
      <c r="A14"/>
      <c r="B14"/>
      <c r="C14"/>
      <c r="D14"/>
      <c r="E14"/>
      <c r="F14"/>
      <c r="G14" s="64"/>
      <c r="H14" s="102"/>
    </row>
    <row r="15" spans="1:10" s="26" customFormat="1" ht="15.5" x14ac:dyDescent="0.35">
      <c r="A15"/>
      <c r="B15"/>
      <c r="C15" t="s">
        <v>373</v>
      </c>
      <c r="D15"/>
      <c r="E15"/>
      <c r="F15"/>
      <c r="G15" s="64"/>
      <c r="H15" s="102"/>
    </row>
    <row r="16" spans="1:10" s="26" customFormat="1" ht="15.5" x14ac:dyDescent="0.35">
      <c r="A16" s="27" t="s">
        <v>55</v>
      </c>
      <c r="D16" s="26">
        <v>2015</v>
      </c>
      <c r="E16" s="26">
        <v>2016</v>
      </c>
      <c r="F16" s="26">
        <v>2017</v>
      </c>
      <c r="G16" s="64"/>
      <c r="H16" s="102"/>
    </row>
    <row r="17" spans="1:13" s="26" customFormat="1" ht="15.5" x14ac:dyDescent="0.35">
      <c r="A17" s="26" t="s">
        <v>56</v>
      </c>
      <c r="D17" s="145">
        <f>'Finance Sheet'!F60/'Finance Sheet'!F69</f>
        <v>3.3466666666666667</v>
      </c>
      <c r="E17" s="145">
        <f>'Finance Sheet'!G60/'Finance Sheet'!G69</f>
        <v>15.083333333333334</v>
      </c>
      <c r="F17" s="145">
        <f>'Finance Sheet'!H60/'Finance Sheet'!H69</f>
        <v>10.495283018867925</v>
      </c>
      <c r="G17" s="64"/>
      <c r="H17" s="102"/>
    </row>
    <row r="18" spans="1:13" s="26" customFormat="1" ht="15.5" x14ac:dyDescent="0.35">
      <c r="A18" s="86" t="s">
        <v>372</v>
      </c>
      <c r="B18" s="86"/>
      <c r="C18" s="86"/>
      <c r="D18" s="146">
        <f>'Finance Sheet'!F31</f>
        <v>4224</v>
      </c>
      <c r="E18" s="146">
        <f>'Finance Sheet'!G31</f>
        <v>4170</v>
      </c>
      <c r="F18" s="146">
        <f>'Finance Sheet'!H31</f>
        <v>4983</v>
      </c>
      <c r="G18" s="64"/>
      <c r="H18" s="102"/>
    </row>
    <row r="19" spans="1:13" s="26" customFormat="1" ht="15.5" x14ac:dyDescent="0.35">
      <c r="A19" s="26" t="s">
        <v>58</v>
      </c>
      <c r="D19" s="146">
        <f>'Charts for Dashes'!E44</f>
        <v>1960</v>
      </c>
      <c r="E19" s="146">
        <f>'Charts for Dashes'!F44</f>
        <v>1890</v>
      </c>
      <c r="F19" s="146">
        <f>'Charts for Dashes'!G44</f>
        <v>2253</v>
      </c>
      <c r="G19" s="64"/>
      <c r="H19" s="102"/>
    </row>
    <row r="20" spans="1:13" s="26" customFormat="1" ht="15.5" x14ac:dyDescent="0.35">
      <c r="A20" s="56" t="s">
        <v>59</v>
      </c>
      <c r="B20" s="56"/>
      <c r="C20" s="56"/>
      <c r="D20" s="151">
        <f>'Charts for Dashes'!E45</f>
        <v>0</v>
      </c>
      <c r="E20" s="151">
        <f>'Charts for Dashes'!F45</f>
        <v>0.35971223021582732</v>
      </c>
      <c r="F20" s="151">
        <f>'Charts for Dashes'!G45</f>
        <v>0.27731558513588461</v>
      </c>
    </row>
    <row r="21" spans="1:13" s="26" customFormat="1" ht="15.5" x14ac:dyDescent="0.35">
      <c r="A21" s="26" t="s">
        <v>381</v>
      </c>
      <c r="B21"/>
      <c r="C21"/>
      <c r="D21" s="147">
        <f>'Finance Sheet'!F31</f>
        <v>4224</v>
      </c>
      <c r="E21" s="147">
        <f>'Finance Sheet'!G31</f>
        <v>4170</v>
      </c>
      <c r="F21" s="147">
        <f>'Finance Sheet'!H31</f>
        <v>4983</v>
      </c>
      <c r="G21" s="64"/>
      <c r="H21" s="102"/>
    </row>
    <row r="22" spans="1:13" s="26" customFormat="1" ht="15.5" x14ac:dyDescent="0.35">
      <c r="A22" s="86" t="s">
        <v>371</v>
      </c>
      <c r="B22"/>
      <c r="C22"/>
      <c r="D22" s="148"/>
      <c r="E22" s="148"/>
      <c r="F22" s="148"/>
      <c r="G22" s="64"/>
      <c r="H22" s="102"/>
    </row>
    <row r="23" spans="1:13" s="26" customFormat="1" ht="15.5" x14ac:dyDescent="0.35">
      <c r="A23" s="56"/>
      <c r="B23" s="56"/>
      <c r="C23" s="56"/>
      <c r="D23" s="81"/>
      <c r="E23" s="81"/>
      <c r="F23" s="81"/>
    </row>
    <row r="24" spans="1:13" s="26" customFormat="1" ht="15.5" x14ac:dyDescent="0.35">
      <c r="B24" s="26" t="s">
        <v>393</v>
      </c>
    </row>
    <row r="25" spans="1:13" s="26" customFormat="1" ht="15.5" x14ac:dyDescent="0.35">
      <c r="A25" s="39" t="s">
        <v>60</v>
      </c>
      <c r="D25" s="80" t="e">
        <f>(D31+D32)/D44</f>
        <v>#DIV/0!</v>
      </c>
      <c r="E25" s="80" t="e">
        <f>(E31+E32)/E44</f>
        <v>#DIV/0!</v>
      </c>
      <c r="F25" s="80" t="e">
        <f>(F31+F32)/F44</f>
        <v>#DIV/0!</v>
      </c>
    </row>
    <row r="26" spans="1:13" s="26" customFormat="1" ht="15.5" x14ac:dyDescent="0.35">
      <c r="A26"/>
      <c r="B26"/>
      <c r="C26"/>
      <c r="D26"/>
      <c r="E26"/>
      <c r="F26"/>
    </row>
    <row r="27" spans="1:13" s="26" customFormat="1" ht="15.5" x14ac:dyDescent="0.35">
      <c r="A27"/>
      <c r="B27"/>
      <c r="C27"/>
      <c r="D27"/>
      <c r="E27"/>
      <c r="F27"/>
    </row>
    <row r="28" spans="1:13" ht="15.5" x14ac:dyDescent="0.3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3" ht="15.5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ht="15.5" x14ac:dyDescent="0.3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ht="15.5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 ht="15.5" x14ac:dyDescent="0.3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13" ht="15.5" x14ac:dyDescent="0.3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13" ht="15.5" x14ac:dyDescent="0.35">
      <c r="A34" s="26"/>
      <c r="B34" s="26"/>
      <c r="C34" s="6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 ht="15.5" x14ac:dyDescent="0.35">
      <c r="A35" s="26"/>
      <c r="B35" s="26"/>
      <c r="C35" s="6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13" ht="15.5" x14ac:dyDescent="0.35">
      <c r="A36" s="26"/>
      <c r="B36" s="26"/>
      <c r="C36" s="6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1:13" ht="15.5" x14ac:dyDescent="0.35">
      <c r="A37" s="26"/>
      <c r="B37" s="26"/>
      <c r="C37" s="6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3" ht="15.5" x14ac:dyDescent="0.35">
      <c r="A38" s="26"/>
      <c r="B38" s="26"/>
      <c r="C38" s="6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1:13" ht="15.5" x14ac:dyDescent="0.35">
      <c r="A39" s="26"/>
      <c r="B39" s="26"/>
      <c r="C39" s="6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spans="1:13" ht="15.5" x14ac:dyDescent="0.35">
      <c r="A40" s="67"/>
      <c r="B40" s="27" t="s">
        <v>110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5.5" x14ac:dyDescent="0.35">
      <c r="A41" s="26"/>
      <c r="B41" s="42" t="str">
        <f>'Initial Inputs'!H2</f>
        <v>FY 2017</v>
      </c>
      <c r="C41" s="68">
        <f>SUM('Initial Inputs'!$H$6:$H$10)/'Initial Inputs'!$H$12</f>
        <v>0.48717948717948717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1:13" ht="15.5" x14ac:dyDescent="0.35">
      <c r="A42" s="26"/>
      <c r="B42" s="42" t="str">
        <f>'Initial Inputs'!G2</f>
        <v>FY 2016</v>
      </c>
      <c r="C42" s="68">
        <f>SUM('Initial Inputs'!$G$6:$G$10)/'Initial Inputs'!$G$12</f>
        <v>0.4717887154861945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1:13" ht="15.5" x14ac:dyDescent="0.35">
      <c r="A43" s="26"/>
      <c r="B43" s="42" t="str">
        <f>'Initial Inputs'!F2</f>
        <v>FY 2015</v>
      </c>
      <c r="C43" s="68">
        <f>SUM('Initial Inputs'!$F$6:$F$10)/'Initial Inputs'!$F$12</f>
        <v>0.438058748403576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ht="15.5" x14ac:dyDescent="0.3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 ht="15.5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1:13" ht="15.5" x14ac:dyDescent="0.35">
      <c r="G46" s="36"/>
      <c r="H46" s="26"/>
      <c r="I46" s="26"/>
      <c r="J46" s="26"/>
      <c r="K46" s="26"/>
      <c r="L46" s="26"/>
      <c r="M46" s="26"/>
    </row>
    <row r="47" spans="1:13" ht="15.5" x14ac:dyDescent="0.35">
      <c r="G47" s="137"/>
      <c r="H47" s="26"/>
      <c r="I47" s="26"/>
      <c r="J47" s="26"/>
      <c r="K47" s="26"/>
      <c r="L47" s="26"/>
      <c r="M47" s="26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F575-CA68-42C9-A6AA-8C34E343CE2A}">
  <dimension ref="A1:M33"/>
  <sheetViews>
    <sheetView showGridLines="0" topLeftCell="A12" zoomScale="80" zoomScaleNormal="80" workbookViewId="0">
      <selection activeCell="C18" sqref="C18"/>
    </sheetView>
  </sheetViews>
  <sheetFormatPr defaultRowHeight="15.5" x14ac:dyDescent="0.35"/>
  <cols>
    <col min="1" max="1" width="1.453125" style="26" customWidth="1"/>
    <col min="2" max="2" width="23.26953125" style="26" customWidth="1"/>
    <col min="3" max="3" width="11.453125" style="26" customWidth="1"/>
    <col min="4" max="4" width="9.90625" style="26" customWidth="1"/>
    <col min="5" max="5" width="3.453125" style="26" customWidth="1"/>
    <col min="6" max="6" width="5.36328125" style="26" customWidth="1"/>
    <col min="7" max="9" width="9.90625" style="26" customWidth="1"/>
    <col min="10" max="11" width="8.7265625" style="26"/>
    <col min="12" max="12" width="4.6328125" style="26" customWidth="1"/>
    <col min="13" max="16384" width="8.7265625" style="26"/>
  </cols>
  <sheetData>
    <row r="1" spans="1:6" ht="20" customHeight="1" x14ac:dyDescent="0.6">
      <c r="B1" s="141" t="s">
        <v>378</v>
      </c>
      <c r="C1" s="59"/>
      <c r="D1" s="59"/>
      <c r="E1" s="59"/>
    </row>
    <row r="2" spans="1:6" ht="28.5" x14ac:dyDescent="0.65">
      <c r="A2" s="59"/>
      <c r="B2" s="142"/>
      <c r="C2" s="59"/>
      <c r="D2" s="59"/>
      <c r="E2" s="59"/>
      <c r="F2" s="59"/>
    </row>
    <row r="3" spans="1:6" x14ac:dyDescent="0.35">
      <c r="A3" s="59"/>
      <c r="B3" s="59"/>
      <c r="C3" s="59"/>
      <c r="D3" s="59"/>
      <c r="E3" s="59"/>
      <c r="F3" s="59"/>
    </row>
    <row r="13" spans="1:6" x14ac:dyDescent="0.35">
      <c r="B13" s="42"/>
      <c r="C13" s="65"/>
    </row>
    <row r="18" spans="2:2" x14ac:dyDescent="0.35">
      <c r="B18" s="27"/>
    </row>
    <row r="33" spans="13:13" x14ac:dyDescent="0.35">
      <c r="M33" s="27"/>
    </row>
  </sheetData>
  <pageMargins left="0.25" right="0.25" top="0.75" bottom="0.75" header="0.3" footer="0.3"/>
  <pageSetup paperSize="9" fitToWidth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7" ma:contentTypeDescription="Create a new document." ma:contentTypeScope="" ma:versionID="016673616e7f89e6acd8bb1a26b34ff0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c3d6650fdcdee15bc75fcb47c7bf88e9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3307F-98B8-4A28-8D8E-0510857508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A48739-5AC3-4334-8EDA-C137176B725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6abbd11-5fa5-4fb5-934f-c9dafa9719a5"/>
    <ds:schemaRef ds:uri="4dc371fa-f391-4a02-9320-6a0c1df9692b"/>
    <ds:schemaRef ds:uri="http://purl.org/dc/terms/"/>
    <ds:schemaRef ds:uri="de4839cc-f48b-48be-962f-21b99114152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130C3D5-AC39-4F2A-933A-6E4969451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Initial Inputs</vt:lpstr>
      <vt:lpstr>Input Sheet</vt:lpstr>
      <vt:lpstr>Notes from Ian meeting 2</vt:lpstr>
      <vt:lpstr>INPUT old</vt:lpstr>
      <vt:lpstr>Finance Sheet</vt:lpstr>
      <vt:lpstr>For Luca</vt:lpstr>
      <vt:lpstr>For Luca -another</vt:lpstr>
      <vt:lpstr>Finance Dash</vt:lpstr>
      <vt:lpstr>Manager Dash</vt:lpstr>
      <vt:lpstr>Charts for Dashes</vt:lpstr>
      <vt:lpstr>19. Financial Ratios</vt:lpstr>
      <vt:lpstr> Marketplace Credit Rating</vt:lpstr>
      <vt:lpstr>OLD Calc IS</vt:lpstr>
      <vt:lpstr>old Calc BS</vt:lpstr>
      <vt:lpstr>OLD Monthly Figures</vt:lpstr>
      <vt:lpstr>'Manager Dash'!Print_Area</vt:lpstr>
      <vt:lpstr>'old Calc BS'!Print_Area</vt:lpstr>
      <vt:lpstr>'OLD Monthly Figures'!Print_Area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Deborah Sorin</cp:lastModifiedBy>
  <cp:lastPrinted>2018-04-02T13:59:20Z</cp:lastPrinted>
  <dcterms:created xsi:type="dcterms:W3CDTF">2018-03-31T12:37:15Z</dcterms:created>
  <dcterms:modified xsi:type="dcterms:W3CDTF">2018-05-18T12:47:38Z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  <property fmtid="{D5CDD505-2E9C-101B-9397-08002B2CF9AE}" pid="3" name="Country">
    <vt:lpwstr/>
  </property>
</Properties>
</file>