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1185" windowWidth="15270" windowHeight="7980" activeTab="1"/>
  </bookViews>
  <sheets>
    <sheet name="OC5-visao geral do paper" sheetId="1" r:id="rId1"/>
    <sheet name="OC4" sheetId="2" r:id="rId2"/>
    <sheet name="Teste com OC5" sheetId="3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D102" i="2"/>
  <c r="F112"/>
  <c r="D58"/>
  <c r="I44"/>
  <c r="I45"/>
  <c r="I46"/>
  <c r="I47"/>
  <c r="I48"/>
  <c r="I49"/>
  <c r="I50"/>
  <c r="I51"/>
  <c r="I52"/>
  <c r="I43"/>
  <c r="H45"/>
  <c r="H46"/>
  <c r="H47"/>
  <c r="H48"/>
  <c r="H49"/>
  <c r="H50"/>
  <c r="H51"/>
  <c r="H52"/>
  <c r="H44"/>
  <c r="H43"/>
  <c r="H27"/>
  <c r="M13"/>
  <c r="M12"/>
  <c r="M11"/>
  <c r="M10" s="1"/>
  <c r="M8" s="1"/>
  <c r="M9"/>
  <c r="I8"/>
  <c r="I13"/>
  <c r="I12"/>
  <c r="I6"/>
  <c r="D7" i="3"/>
  <c r="G7" s="1"/>
  <c r="D8"/>
  <c r="G8"/>
  <c r="G6"/>
  <c r="G9"/>
  <c r="G3"/>
  <c r="D30"/>
  <c r="D26"/>
  <c r="D73"/>
  <c r="D62"/>
  <c r="D34"/>
  <c r="D64" s="1"/>
  <c r="D75" s="1"/>
  <c r="D78" i="2"/>
  <c r="D96"/>
  <c r="J51" l="1"/>
  <c r="J44"/>
  <c r="I11"/>
  <c r="J52"/>
  <c r="J48"/>
  <c r="J49"/>
  <c r="J50"/>
  <c r="J46"/>
  <c r="J43"/>
  <c r="J45"/>
  <c r="J47"/>
  <c r="D70" i="3"/>
  <c r="D69" s="1"/>
  <c r="D35" s="1"/>
  <c r="D38" s="1"/>
  <c r="D33" i="2" l="1"/>
  <c r="D93" i="3"/>
  <c r="D50"/>
  <c r="D36"/>
  <c r="D56" s="1"/>
  <c r="D58"/>
  <c r="D84"/>
  <c r="D81"/>
  <c r="D79"/>
  <c r="D80"/>
  <c r="D3"/>
  <c r="D37"/>
  <c r="J121" i="2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20"/>
  <c r="I167"/>
  <c r="I166"/>
  <c r="K166" s="1"/>
  <c r="I165"/>
  <c r="I164"/>
  <c r="K164" s="1"/>
  <c r="I163"/>
  <c r="I162"/>
  <c r="I161"/>
  <c r="I160"/>
  <c r="K160" s="1"/>
  <c r="L160" s="1"/>
  <c r="I159"/>
  <c r="I158"/>
  <c r="K158" s="1"/>
  <c r="I157"/>
  <c r="I156"/>
  <c r="K156" s="1"/>
  <c r="L156" s="1"/>
  <c r="I155"/>
  <c r="I154"/>
  <c r="K154" s="1"/>
  <c r="I153"/>
  <c r="I152"/>
  <c r="K152" s="1"/>
  <c r="L152" s="1"/>
  <c r="I151"/>
  <c r="I150"/>
  <c r="K150" s="1"/>
  <c r="I149"/>
  <c r="I148"/>
  <c r="K148" s="1"/>
  <c r="I147"/>
  <c r="I146"/>
  <c r="K146" s="1"/>
  <c r="I145"/>
  <c r="I144"/>
  <c r="K144" s="1"/>
  <c r="L144" s="1"/>
  <c r="I143"/>
  <c r="I142"/>
  <c r="K142" s="1"/>
  <c r="I141"/>
  <c r="I140"/>
  <c r="K140" s="1"/>
  <c r="I139"/>
  <c r="I138"/>
  <c r="K138" s="1"/>
  <c r="I137"/>
  <c r="I136"/>
  <c r="K136" s="1"/>
  <c r="L136" s="1"/>
  <c r="I135"/>
  <c r="I134"/>
  <c r="K134" s="1"/>
  <c r="I133"/>
  <c r="I132"/>
  <c r="K132" s="1"/>
  <c r="I131"/>
  <c r="I130"/>
  <c r="K130" s="1"/>
  <c r="I129"/>
  <c r="I128"/>
  <c r="K128" s="1"/>
  <c r="L128" s="1"/>
  <c r="I127"/>
  <c r="I126"/>
  <c r="K126" s="1"/>
  <c r="I125"/>
  <c r="I124"/>
  <c r="K124" s="1"/>
  <c r="L124" s="1"/>
  <c r="I123"/>
  <c r="I122"/>
  <c r="K122" s="1"/>
  <c r="I121"/>
  <c r="I120"/>
  <c r="K120" s="1"/>
  <c r="D85"/>
  <c r="G44"/>
  <c r="L43" s="1"/>
  <c r="G45"/>
  <c r="G46"/>
  <c r="L45" s="1"/>
  <c r="G47"/>
  <c r="G48"/>
  <c r="G49"/>
  <c r="G50"/>
  <c r="L49" s="1"/>
  <c r="G51"/>
  <c r="G52"/>
  <c r="G53"/>
  <c r="G43"/>
  <c r="D41"/>
  <c r="D32"/>
  <c r="D7" i="1"/>
  <c r="D6"/>
  <c r="D5"/>
  <c r="D37"/>
  <c r="D3" s="1"/>
  <c r="L47" i="2" l="1"/>
  <c r="L51"/>
  <c r="L46"/>
  <c r="L52"/>
  <c r="L48"/>
  <c r="L44"/>
  <c r="L50"/>
  <c r="D4" i="3"/>
  <c r="D82"/>
  <c r="D77" s="1"/>
  <c r="D6"/>
  <c r="D5"/>
  <c r="D83"/>
  <c r="D57"/>
  <c r="D51"/>
  <c r="D52"/>
  <c r="D76"/>
  <c r="D39" s="1"/>
  <c r="K162" i="2"/>
  <c r="L162" s="1"/>
  <c r="L120"/>
  <c r="D57"/>
  <c r="D87" s="1"/>
  <c r="D98" s="1"/>
  <c r="K121"/>
  <c r="L121" s="1"/>
  <c r="K125"/>
  <c r="L125" s="1"/>
  <c r="K129"/>
  <c r="M129" s="1"/>
  <c r="K133"/>
  <c r="L133" s="1"/>
  <c r="K137"/>
  <c r="L137" s="1"/>
  <c r="K141"/>
  <c r="L141" s="1"/>
  <c r="K145"/>
  <c r="L145" s="1"/>
  <c r="K149"/>
  <c r="M149" s="1"/>
  <c r="K153"/>
  <c r="L153" s="1"/>
  <c r="K157"/>
  <c r="L157" s="1"/>
  <c r="K161"/>
  <c r="L161" s="1"/>
  <c r="K165"/>
  <c r="M165" s="1"/>
  <c r="M132"/>
  <c r="L132"/>
  <c r="M140"/>
  <c r="L140"/>
  <c r="M148"/>
  <c r="L148"/>
  <c r="M164"/>
  <c r="L164"/>
  <c r="M122"/>
  <c r="L122"/>
  <c r="M126"/>
  <c r="L126"/>
  <c r="M130"/>
  <c r="L130"/>
  <c r="M134"/>
  <c r="L134"/>
  <c r="M138"/>
  <c r="L138"/>
  <c r="M142"/>
  <c r="L142"/>
  <c r="M146"/>
  <c r="L146"/>
  <c r="M150"/>
  <c r="L150"/>
  <c r="M154"/>
  <c r="L154"/>
  <c r="M158"/>
  <c r="L158"/>
  <c r="M162"/>
  <c r="M166"/>
  <c r="L166"/>
  <c r="K163"/>
  <c r="K155"/>
  <c r="K147"/>
  <c r="K139"/>
  <c r="K131"/>
  <c r="K123"/>
  <c r="K127"/>
  <c r="K135"/>
  <c r="K143"/>
  <c r="K151"/>
  <c r="K159"/>
  <c r="K167"/>
  <c r="M120"/>
  <c r="M124"/>
  <c r="M128"/>
  <c r="M136"/>
  <c r="M144"/>
  <c r="M152"/>
  <c r="M156"/>
  <c r="M160"/>
  <c r="D4" i="1"/>
  <c r="D36" i="2" l="1"/>
  <c r="K45" s="1"/>
  <c r="D78" i="3"/>
  <c r="D41" s="1"/>
  <c r="D9" s="1"/>
  <c r="D40"/>
  <c r="M121" i="2"/>
  <c r="M137"/>
  <c r="M153"/>
  <c r="L165"/>
  <c r="L129"/>
  <c r="D113"/>
  <c r="M133"/>
  <c r="L149"/>
  <c r="M145"/>
  <c r="M161"/>
  <c r="M125"/>
  <c r="M157"/>
  <c r="M141"/>
  <c r="M151"/>
  <c r="L151"/>
  <c r="M155"/>
  <c r="L155"/>
  <c r="M159"/>
  <c r="L159"/>
  <c r="M147"/>
  <c r="L147"/>
  <c r="M143"/>
  <c r="L143"/>
  <c r="M131"/>
  <c r="L131"/>
  <c r="M163"/>
  <c r="L163"/>
  <c r="M123"/>
  <c r="L123"/>
  <c r="M127"/>
  <c r="L127"/>
  <c r="M167"/>
  <c r="L167"/>
  <c r="M135"/>
  <c r="L135"/>
  <c r="M139"/>
  <c r="L139"/>
  <c r="D93"/>
  <c r="D92" s="1"/>
  <c r="K48" l="1"/>
  <c r="K49"/>
  <c r="K52"/>
  <c r="K43"/>
  <c r="K47"/>
  <c r="K46"/>
  <c r="K44"/>
  <c r="K51"/>
  <c r="K50"/>
  <c r="D73"/>
  <c r="D115"/>
  <c r="D116" s="1"/>
  <c r="D114"/>
  <c r="D104" s="1"/>
  <c r="D59"/>
  <c r="D38" l="1"/>
  <c r="D79"/>
  <c r="D75" s="1"/>
  <c r="D61"/>
  <c r="D60"/>
  <c r="D103"/>
  <c r="D6"/>
  <c r="D13" s="1"/>
  <c r="D7" l="1"/>
  <c r="D14"/>
  <c r="D9"/>
  <c r="D39" s="1"/>
  <c r="D8"/>
  <c r="D74"/>
  <c r="D81"/>
  <c r="D107"/>
  <c r="D99" s="1"/>
  <c r="D62" s="1"/>
  <c r="D106"/>
  <c r="D80"/>
  <c r="I7" l="1"/>
  <c r="D105"/>
  <c r="D10" l="1"/>
  <c r="I10"/>
  <c r="M6"/>
  <c r="D100"/>
  <c r="D63" s="1"/>
  <c r="D101"/>
  <c r="D64" s="1"/>
  <c r="D12" s="1"/>
  <c r="D11" l="1"/>
</calcChain>
</file>

<file path=xl/sharedStrings.xml><?xml version="1.0" encoding="utf-8"?>
<sst xmlns="http://schemas.openxmlformats.org/spreadsheetml/2006/main" count="456" uniqueCount="148">
  <si>
    <t>Massa total</t>
  </si>
  <si>
    <t>CM below SWL</t>
  </si>
  <si>
    <t>Roll inertia about system CM</t>
  </si>
  <si>
    <t>Pitch inertia about system CM</t>
  </si>
  <si>
    <t>Yaw inertia about system CM</t>
  </si>
  <si>
    <t>Sistema</t>
  </si>
  <si>
    <t>Floater</t>
  </si>
  <si>
    <t>Mass, including ballast</t>
  </si>
  <si>
    <t>kg</t>
  </si>
  <si>
    <t>CM location below SWL</t>
  </si>
  <si>
    <t>m</t>
  </si>
  <si>
    <t>Roll inertia about CM</t>
  </si>
  <si>
    <t>kg.m^2</t>
  </si>
  <si>
    <t>Pitch inertia about CM</t>
  </si>
  <si>
    <t>Yaw inertia about CM</t>
  </si>
  <si>
    <t>Tower</t>
  </si>
  <si>
    <t>Overall (integrated) mass</t>
  </si>
  <si>
    <t>Second mass moment of inertia (w.r.t root)</t>
  </si>
  <si>
    <t>First mass moment of inertia (w.r.t root)</t>
  </si>
  <si>
    <t>kg.m</t>
  </si>
  <si>
    <t>CM location (w.r.t root along axis)</t>
  </si>
  <si>
    <t>Blades</t>
  </si>
  <si>
    <t>Number of blades</t>
  </si>
  <si>
    <t>Elevation to tower base above SWL</t>
  </si>
  <si>
    <t>Length (w.r.t. root along axis)</t>
  </si>
  <si>
    <t>Elevation to tower top above SWL</t>
  </si>
  <si>
    <t>Mass</t>
  </si>
  <si>
    <t>Mass including instrumentation</t>
  </si>
  <si>
    <t>CM location above SWL</t>
  </si>
  <si>
    <t>RNA</t>
  </si>
  <si>
    <t>Rotor diameter</t>
  </si>
  <si>
    <t>Hub diameter</t>
  </si>
  <si>
    <t>Hub Height</t>
  </si>
  <si>
    <t>Yaw bearing height from SWL</t>
  </si>
  <si>
    <t>Dist. From yaw bearing to shaft</t>
  </si>
  <si>
    <t>Overhang</t>
  </si>
  <si>
    <t>Tilt</t>
  </si>
  <si>
    <t>deg</t>
  </si>
  <si>
    <t>Precone</t>
  </si>
  <si>
    <t>Rotor mass (blades only)</t>
  </si>
  <si>
    <t>Nacelle mass (including hub)</t>
  </si>
  <si>
    <t>Total RNA mass</t>
  </si>
  <si>
    <t>CM location of RNA (rel to HH) - X</t>
  </si>
  <si>
    <t>CM location of RNA (rel to HH) - Z</t>
  </si>
  <si>
    <t>CM location of RNA (rel to HH) - Y</t>
  </si>
  <si>
    <t>RNA roll inertia about CM</t>
  </si>
  <si>
    <t>RNA pitch inertia about CM</t>
  </si>
  <si>
    <t>RNA yaw inertia about CM</t>
  </si>
  <si>
    <t>Distributed Properties</t>
  </si>
  <si>
    <t>HtFract</t>
  </si>
  <si>
    <t>TMassDen</t>
  </si>
  <si>
    <t>TwFAStif</t>
  </si>
  <si>
    <t>TWSSStif</t>
  </si>
  <si>
    <t>Tower Length</t>
  </si>
  <si>
    <t>Tower Elevation above SWL</t>
  </si>
  <si>
    <t>dl</t>
  </si>
  <si>
    <t>HtElev</t>
  </si>
  <si>
    <t>BlFract</t>
  </si>
  <si>
    <t>PitchAxis</t>
  </si>
  <si>
    <t>StrcTwst</t>
  </si>
  <si>
    <t>BMassDen</t>
  </si>
  <si>
    <t>FlpStff</t>
  </si>
  <si>
    <t>EdgStff</t>
  </si>
  <si>
    <t>Fraction Mass</t>
  </si>
  <si>
    <t>dx</t>
  </si>
  <si>
    <t>mean(BMassDen)</t>
  </si>
  <si>
    <t>Factor do adjust blade mass</t>
  </si>
  <si>
    <t>2nd Inert</t>
  </si>
  <si>
    <t>1st Inert</t>
  </si>
  <si>
    <t>Hub mass</t>
  </si>
  <si>
    <t>Rotor mass (total)</t>
  </si>
  <si>
    <t>Nacelle mass (without hub)</t>
  </si>
  <si>
    <t>Nacelle CM - X (from tower top)</t>
  </si>
  <si>
    <t>Nacelle CM - Y (from tower top)</t>
  </si>
  <si>
    <t>Nacelle CM - Z (from tower top)</t>
  </si>
  <si>
    <t>Hub inertia about rotor axis</t>
  </si>
  <si>
    <t>kg m^2</t>
  </si>
  <si>
    <t>Nacelle Inertia about yaw axis</t>
  </si>
  <si>
    <t>* X is positive downwind</t>
  </si>
  <si>
    <t>Rotor (Hub + Blades)</t>
  </si>
  <si>
    <t>Nacelle</t>
  </si>
  <si>
    <t>Contribution to RNA roll inertia about RNA CM</t>
  </si>
  <si>
    <t>Inercia propria - roll</t>
  </si>
  <si>
    <t>Inercia propria - pitch</t>
  </si>
  <si>
    <t>Inercia propria - yaw</t>
  </si>
  <si>
    <t>* Considerando as pás dentro de um plano, a inercia em pitch e yaw é metade da em roll</t>
  </si>
  <si>
    <t>* Válido para tilt pequeno. Seria bom arrumar isso depois</t>
  </si>
  <si>
    <t>Contribution to RNA pitch inertia about RNA CM</t>
  </si>
  <si>
    <t>Contribution to RNA yaw inertia about RNA CM</t>
  </si>
  <si>
    <t>Distancia ao CM do RNA - X</t>
  </si>
  <si>
    <t>Distancia ao CM do RNA - Y</t>
  </si>
  <si>
    <t>Distancia ao CM do RNA - Z</t>
  </si>
  <si>
    <t>CM (w.r.t. waterline) - X</t>
  </si>
  <si>
    <t>CM (w.r.t. waterline) - Z</t>
  </si>
  <si>
    <t>CM (w.r.t. waterline) - Y</t>
  </si>
  <si>
    <t>CM location - X</t>
  </si>
  <si>
    <t>CM location - Z</t>
  </si>
  <si>
    <t>CM location - Y</t>
  </si>
  <si>
    <t>CM location (from tower top) - X</t>
  </si>
  <si>
    <t>CM location (from tower top) - Y</t>
  </si>
  <si>
    <t>CM location (from tower top) - Z</t>
  </si>
  <si>
    <t>CM location of RNA (from tower top) - X</t>
  </si>
  <si>
    <t>CM location of RNA (from tower top) - Y</t>
  </si>
  <si>
    <t>CM location of RNA (from tower top) - Z</t>
  </si>
  <si>
    <t>I roll/pitch (w.r.t System CM)</t>
  </si>
  <si>
    <t>* Tá na nacelle</t>
  </si>
  <si>
    <t>* Inclui hub no relatorio da OC5</t>
  </si>
  <si>
    <t>Target</t>
  </si>
  <si>
    <t>Diff</t>
  </si>
  <si>
    <t>Other system properties</t>
  </si>
  <si>
    <t>KB</t>
  </si>
  <si>
    <t>KG</t>
  </si>
  <si>
    <t>Draft</t>
  </si>
  <si>
    <t>BM</t>
  </si>
  <si>
    <t>Swl colunas externas</t>
  </si>
  <si>
    <t>m^2</t>
  </si>
  <si>
    <t>Swl main column</t>
  </si>
  <si>
    <t>Swl</t>
  </si>
  <si>
    <t>Ixx =Iyy (do Rhino)</t>
  </si>
  <si>
    <t>Displacement</t>
  </si>
  <si>
    <t>m^4</t>
  </si>
  <si>
    <t>m^3</t>
  </si>
  <si>
    <t>GM</t>
  </si>
  <si>
    <t>Swl cross braces</t>
  </si>
  <si>
    <t>Displacemente estimado</t>
  </si>
  <si>
    <t>Ixx estimado</t>
  </si>
  <si>
    <t>Ixx proprio central</t>
  </si>
  <si>
    <t>Ixx proprio offset</t>
  </si>
  <si>
    <t>Area coluna offset</t>
  </si>
  <si>
    <t>Distancia coluna offset</t>
  </si>
  <si>
    <t>BM estimado</t>
  </si>
  <si>
    <t>GM estimado</t>
  </si>
  <si>
    <t>kg/m^3</t>
  </si>
  <si>
    <t>Water specific weight</t>
  </si>
  <si>
    <t>Acceleration of gravity</t>
  </si>
  <si>
    <t>m/s^2</t>
  </si>
  <si>
    <t>Extra vertical weight due to mooring lines</t>
  </si>
  <si>
    <t>N</t>
  </si>
  <si>
    <t>Same, but in kgf</t>
  </si>
  <si>
    <t>kgf</t>
  </si>
  <si>
    <t>Estimativa GM excluindo braces</t>
  </si>
  <si>
    <t>Displacement estimado</t>
  </si>
  <si>
    <t>mean(MassDens)</t>
  </si>
  <si>
    <t>Mass * Z</t>
  </si>
  <si>
    <t>I roll/pitch (w.r.t own CM)</t>
  </si>
  <si>
    <t>RNA pitch inertia about own CM</t>
  </si>
  <si>
    <t>RNA roll inertia about own CM</t>
  </si>
  <si>
    <t>RNA yaw inertia about own CM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</si>
</sst>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64" formatCode="0.000E+00"/>
    <numFmt numFmtId="165" formatCode="0.0000E+00"/>
    <numFmt numFmtId="166" formatCode="0.0000000E+00"/>
    <numFmt numFmtId="167" formatCode="0.0000"/>
    <numFmt numFmtId="168" formatCode="0.000"/>
    <numFmt numFmtId="169" formatCode="0.00000"/>
    <numFmt numFmtId="170" formatCode="0.000%"/>
    <numFmt numFmtId="175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4" fillId="0" borderId="1" xfId="0" applyFont="1" applyBorder="1" applyAlignment="1">
      <alignment horizontal="right"/>
    </xf>
    <xf numFmtId="11" fontId="6" fillId="2" borderId="0" xfId="0" applyNumberFormat="1" applyFont="1" applyFill="1"/>
    <xf numFmtId="2" fontId="6" fillId="2" borderId="0" xfId="0" applyNumberFormat="1" applyFont="1" applyFill="1"/>
    <xf numFmtId="2" fontId="8" fillId="2" borderId="0" xfId="0" applyNumberFormat="1" applyFont="1" applyFill="1"/>
    <xf numFmtId="11" fontId="8" fillId="2" borderId="0" xfId="0" applyNumberFormat="1" applyFont="1" applyFill="1"/>
    <xf numFmtId="0" fontId="6" fillId="2" borderId="0" xfId="0" applyFont="1" applyFill="1"/>
    <xf numFmtId="2" fontId="9" fillId="0" borderId="0" xfId="0" applyNumberFormat="1" applyFont="1" applyFill="1"/>
    <xf numFmtId="168" fontId="8" fillId="2" borderId="0" xfId="0" applyNumberFormat="1" applyFont="1" applyFill="1"/>
    <xf numFmtId="10" fontId="0" fillId="0" borderId="0" xfId="2" applyNumberFormat="1" applyFo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0" fontId="5" fillId="0" borderId="0" xfId="0" applyFont="1" applyBorder="1" applyAlignment="1">
      <alignment horizontal="right"/>
    </xf>
    <xf numFmtId="170" fontId="5" fillId="0" borderId="0" xfId="0" applyNumberFormat="1" applyFont="1"/>
    <xf numFmtId="167" fontId="5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/>
    <xf numFmtId="43" fontId="11" fillId="2" borderId="0" xfId="1" applyFont="1" applyFill="1"/>
    <xf numFmtId="0" fontId="0" fillId="3" borderId="0" xfId="0" applyFill="1"/>
    <xf numFmtId="11" fontId="0" fillId="3" borderId="0" xfId="0" applyNumberFormat="1" applyFill="1" applyAlignment="1">
      <alignment horizontal="right"/>
    </xf>
    <xf numFmtId="166" fontId="0" fillId="3" borderId="0" xfId="0" applyNumberFormat="1" applyFill="1"/>
    <xf numFmtId="11" fontId="7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11" fontId="6" fillId="2" borderId="0" xfId="1" applyNumberFormat="1" applyFont="1" applyFill="1"/>
    <xf numFmtId="11" fontId="10" fillId="0" borderId="0" xfId="0" applyNumberFormat="1" applyFont="1"/>
    <xf numFmtId="2" fontId="10" fillId="0" borderId="0" xfId="0" applyNumberFormat="1" applyFont="1"/>
    <xf numFmtId="2" fontId="7" fillId="0" borderId="0" xfId="1" applyNumberFormat="1" applyFont="1" applyFill="1"/>
    <xf numFmtId="2" fontId="7" fillId="0" borderId="0" xfId="0" applyNumberFormat="1" applyFont="1" applyFill="1"/>
    <xf numFmtId="11" fontId="9" fillId="0" borderId="0" xfId="0" applyNumberFormat="1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1" fontId="10" fillId="0" borderId="0" xfId="1" applyNumberFormat="1" applyFont="1"/>
    <xf numFmtId="11" fontId="11" fillId="2" borderId="0" xfId="1" applyNumberFormat="1" applyFont="1" applyFill="1"/>
    <xf numFmtId="165" fontId="6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2" fillId="0" borderId="1" xfId="0" applyFont="1" applyBorder="1"/>
    <xf numFmtId="2" fontId="6" fillId="2" borderId="0" xfId="1" applyNumberFormat="1" applyFont="1" applyFill="1"/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1" fontId="6" fillId="2" borderId="0" xfId="1" applyNumberFormat="1" applyFont="1" applyFill="1"/>
    <xf numFmtId="2" fontId="14" fillId="2" borderId="0" xfId="0" applyNumberFormat="1" applyFont="1" applyFill="1"/>
    <xf numFmtId="169" fontId="0" fillId="0" borderId="0" xfId="0" applyNumberFormat="1"/>
    <xf numFmtId="2" fontId="15" fillId="2" borderId="0" xfId="0" applyNumberFormat="1" applyFont="1" applyFill="1" applyAlignment="1">
      <alignment horizontal="right"/>
    </xf>
    <xf numFmtId="11" fontId="13" fillId="0" borderId="0" xfId="0" applyNumberFormat="1" applyFont="1" applyAlignment="1">
      <alignment horizontal="right"/>
    </xf>
    <xf numFmtId="166" fontId="13" fillId="0" borderId="0" xfId="0" applyNumberFormat="1" applyFont="1"/>
    <xf numFmtId="43" fontId="0" fillId="0" borderId="0" xfId="1" applyFont="1"/>
    <xf numFmtId="43" fontId="13" fillId="0" borderId="0" xfId="1" applyFont="1"/>
    <xf numFmtId="0" fontId="3" fillId="0" borderId="0" xfId="0" applyFont="1"/>
    <xf numFmtId="0" fontId="16" fillId="2" borderId="0" xfId="0" applyFont="1" applyFill="1"/>
    <xf numFmtId="165" fontId="0" fillId="0" borderId="0" xfId="1" applyNumberFormat="1" applyFont="1"/>
    <xf numFmtId="164" fontId="7" fillId="0" borderId="0" xfId="0" applyNumberFormat="1" applyFont="1" applyFill="1"/>
    <xf numFmtId="164" fontId="0" fillId="0" borderId="0" xfId="0" applyNumberFormat="1" applyFill="1"/>
    <xf numFmtId="175" fontId="7" fillId="0" borderId="0" xfId="1" applyNumberFormat="1" applyFont="1" applyFill="1"/>
    <xf numFmtId="1" fontId="0" fillId="0" borderId="0" xfId="1" applyNumberFormat="1" applyFont="1"/>
    <xf numFmtId="175" fontId="10" fillId="0" borderId="0" xfId="1" applyNumberFormat="1" applyFont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E68"/>
  <sheetViews>
    <sheetView workbookViewId="0">
      <selection activeCell="B62" sqref="B62"/>
    </sheetView>
  </sheetViews>
  <sheetFormatPr defaultRowHeight="15"/>
  <cols>
    <col min="3" max="3" width="21.7109375" customWidth="1"/>
    <col min="4" max="4" width="15.85546875" customWidth="1"/>
    <col min="5" max="5" width="13.7109375" bestFit="1" customWidth="1"/>
  </cols>
  <sheetData>
    <row r="2" spans="3:5" ht="18.75">
      <c r="C2" s="8" t="s">
        <v>5</v>
      </c>
      <c r="D2" s="5"/>
      <c r="E2" s="5"/>
    </row>
    <row r="3" spans="3:5">
      <c r="C3" s="6" t="s">
        <v>0</v>
      </c>
      <c r="D3" s="3">
        <f>D11+D22+D37</f>
        <v>13957400</v>
      </c>
      <c r="E3" t="s">
        <v>8</v>
      </c>
    </row>
    <row r="4" spans="3:5">
      <c r="C4" s="7" t="s">
        <v>1</v>
      </c>
      <c r="D4" s="9">
        <f>(D11*-D12+D22*D23+D37*(D29+D40))/D3</f>
        <v>-7.9776845974178574</v>
      </c>
      <c r="E4" s="4" t="s">
        <v>10</v>
      </c>
    </row>
    <row r="5" spans="3:5">
      <c r="C5" s="7" t="s">
        <v>2</v>
      </c>
      <c r="D5" s="2">
        <f>D13+$D$11*($D$4-$D$12)^2+$D$22*($D$4-$D$23)^2+D41+$D$37*($D$4-$D$29-$D$40)</f>
        <v>15183349243.639532</v>
      </c>
      <c r="E5" s="4"/>
    </row>
    <row r="6" spans="3:5">
      <c r="C6" s="7" t="s">
        <v>3</v>
      </c>
      <c r="D6" s="2">
        <f>D14+$D$11*($D$4-$D$12)^2+$D$22*($D$4-$D$23)^2+D42+$D$37*($D$4-$D$29-$D$40)</f>
        <v>15872140243.639532</v>
      </c>
      <c r="E6" s="4"/>
    </row>
    <row r="7" spans="3:5">
      <c r="C7" s="7" t="s">
        <v>4</v>
      </c>
      <c r="D7" s="2">
        <f>D15+D43+D37*D38^2</f>
        <v>13697699782.809999</v>
      </c>
      <c r="E7" s="4"/>
    </row>
    <row r="8" spans="3:5">
      <c r="C8" s="7"/>
      <c r="E8" s="4"/>
    </row>
    <row r="9" spans="3:5">
      <c r="C9" s="7"/>
      <c r="E9" s="4"/>
    </row>
    <row r="10" spans="3:5" ht="18.75">
      <c r="C10" s="8" t="s">
        <v>6</v>
      </c>
      <c r="D10" s="5"/>
      <c r="E10" s="5"/>
    </row>
    <row r="11" spans="3:5">
      <c r="C11" s="7" t="s">
        <v>7</v>
      </c>
      <c r="D11" s="1">
        <v>12919000</v>
      </c>
      <c r="E11" s="4" t="s">
        <v>8</v>
      </c>
    </row>
    <row r="12" spans="3:5">
      <c r="C12" s="7" t="s">
        <v>9</v>
      </c>
      <c r="D12" s="9">
        <v>14.09</v>
      </c>
      <c r="E12" s="4" t="s">
        <v>10</v>
      </c>
    </row>
    <row r="13" spans="3:5">
      <c r="C13" s="7" t="s">
        <v>11</v>
      </c>
      <c r="D13" s="1">
        <v>7553400000</v>
      </c>
      <c r="E13" s="4" t="s">
        <v>12</v>
      </c>
    </row>
    <row r="14" spans="3:5">
      <c r="C14" s="7" t="s">
        <v>13</v>
      </c>
      <c r="D14" s="1">
        <v>8223600000</v>
      </c>
      <c r="E14" s="4" t="s">
        <v>12</v>
      </c>
    </row>
    <row r="15" spans="3:5">
      <c r="C15" s="7" t="s">
        <v>14</v>
      </c>
      <c r="D15" s="1">
        <v>13612000000</v>
      </c>
      <c r="E15" s="4" t="s">
        <v>12</v>
      </c>
    </row>
    <row r="16" spans="3:5">
      <c r="C16" s="7"/>
      <c r="E16" s="4"/>
    </row>
    <row r="17" spans="3:5">
      <c r="C17" s="6"/>
    </row>
    <row r="18" spans="3:5" ht="18.75">
      <c r="C18" s="8" t="s">
        <v>15</v>
      </c>
      <c r="D18" s="5"/>
      <c r="E18" s="5"/>
    </row>
    <row r="19" spans="3:5">
      <c r="C19" s="6" t="s">
        <v>23</v>
      </c>
      <c r="D19">
        <v>10</v>
      </c>
      <c r="E19" t="s">
        <v>10</v>
      </c>
    </row>
    <row r="20" spans="3:5">
      <c r="C20" s="6" t="s">
        <v>25</v>
      </c>
      <c r="D20">
        <v>88.2</v>
      </c>
      <c r="E20" t="s">
        <v>10</v>
      </c>
    </row>
    <row r="21" spans="3:5">
      <c r="C21" s="6" t="s">
        <v>26</v>
      </c>
      <c r="D21" s="1">
        <v>177800</v>
      </c>
      <c r="E21" t="s">
        <v>8</v>
      </c>
    </row>
    <row r="22" spans="3:5">
      <c r="C22" s="6" t="s">
        <v>27</v>
      </c>
      <c r="D22" s="1">
        <v>493500</v>
      </c>
      <c r="E22" t="s">
        <v>8</v>
      </c>
    </row>
    <row r="23" spans="3:5">
      <c r="C23" s="6" t="s">
        <v>28</v>
      </c>
      <c r="D23">
        <v>43.85</v>
      </c>
      <c r="E23" t="s">
        <v>10</v>
      </c>
    </row>
    <row r="24" spans="3:5">
      <c r="C24" s="6"/>
    </row>
    <row r="25" spans="3:5">
      <c r="C25" s="6"/>
    </row>
    <row r="26" spans="3:5" ht="18.75">
      <c r="C26" s="8" t="s">
        <v>29</v>
      </c>
      <c r="D26" s="5"/>
      <c r="E26" s="5"/>
    </row>
    <row r="27" spans="3:5">
      <c r="C27" s="6" t="s">
        <v>30</v>
      </c>
      <c r="D27">
        <v>126</v>
      </c>
      <c r="E27" t="s">
        <v>10</v>
      </c>
    </row>
    <row r="28" spans="3:5">
      <c r="C28" s="6" t="s">
        <v>31</v>
      </c>
      <c r="D28">
        <v>3</v>
      </c>
      <c r="E28" t="s">
        <v>10</v>
      </c>
    </row>
    <row r="29" spans="3:5">
      <c r="C29" s="6" t="s">
        <v>32</v>
      </c>
      <c r="D29">
        <v>90</v>
      </c>
      <c r="E29" t="s">
        <v>10</v>
      </c>
    </row>
    <row r="30" spans="3:5">
      <c r="C30" s="6" t="s">
        <v>33</v>
      </c>
      <c r="D30">
        <v>88.2</v>
      </c>
      <c r="E30" t="s">
        <v>10</v>
      </c>
    </row>
    <row r="31" spans="3:5">
      <c r="C31" s="6" t="s">
        <v>34</v>
      </c>
      <c r="D31">
        <v>1.8</v>
      </c>
      <c r="E31" t="s">
        <v>10</v>
      </c>
    </row>
    <row r="32" spans="3:5">
      <c r="C32" s="6" t="s">
        <v>35</v>
      </c>
      <c r="D32">
        <v>10.6</v>
      </c>
      <c r="E32" t="s">
        <v>10</v>
      </c>
    </row>
    <row r="33" spans="3:5">
      <c r="C33" s="6" t="s">
        <v>36</v>
      </c>
      <c r="D33">
        <v>0</v>
      </c>
      <c r="E33" t="s">
        <v>37</v>
      </c>
    </row>
    <row r="34" spans="3:5">
      <c r="C34" s="6" t="s">
        <v>38</v>
      </c>
      <c r="D34">
        <v>0</v>
      </c>
      <c r="E34" t="s">
        <v>37</v>
      </c>
    </row>
    <row r="35" spans="3:5">
      <c r="C35" s="6" t="s">
        <v>39</v>
      </c>
      <c r="D35" s="1">
        <v>67000</v>
      </c>
      <c r="E35" t="s">
        <v>8</v>
      </c>
    </row>
    <row r="36" spans="3:5">
      <c r="C36" s="6" t="s">
        <v>40</v>
      </c>
      <c r="D36" s="1">
        <v>477900</v>
      </c>
      <c r="E36" t="s">
        <v>8</v>
      </c>
    </row>
    <row r="37" spans="3:5">
      <c r="C37" s="6" t="s">
        <v>41</v>
      </c>
      <c r="D37" s="1">
        <f>D35+D36</f>
        <v>544900</v>
      </c>
      <c r="E37" t="s">
        <v>8</v>
      </c>
    </row>
    <row r="38" spans="3:5">
      <c r="C38" s="6" t="s">
        <v>42</v>
      </c>
      <c r="D38" s="10">
        <v>-1.1299999999999999</v>
      </c>
      <c r="E38" t="s">
        <v>10</v>
      </c>
    </row>
    <row r="39" spans="3:5">
      <c r="C39" s="6" t="s">
        <v>44</v>
      </c>
      <c r="D39" s="9">
        <v>0</v>
      </c>
      <c r="E39" t="s">
        <v>10</v>
      </c>
    </row>
    <row r="40" spans="3:5">
      <c r="C40" s="6" t="s">
        <v>43</v>
      </c>
      <c r="D40" s="9">
        <v>0</v>
      </c>
      <c r="E40" t="s">
        <v>10</v>
      </c>
    </row>
    <row r="41" spans="3:5">
      <c r="C41" s="6" t="s">
        <v>45</v>
      </c>
      <c r="D41" s="1">
        <v>66413000</v>
      </c>
      <c r="E41" t="s">
        <v>12</v>
      </c>
    </row>
    <row r="42" spans="3:5">
      <c r="C42" s="6" t="s">
        <v>46</v>
      </c>
      <c r="D42" s="1">
        <v>85004000</v>
      </c>
      <c r="E42" t="s">
        <v>12</v>
      </c>
    </row>
    <row r="43" spans="3:5">
      <c r="C43" s="6" t="s">
        <v>47</v>
      </c>
      <c r="D43" s="1">
        <v>85004000</v>
      </c>
      <c r="E43" t="s">
        <v>12</v>
      </c>
    </row>
    <row r="44" spans="3:5">
      <c r="C44" s="6"/>
    </row>
    <row r="45" spans="3:5">
      <c r="C45" s="6"/>
    </row>
    <row r="46" spans="3:5" ht="18.75">
      <c r="C46" s="8" t="s">
        <v>21</v>
      </c>
      <c r="D46" s="5"/>
      <c r="E46" s="5"/>
    </row>
    <row r="47" spans="3:5">
      <c r="C47" s="7" t="s">
        <v>22</v>
      </c>
      <c r="D47">
        <v>3</v>
      </c>
      <c r="E47" s="4"/>
    </row>
    <row r="48" spans="3:5">
      <c r="C48" s="7" t="s">
        <v>24</v>
      </c>
      <c r="D48">
        <v>61.5</v>
      </c>
      <c r="E48" s="4" t="s">
        <v>10</v>
      </c>
    </row>
    <row r="49" spans="3:5">
      <c r="C49" s="7" t="s">
        <v>16</v>
      </c>
      <c r="D49" s="1">
        <v>22333</v>
      </c>
      <c r="E49" s="4" t="s">
        <v>8</v>
      </c>
    </row>
    <row r="50" spans="3:5">
      <c r="C50" s="7" t="s">
        <v>17</v>
      </c>
      <c r="D50" s="1">
        <v>14824800</v>
      </c>
      <c r="E50" s="4" t="s">
        <v>12</v>
      </c>
    </row>
    <row r="51" spans="3:5">
      <c r="C51" s="6" t="s">
        <v>18</v>
      </c>
      <c r="D51" s="1">
        <v>457270</v>
      </c>
      <c r="E51" s="4" t="s">
        <v>19</v>
      </c>
    </row>
    <row r="52" spans="3:5">
      <c r="C52" s="6" t="s">
        <v>20</v>
      </c>
      <c r="D52" s="9">
        <v>20.475000000000001</v>
      </c>
      <c r="E52" s="4" t="s">
        <v>10</v>
      </c>
    </row>
    <row r="53" spans="3:5">
      <c r="C53" s="6"/>
    </row>
    <row r="54" spans="3:5">
      <c r="C54" s="6"/>
      <c r="D54" s="9"/>
    </row>
    <row r="55" spans="3:5">
      <c r="C55" s="6"/>
    </row>
    <row r="56" spans="3:5">
      <c r="C56" s="6"/>
    </row>
    <row r="57" spans="3:5">
      <c r="C57" s="6"/>
    </row>
    <row r="58" spans="3:5">
      <c r="C58" s="6"/>
    </row>
    <row r="59" spans="3:5">
      <c r="C59" s="6"/>
    </row>
    <row r="60" spans="3:5">
      <c r="C60" s="6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70"/>
  <sheetViews>
    <sheetView tabSelected="1" zoomScaleNormal="100" workbookViewId="0">
      <selection activeCell="D6" sqref="D6"/>
    </sheetView>
  </sheetViews>
  <sheetFormatPr defaultRowHeight="15"/>
  <cols>
    <col min="1" max="1" width="21.42578125" customWidth="1"/>
    <col min="2" max="2" width="9.28515625" bestFit="1" customWidth="1"/>
    <col min="3" max="3" width="27.5703125" customWidth="1"/>
    <col min="4" max="4" width="15.85546875" customWidth="1"/>
    <col min="5" max="5" width="13.7109375" bestFit="1" customWidth="1"/>
    <col min="6" max="6" width="12.28515625" bestFit="1" customWidth="1"/>
    <col min="8" max="8" width="9.28515625" bestFit="1" customWidth="1"/>
    <col min="9" max="9" width="11.140625" bestFit="1" customWidth="1"/>
    <col min="10" max="10" width="11.85546875" customWidth="1"/>
    <col min="11" max="11" width="14" bestFit="1" customWidth="1"/>
    <col min="12" max="12" width="10.28515625" bestFit="1" customWidth="1"/>
    <col min="13" max="13" width="9.28515625" bestFit="1" customWidth="1"/>
  </cols>
  <sheetData>
    <row r="2" spans="1:14">
      <c r="A2" t="s">
        <v>133</v>
      </c>
      <c r="B2">
        <v>1025</v>
      </c>
      <c r="C2" t="s">
        <v>132</v>
      </c>
    </row>
    <row r="3" spans="1:14">
      <c r="A3" t="s">
        <v>134</v>
      </c>
      <c r="B3">
        <v>9.81</v>
      </c>
      <c r="C3" t="s">
        <v>135</v>
      </c>
    </row>
    <row r="5" spans="1:14" ht="18.75">
      <c r="C5" s="8" t="s">
        <v>5</v>
      </c>
      <c r="D5" s="5"/>
      <c r="E5" s="5"/>
      <c r="H5" s="54" t="s">
        <v>109</v>
      </c>
      <c r="I5" s="55"/>
      <c r="J5" s="55"/>
      <c r="L5" s="68" t="s">
        <v>140</v>
      </c>
    </row>
    <row r="6" spans="1:14">
      <c r="C6" s="6" t="s">
        <v>0</v>
      </c>
      <c r="D6" s="3">
        <f>D19+D33+D58</f>
        <v>14072324.492717916</v>
      </c>
      <c r="E6" t="s">
        <v>8</v>
      </c>
      <c r="H6" t="s">
        <v>110</v>
      </c>
      <c r="I6" s="20">
        <f>D26-13.15</f>
        <v>6.85</v>
      </c>
      <c r="J6" t="s">
        <v>10</v>
      </c>
      <c r="L6" s="6" t="s">
        <v>131</v>
      </c>
      <c r="M6" s="9">
        <f>I6+M8-I7</f>
        <v>7.4033831622065573</v>
      </c>
    </row>
    <row r="7" spans="1:14">
      <c r="C7" s="7" t="s">
        <v>92</v>
      </c>
      <c r="D7" s="12">
        <f>($D$19*D20+$D$33*D34+$D$58*D59)/$D$6</f>
        <v>-6.3917670964676468E-3</v>
      </c>
      <c r="E7" s="4" t="s">
        <v>10</v>
      </c>
      <c r="H7" t="s">
        <v>111</v>
      </c>
      <c r="I7" s="9">
        <f>D26+D9</f>
        <v>10.108257345657998</v>
      </c>
      <c r="J7" t="s">
        <v>10</v>
      </c>
    </row>
    <row r="8" spans="1:14">
      <c r="C8" s="7" t="s">
        <v>94</v>
      </c>
      <c r="D8" s="12">
        <f>($D$19*D21+$D$33*D35+$D$58*D60)/$D$6</f>
        <v>0</v>
      </c>
      <c r="E8" s="4" t="s">
        <v>10</v>
      </c>
      <c r="H8" t="s">
        <v>113</v>
      </c>
      <c r="I8" s="9">
        <f>I9/D27</f>
        <v>10.451124523963497</v>
      </c>
      <c r="J8" t="s">
        <v>10</v>
      </c>
      <c r="L8" s="6" t="s">
        <v>130</v>
      </c>
      <c r="M8" s="69">
        <f>M10/M9</f>
        <v>10.661640507864554</v>
      </c>
    </row>
    <row r="9" spans="1:14">
      <c r="C9" s="7" t="s">
        <v>93</v>
      </c>
      <c r="D9" s="9">
        <f>($D$19*D22+$D$33*D36+$D$58*(D32+D61))/$D$6</f>
        <v>-9.8917426543420017</v>
      </c>
      <c r="E9" s="4" t="s">
        <v>10</v>
      </c>
      <c r="H9" s="57" t="s">
        <v>118</v>
      </c>
      <c r="I9" s="61">
        <v>145448.29999999999</v>
      </c>
      <c r="J9" s="59" t="s">
        <v>120</v>
      </c>
      <c r="L9" s="6" t="s">
        <v>124</v>
      </c>
      <c r="M9" s="69">
        <f>PI()/4*(6.5^2*20+3*(12^2*14+24^2*6))</f>
        <v>13556.757698403355</v>
      </c>
      <c r="N9" t="s">
        <v>121</v>
      </c>
    </row>
    <row r="10" spans="1:14">
      <c r="C10" s="7" t="s">
        <v>2</v>
      </c>
      <c r="D10" s="2">
        <f>D23+$D$19*((D9-D22)^2+(D8-D21)^2)+$D$39+D62+$D$58*(($D$9-$D$57-$D$61)^2+(D8-D60)^2)</f>
        <v>11322112687.663284</v>
      </c>
      <c r="E10" s="4" t="s">
        <v>12</v>
      </c>
      <c r="H10" t="s">
        <v>122</v>
      </c>
      <c r="I10" s="9">
        <f>I6+I8-I7</f>
        <v>7.1928671783054963</v>
      </c>
      <c r="J10" t="s">
        <v>10</v>
      </c>
      <c r="L10" s="6" t="s">
        <v>125</v>
      </c>
      <c r="M10" s="69">
        <f>M11+3*M12+M13*M14^2+2*M13*(M14*COS(RADIANS(60)))^2</f>
        <v>144537.27703260185</v>
      </c>
      <c r="N10" t="s">
        <v>120</v>
      </c>
    </row>
    <row r="11" spans="1:14">
      <c r="C11" s="7" t="s">
        <v>3</v>
      </c>
      <c r="D11" s="2">
        <f>D24+$D$19*((D9-D22)^2+(D7-D20)^2)+$D$39+D63+$D$58*(($D$9-$D$57-$D$61)^2+(D7-D59)^2)</f>
        <v>11307426030.279135</v>
      </c>
      <c r="E11" s="4" t="s">
        <v>12</v>
      </c>
      <c r="H11" t="s">
        <v>117</v>
      </c>
      <c r="I11" s="62">
        <f>I13+3*I12+3*I14</f>
        <v>380.10490276123983</v>
      </c>
      <c r="J11" t="s">
        <v>115</v>
      </c>
      <c r="L11" s="6" t="s">
        <v>126</v>
      </c>
      <c r="M11" s="69">
        <f>PI()*3.25^4/4</f>
        <v>87.624050565603596</v>
      </c>
      <c r="N11" t="s">
        <v>120</v>
      </c>
    </row>
    <row r="12" spans="1:14">
      <c r="C12" s="7" t="s">
        <v>4</v>
      </c>
      <c r="D12" s="2">
        <f>D25+$D$19*((D8-D21)^2+(D7-D20))+D64+$D$58*((D8-D60)^2+(D7-D59)^2)</f>
        <v>12283048613.354862</v>
      </c>
      <c r="E12" s="4" t="s">
        <v>12</v>
      </c>
      <c r="H12" s="57" t="s">
        <v>114</v>
      </c>
      <c r="I12" s="63">
        <f>PI()*12^2/4</f>
        <v>113.09733552923255</v>
      </c>
      <c r="J12" s="59" t="s">
        <v>115</v>
      </c>
      <c r="L12" s="6" t="s">
        <v>127</v>
      </c>
      <c r="M12" s="69">
        <f>PI()*6^4/4</f>
        <v>1017.8760197630929</v>
      </c>
      <c r="N12" t="s">
        <v>120</v>
      </c>
    </row>
    <row r="13" spans="1:14">
      <c r="C13" s="7" t="s">
        <v>136</v>
      </c>
      <c r="D13" s="70">
        <f>D27*B2*B3-D6*B3</f>
        <v>1889410.9764372408</v>
      </c>
      <c r="E13" s="4" t="s">
        <v>137</v>
      </c>
      <c r="H13" s="57" t="s">
        <v>116</v>
      </c>
      <c r="I13" s="63">
        <f>PI()*6.5^2/4</f>
        <v>33.183072403542191</v>
      </c>
      <c r="J13" s="59" t="s">
        <v>115</v>
      </c>
      <c r="L13" s="6" t="s">
        <v>128</v>
      </c>
      <c r="M13" s="69">
        <f>PI()*12^2/4</f>
        <v>113.09733552923255</v>
      </c>
      <c r="N13" t="s">
        <v>115</v>
      </c>
    </row>
    <row r="14" spans="1:14">
      <c r="C14" s="64" t="s">
        <v>138</v>
      </c>
      <c r="D14" s="67">
        <f>D13/B3</f>
        <v>192600.50728208365</v>
      </c>
      <c r="E14" s="65" t="s">
        <v>139</v>
      </c>
      <c r="H14" s="57" t="s">
        <v>123</v>
      </c>
      <c r="I14" s="63">
        <v>2.5432745899999998</v>
      </c>
      <c r="J14" s="59" t="s">
        <v>115</v>
      </c>
      <c r="L14" s="6" t="s">
        <v>129</v>
      </c>
      <c r="M14" s="69">
        <v>28.87</v>
      </c>
      <c r="N14" t="s">
        <v>10</v>
      </c>
    </row>
    <row r="15" spans="1:14">
      <c r="C15" s="7"/>
      <c r="D15" s="3"/>
      <c r="E15" s="4"/>
      <c r="H15" s="57"/>
      <c r="I15" s="58"/>
      <c r="J15" s="59"/>
    </row>
    <row r="16" spans="1:14" s="35" customFormat="1" ht="8.25" customHeight="1">
      <c r="C16" s="36"/>
      <c r="E16" s="37"/>
    </row>
    <row r="17" spans="3:9">
      <c r="C17" s="7"/>
      <c r="E17" s="4"/>
    </row>
    <row r="18" spans="3:9" ht="18.75">
      <c r="C18" s="8" t="s">
        <v>6</v>
      </c>
      <c r="D18" s="5"/>
      <c r="E18" s="5"/>
    </row>
    <row r="19" spans="3:9">
      <c r="C19" s="7" t="s">
        <v>7</v>
      </c>
      <c r="D19" s="19">
        <v>13473000</v>
      </c>
      <c r="E19" s="4" t="s">
        <v>8</v>
      </c>
    </row>
    <row r="20" spans="3:9">
      <c r="C20" s="7" t="s">
        <v>95</v>
      </c>
      <c r="D20" s="20">
        <v>0</v>
      </c>
      <c r="E20" s="4" t="s">
        <v>10</v>
      </c>
    </row>
    <row r="21" spans="3:9">
      <c r="C21" s="7" t="s">
        <v>97</v>
      </c>
      <c r="D21" s="20">
        <v>0</v>
      </c>
      <c r="E21" s="4" t="s">
        <v>10</v>
      </c>
    </row>
    <row r="22" spans="3:9">
      <c r="C22" s="7" t="s">
        <v>96</v>
      </c>
      <c r="D22" s="20">
        <v>-13.46</v>
      </c>
      <c r="E22" s="4" t="s">
        <v>10</v>
      </c>
    </row>
    <row r="23" spans="3:9">
      <c r="C23" s="7" t="s">
        <v>11</v>
      </c>
      <c r="D23" s="19">
        <v>6827000000</v>
      </c>
      <c r="E23" s="4" t="s">
        <v>12</v>
      </c>
    </row>
    <row r="24" spans="3:9">
      <c r="C24" s="7" t="s">
        <v>13</v>
      </c>
      <c r="D24" s="19">
        <v>6827000000</v>
      </c>
      <c r="E24" s="4" t="s">
        <v>12</v>
      </c>
    </row>
    <row r="25" spans="3:9">
      <c r="C25" s="7" t="s">
        <v>14</v>
      </c>
      <c r="D25" s="19">
        <v>12260000000</v>
      </c>
      <c r="E25" s="4" t="s">
        <v>12</v>
      </c>
    </row>
    <row r="26" spans="3:9">
      <c r="C26" s="7" t="s">
        <v>112</v>
      </c>
      <c r="D26" s="56">
        <v>20</v>
      </c>
      <c r="E26" s="4" t="s">
        <v>10</v>
      </c>
    </row>
    <row r="27" spans="3:9">
      <c r="C27" s="6" t="s">
        <v>119</v>
      </c>
      <c r="D27" s="60">
        <v>13917</v>
      </c>
      <c r="E27" s="4" t="s">
        <v>121</v>
      </c>
      <c r="G27" s="6" t="s">
        <v>141</v>
      </c>
      <c r="H27">
        <f>PI()/4*(6.5^2*20+3*(12^2*14+24^2*6)) + PI()/4*1.6^2*3*(26+13.62+32.04*16.2/(16.2+9.13))</f>
        <v>13919.341320620157</v>
      </c>
      <c r="I27" t="s">
        <v>121</v>
      </c>
    </row>
    <row r="28" spans="3:9">
      <c r="C28" s="6"/>
    </row>
    <row r="29" spans="3:9">
      <c r="C29" s="6"/>
    </row>
    <row r="30" spans="3:9" ht="18.75">
      <c r="C30" s="8" t="s">
        <v>15</v>
      </c>
      <c r="D30" s="5"/>
      <c r="E30" s="5"/>
    </row>
    <row r="31" spans="3:9">
      <c r="C31" s="6" t="s">
        <v>54</v>
      </c>
      <c r="D31" s="20">
        <v>10</v>
      </c>
      <c r="E31" t="s">
        <v>10</v>
      </c>
    </row>
    <row r="32" spans="3:9">
      <c r="C32" s="6" t="s">
        <v>25</v>
      </c>
      <c r="D32">
        <f>D31+D37</f>
        <v>87.6</v>
      </c>
      <c r="E32" t="s">
        <v>10</v>
      </c>
    </row>
    <row r="33" spans="3:12">
      <c r="C33" s="6" t="s">
        <v>26</v>
      </c>
      <c r="D33" s="9">
        <f>SUM(J43:J52)</f>
        <v>249718.00279999999</v>
      </c>
      <c r="E33" t="s">
        <v>8</v>
      </c>
      <c r="F33" s="26"/>
    </row>
    <row r="34" spans="3:12">
      <c r="C34" s="6" t="s">
        <v>95</v>
      </c>
      <c r="D34" s="20">
        <v>0</v>
      </c>
      <c r="E34" t="s">
        <v>10</v>
      </c>
    </row>
    <row r="35" spans="3:12">
      <c r="C35" s="6" t="s">
        <v>97</v>
      </c>
      <c r="D35" s="20">
        <v>0</v>
      </c>
      <c r="E35" t="s">
        <v>10</v>
      </c>
    </row>
    <row r="36" spans="3:12">
      <c r="C36" s="6" t="s">
        <v>96</v>
      </c>
      <c r="D36" s="9">
        <f>SUM(L43:L52)/D33</f>
        <v>43.402419702453265</v>
      </c>
      <c r="E36" t="s">
        <v>10</v>
      </c>
    </row>
    <row r="37" spans="3:12">
      <c r="C37" s="6" t="s">
        <v>53</v>
      </c>
      <c r="D37" s="20">
        <v>77.599999999999994</v>
      </c>
      <c r="E37" t="s">
        <v>10</v>
      </c>
    </row>
    <row r="38" spans="3:12">
      <c r="C38" s="6" t="s">
        <v>144</v>
      </c>
      <c r="D38" s="71">
        <f>SUM(K43:K52)</f>
        <v>121699827.35379744</v>
      </c>
    </row>
    <row r="39" spans="3:12">
      <c r="C39" s="16" t="s">
        <v>104</v>
      </c>
      <c r="D39" s="71">
        <f>D33*(D36-D9)^2+D38</f>
        <v>830965815.13161039</v>
      </c>
      <c r="E39" t="s">
        <v>12</v>
      </c>
    </row>
    <row r="40" spans="3:12">
      <c r="C40" s="18" t="s">
        <v>48</v>
      </c>
      <c r="D40" s="1"/>
    </row>
    <row r="41" spans="3:12">
      <c r="C41" s="14" t="s">
        <v>55</v>
      </c>
      <c r="D41" s="15">
        <f>(C44-C43)*D37</f>
        <v>7.76</v>
      </c>
      <c r="E41" s="16" t="s">
        <v>10</v>
      </c>
    </row>
    <row r="42" spans="3:12">
      <c r="C42" s="14" t="s">
        <v>49</v>
      </c>
      <c r="D42" s="16" t="s">
        <v>50</v>
      </c>
      <c r="E42" s="16" t="s">
        <v>51</v>
      </c>
      <c r="F42" s="16" t="s">
        <v>52</v>
      </c>
      <c r="G42" s="16" t="s">
        <v>56</v>
      </c>
      <c r="H42" s="16" t="s">
        <v>142</v>
      </c>
      <c r="I42" s="16" t="s">
        <v>55</v>
      </c>
      <c r="J42" s="16" t="s">
        <v>26</v>
      </c>
      <c r="K42" s="16" t="s">
        <v>104</v>
      </c>
      <c r="L42" s="16" t="s">
        <v>143</v>
      </c>
    </row>
    <row r="43" spans="3:12">
      <c r="C43" s="21">
        <v>0</v>
      </c>
      <c r="D43" s="22">
        <v>4667</v>
      </c>
      <c r="E43" s="22">
        <v>603903000000</v>
      </c>
      <c r="F43" s="22">
        <v>603903000000</v>
      </c>
      <c r="G43" s="24">
        <f t="shared" ref="G43:G53" si="0">$D$31+C43*$D$37</f>
        <v>10</v>
      </c>
      <c r="H43">
        <f>(D43+D44)/2</f>
        <v>4506.1399999999994</v>
      </c>
      <c r="I43" s="9">
        <f t="shared" ref="I43:I52" si="1">(C44-C43)*$D$37</f>
        <v>7.76</v>
      </c>
      <c r="J43">
        <f t="shared" ref="J43:J52" si="2">I43*H43</f>
        <v>34967.646399999998</v>
      </c>
      <c r="K43" s="1">
        <f t="shared" ref="K43:K52" si="3">I43*(D43*(G43-$D$36)^2+D44*(G44-$D$36)^2)/2</f>
        <v>31289254.644519929</v>
      </c>
      <c r="L43">
        <f t="shared" ref="L43:L52" si="4">J43*(G44+G43)/2</f>
        <v>485350.93203199992</v>
      </c>
    </row>
    <row r="44" spans="3:12">
      <c r="C44" s="21">
        <v>0.1</v>
      </c>
      <c r="D44" s="22">
        <v>4345.28</v>
      </c>
      <c r="E44" s="22">
        <v>517644000000</v>
      </c>
      <c r="F44" s="22">
        <v>517644000000</v>
      </c>
      <c r="G44" s="24">
        <f t="shared" si="0"/>
        <v>17.759999999999998</v>
      </c>
      <c r="H44">
        <f>(D44+D45)/2</f>
        <v>4190.0200000000004</v>
      </c>
      <c r="I44" s="9">
        <f t="shared" si="1"/>
        <v>7.76</v>
      </c>
      <c r="J44">
        <f t="shared" si="2"/>
        <v>32514.555200000003</v>
      </c>
      <c r="K44" s="1">
        <f t="shared" si="3"/>
        <v>16091940.35343617</v>
      </c>
      <c r="L44">
        <f t="shared" si="4"/>
        <v>703614.97452800011</v>
      </c>
    </row>
    <row r="45" spans="3:12">
      <c r="C45" s="21">
        <v>0.2</v>
      </c>
      <c r="D45" s="22">
        <v>4034.76</v>
      </c>
      <c r="E45" s="22">
        <v>440925000000</v>
      </c>
      <c r="F45" s="22">
        <v>440925000000</v>
      </c>
      <c r="G45" s="24">
        <f t="shared" si="0"/>
        <v>25.52</v>
      </c>
      <c r="H45">
        <f t="shared" ref="H45:H52" si="5">(D45+D46)/2</f>
        <v>3885.1000000000004</v>
      </c>
      <c r="I45" s="9">
        <f t="shared" si="1"/>
        <v>7.759999999999998</v>
      </c>
      <c r="J45">
        <f t="shared" si="2"/>
        <v>30148.375999999997</v>
      </c>
      <c r="K45" s="1">
        <f t="shared" si="3"/>
        <v>6491182.317938488</v>
      </c>
      <c r="L45">
        <f t="shared" si="4"/>
        <v>886362.25439999986</v>
      </c>
    </row>
    <row r="46" spans="3:12">
      <c r="C46" s="21">
        <v>0.3</v>
      </c>
      <c r="D46" s="22">
        <v>3735.44</v>
      </c>
      <c r="E46" s="22">
        <v>373022000000</v>
      </c>
      <c r="F46" s="22">
        <v>373022000000</v>
      </c>
      <c r="G46" s="24">
        <f t="shared" si="0"/>
        <v>33.28</v>
      </c>
      <c r="H46">
        <f t="shared" si="5"/>
        <v>3591.38</v>
      </c>
      <c r="I46" s="9">
        <f t="shared" si="1"/>
        <v>7.7600000000000025</v>
      </c>
      <c r="J46">
        <f t="shared" si="2"/>
        <v>27869.108800000009</v>
      </c>
      <c r="K46" s="1">
        <f t="shared" si="3"/>
        <v>1559703.3366068501</v>
      </c>
      <c r="L46">
        <f t="shared" si="4"/>
        <v>1035616.0830080003</v>
      </c>
    </row>
    <row r="47" spans="3:12">
      <c r="C47" s="21">
        <v>0.4</v>
      </c>
      <c r="D47" s="22">
        <v>3447.32</v>
      </c>
      <c r="E47" s="22">
        <v>313236000000</v>
      </c>
      <c r="F47" s="22">
        <v>313236000000</v>
      </c>
      <c r="G47" s="24">
        <f t="shared" si="0"/>
        <v>41.04</v>
      </c>
      <c r="H47">
        <f t="shared" si="5"/>
        <v>3308.86</v>
      </c>
      <c r="I47" s="9">
        <f t="shared" si="1"/>
        <v>7.759999999999998</v>
      </c>
      <c r="J47">
        <f t="shared" si="2"/>
        <v>25676.753599999993</v>
      </c>
      <c r="K47" s="1">
        <f t="shared" si="3"/>
        <v>433029.79263560765</v>
      </c>
      <c r="L47">
        <f t="shared" si="4"/>
        <v>1153399.7717119998</v>
      </c>
    </row>
    <row r="48" spans="3:12">
      <c r="C48" s="21">
        <v>0.5</v>
      </c>
      <c r="D48" s="22">
        <v>3170.4</v>
      </c>
      <c r="E48" s="22">
        <v>260897000000</v>
      </c>
      <c r="F48" s="22">
        <v>260897000000</v>
      </c>
      <c r="G48" s="24">
        <f t="shared" si="0"/>
        <v>48.8</v>
      </c>
      <c r="H48">
        <f t="shared" si="5"/>
        <v>3037.5450000000001</v>
      </c>
      <c r="I48" s="9">
        <f t="shared" si="1"/>
        <v>7.759999999999998</v>
      </c>
      <c r="J48">
        <f t="shared" si="2"/>
        <v>23571.349199999993</v>
      </c>
      <c r="K48" s="1">
        <f t="shared" si="3"/>
        <v>2309498.3709639874</v>
      </c>
      <c r="L48">
        <f t="shared" si="4"/>
        <v>1241738.6758559996</v>
      </c>
    </row>
    <row r="49" spans="3:12">
      <c r="C49" s="21">
        <v>0.6</v>
      </c>
      <c r="D49" s="22">
        <v>2904.69</v>
      </c>
      <c r="E49" s="22">
        <v>215365000000</v>
      </c>
      <c r="F49" s="22">
        <v>215365000000</v>
      </c>
      <c r="G49" s="24">
        <f t="shared" si="0"/>
        <v>56.559999999999995</v>
      </c>
      <c r="H49">
        <f t="shared" si="5"/>
        <v>2777.4349999999999</v>
      </c>
      <c r="I49" s="9">
        <f t="shared" si="1"/>
        <v>7.759999999999998</v>
      </c>
      <c r="J49">
        <f t="shared" si="2"/>
        <v>21552.895599999993</v>
      </c>
      <c r="K49" s="1">
        <f t="shared" si="3"/>
        <v>6450263.1432590503</v>
      </c>
      <c r="L49">
        <f t="shared" si="4"/>
        <v>1302657.0100639996</v>
      </c>
    </row>
    <row r="50" spans="3:12">
      <c r="C50" s="21">
        <v>0.7</v>
      </c>
      <c r="D50" s="22">
        <v>2650.18</v>
      </c>
      <c r="E50" s="22">
        <v>176028000000</v>
      </c>
      <c r="F50" s="22">
        <v>176028000000</v>
      </c>
      <c r="G50" s="24">
        <f t="shared" si="0"/>
        <v>64.319999999999993</v>
      </c>
      <c r="H50">
        <f t="shared" si="5"/>
        <v>2528.5299999999997</v>
      </c>
      <c r="I50" s="9">
        <f t="shared" si="1"/>
        <v>7.760000000000006</v>
      </c>
      <c r="J50">
        <f t="shared" si="2"/>
        <v>19621.392800000012</v>
      </c>
      <c r="K50" s="1">
        <f t="shared" si="3"/>
        <v>12179320.976589227</v>
      </c>
      <c r="L50">
        <f t="shared" si="4"/>
        <v>1338178.9889600007</v>
      </c>
    </row>
    <row r="51" spans="3:12">
      <c r="C51" s="21">
        <v>0.8</v>
      </c>
      <c r="D51" s="22">
        <v>2406.88</v>
      </c>
      <c r="E51" s="22">
        <v>142301000000</v>
      </c>
      <c r="F51" s="22">
        <v>142301000000</v>
      </c>
      <c r="G51" s="24">
        <f t="shared" si="0"/>
        <v>72.08</v>
      </c>
      <c r="H51">
        <f t="shared" si="5"/>
        <v>2290.8249999999998</v>
      </c>
      <c r="I51" s="9">
        <f t="shared" si="1"/>
        <v>7.759999999999998</v>
      </c>
      <c r="J51">
        <f t="shared" si="2"/>
        <v>17776.801999999992</v>
      </c>
      <c r="K51" s="1">
        <f t="shared" si="3"/>
        <v>18883428.326054338</v>
      </c>
      <c r="L51">
        <f t="shared" si="4"/>
        <v>1350325.8799199995</v>
      </c>
    </row>
    <row r="52" spans="3:12">
      <c r="C52" s="21">
        <v>0.9</v>
      </c>
      <c r="D52" s="22">
        <v>2174.77</v>
      </c>
      <c r="E52" s="22">
        <v>113630000000</v>
      </c>
      <c r="F52" s="22">
        <v>113630000000</v>
      </c>
      <c r="G52" s="24">
        <f t="shared" si="0"/>
        <v>79.84</v>
      </c>
      <c r="H52">
        <f t="shared" si="5"/>
        <v>2064.3199999999997</v>
      </c>
      <c r="I52" s="9">
        <f t="shared" si="1"/>
        <v>7.759999999999998</v>
      </c>
      <c r="J52">
        <f t="shared" si="2"/>
        <v>16019.123199999995</v>
      </c>
      <c r="K52" s="1">
        <f t="shared" si="3"/>
        <v>26012206.091793783</v>
      </c>
      <c r="L52">
        <f t="shared" si="4"/>
        <v>1341120.9943039995</v>
      </c>
    </row>
    <row r="53" spans="3:12">
      <c r="C53" s="21">
        <v>1</v>
      </c>
      <c r="D53" s="22">
        <v>1953.87</v>
      </c>
      <c r="E53" s="22">
        <v>89488000000</v>
      </c>
      <c r="F53" s="22">
        <v>89488000000</v>
      </c>
      <c r="G53" s="24">
        <f t="shared" si="0"/>
        <v>87.6</v>
      </c>
      <c r="I53" s="1"/>
    </row>
    <row r="54" spans="3:12">
      <c r="C54" s="6"/>
    </row>
    <row r="55" spans="3:12">
      <c r="C55" s="6"/>
    </row>
    <row r="56" spans="3:12" ht="18.75">
      <c r="C56" s="8" t="s">
        <v>29</v>
      </c>
      <c r="D56" s="5"/>
      <c r="E56" s="5"/>
    </row>
    <row r="57" spans="3:12">
      <c r="C57" s="6" t="s">
        <v>33</v>
      </c>
      <c r="D57">
        <f>D32</f>
        <v>87.6</v>
      </c>
      <c r="E57" t="s">
        <v>10</v>
      </c>
      <c r="F57" t="s">
        <v>78</v>
      </c>
    </row>
    <row r="58" spans="3:12">
      <c r="C58" s="6" t="s">
        <v>41</v>
      </c>
      <c r="D58" s="66">
        <f>D92+D69</f>
        <v>349606.48991791578</v>
      </c>
      <c r="E58" t="s">
        <v>8</v>
      </c>
    </row>
    <row r="59" spans="3:12">
      <c r="C59" s="6" t="s">
        <v>101</v>
      </c>
      <c r="D59" s="9">
        <f>($D$69*D70+$D$92*D96)/$D$58</f>
        <v>-0.2572807520949878</v>
      </c>
      <c r="E59" t="s">
        <v>10</v>
      </c>
    </row>
    <row r="60" spans="3:12">
      <c r="C60" s="6" t="s">
        <v>102</v>
      </c>
      <c r="D60" s="9">
        <f>($D$69*D71+$D$92*D97)/$D$58</f>
        <v>0</v>
      </c>
      <c r="E60" t="s">
        <v>10</v>
      </c>
    </row>
    <row r="61" spans="3:12">
      <c r="C61" s="6" t="s">
        <v>103</v>
      </c>
      <c r="D61" s="9">
        <f>($D$69*D72+$D$92*D98)/$D$58</f>
        <v>1.9532631908733569</v>
      </c>
      <c r="E61" t="s">
        <v>10</v>
      </c>
    </row>
    <row r="62" spans="3:12">
      <c r="C62" s="40" t="s">
        <v>146</v>
      </c>
      <c r="D62" s="72">
        <f>D73+D99</f>
        <v>35235759.645324498</v>
      </c>
      <c r="E62" s="39" t="s">
        <v>12</v>
      </c>
    </row>
    <row r="63" spans="3:12">
      <c r="C63" s="40" t="s">
        <v>145</v>
      </c>
      <c r="D63" s="72">
        <f t="shared" ref="D63" si="6">D74+D100</f>
        <v>20526545.746608194</v>
      </c>
      <c r="E63" s="39" t="s">
        <v>12</v>
      </c>
    </row>
    <row r="64" spans="3:12">
      <c r="C64" s="40" t="s">
        <v>147</v>
      </c>
      <c r="D64" s="72">
        <f>D75+D101</f>
        <v>23112723.553578477</v>
      </c>
      <c r="E64" s="39" t="s">
        <v>12</v>
      </c>
    </row>
    <row r="67" spans="3:5" ht="18.75">
      <c r="C67" s="8" t="s">
        <v>80</v>
      </c>
      <c r="D67" s="5"/>
      <c r="E67" s="5"/>
    </row>
    <row r="68" spans="3:5">
      <c r="C68" s="6" t="s">
        <v>77</v>
      </c>
      <c r="D68" s="19">
        <v>2607890</v>
      </c>
      <c r="E68" t="s">
        <v>76</v>
      </c>
    </row>
    <row r="69" spans="3:5">
      <c r="C69" s="6" t="s">
        <v>71</v>
      </c>
      <c r="D69" s="19">
        <v>240000</v>
      </c>
      <c r="E69" t="s">
        <v>8</v>
      </c>
    </row>
    <row r="70" spans="3:5">
      <c r="C70" s="6" t="s">
        <v>72</v>
      </c>
      <c r="D70" s="20">
        <v>1.9</v>
      </c>
      <c r="E70" t="s">
        <v>10</v>
      </c>
    </row>
    <row r="71" spans="3:5">
      <c r="C71" s="6" t="s">
        <v>73</v>
      </c>
      <c r="D71" s="20">
        <v>0</v>
      </c>
      <c r="E71" t="s">
        <v>10</v>
      </c>
    </row>
    <row r="72" spans="3:5">
      <c r="C72" s="6" t="s">
        <v>74</v>
      </c>
      <c r="D72" s="20">
        <v>1.75</v>
      </c>
      <c r="E72" t="s">
        <v>10</v>
      </c>
    </row>
    <row r="73" spans="3:5">
      <c r="C73" s="6" t="s">
        <v>81</v>
      </c>
      <c r="D73" s="1">
        <f>D76+$D$92*(D83^2+D82^2)</f>
        <v>0</v>
      </c>
      <c r="E73" t="s">
        <v>76</v>
      </c>
    </row>
    <row r="74" spans="3:5">
      <c r="C74" s="6" t="s">
        <v>87</v>
      </c>
      <c r="D74" s="1">
        <f>D77+$D$92*(D83^2+D79^2)</f>
        <v>510093.28584317368</v>
      </c>
      <c r="E74" t="s">
        <v>76</v>
      </c>
    </row>
    <row r="75" spans="3:5">
      <c r="C75" s="6" t="s">
        <v>88</v>
      </c>
      <c r="D75" s="1">
        <f>D78+$D$92*(D82^2+D79^2)</f>
        <v>3117983.2858431735</v>
      </c>
      <c r="E75" t="s">
        <v>76</v>
      </c>
    </row>
    <row r="76" spans="3:5">
      <c r="C76" s="32" t="s">
        <v>82</v>
      </c>
      <c r="D76" s="47">
        <v>0</v>
      </c>
      <c r="E76" s="16" t="s">
        <v>76</v>
      </c>
    </row>
    <row r="77" spans="3:5">
      <c r="C77" s="32" t="s">
        <v>83</v>
      </c>
      <c r="D77" s="47">
        <v>0</v>
      </c>
      <c r="E77" s="16" t="s">
        <v>76</v>
      </c>
    </row>
    <row r="78" spans="3:5">
      <c r="C78" s="32" t="s">
        <v>84</v>
      </c>
      <c r="D78" s="47">
        <f>D68</f>
        <v>2607890</v>
      </c>
      <c r="E78" s="16" t="s">
        <v>76</v>
      </c>
    </row>
    <row r="79" spans="3:5">
      <c r="C79" s="32" t="s">
        <v>89</v>
      </c>
      <c r="D79" s="24">
        <f>D70-D59</f>
        <v>2.1572807520949877</v>
      </c>
      <c r="E79" s="16" t="s">
        <v>10</v>
      </c>
    </row>
    <row r="80" spans="3:5">
      <c r="C80" s="32" t="s">
        <v>90</v>
      </c>
      <c r="D80" s="24">
        <f t="shared" ref="D80:D81" si="7">D71-D60</f>
        <v>0</v>
      </c>
      <c r="E80" s="16" t="s">
        <v>10</v>
      </c>
    </row>
    <row r="81" spans="3:5">
      <c r="C81" s="32" t="s">
        <v>91</v>
      </c>
      <c r="D81" s="24">
        <f t="shared" si="7"/>
        <v>-0.20326319087335687</v>
      </c>
      <c r="E81" s="16" t="s">
        <v>10</v>
      </c>
    </row>
    <row r="84" spans="3:5" ht="18.75">
      <c r="C84" s="8" t="s">
        <v>79</v>
      </c>
      <c r="D84" s="5"/>
      <c r="E84" s="5"/>
    </row>
    <row r="85" spans="3:5">
      <c r="C85" s="6" t="s">
        <v>30</v>
      </c>
      <c r="D85">
        <f>D86+D112*2</f>
        <v>126</v>
      </c>
      <c r="E85" t="s">
        <v>10</v>
      </c>
    </row>
    <row r="86" spans="3:5">
      <c r="C86" s="6" t="s">
        <v>31</v>
      </c>
      <c r="D86" s="23">
        <v>3</v>
      </c>
      <c r="E86" t="s">
        <v>10</v>
      </c>
    </row>
    <row r="87" spans="3:5">
      <c r="C87" s="6" t="s">
        <v>32</v>
      </c>
      <c r="D87" s="9">
        <f>D57+D88+(-D89)*SIN(RADIANS(D90))</f>
        <v>89.998338713738278</v>
      </c>
      <c r="E87" t="s">
        <v>10</v>
      </c>
    </row>
    <row r="88" spans="3:5">
      <c r="C88" s="6" t="s">
        <v>34</v>
      </c>
      <c r="D88" s="23">
        <v>1.9625600000000001</v>
      </c>
      <c r="E88" t="s">
        <v>10</v>
      </c>
    </row>
    <row r="89" spans="3:5">
      <c r="C89" s="6" t="s">
        <v>35</v>
      </c>
      <c r="D89" s="23">
        <v>-5</v>
      </c>
      <c r="E89" t="s">
        <v>10</v>
      </c>
    </row>
    <row r="90" spans="3:5">
      <c r="C90" s="6" t="s">
        <v>36</v>
      </c>
      <c r="D90" s="23">
        <v>5</v>
      </c>
      <c r="E90" t="s">
        <v>37</v>
      </c>
    </row>
    <row r="91" spans="3:5">
      <c r="C91" s="6" t="s">
        <v>38</v>
      </c>
      <c r="D91" s="23">
        <v>2.5</v>
      </c>
      <c r="E91" t="s">
        <v>37</v>
      </c>
    </row>
    <row r="92" spans="3:5">
      <c r="C92" s="6" t="s">
        <v>70</v>
      </c>
      <c r="D92" s="73">
        <f>D93+D94</f>
        <v>109606.48991791575</v>
      </c>
    </row>
    <row r="93" spans="3:5">
      <c r="C93" s="32" t="s">
        <v>39</v>
      </c>
      <c r="D93" s="75">
        <f>D111*D113</f>
        <v>52826.489917915751</v>
      </c>
      <c r="E93" s="33" t="s">
        <v>8</v>
      </c>
    </row>
    <row r="94" spans="3:5">
      <c r="C94" s="32" t="s">
        <v>69</v>
      </c>
      <c r="D94" s="34">
        <v>56780</v>
      </c>
      <c r="E94" s="33" t="s">
        <v>8</v>
      </c>
    </row>
    <row r="95" spans="3:5">
      <c r="C95" s="6" t="s">
        <v>75</v>
      </c>
      <c r="D95" s="42">
        <v>115926</v>
      </c>
      <c r="E95" t="s">
        <v>76</v>
      </c>
    </row>
    <row r="96" spans="3:5">
      <c r="C96" s="6" t="s">
        <v>98</v>
      </c>
      <c r="D96" s="45">
        <f>(D89)*COS(RADIANS(D90))</f>
        <v>-4.9809734904587275</v>
      </c>
      <c r="E96" t="s">
        <v>10</v>
      </c>
    </row>
    <row r="97" spans="1:6">
      <c r="C97" s="6" t="s">
        <v>99</v>
      </c>
      <c r="D97" s="45">
        <v>0</v>
      </c>
      <c r="E97" t="s">
        <v>10</v>
      </c>
    </row>
    <row r="98" spans="1:6">
      <c r="C98" s="6" t="s">
        <v>100</v>
      </c>
      <c r="D98" s="45">
        <f>D87-D57</f>
        <v>2.3983387137382834</v>
      </c>
    </row>
    <row r="99" spans="1:6">
      <c r="C99" s="6" t="s">
        <v>81</v>
      </c>
      <c r="D99" s="1">
        <f>D102+$D$92*(D107^2+D106^2)</f>
        <v>35235759.645324498</v>
      </c>
      <c r="E99" t="s">
        <v>76</v>
      </c>
    </row>
    <row r="100" spans="1:6">
      <c r="C100" s="6" t="s">
        <v>87</v>
      </c>
      <c r="D100" s="1">
        <f>D103+$D$92*(D107^2+D105^2)</f>
        <v>20016452.460765019</v>
      </c>
      <c r="E100" t="s">
        <v>76</v>
      </c>
    </row>
    <row r="101" spans="1:6">
      <c r="B101" s="39"/>
      <c r="C101" s="6" t="s">
        <v>88</v>
      </c>
      <c r="D101" s="1">
        <f>D104+$D$92*(D106^2+D105^2)</f>
        <v>19994740.267735302</v>
      </c>
      <c r="E101" t="s">
        <v>76</v>
      </c>
    </row>
    <row r="102" spans="1:6">
      <c r="A102" s="39"/>
      <c r="B102" s="39"/>
      <c r="C102" s="32" t="s">
        <v>82</v>
      </c>
      <c r="D102" s="43">
        <f>D95+D111*D114</f>
        <v>35214047.452294782</v>
      </c>
      <c r="E102" s="33" t="s">
        <v>76</v>
      </c>
      <c r="F102" t="s">
        <v>86</v>
      </c>
    </row>
    <row r="103" spans="1:6">
      <c r="A103" s="39"/>
      <c r="B103" s="39"/>
      <c r="C103" s="32" t="s">
        <v>83</v>
      </c>
      <c r="D103" s="43">
        <f>D111*D114/2</f>
        <v>17549060.726147391</v>
      </c>
      <c r="E103" s="33" t="s">
        <v>76</v>
      </c>
      <c r="F103" t="s">
        <v>85</v>
      </c>
    </row>
    <row r="104" spans="1:6">
      <c r="A104" s="39"/>
      <c r="B104" s="39"/>
      <c r="C104" s="32" t="s">
        <v>84</v>
      </c>
      <c r="D104" s="43">
        <f>D111*D114/2</f>
        <v>17549060.726147391</v>
      </c>
      <c r="E104" s="33" t="s">
        <v>76</v>
      </c>
    </row>
    <row r="105" spans="1:6">
      <c r="A105" s="39"/>
      <c r="B105" s="39"/>
      <c r="C105" s="32" t="s">
        <v>89</v>
      </c>
      <c r="D105" s="9">
        <f>D96-D59</f>
        <v>-4.7236927383637397</v>
      </c>
    </row>
    <row r="106" spans="1:6">
      <c r="A106" s="39"/>
      <c r="B106" s="39"/>
      <c r="C106" s="32" t="s">
        <v>90</v>
      </c>
      <c r="D106" s="44">
        <f>D97-D60</f>
        <v>0</v>
      </c>
    </row>
    <row r="107" spans="1:6">
      <c r="A107" s="39"/>
      <c r="B107" s="39"/>
      <c r="C107" s="32" t="s">
        <v>91</v>
      </c>
      <c r="D107" s="44">
        <f>D98-D61</f>
        <v>0.44507552286492658</v>
      </c>
      <c r="E107" t="s">
        <v>10</v>
      </c>
    </row>
    <row r="108" spans="1:6">
      <c r="A108" s="39"/>
      <c r="B108" s="39"/>
      <c r="C108" s="32"/>
      <c r="D108" s="44"/>
    </row>
    <row r="109" spans="1:6">
      <c r="C109" s="6"/>
    </row>
    <row r="110" spans="1:6" ht="18.75">
      <c r="C110" s="8" t="s">
        <v>21</v>
      </c>
      <c r="D110" s="5"/>
      <c r="E110" s="5"/>
    </row>
    <row r="111" spans="1:6">
      <c r="C111" s="7" t="s">
        <v>22</v>
      </c>
      <c r="D111" s="23">
        <v>3</v>
      </c>
      <c r="E111" s="4"/>
    </row>
    <row r="112" spans="1:6">
      <c r="C112" s="7" t="s">
        <v>24</v>
      </c>
      <c r="D112" s="23">
        <v>61.5</v>
      </c>
      <c r="E112" s="4" t="s">
        <v>10</v>
      </c>
      <c r="F112">
        <f>D111*D113</f>
        <v>52826.489917915751</v>
      </c>
    </row>
    <row r="113" spans="2:13">
      <c r="C113" s="7" t="s">
        <v>16</v>
      </c>
      <c r="D113" s="74">
        <f>SUM(K120:K167)</f>
        <v>17608.829972638585</v>
      </c>
      <c r="E113" s="4" t="s">
        <v>8</v>
      </c>
      <c r="F113" s="26"/>
    </row>
    <row r="114" spans="2:13">
      <c r="C114" s="7" t="s">
        <v>17</v>
      </c>
      <c r="D114" s="2">
        <f>SUM(M120:M167)</f>
        <v>11699373.817431593</v>
      </c>
      <c r="E114" s="4" t="s">
        <v>12</v>
      </c>
    </row>
    <row r="115" spans="2:13">
      <c r="C115" s="6" t="s">
        <v>18</v>
      </c>
      <c r="D115" s="2">
        <f>SUM(L120:L167)</f>
        <v>361473.08643987949</v>
      </c>
      <c r="E115" s="4" t="s">
        <v>19</v>
      </c>
    </row>
    <row r="116" spans="2:13">
      <c r="C116" s="6" t="s">
        <v>20</v>
      </c>
      <c r="D116" s="9">
        <f>D115/D113</f>
        <v>20.527944616510755</v>
      </c>
      <c r="E116" s="4" t="s">
        <v>10</v>
      </c>
    </row>
    <row r="117" spans="2:13">
      <c r="C117" s="18" t="s">
        <v>48</v>
      </c>
      <c r="D117" s="1"/>
    </row>
    <row r="118" spans="2:13">
      <c r="C118" s="29" t="s">
        <v>66</v>
      </c>
      <c r="D118" s="30">
        <v>4.5359999999999998E-2</v>
      </c>
    </row>
    <row r="119" spans="2:13">
      <c r="C119" s="14" t="s">
        <v>57</v>
      </c>
      <c r="D119" s="14" t="s">
        <v>58</v>
      </c>
      <c r="E119" s="14" t="s">
        <v>59</v>
      </c>
      <c r="F119" s="14" t="s">
        <v>60</v>
      </c>
      <c r="G119" s="14" t="s">
        <v>61</v>
      </c>
      <c r="H119" s="14" t="s">
        <v>62</v>
      </c>
      <c r="I119" s="14" t="s">
        <v>64</v>
      </c>
      <c r="J119" s="6" t="s">
        <v>65</v>
      </c>
      <c r="K119" s="14" t="s">
        <v>63</v>
      </c>
      <c r="L119" s="14" t="s">
        <v>68</v>
      </c>
      <c r="M119" s="14" t="s">
        <v>67</v>
      </c>
    </row>
    <row r="120" spans="2:13">
      <c r="C120" s="27">
        <v>0</v>
      </c>
      <c r="D120" s="22">
        <v>0.25</v>
      </c>
      <c r="E120" s="22">
        <v>13.308</v>
      </c>
      <c r="F120" s="25">
        <v>678.93499999999995</v>
      </c>
      <c r="G120" s="22">
        <v>18110000000</v>
      </c>
      <c r="H120" s="22">
        <v>18113600000</v>
      </c>
      <c r="I120" s="17">
        <f t="shared" ref="I120:I167" si="8">C121-C120</f>
        <v>3.2499999999999999E-3</v>
      </c>
      <c r="J120" s="16">
        <f t="shared" ref="J120:J167" si="9">(F120+F121)/2</f>
        <v>678.93499999999995</v>
      </c>
      <c r="K120" s="31">
        <f t="shared" ref="K120:K167" si="10">I120*$D$112*J120*(1+$D$118)</f>
        <v>141.85758188355001</v>
      </c>
      <c r="L120" s="1">
        <f t="shared" ref="L120:L167" si="11">K120*((C120+C121)/2*$D$112)</f>
        <v>14.176892089487279</v>
      </c>
      <c r="M120" s="1">
        <f t="shared" ref="M120:M167" si="12">K120*((C120+C121)/2*$D$112)^2</f>
        <v>1.4168031531931351</v>
      </c>
    </row>
    <row r="121" spans="2:13">
      <c r="C121" s="27">
        <v>3.2499999999999999E-3</v>
      </c>
      <c r="D121" s="22">
        <v>0.25</v>
      </c>
      <c r="E121" s="22">
        <v>13.308</v>
      </c>
      <c r="F121" s="25">
        <v>678.93499999999995</v>
      </c>
      <c r="G121" s="22">
        <v>18110000000</v>
      </c>
      <c r="H121" s="22">
        <v>18113600000</v>
      </c>
      <c r="I121" s="17">
        <f t="shared" si="8"/>
        <v>1.626E-2</v>
      </c>
      <c r="J121" s="16">
        <f t="shared" si="9"/>
        <v>726.149</v>
      </c>
      <c r="K121" s="31">
        <f t="shared" si="10"/>
        <v>759.07952776881359</v>
      </c>
      <c r="L121" s="1">
        <f t="shared" si="11"/>
        <v>531.25698909955952</v>
      </c>
      <c r="M121" s="1">
        <f t="shared" si="12"/>
        <v>371.81082896110877</v>
      </c>
    </row>
    <row r="122" spans="2:13">
      <c r="C122" s="27">
        <v>1.951E-2</v>
      </c>
      <c r="D122" s="22">
        <v>0.25048999999999999</v>
      </c>
      <c r="E122" s="22">
        <v>13.308</v>
      </c>
      <c r="F122" s="25">
        <v>773.36300000000006</v>
      </c>
      <c r="G122" s="22">
        <v>19424900000</v>
      </c>
      <c r="H122" s="22">
        <v>19558600000</v>
      </c>
      <c r="I122" s="17">
        <f t="shared" si="8"/>
        <v>1.6260000000000004E-2</v>
      </c>
      <c r="J122" s="16">
        <f t="shared" si="9"/>
        <v>756.95650000000001</v>
      </c>
      <c r="K122" s="31">
        <f t="shared" si="10"/>
        <v>791.28413391953188</v>
      </c>
      <c r="L122" s="1">
        <f t="shared" si="11"/>
        <v>1345.0722478844557</v>
      </c>
      <c r="M122" s="1">
        <f t="shared" si="12"/>
        <v>2286.4345112888709</v>
      </c>
    </row>
    <row r="123" spans="2:13">
      <c r="B123" s="11"/>
      <c r="C123" s="27">
        <v>3.5770000000000003E-2</v>
      </c>
      <c r="D123" s="22">
        <v>0.25490000000000002</v>
      </c>
      <c r="E123" s="22">
        <v>13.308</v>
      </c>
      <c r="F123" s="25">
        <v>740.55</v>
      </c>
      <c r="G123" s="22">
        <v>17455900000</v>
      </c>
      <c r="H123" s="22">
        <v>19497800000</v>
      </c>
      <c r="I123" s="17">
        <f t="shared" si="8"/>
        <v>1.6259999999999997E-2</v>
      </c>
      <c r="J123" s="16">
        <f t="shared" si="9"/>
        <v>740.29600000000005</v>
      </c>
      <c r="K123" s="31">
        <f t="shared" si="10"/>
        <v>773.8680878017343</v>
      </c>
      <c r="L123" s="1">
        <f t="shared" si="11"/>
        <v>2089.3277568515123</v>
      </c>
      <c r="M123" s="1">
        <f t="shared" si="12"/>
        <v>5640.8715443355559</v>
      </c>
    </row>
    <row r="124" spans="2:13">
      <c r="B124" s="11"/>
      <c r="C124" s="27">
        <v>5.203E-2</v>
      </c>
      <c r="D124" s="22">
        <v>0.26716000000000001</v>
      </c>
      <c r="E124" s="22">
        <v>13.308</v>
      </c>
      <c r="F124" s="25">
        <v>740.04200000000003</v>
      </c>
      <c r="G124" s="22">
        <v>15287400000</v>
      </c>
      <c r="H124" s="22">
        <v>19788800000</v>
      </c>
      <c r="I124" s="17">
        <f t="shared" si="8"/>
        <v>1.6260000000000004E-2</v>
      </c>
      <c r="J124" s="16">
        <f t="shared" si="9"/>
        <v>666.26900000000001</v>
      </c>
      <c r="K124" s="31">
        <f t="shared" si="10"/>
        <v>696.48399693038175</v>
      </c>
      <c r="L124" s="1">
        <f t="shared" si="11"/>
        <v>2576.8793512029038</v>
      </c>
      <c r="M124" s="1">
        <f t="shared" si="12"/>
        <v>9534.0412987545533</v>
      </c>
    </row>
    <row r="125" spans="2:13">
      <c r="B125" s="11"/>
      <c r="C125" s="27">
        <v>6.8290000000000003E-2</v>
      </c>
      <c r="D125" s="22">
        <v>0.27940999999999999</v>
      </c>
      <c r="E125" s="22">
        <v>13.308</v>
      </c>
      <c r="F125" s="25">
        <v>592.49599999999998</v>
      </c>
      <c r="G125" s="22">
        <v>10782400000</v>
      </c>
      <c r="H125" s="22">
        <v>14858500000</v>
      </c>
      <c r="I125" s="17">
        <f t="shared" si="8"/>
        <v>1.6259999999999997E-2</v>
      </c>
      <c r="J125" s="16">
        <f t="shared" si="9"/>
        <v>521.38549999999998</v>
      </c>
      <c r="K125" s="31">
        <f t="shared" si="10"/>
        <v>545.03009592453714</v>
      </c>
      <c r="L125" s="1">
        <f t="shared" si="11"/>
        <v>2561.5487957290175</v>
      </c>
      <c r="M125" s="1">
        <f t="shared" si="12"/>
        <v>12038.843876631108</v>
      </c>
    </row>
    <row r="126" spans="2:13">
      <c r="B126" s="11"/>
      <c r="C126" s="27">
        <v>8.455E-2</v>
      </c>
      <c r="D126" s="22">
        <v>0.29166999999999998</v>
      </c>
      <c r="E126" s="22">
        <v>13.308</v>
      </c>
      <c r="F126" s="25">
        <v>450.27499999999998</v>
      </c>
      <c r="G126" s="22">
        <v>7229720000</v>
      </c>
      <c r="H126" s="22">
        <v>10220600000</v>
      </c>
      <c r="I126" s="17">
        <f t="shared" si="8"/>
        <v>1.6259999999999997E-2</v>
      </c>
      <c r="J126" s="16">
        <f t="shared" si="9"/>
        <v>437.16449999999998</v>
      </c>
      <c r="K126" s="31">
        <f t="shared" si="10"/>
        <v>456.98971177718278</v>
      </c>
      <c r="L126" s="1">
        <f t="shared" si="11"/>
        <v>2604.7590989818218</v>
      </c>
      <c r="M126" s="1">
        <f t="shared" si="12"/>
        <v>14846.658007558568</v>
      </c>
    </row>
    <row r="127" spans="2:13">
      <c r="B127" s="11"/>
      <c r="C127" s="27">
        <v>0.10081</v>
      </c>
      <c r="D127" s="22">
        <v>0.30392000000000002</v>
      </c>
      <c r="E127" s="22">
        <v>13.308</v>
      </c>
      <c r="F127" s="25">
        <v>424.05399999999997</v>
      </c>
      <c r="G127" s="22">
        <v>6309540000</v>
      </c>
      <c r="H127" s="22">
        <v>9144700000</v>
      </c>
      <c r="I127" s="17">
        <f t="shared" si="8"/>
        <v>1.6259999999999997E-2</v>
      </c>
      <c r="J127" s="16">
        <f t="shared" si="9"/>
        <v>412.346</v>
      </c>
      <c r="K127" s="31">
        <f t="shared" si="10"/>
        <v>431.04570405985436</v>
      </c>
      <c r="L127" s="1">
        <f t="shared" si="11"/>
        <v>2887.9243185172527</v>
      </c>
      <c r="M127" s="1">
        <f t="shared" si="12"/>
        <v>19348.544228445069</v>
      </c>
    </row>
    <row r="128" spans="2:13">
      <c r="B128" s="11"/>
      <c r="C128" s="27">
        <v>0.11706999999999999</v>
      </c>
      <c r="D128" s="22">
        <v>0.31618000000000002</v>
      </c>
      <c r="E128" s="22">
        <v>13.308</v>
      </c>
      <c r="F128" s="25">
        <v>400.63799999999998</v>
      </c>
      <c r="G128" s="22">
        <v>5528360000</v>
      </c>
      <c r="H128" s="22">
        <v>8063160000</v>
      </c>
      <c r="I128" s="17">
        <f t="shared" si="8"/>
        <v>1.6280000000000003E-2</v>
      </c>
      <c r="J128" s="16">
        <f t="shared" si="9"/>
        <v>391.35</v>
      </c>
      <c r="K128" s="31">
        <f t="shared" si="10"/>
        <v>409.60073999592015</v>
      </c>
      <c r="L128" s="1">
        <f t="shared" si="11"/>
        <v>3154.0956822756834</v>
      </c>
      <c r="M128" s="1">
        <f t="shared" si="12"/>
        <v>24287.845703230905</v>
      </c>
    </row>
    <row r="129" spans="2:13">
      <c r="B129" s="11"/>
      <c r="C129" s="27">
        <v>0.13335</v>
      </c>
      <c r="D129" s="22">
        <v>0.32844000000000001</v>
      </c>
      <c r="E129" s="22">
        <v>13.308</v>
      </c>
      <c r="F129" s="25">
        <v>382.06200000000001</v>
      </c>
      <c r="G129" s="22">
        <v>4980060000</v>
      </c>
      <c r="H129" s="22">
        <v>6884440000</v>
      </c>
      <c r="I129" s="17">
        <f t="shared" si="8"/>
        <v>1.6240000000000004E-2</v>
      </c>
      <c r="J129" s="16">
        <f t="shared" si="9"/>
        <v>390.85849999999999</v>
      </c>
      <c r="K129" s="31">
        <f t="shared" si="10"/>
        <v>408.08119263646574</v>
      </c>
      <c r="L129" s="1">
        <f t="shared" si="11"/>
        <v>3550.4716488202698</v>
      </c>
      <c r="M129" s="1">
        <f t="shared" si="12"/>
        <v>30890.541285754116</v>
      </c>
    </row>
    <row r="130" spans="2:13">
      <c r="B130" s="11"/>
      <c r="C130" s="27">
        <v>0.14959</v>
      </c>
      <c r="D130" s="22">
        <v>0.34068999999999999</v>
      </c>
      <c r="E130" s="22">
        <v>13.308</v>
      </c>
      <c r="F130" s="25">
        <v>399.65499999999997</v>
      </c>
      <c r="G130" s="22">
        <v>4936840000</v>
      </c>
      <c r="H130" s="22">
        <v>7009180000</v>
      </c>
      <c r="I130" s="17">
        <f t="shared" si="8"/>
        <v>1.6259999999999997E-2</v>
      </c>
      <c r="J130" s="16">
        <f t="shared" si="9"/>
        <v>412.988</v>
      </c>
      <c r="K130" s="31">
        <f t="shared" si="10"/>
        <v>431.71681846864317</v>
      </c>
      <c r="L130" s="1">
        <f t="shared" si="11"/>
        <v>4187.558161445776</v>
      </c>
      <c r="M130" s="1">
        <f t="shared" si="12"/>
        <v>40618.392903228509</v>
      </c>
    </row>
    <row r="131" spans="2:13">
      <c r="B131" s="11"/>
      <c r="C131" s="27">
        <v>0.16585</v>
      </c>
      <c r="D131" s="22">
        <v>0.35293999999999998</v>
      </c>
      <c r="E131" s="22">
        <v>13.308</v>
      </c>
      <c r="F131" s="25">
        <v>426.32100000000003</v>
      </c>
      <c r="G131" s="22">
        <v>4691660000</v>
      </c>
      <c r="H131" s="22">
        <v>7167680000</v>
      </c>
      <c r="I131" s="17">
        <f t="shared" si="8"/>
        <v>1.6259999999999997E-2</v>
      </c>
      <c r="J131" s="16">
        <f t="shared" si="9"/>
        <v>421.57050000000004</v>
      </c>
      <c r="K131" s="31">
        <f t="shared" si="10"/>
        <v>440.68853095062116</v>
      </c>
      <c r="L131" s="1">
        <f t="shared" si="11"/>
        <v>4715.2659228095272</v>
      </c>
      <c r="M131" s="1">
        <f t="shared" si="12"/>
        <v>50452.26086289969</v>
      </c>
    </row>
    <row r="132" spans="2:13">
      <c r="B132" s="11"/>
      <c r="C132" s="28">
        <v>0.18210999999999999</v>
      </c>
      <c r="D132" s="22">
        <v>0.36519000000000001</v>
      </c>
      <c r="E132" s="22">
        <v>13.180999999999999</v>
      </c>
      <c r="F132" s="25">
        <v>416.82</v>
      </c>
      <c r="G132" s="22">
        <v>3949460000</v>
      </c>
      <c r="H132" s="22">
        <v>7271660000</v>
      </c>
      <c r="I132" s="17">
        <f t="shared" si="8"/>
        <v>1.6259999999999997E-2</v>
      </c>
      <c r="J132" s="16">
        <f t="shared" si="9"/>
        <v>411.50299999999999</v>
      </c>
      <c r="K132" s="31">
        <f t="shared" si="10"/>
        <v>430.16447439223913</v>
      </c>
      <c r="L132" s="1">
        <f t="shared" si="11"/>
        <v>5032.8211109153435</v>
      </c>
      <c r="M132" s="1">
        <f t="shared" si="12"/>
        <v>58882.799120642892</v>
      </c>
    </row>
    <row r="133" spans="2:13">
      <c r="B133" s="11"/>
      <c r="C133" s="28">
        <v>0.19836999999999999</v>
      </c>
      <c r="D133" s="22">
        <v>0.375</v>
      </c>
      <c r="E133" s="22">
        <v>12.848000000000001</v>
      </c>
      <c r="F133" s="25">
        <v>406.18599999999998</v>
      </c>
      <c r="G133" s="22">
        <v>3386520000</v>
      </c>
      <c r="H133" s="22">
        <v>7081700000</v>
      </c>
      <c r="I133" s="17">
        <f t="shared" si="8"/>
        <v>1.6280000000000017E-2</v>
      </c>
      <c r="J133" s="16">
        <f t="shared" si="9"/>
        <v>393.803</v>
      </c>
      <c r="K133" s="31">
        <f t="shared" si="10"/>
        <v>412.16813648297813</v>
      </c>
      <c r="L133" s="1">
        <f t="shared" si="11"/>
        <v>5234.6857747036383</v>
      </c>
      <c r="M133" s="1">
        <f t="shared" si="12"/>
        <v>66482.419999043981</v>
      </c>
    </row>
    <row r="134" spans="2:13">
      <c r="B134" s="11"/>
      <c r="C134" s="28">
        <v>0.21465000000000001</v>
      </c>
      <c r="D134" s="22">
        <v>0.375</v>
      </c>
      <c r="E134" s="22">
        <v>12.192</v>
      </c>
      <c r="F134" s="25">
        <v>381.42</v>
      </c>
      <c r="G134" s="22">
        <v>2933740000</v>
      </c>
      <c r="H134" s="22">
        <v>6244530000</v>
      </c>
      <c r="I134" s="17">
        <f t="shared" si="8"/>
        <v>1.6240000000000004E-2</v>
      </c>
      <c r="J134" s="16">
        <f t="shared" si="9"/>
        <v>367.12099999999998</v>
      </c>
      <c r="K134" s="31">
        <f t="shared" si="10"/>
        <v>383.29772928538574</v>
      </c>
      <c r="L134" s="1">
        <f t="shared" si="11"/>
        <v>5251.3149619036813</v>
      </c>
      <c r="M134" s="1">
        <f t="shared" si="12"/>
        <v>71944.879194891924</v>
      </c>
    </row>
    <row r="135" spans="2:13">
      <c r="B135" s="11"/>
      <c r="C135" s="28">
        <v>0.23089000000000001</v>
      </c>
      <c r="D135" s="22">
        <v>0.375</v>
      </c>
      <c r="E135" s="22">
        <v>11.561</v>
      </c>
      <c r="F135" s="25">
        <v>352.822</v>
      </c>
      <c r="G135" s="22">
        <v>2568960000</v>
      </c>
      <c r="H135" s="22">
        <v>5048960000</v>
      </c>
      <c r="I135" s="17">
        <f t="shared" si="8"/>
        <v>1.6259999999999997E-2</v>
      </c>
      <c r="J135" s="16">
        <f t="shared" si="9"/>
        <v>351.14949999999999</v>
      </c>
      <c r="K135" s="31">
        <f t="shared" si="10"/>
        <v>367.07397054358677</v>
      </c>
      <c r="L135" s="1">
        <f t="shared" si="11"/>
        <v>5395.8882570186788</v>
      </c>
      <c r="M135" s="1">
        <f t="shared" si="12"/>
        <v>79318.100488345182</v>
      </c>
    </row>
    <row r="136" spans="2:13">
      <c r="B136" s="11"/>
      <c r="C136" s="28">
        <v>0.24715000000000001</v>
      </c>
      <c r="D136" s="22">
        <v>0.375</v>
      </c>
      <c r="E136" s="22">
        <v>11.071999999999999</v>
      </c>
      <c r="F136" s="25">
        <v>349.47699999999998</v>
      </c>
      <c r="G136" s="22">
        <v>2388650000</v>
      </c>
      <c r="H136" s="22">
        <v>4948490000</v>
      </c>
      <c r="I136" s="17">
        <f t="shared" si="8"/>
        <v>1.6259999999999969E-2</v>
      </c>
      <c r="J136" s="16">
        <f t="shared" si="9"/>
        <v>348.00749999999999</v>
      </c>
      <c r="K136" s="31">
        <f t="shared" si="10"/>
        <v>363.78948226879731</v>
      </c>
      <c r="L136" s="1">
        <f t="shared" si="11"/>
        <v>5711.3930105650834</v>
      </c>
      <c r="M136" s="1">
        <f t="shared" si="12"/>
        <v>89667.271075828859</v>
      </c>
    </row>
    <row r="137" spans="2:13">
      <c r="B137" s="11"/>
      <c r="C137" s="28">
        <v>0.26340999999999998</v>
      </c>
      <c r="D137" s="22">
        <v>0.375</v>
      </c>
      <c r="E137" s="22">
        <v>10.792</v>
      </c>
      <c r="F137" s="25">
        <v>346.53800000000001</v>
      </c>
      <c r="G137" s="22">
        <v>2271990000</v>
      </c>
      <c r="H137" s="22">
        <v>4808020000</v>
      </c>
      <c r="I137" s="17">
        <f t="shared" si="8"/>
        <v>3.2540000000000013E-2</v>
      </c>
      <c r="J137" s="16">
        <f t="shared" si="9"/>
        <v>342.93550000000005</v>
      </c>
      <c r="K137" s="31">
        <f t="shared" si="10"/>
        <v>717.41588273567925</v>
      </c>
      <c r="L137" s="1">
        <f t="shared" si="11"/>
        <v>12339.782756136157</v>
      </c>
      <c r="M137" s="1">
        <f t="shared" si="12"/>
        <v>212248.21213602385</v>
      </c>
    </row>
    <row r="138" spans="2:13">
      <c r="B138" s="11"/>
      <c r="C138" s="28">
        <v>0.29594999999999999</v>
      </c>
      <c r="D138" s="22">
        <v>0.375</v>
      </c>
      <c r="E138" s="22">
        <v>10.231999999999999</v>
      </c>
      <c r="F138" s="25">
        <v>339.33300000000003</v>
      </c>
      <c r="G138" s="22">
        <v>2050050000</v>
      </c>
      <c r="H138" s="22">
        <v>4501400000</v>
      </c>
      <c r="I138" s="17">
        <f t="shared" si="8"/>
        <v>3.2509999999999983E-2</v>
      </c>
      <c r="J138" s="16">
        <f t="shared" si="9"/>
        <v>334.66849999999999</v>
      </c>
      <c r="K138" s="31">
        <f t="shared" si="10"/>
        <v>699.47597216489305</v>
      </c>
      <c r="L138" s="1">
        <f t="shared" si="11"/>
        <v>13430.363597219035</v>
      </c>
      <c r="M138" s="1">
        <f t="shared" si="12"/>
        <v>257871.14001249071</v>
      </c>
    </row>
    <row r="139" spans="2:13">
      <c r="B139" s="11"/>
      <c r="C139" s="28">
        <v>0.32845999999999997</v>
      </c>
      <c r="D139" s="22">
        <v>0.375</v>
      </c>
      <c r="E139" s="22">
        <v>9.6720000000000006</v>
      </c>
      <c r="F139" s="25">
        <v>330.00400000000002</v>
      </c>
      <c r="G139" s="22">
        <v>1828250000</v>
      </c>
      <c r="H139" s="22">
        <v>4244070000</v>
      </c>
      <c r="I139" s="17">
        <f t="shared" si="8"/>
        <v>3.2520000000000049E-2</v>
      </c>
      <c r="J139" s="16">
        <f t="shared" si="9"/>
        <v>325.99700000000001</v>
      </c>
      <c r="K139" s="31">
        <f t="shared" si="10"/>
        <v>681.5616321555226</v>
      </c>
      <c r="L139" s="1">
        <f t="shared" si="11"/>
        <v>14449.297438954085</v>
      </c>
      <c r="M139" s="1">
        <f t="shared" si="12"/>
        <v>306329.15150910954</v>
      </c>
    </row>
    <row r="140" spans="2:13">
      <c r="B140" s="11"/>
      <c r="C140" s="28">
        <v>0.36098000000000002</v>
      </c>
      <c r="D140" s="22">
        <v>0.375</v>
      </c>
      <c r="E140" s="22">
        <v>9.11</v>
      </c>
      <c r="F140" s="25">
        <v>321.99</v>
      </c>
      <c r="G140" s="22">
        <v>1588710000</v>
      </c>
      <c r="H140" s="22">
        <v>3995280000</v>
      </c>
      <c r="I140" s="17">
        <f t="shared" si="8"/>
        <v>3.2519999999999993E-2</v>
      </c>
      <c r="J140" s="16">
        <f t="shared" si="9"/>
        <v>317.90499999999997</v>
      </c>
      <c r="K140" s="31">
        <f t="shared" si="10"/>
        <v>664.64369509658388</v>
      </c>
      <c r="L140" s="1">
        <f t="shared" si="11"/>
        <v>15419.906533601472</v>
      </c>
      <c r="M140" s="1">
        <f t="shared" si="12"/>
        <v>357745.84075525287</v>
      </c>
    </row>
    <row r="141" spans="2:13">
      <c r="B141" s="11"/>
      <c r="C141" s="28">
        <v>0.39350000000000002</v>
      </c>
      <c r="D141" s="22">
        <v>0.375</v>
      </c>
      <c r="E141" s="22">
        <v>8.5340000000000007</v>
      </c>
      <c r="F141" s="25">
        <v>313.82</v>
      </c>
      <c r="G141" s="22">
        <v>1361930000</v>
      </c>
      <c r="H141" s="22">
        <v>3750760000</v>
      </c>
      <c r="I141" s="17">
        <f t="shared" si="8"/>
        <v>3.2519999999999993E-2</v>
      </c>
      <c r="J141" s="16">
        <f t="shared" si="9"/>
        <v>304.27699999999999</v>
      </c>
      <c r="K141" s="31">
        <f t="shared" si="10"/>
        <v>636.15164785990555</v>
      </c>
      <c r="L141" s="1">
        <f t="shared" si="11"/>
        <v>16031.174202465107</v>
      </c>
      <c r="M141" s="1">
        <f t="shared" si="12"/>
        <v>403989.43738392927</v>
      </c>
    </row>
    <row r="142" spans="2:13">
      <c r="B142" s="11"/>
      <c r="C142" s="28">
        <v>0.42602000000000001</v>
      </c>
      <c r="D142" s="22">
        <v>0.375</v>
      </c>
      <c r="E142" s="22">
        <v>7.9320000000000004</v>
      </c>
      <c r="F142" s="25">
        <v>294.73399999999998</v>
      </c>
      <c r="G142" s="22">
        <v>1102380000</v>
      </c>
      <c r="H142" s="22">
        <v>3447140000</v>
      </c>
      <c r="I142" s="17">
        <f t="shared" si="8"/>
        <v>3.2530000000000003E-2</v>
      </c>
      <c r="J142" s="16">
        <f t="shared" si="9"/>
        <v>290.92700000000002</v>
      </c>
      <c r="K142" s="31">
        <f t="shared" si="10"/>
        <v>608.42785089198856</v>
      </c>
      <c r="L142" s="1">
        <f t="shared" si="11"/>
        <v>16549.558489953437</v>
      </c>
      <c r="M142" s="1">
        <f t="shared" si="12"/>
        <v>450156.72081883694</v>
      </c>
    </row>
    <row r="143" spans="2:13">
      <c r="B143" s="11"/>
      <c r="C143" s="28">
        <v>0.45855000000000001</v>
      </c>
      <c r="D143" s="22">
        <v>0.375</v>
      </c>
      <c r="E143" s="22">
        <v>7.3209999999999997</v>
      </c>
      <c r="F143" s="25">
        <v>287.12</v>
      </c>
      <c r="G143" s="22">
        <v>875800000</v>
      </c>
      <c r="H143" s="22">
        <v>3139070000</v>
      </c>
      <c r="I143" s="17">
        <f t="shared" si="8"/>
        <v>3.2509999999999983E-2</v>
      </c>
      <c r="J143" s="16">
        <f t="shared" si="9"/>
        <v>275.23149999999998</v>
      </c>
      <c r="K143" s="31">
        <f t="shared" si="10"/>
        <v>575.24930201946631</v>
      </c>
      <c r="L143" s="1">
        <f t="shared" si="11"/>
        <v>16797.571557989191</v>
      </c>
      <c r="M143" s="1">
        <f t="shared" si="12"/>
        <v>490497.61426085007</v>
      </c>
    </row>
    <row r="144" spans="2:13">
      <c r="B144" s="11"/>
      <c r="C144" s="28">
        <v>0.49106</v>
      </c>
      <c r="D144" s="22">
        <v>0.375</v>
      </c>
      <c r="E144" s="22">
        <v>6.7110000000000003</v>
      </c>
      <c r="F144" s="25">
        <v>263.34300000000002</v>
      </c>
      <c r="G144" s="22">
        <v>681300000</v>
      </c>
      <c r="H144" s="22">
        <v>2734240000</v>
      </c>
      <c r="I144" s="17">
        <f t="shared" si="8"/>
        <v>3.2520000000000049E-2</v>
      </c>
      <c r="J144" s="16">
        <f t="shared" si="9"/>
        <v>258.27499999999998</v>
      </c>
      <c r="K144" s="31">
        <f t="shared" si="10"/>
        <v>539.97530819292081</v>
      </c>
      <c r="L144" s="1">
        <f t="shared" si="11"/>
        <v>16847.326811174604</v>
      </c>
      <c r="M144" s="1">
        <f t="shared" si="12"/>
        <v>525639.62902747362</v>
      </c>
    </row>
    <row r="145" spans="2:13">
      <c r="B145" s="11"/>
      <c r="C145" s="28">
        <v>0.52358000000000005</v>
      </c>
      <c r="D145" s="22">
        <v>0.375</v>
      </c>
      <c r="E145" s="22">
        <v>6.1219999999999999</v>
      </c>
      <c r="F145" s="25">
        <v>253.20699999999999</v>
      </c>
      <c r="G145" s="22">
        <v>534720000</v>
      </c>
      <c r="H145" s="22">
        <v>2554870000</v>
      </c>
      <c r="I145" s="17">
        <f t="shared" si="8"/>
        <v>3.2519999999999993E-2</v>
      </c>
      <c r="J145" s="16">
        <f t="shared" si="9"/>
        <v>247.4365</v>
      </c>
      <c r="K145" s="31">
        <f t="shared" si="10"/>
        <v>517.31526607560716</v>
      </c>
      <c r="L145" s="1">
        <f t="shared" si="11"/>
        <v>17174.949604152731</v>
      </c>
      <c r="M145" s="1">
        <f t="shared" si="12"/>
        <v>570211.07484980742</v>
      </c>
    </row>
    <row r="146" spans="2:13">
      <c r="B146" s="11"/>
      <c r="C146" s="28">
        <v>0.55610000000000004</v>
      </c>
      <c r="D146" s="22">
        <v>0.375</v>
      </c>
      <c r="E146" s="22">
        <v>5.5460000000000003</v>
      </c>
      <c r="F146" s="25">
        <v>241.666</v>
      </c>
      <c r="G146" s="22">
        <v>408900000</v>
      </c>
      <c r="H146" s="22">
        <v>2334030000</v>
      </c>
      <c r="I146" s="17">
        <f t="shared" si="8"/>
        <v>3.2519999999999993E-2</v>
      </c>
      <c r="J146" s="16">
        <f t="shared" si="9"/>
        <v>231.15199999999999</v>
      </c>
      <c r="K146" s="31">
        <f t="shared" si="10"/>
        <v>483.26927669890551</v>
      </c>
      <c r="L146" s="1">
        <f t="shared" si="11"/>
        <v>17011.146197500209</v>
      </c>
      <c r="M146" s="1">
        <f t="shared" si="12"/>
        <v>598794.72771247511</v>
      </c>
    </row>
    <row r="147" spans="2:13">
      <c r="B147" s="11"/>
      <c r="C147" s="28">
        <v>0.58862000000000003</v>
      </c>
      <c r="D147" s="22">
        <v>0.375</v>
      </c>
      <c r="E147" s="22">
        <v>4.9710000000000001</v>
      </c>
      <c r="F147" s="25">
        <v>220.63800000000001</v>
      </c>
      <c r="G147" s="22">
        <v>314540000</v>
      </c>
      <c r="H147" s="22">
        <v>1828730000</v>
      </c>
      <c r="I147" s="17">
        <f t="shared" si="8"/>
        <v>3.2529999999999948E-2</v>
      </c>
      <c r="J147" s="16">
        <f t="shared" si="9"/>
        <v>210.46550000000002</v>
      </c>
      <c r="K147" s="31">
        <f t="shared" si="10"/>
        <v>440.15533742797203</v>
      </c>
      <c r="L147" s="1">
        <f t="shared" si="11"/>
        <v>16373.966718727312</v>
      </c>
      <c r="M147" s="1">
        <f t="shared" si="12"/>
        <v>609118.56180742825</v>
      </c>
    </row>
    <row r="148" spans="2:13">
      <c r="B148" s="11"/>
      <c r="C148" s="28">
        <v>0.62114999999999998</v>
      </c>
      <c r="D148" s="22">
        <v>0.375</v>
      </c>
      <c r="E148" s="22">
        <v>4.4009999999999998</v>
      </c>
      <c r="F148" s="25">
        <v>200.29300000000001</v>
      </c>
      <c r="G148" s="22">
        <v>238630000</v>
      </c>
      <c r="H148" s="22">
        <v>1584100000</v>
      </c>
      <c r="I148" s="17">
        <f t="shared" si="8"/>
        <v>3.2510000000000039E-2</v>
      </c>
      <c r="J148" s="16">
        <f t="shared" si="9"/>
        <v>189.8485</v>
      </c>
      <c r="K148" s="31">
        <f t="shared" si="10"/>
        <v>396.79403380224591</v>
      </c>
      <c r="L148" s="1">
        <f t="shared" si="11"/>
        <v>15554.487818616813</v>
      </c>
      <c r="M148" s="1">
        <f t="shared" si="12"/>
        <v>609742.26094356505</v>
      </c>
    </row>
    <row r="149" spans="2:13">
      <c r="B149" s="11"/>
      <c r="C149" s="28">
        <v>0.65366000000000002</v>
      </c>
      <c r="D149" s="22">
        <v>0.375</v>
      </c>
      <c r="E149" s="22">
        <v>3.8340000000000001</v>
      </c>
      <c r="F149" s="25">
        <v>179.404</v>
      </c>
      <c r="G149" s="22">
        <v>175880000</v>
      </c>
      <c r="H149" s="22">
        <v>1323360000</v>
      </c>
      <c r="I149" s="17">
        <f t="shared" si="8"/>
        <v>3.2519999999999993E-2</v>
      </c>
      <c r="J149" s="16">
        <f t="shared" si="9"/>
        <v>172.249</v>
      </c>
      <c r="K149" s="31">
        <f t="shared" si="10"/>
        <v>360.12082803570718</v>
      </c>
      <c r="L149" s="1">
        <f t="shared" si="11"/>
        <v>14837.006924737381</v>
      </c>
      <c r="M149" s="1">
        <f t="shared" si="12"/>
        <v>611285.8722597342</v>
      </c>
    </row>
    <row r="150" spans="2:13">
      <c r="B150" s="11"/>
      <c r="C150" s="28">
        <v>0.68618000000000001</v>
      </c>
      <c r="D150" s="22">
        <v>0.375</v>
      </c>
      <c r="E150" s="22">
        <v>3.3319999999999999</v>
      </c>
      <c r="F150" s="25">
        <v>165.09399999999999</v>
      </c>
      <c r="G150" s="22">
        <v>126010000</v>
      </c>
      <c r="H150" s="22">
        <v>1183680000</v>
      </c>
      <c r="I150" s="17">
        <f t="shared" si="8"/>
        <v>3.2519999999999993E-2</v>
      </c>
      <c r="J150" s="16">
        <f t="shared" si="9"/>
        <v>159.7525</v>
      </c>
      <c r="K150" s="31">
        <f t="shared" si="10"/>
        <v>333.99440682253197</v>
      </c>
      <c r="L150" s="1">
        <f t="shared" si="11"/>
        <v>14428.578414397791</v>
      </c>
      <c r="M150" s="1">
        <f t="shared" si="12"/>
        <v>623315.45321668941</v>
      </c>
    </row>
    <row r="151" spans="2:13">
      <c r="B151" s="11"/>
      <c r="C151" s="28">
        <v>0.71870000000000001</v>
      </c>
      <c r="D151" s="22">
        <v>0.375</v>
      </c>
      <c r="E151" s="22">
        <v>2.89</v>
      </c>
      <c r="F151" s="25">
        <v>154.411</v>
      </c>
      <c r="G151" s="22">
        <v>107260000</v>
      </c>
      <c r="H151" s="22">
        <v>1020160000</v>
      </c>
      <c r="I151" s="17">
        <f t="shared" si="8"/>
        <v>3.2519999999999993E-2</v>
      </c>
      <c r="J151" s="16">
        <f t="shared" si="9"/>
        <v>146.673</v>
      </c>
      <c r="K151" s="31">
        <f t="shared" si="10"/>
        <v>306.64910803825438</v>
      </c>
      <c r="L151" s="1">
        <f t="shared" si="11"/>
        <v>13860.55194929342</v>
      </c>
      <c r="M151" s="1">
        <f t="shared" si="12"/>
        <v>626497.50253014057</v>
      </c>
    </row>
    <row r="152" spans="2:13">
      <c r="B152" s="11"/>
      <c r="C152" s="28">
        <v>0.75122</v>
      </c>
      <c r="D152" s="22">
        <v>0.375</v>
      </c>
      <c r="E152" s="22">
        <v>2.5030000000000001</v>
      </c>
      <c r="F152" s="25">
        <v>138.935</v>
      </c>
      <c r="G152" s="22">
        <v>90880000</v>
      </c>
      <c r="H152" s="22">
        <v>797810000</v>
      </c>
      <c r="I152" s="17">
        <f t="shared" si="8"/>
        <v>3.2540000000000013E-2</v>
      </c>
      <c r="J152" s="16">
        <f t="shared" si="9"/>
        <v>134.245</v>
      </c>
      <c r="K152" s="31">
        <f t="shared" si="10"/>
        <v>280.83851096737214</v>
      </c>
      <c r="L152" s="1">
        <f t="shared" si="11"/>
        <v>13255.756050114429</v>
      </c>
      <c r="M152" s="1">
        <f t="shared" si="12"/>
        <v>625680.10297049279</v>
      </c>
    </row>
    <row r="153" spans="2:13">
      <c r="B153" s="11"/>
      <c r="C153" s="28">
        <v>0.78376000000000001</v>
      </c>
      <c r="D153" s="22">
        <v>0.375</v>
      </c>
      <c r="E153" s="22">
        <v>2.1160000000000001</v>
      </c>
      <c r="F153" s="25">
        <v>129.55500000000001</v>
      </c>
      <c r="G153" s="22">
        <v>76310000</v>
      </c>
      <c r="H153" s="22">
        <v>709610000</v>
      </c>
      <c r="I153" s="17">
        <f t="shared" si="8"/>
        <v>3.2499999999999973E-2</v>
      </c>
      <c r="J153" s="16">
        <f t="shared" si="9"/>
        <v>118.40950000000001</v>
      </c>
      <c r="K153" s="31">
        <f t="shared" si="10"/>
        <v>247.40638414634984</v>
      </c>
      <c r="L153" s="1">
        <f t="shared" si="11"/>
        <v>12172.546254926661</v>
      </c>
      <c r="M153" s="1">
        <f t="shared" si="12"/>
        <v>598896.76185833861</v>
      </c>
    </row>
    <row r="154" spans="2:13">
      <c r="B154" s="11"/>
      <c r="C154" s="28">
        <v>0.81625999999999999</v>
      </c>
      <c r="D154" s="22">
        <v>0.375</v>
      </c>
      <c r="E154" s="22">
        <v>1.73</v>
      </c>
      <c r="F154" s="25">
        <v>107.264</v>
      </c>
      <c r="G154" s="22">
        <v>61050000</v>
      </c>
      <c r="H154" s="22">
        <v>518190000</v>
      </c>
      <c r="I154" s="17">
        <f t="shared" si="8"/>
        <v>3.2519999999999993E-2</v>
      </c>
      <c r="J154" s="16">
        <f t="shared" si="9"/>
        <v>103.02</v>
      </c>
      <c r="K154" s="31">
        <f t="shared" si="10"/>
        <v>215.38382054025598</v>
      </c>
      <c r="L154" s="1">
        <f t="shared" si="11"/>
        <v>11027.647303984695</v>
      </c>
      <c r="M154" s="1">
        <f t="shared" si="12"/>
        <v>564615.32141107018</v>
      </c>
    </row>
    <row r="155" spans="2:13">
      <c r="B155" s="11"/>
      <c r="C155" s="28">
        <v>0.84877999999999998</v>
      </c>
      <c r="D155" s="22">
        <v>0.375</v>
      </c>
      <c r="E155" s="22">
        <v>1.3420000000000001</v>
      </c>
      <c r="F155" s="25">
        <v>98.775999999999996</v>
      </c>
      <c r="G155" s="22">
        <v>49480000</v>
      </c>
      <c r="H155" s="22">
        <v>454870000</v>
      </c>
      <c r="I155" s="17">
        <f t="shared" si="8"/>
        <v>3.2519999999999993E-2</v>
      </c>
      <c r="J155" s="16">
        <f t="shared" si="9"/>
        <v>94.512</v>
      </c>
      <c r="K155" s="31">
        <f t="shared" si="10"/>
        <v>197.59615265871358</v>
      </c>
      <c r="L155" s="1">
        <f t="shared" si="11"/>
        <v>10512.107417597457</v>
      </c>
      <c r="M155" s="1">
        <f t="shared" si="12"/>
        <v>559243.69413188798</v>
      </c>
    </row>
    <row r="156" spans="2:13">
      <c r="B156" s="11"/>
      <c r="C156" s="28">
        <v>0.88129999999999997</v>
      </c>
      <c r="D156" s="22">
        <v>0.375</v>
      </c>
      <c r="E156" s="22">
        <v>0.95399999999999996</v>
      </c>
      <c r="F156" s="25">
        <v>90.248000000000005</v>
      </c>
      <c r="G156" s="22">
        <v>39360000</v>
      </c>
      <c r="H156" s="22">
        <v>395120000</v>
      </c>
      <c r="I156" s="17">
        <f t="shared" si="8"/>
        <v>1.6260000000000052E-2</v>
      </c>
      <c r="J156" s="16">
        <f t="shared" si="9"/>
        <v>86.624500000000012</v>
      </c>
      <c r="K156" s="31">
        <f t="shared" si="10"/>
        <v>90.552881782127116</v>
      </c>
      <c r="L156" s="1">
        <f t="shared" si="11"/>
        <v>4953.2376530738547</v>
      </c>
      <c r="M156" s="1">
        <f t="shared" si="12"/>
        <v>270941.82719506894</v>
      </c>
    </row>
    <row r="157" spans="2:13">
      <c r="B157" s="11"/>
      <c r="C157" s="28">
        <v>0.89756000000000002</v>
      </c>
      <c r="D157" s="22">
        <v>0.375</v>
      </c>
      <c r="E157" s="22">
        <v>0.76</v>
      </c>
      <c r="F157" s="25">
        <v>83.001000000000005</v>
      </c>
      <c r="G157" s="22">
        <v>34670000</v>
      </c>
      <c r="H157" s="22">
        <v>353720000</v>
      </c>
      <c r="I157" s="17">
        <f t="shared" si="8"/>
        <v>1.6259999999999941E-2</v>
      </c>
      <c r="J157" s="16">
        <f t="shared" si="9"/>
        <v>77.953500000000005</v>
      </c>
      <c r="K157" s="31">
        <f t="shared" si="10"/>
        <v>81.488655865292117</v>
      </c>
      <c r="L157" s="1">
        <f t="shared" si="11"/>
        <v>4538.912834934139</v>
      </c>
      <c r="M157" s="1">
        <f t="shared" si="12"/>
        <v>252817.14987649728</v>
      </c>
    </row>
    <row r="158" spans="2:13">
      <c r="B158" s="11"/>
      <c r="C158" s="28">
        <v>0.91381999999999997</v>
      </c>
      <c r="D158" s="22">
        <v>0.375</v>
      </c>
      <c r="E158" s="22">
        <v>0.57399999999999995</v>
      </c>
      <c r="F158" s="25">
        <v>72.906000000000006</v>
      </c>
      <c r="G158" s="22">
        <v>30410000</v>
      </c>
      <c r="H158" s="22">
        <v>304730000</v>
      </c>
      <c r="I158" s="17">
        <f t="shared" si="8"/>
        <v>1.6260000000000052E-2</v>
      </c>
      <c r="J158" s="16">
        <f t="shared" si="9"/>
        <v>70.838999999999999</v>
      </c>
      <c r="K158" s="31">
        <f t="shared" si="10"/>
        <v>74.051516517429846</v>
      </c>
      <c r="L158" s="1">
        <f t="shared" si="11"/>
        <v>4198.7154326745331</v>
      </c>
      <c r="M158" s="1">
        <f t="shared" si="12"/>
        <v>238066.85012898859</v>
      </c>
    </row>
    <row r="159" spans="2:13">
      <c r="B159" s="11"/>
      <c r="C159" s="28">
        <v>0.93008000000000002</v>
      </c>
      <c r="D159" s="22">
        <v>0.375</v>
      </c>
      <c r="E159" s="22">
        <v>0.40400000000000003</v>
      </c>
      <c r="F159" s="25">
        <v>68.772000000000006</v>
      </c>
      <c r="G159" s="22">
        <v>26520000</v>
      </c>
      <c r="H159" s="22">
        <v>281420000</v>
      </c>
      <c r="I159" s="17">
        <f t="shared" si="8"/>
        <v>8.1299999999999706E-3</v>
      </c>
      <c r="J159" s="16">
        <f t="shared" si="9"/>
        <v>67.518000000000001</v>
      </c>
      <c r="K159" s="31">
        <f t="shared" si="10"/>
        <v>35.289955336917473</v>
      </c>
      <c r="L159" s="1">
        <f t="shared" si="11"/>
        <v>2027.4050226845934</v>
      </c>
      <c r="M159" s="1">
        <f t="shared" si="12"/>
        <v>116474.25129231552</v>
      </c>
    </row>
    <row r="160" spans="2:13">
      <c r="B160" s="11"/>
      <c r="C160" s="28">
        <v>0.93820999999999999</v>
      </c>
      <c r="D160" s="22">
        <v>0.375</v>
      </c>
      <c r="E160" s="22">
        <v>0.31900000000000001</v>
      </c>
      <c r="F160" s="25">
        <v>66.263999999999996</v>
      </c>
      <c r="G160" s="22">
        <v>23840000</v>
      </c>
      <c r="H160" s="22">
        <v>261710000</v>
      </c>
      <c r="I160" s="17">
        <f t="shared" si="8"/>
        <v>8.1499999999999906E-3</v>
      </c>
      <c r="J160" s="16">
        <f t="shared" si="9"/>
        <v>62.802</v>
      </c>
      <c r="K160" s="31">
        <f t="shared" si="10"/>
        <v>32.905771465931956</v>
      </c>
      <c r="L160" s="1">
        <f t="shared" si="11"/>
        <v>1906.9068142452052</v>
      </c>
      <c r="M160" s="1">
        <f t="shared" si="12"/>
        <v>110506.25577885416</v>
      </c>
    </row>
    <row r="161" spans="2:13">
      <c r="B161" s="1"/>
      <c r="C161" s="28">
        <v>0.94635999999999998</v>
      </c>
      <c r="D161" s="22">
        <v>0.375</v>
      </c>
      <c r="E161" s="22">
        <v>0.253</v>
      </c>
      <c r="F161" s="25">
        <v>59.34</v>
      </c>
      <c r="G161" s="22">
        <v>19630000</v>
      </c>
      <c r="H161" s="22">
        <v>158810000</v>
      </c>
      <c r="I161" s="17">
        <f t="shared" si="8"/>
        <v>8.1100000000000616E-3</v>
      </c>
      <c r="J161" s="16">
        <f t="shared" si="9"/>
        <v>57.627000000000002</v>
      </c>
      <c r="K161" s="31">
        <f t="shared" si="10"/>
        <v>30.046082773511031</v>
      </c>
      <c r="L161" s="1">
        <f t="shared" si="11"/>
        <v>1756.2092371899689</v>
      </c>
      <c r="M161" s="1">
        <f t="shared" si="12"/>
        <v>102651.3475330801</v>
      </c>
    </row>
    <row r="162" spans="2:13">
      <c r="B162" s="1"/>
      <c r="C162" s="28">
        <v>0.95447000000000004</v>
      </c>
      <c r="D162" s="22">
        <v>0.375</v>
      </c>
      <c r="E162" s="22">
        <v>0.216</v>
      </c>
      <c r="F162" s="25">
        <v>55.914000000000001</v>
      </c>
      <c r="G162" s="22">
        <v>16000000</v>
      </c>
      <c r="H162" s="22">
        <v>137880000</v>
      </c>
      <c r="I162" s="17">
        <f t="shared" si="8"/>
        <v>8.1299999999999706E-3</v>
      </c>
      <c r="J162" s="16">
        <f t="shared" si="9"/>
        <v>54.198999999999998</v>
      </c>
      <c r="K162" s="31">
        <f t="shared" si="10"/>
        <v>28.328450032666698</v>
      </c>
      <c r="L162" s="1">
        <f t="shared" si="11"/>
        <v>1669.9593674018236</v>
      </c>
      <c r="M162" s="1">
        <f t="shared" si="12"/>
        <v>98443.941887299181</v>
      </c>
    </row>
    <row r="163" spans="2:13">
      <c r="B163" s="1"/>
      <c r="C163" s="28">
        <v>0.96260000000000001</v>
      </c>
      <c r="D163" s="22">
        <v>0.375</v>
      </c>
      <c r="E163" s="22">
        <v>0.17799999999999999</v>
      </c>
      <c r="F163" s="25">
        <v>52.484000000000002</v>
      </c>
      <c r="G163" s="22">
        <v>12830000</v>
      </c>
      <c r="H163" s="22">
        <v>118790000</v>
      </c>
      <c r="I163" s="17">
        <f t="shared" si="8"/>
        <v>8.1299999999999706E-3</v>
      </c>
      <c r="J163" s="16">
        <f t="shared" si="9"/>
        <v>50.798999999999999</v>
      </c>
      <c r="K163" s="31">
        <f t="shared" si="10"/>
        <v>26.551355803786706</v>
      </c>
      <c r="L163" s="1">
        <f t="shared" si="11"/>
        <v>1578.4753810211498</v>
      </c>
      <c r="M163" s="1">
        <f t="shared" si="12"/>
        <v>93840.199607980787</v>
      </c>
    </row>
    <row r="164" spans="2:13">
      <c r="B164" s="1"/>
      <c r="C164" s="28">
        <v>0.97072999999999998</v>
      </c>
      <c r="D164" s="22">
        <v>0.375</v>
      </c>
      <c r="E164" s="22">
        <v>0.14000000000000001</v>
      </c>
      <c r="F164" s="25">
        <v>49.113999999999997</v>
      </c>
      <c r="G164" s="22">
        <v>10080000</v>
      </c>
      <c r="H164" s="22">
        <v>101630000</v>
      </c>
      <c r="I164" s="17">
        <f t="shared" si="8"/>
        <v>8.1299999999999706E-3</v>
      </c>
      <c r="J164" s="16">
        <f t="shared" si="9"/>
        <v>47.465999999999994</v>
      </c>
      <c r="K164" s="31">
        <f t="shared" si="10"/>
        <v>24.80928078471111</v>
      </c>
      <c r="L164" s="1">
        <f t="shared" si="11"/>
        <v>1487.3137160457466</v>
      </c>
      <c r="M164" s="1">
        <f t="shared" si="12"/>
        <v>89164.297390718028</v>
      </c>
    </row>
    <row r="165" spans="2:13">
      <c r="B165" s="1"/>
      <c r="C165" s="28">
        <v>0.97885999999999995</v>
      </c>
      <c r="D165" s="22">
        <v>0.375</v>
      </c>
      <c r="E165" s="22">
        <v>0.10100000000000001</v>
      </c>
      <c r="F165" s="25">
        <v>45.817999999999998</v>
      </c>
      <c r="G165" s="22">
        <v>7550000</v>
      </c>
      <c r="H165" s="22">
        <v>85070000</v>
      </c>
      <c r="I165" s="17">
        <f t="shared" si="8"/>
        <v>8.1300000000000816E-3</v>
      </c>
      <c r="J165" s="16">
        <f t="shared" si="9"/>
        <v>43.743499999999997</v>
      </c>
      <c r="K165" s="31">
        <f t="shared" si="10"/>
        <v>22.86362394147443</v>
      </c>
      <c r="L165" s="1">
        <f t="shared" si="11"/>
        <v>1382.103495104436</v>
      </c>
      <c r="M165" s="1">
        <f t="shared" si="12"/>
        <v>83548.00079241996</v>
      </c>
    </row>
    <row r="166" spans="2:13">
      <c r="B166" s="1"/>
      <c r="C166" s="28">
        <v>0.98699000000000003</v>
      </c>
      <c r="D166" s="22">
        <v>0.375</v>
      </c>
      <c r="E166" s="22">
        <v>6.2E-2</v>
      </c>
      <c r="F166" s="25">
        <v>41.668999999999997</v>
      </c>
      <c r="G166" s="22">
        <v>4600000</v>
      </c>
      <c r="H166" s="22">
        <v>64260000</v>
      </c>
      <c r="I166" s="17">
        <f t="shared" si="8"/>
        <v>8.1299999999999706E-3</v>
      </c>
      <c r="J166" s="16">
        <f t="shared" si="9"/>
        <v>26.561</v>
      </c>
      <c r="K166" s="31">
        <f t="shared" si="10"/>
        <v>13.88276465096515</v>
      </c>
      <c r="L166" s="1">
        <f t="shared" si="11"/>
        <v>846.15287425147937</v>
      </c>
      <c r="M166" s="1">
        <f t="shared" si="12"/>
        <v>51572.918262664949</v>
      </c>
    </row>
    <row r="167" spans="2:13">
      <c r="B167" s="1"/>
      <c r="C167" s="28">
        <v>0.99512</v>
      </c>
      <c r="D167" s="22">
        <v>0.375</v>
      </c>
      <c r="E167" s="22">
        <v>2.3E-2</v>
      </c>
      <c r="F167" s="25">
        <v>11.452999999999999</v>
      </c>
      <c r="G167" s="22">
        <v>250000</v>
      </c>
      <c r="H167" s="22">
        <v>6610000</v>
      </c>
      <c r="I167" s="17">
        <f t="shared" si="8"/>
        <v>4.8799999999999955E-3</v>
      </c>
      <c r="J167" s="16">
        <f t="shared" si="9"/>
        <v>10.885999999999999</v>
      </c>
      <c r="K167" s="31">
        <f t="shared" si="10"/>
        <v>3.4153022626751968</v>
      </c>
      <c r="L167" s="1">
        <f t="shared" si="11"/>
        <v>209.52858889698757</v>
      </c>
      <c r="M167" s="1">
        <f t="shared" si="12"/>
        <v>12854.566357114854</v>
      </c>
    </row>
    <row r="168" spans="2:13">
      <c r="B168" s="1"/>
      <c r="C168" s="28">
        <v>1</v>
      </c>
      <c r="D168" s="22">
        <v>0.375</v>
      </c>
      <c r="E168" s="22">
        <v>0</v>
      </c>
      <c r="F168" s="25">
        <v>10.319000000000001</v>
      </c>
      <c r="G168" s="22">
        <v>170000</v>
      </c>
      <c r="H168" s="22">
        <v>5010000</v>
      </c>
      <c r="I168" s="17"/>
      <c r="J168" s="16"/>
      <c r="K168" s="17"/>
      <c r="M168" s="1"/>
    </row>
    <row r="169" spans="2:13">
      <c r="B169" s="1"/>
    </row>
    <row r="170" spans="2:13">
      <c r="B170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95"/>
  <sheetViews>
    <sheetView workbookViewId="0">
      <selection activeCell="D3" sqref="D3"/>
    </sheetView>
  </sheetViews>
  <sheetFormatPr defaultRowHeight="15"/>
  <cols>
    <col min="1" max="1" width="21.42578125" customWidth="1"/>
    <col min="3" max="3" width="21.7109375" customWidth="1"/>
    <col min="4" max="4" width="15.85546875" customWidth="1"/>
    <col min="5" max="5" width="13.7109375" bestFit="1" customWidth="1"/>
    <col min="6" max="6" width="10.85546875" bestFit="1" customWidth="1"/>
    <col min="7" max="7" width="11" bestFit="1" customWidth="1"/>
    <col min="10" max="10" width="16.7109375" bestFit="1" customWidth="1"/>
    <col min="11" max="11" width="14" bestFit="1" customWidth="1"/>
  </cols>
  <sheetData>
    <row r="2" spans="3:12" ht="18.75">
      <c r="C2" s="8" t="s">
        <v>5</v>
      </c>
      <c r="D2" s="5"/>
      <c r="E2" s="5"/>
      <c r="F2" s="53" t="s">
        <v>107</v>
      </c>
      <c r="G2" s="53" t="s">
        <v>108</v>
      </c>
    </row>
    <row r="3" spans="3:12">
      <c r="C3" s="6" t="s">
        <v>0</v>
      </c>
      <c r="D3" s="3">
        <f>D14+D26+D35</f>
        <v>13957399</v>
      </c>
      <c r="E3" t="s">
        <v>8</v>
      </c>
      <c r="F3" s="1">
        <v>13958000</v>
      </c>
      <c r="G3" s="26">
        <f>(D3-F3)/F3</f>
        <v>-4.3057744662559105E-5</v>
      </c>
    </row>
    <row r="4" spans="3:12">
      <c r="C4" s="7" t="s">
        <v>92</v>
      </c>
      <c r="D4" s="12">
        <f>($D$14*D15+$D$26*D27+$D$35*D36)/$D$3</f>
        <v>1.2191555174427557E-2</v>
      </c>
      <c r="E4" s="4" t="s">
        <v>10</v>
      </c>
      <c r="G4" s="26"/>
    </row>
    <row r="5" spans="3:12">
      <c r="C5" s="7" t="s">
        <v>94</v>
      </c>
      <c r="D5" s="12">
        <f>($D$14*D16+$D$26*D28+$D$35*D37)/$D$3</f>
        <v>0</v>
      </c>
      <c r="E5" s="4" t="s">
        <v>10</v>
      </c>
      <c r="G5" s="26"/>
    </row>
    <row r="6" spans="3:12">
      <c r="C6" s="7" t="s">
        <v>93</v>
      </c>
      <c r="D6" s="9">
        <f>($D$14*D17+$D$26*D29+$D$35*(D25+D38))/$D$3</f>
        <v>-7.9776916171845489</v>
      </c>
      <c r="E6" s="4" t="s">
        <v>10</v>
      </c>
      <c r="F6">
        <v>-8.07</v>
      </c>
      <c r="G6" s="26">
        <f t="shared" ref="G6:G9" si="0">(D6-F6)/F6</f>
        <v>-1.1438461315421486E-2</v>
      </c>
    </row>
    <row r="7" spans="3:12">
      <c r="C7" s="7" t="s">
        <v>2</v>
      </c>
      <c r="D7" s="2">
        <f>D18+$D$14*((D6-D17)^2+(D5-D16)^2)+D39+$D$35*(($D$6-$D$34-$D$38)^2+(D5-D37)^2)+D26*(D29-D6)^2</f>
        <v>14703484043.555769</v>
      </c>
      <c r="E7" s="4" t="s">
        <v>12</v>
      </c>
      <c r="F7" s="1">
        <v>13947000000</v>
      </c>
      <c r="G7" s="26">
        <f t="shared" si="0"/>
        <v>5.423991134693977E-2</v>
      </c>
      <c r="L7" s="13"/>
    </row>
    <row r="8" spans="3:12">
      <c r="C8" s="7" t="s">
        <v>3</v>
      </c>
      <c r="D8" s="2">
        <f>D19+$D$14*((D6-D17)^2+(D4-D15)^2)+D40+$D$35*(($D$6-$D$34-$D$38)^2+(D4-D36)^2)+D26*(D29-D6)^2</f>
        <v>15377203260.305248</v>
      </c>
      <c r="E8" s="4" t="s">
        <v>12</v>
      </c>
      <c r="F8" s="1">
        <v>15552000000</v>
      </c>
      <c r="G8" s="26">
        <f t="shared" si="0"/>
        <v>-1.1239502295187226E-2</v>
      </c>
    </row>
    <row r="9" spans="3:12">
      <c r="C9" s="7" t="s">
        <v>4</v>
      </c>
      <c r="D9" s="2">
        <f>D20+$D$14*((D5-D16)^2+(D4-D15))+D41+$D$35*((D5-D37)^2+(D4-D36)^2)</f>
        <v>13726678125.247906</v>
      </c>
      <c r="E9" s="4" t="s">
        <v>12</v>
      </c>
      <c r="F9" s="1">
        <v>13692000000</v>
      </c>
      <c r="G9" s="26">
        <f t="shared" si="0"/>
        <v>2.5327289839253381E-3</v>
      </c>
    </row>
    <row r="10" spans="3:12">
      <c r="C10" s="7"/>
      <c r="D10" s="2"/>
      <c r="E10" s="4"/>
    </row>
    <row r="11" spans="3:12" s="35" customFormat="1">
      <c r="C11" s="36"/>
      <c r="E11" s="37"/>
    </row>
    <row r="12" spans="3:12">
      <c r="C12" s="7"/>
      <c r="E12" s="4"/>
    </row>
    <row r="13" spans="3:12" ht="18.75">
      <c r="C13" s="8" t="s">
        <v>6</v>
      </c>
      <c r="D13" s="5"/>
      <c r="E13" s="5"/>
    </row>
    <row r="14" spans="3:12">
      <c r="C14" s="7" t="s">
        <v>7</v>
      </c>
      <c r="D14" s="49">
        <v>12919000</v>
      </c>
      <c r="E14" s="4" t="s">
        <v>8</v>
      </c>
    </row>
    <row r="15" spans="3:12">
      <c r="C15" s="7" t="s">
        <v>95</v>
      </c>
      <c r="D15" s="20">
        <v>0</v>
      </c>
      <c r="E15" s="4" t="s">
        <v>10</v>
      </c>
    </row>
    <row r="16" spans="3:12">
      <c r="C16" s="7" t="s">
        <v>97</v>
      </c>
      <c r="D16" s="20">
        <v>0</v>
      </c>
      <c r="E16" s="4" t="s">
        <v>10</v>
      </c>
    </row>
    <row r="17" spans="3:5">
      <c r="C17" s="7" t="s">
        <v>96</v>
      </c>
      <c r="D17" s="20">
        <v>-14.09</v>
      </c>
      <c r="E17" s="4" t="s">
        <v>10</v>
      </c>
    </row>
    <row r="18" spans="3:5">
      <c r="C18" s="7" t="s">
        <v>11</v>
      </c>
      <c r="D18" s="19">
        <v>7553400000</v>
      </c>
      <c r="E18" s="4" t="s">
        <v>12</v>
      </c>
    </row>
    <row r="19" spans="3:5">
      <c r="C19" s="7" t="s">
        <v>13</v>
      </c>
      <c r="D19" s="19">
        <v>8223600000</v>
      </c>
      <c r="E19" s="4" t="s">
        <v>12</v>
      </c>
    </row>
    <row r="20" spans="3:5">
      <c r="C20" s="7" t="s">
        <v>14</v>
      </c>
      <c r="D20" s="19">
        <v>13612000000</v>
      </c>
      <c r="E20" s="4" t="s">
        <v>12</v>
      </c>
    </row>
    <row r="21" spans="3:5">
      <c r="C21" s="7"/>
      <c r="E21" s="4"/>
    </row>
    <row r="22" spans="3:5">
      <c r="C22" s="6"/>
    </row>
    <row r="23" spans="3:5" ht="18.75">
      <c r="C23" s="8" t="s">
        <v>15</v>
      </c>
      <c r="D23" s="5"/>
      <c r="E23" s="5"/>
    </row>
    <row r="24" spans="3:5">
      <c r="C24" s="6" t="s">
        <v>54</v>
      </c>
      <c r="D24" s="20">
        <v>10</v>
      </c>
      <c r="E24" t="s">
        <v>10</v>
      </c>
    </row>
    <row r="25" spans="3:5">
      <c r="C25" s="6" t="s">
        <v>25</v>
      </c>
      <c r="D25" s="23">
        <v>88.2</v>
      </c>
      <c r="E25" t="s">
        <v>10</v>
      </c>
    </row>
    <row r="26" spans="3:5">
      <c r="C26" s="6" t="s">
        <v>26</v>
      </c>
      <c r="D26" s="48">
        <f>493500</f>
        <v>493500</v>
      </c>
      <c r="E26" t="s">
        <v>8</v>
      </c>
    </row>
    <row r="27" spans="3:5">
      <c r="C27" s="6" t="s">
        <v>95</v>
      </c>
      <c r="D27" s="20">
        <v>0</v>
      </c>
      <c r="E27" t="s">
        <v>10</v>
      </c>
    </row>
    <row r="28" spans="3:5">
      <c r="C28" s="6" t="s">
        <v>97</v>
      </c>
      <c r="D28" s="20">
        <v>0</v>
      </c>
      <c r="E28" t="s">
        <v>10</v>
      </c>
    </row>
    <row r="29" spans="3:5">
      <c r="C29" s="6" t="s">
        <v>96</v>
      </c>
      <c r="D29" s="20">
        <v>43.85</v>
      </c>
      <c r="E29" t="s">
        <v>10</v>
      </c>
    </row>
    <row r="30" spans="3:5">
      <c r="C30" s="6" t="s">
        <v>53</v>
      </c>
      <c r="D30" s="46">
        <f>D25-D24</f>
        <v>78.2</v>
      </c>
      <c r="E30" t="s">
        <v>10</v>
      </c>
    </row>
    <row r="31" spans="3:5">
      <c r="C31" s="6"/>
    </row>
    <row r="32" spans="3:5">
      <c r="C32" s="6"/>
    </row>
    <row r="33" spans="3:6" ht="18.75">
      <c r="C33" s="8" t="s">
        <v>29</v>
      </c>
      <c r="D33" s="5"/>
      <c r="E33" s="5"/>
    </row>
    <row r="34" spans="3:6">
      <c r="C34" s="6" t="s">
        <v>33</v>
      </c>
      <c r="D34">
        <f>D25</f>
        <v>88.2</v>
      </c>
      <c r="E34" t="s">
        <v>10</v>
      </c>
      <c r="F34" t="s">
        <v>78</v>
      </c>
    </row>
    <row r="35" spans="3:6">
      <c r="C35" s="6" t="s">
        <v>41</v>
      </c>
      <c r="D35" s="3">
        <f>D69+D46</f>
        <v>544899</v>
      </c>
      <c r="E35" t="s">
        <v>8</v>
      </c>
    </row>
    <row r="36" spans="3:6">
      <c r="C36" s="6" t="s">
        <v>101</v>
      </c>
      <c r="D36" s="9">
        <f>($D$46*D47+$D$69*D73)/$D$35</f>
        <v>0.31228245968518942</v>
      </c>
      <c r="E36" t="s">
        <v>10</v>
      </c>
    </row>
    <row r="37" spans="3:6">
      <c r="C37" s="6" t="s">
        <v>102</v>
      </c>
      <c r="D37" s="9">
        <f>($D$46*D48+$D$69*D74)/$D$35</f>
        <v>0</v>
      </c>
      <c r="E37" t="s">
        <v>10</v>
      </c>
    </row>
    <row r="38" spans="3:6">
      <c r="C38" s="6" t="s">
        <v>103</v>
      </c>
      <c r="D38" s="9">
        <f>($D$46*D49+$D$69*D75)/$D$35</f>
        <v>1.7999999999999996</v>
      </c>
      <c r="E38" t="s">
        <v>10</v>
      </c>
    </row>
    <row r="39" spans="3:6">
      <c r="C39" s="40" t="s">
        <v>45</v>
      </c>
      <c r="D39" s="41">
        <f>D50+D76</f>
        <v>111003326</v>
      </c>
      <c r="E39" s="39" t="s">
        <v>12</v>
      </c>
    </row>
    <row r="40" spans="3:6">
      <c r="C40" s="40" t="s">
        <v>46</v>
      </c>
      <c r="D40" s="41">
        <f t="shared" ref="D40" si="1">D51+D77</f>
        <v>114471551.91183783</v>
      </c>
      <c r="E40" s="39" t="s">
        <v>12</v>
      </c>
    </row>
    <row r="41" spans="3:6">
      <c r="C41" s="40" t="s">
        <v>47</v>
      </c>
      <c r="D41" s="41">
        <f>D52+D78</f>
        <v>114471551.91183783</v>
      </c>
      <c r="E41" s="39" t="s">
        <v>12</v>
      </c>
    </row>
    <row r="44" spans="3:6" ht="18.75">
      <c r="C44" s="8" t="s">
        <v>80</v>
      </c>
      <c r="D44" s="5"/>
      <c r="E44" s="5"/>
    </row>
    <row r="45" spans="3:6">
      <c r="C45" s="6" t="s">
        <v>77</v>
      </c>
      <c r="D45" s="19">
        <v>2607890</v>
      </c>
      <c r="E45" t="s">
        <v>76</v>
      </c>
    </row>
    <row r="46" spans="3:6">
      <c r="C46" s="6" t="s">
        <v>71</v>
      </c>
      <c r="D46" s="19">
        <v>477900</v>
      </c>
      <c r="E46" t="s">
        <v>8</v>
      </c>
      <c r="F46" t="s">
        <v>106</v>
      </c>
    </row>
    <row r="47" spans="3:6">
      <c r="C47" s="6" t="s">
        <v>72</v>
      </c>
      <c r="D47" s="20">
        <v>-1.1299999999999999</v>
      </c>
      <c r="E47" t="s">
        <v>10</v>
      </c>
    </row>
    <row r="48" spans="3:6">
      <c r="C48" s="6" t="s">
        <v>73</v>
      </c>
      <c r="D48" s="20">
        <v>0</v>
      </c>
      <c r="E48" t="s">
        <v>10</v>
      </c>
    </row>
    <row r="49" spans="3:5">
      <c r="C49" s="6" t="s">
        <v>74</v>
      </c>
      <c r="D49" s="20">
        <v>1.8</v>
      </c>
      <c r="E49" t="s">
        <v>10</v>
      </c>
    </row>
    <row r="50" spans="3:5">
      <c r="C50" s="6" t="s">
        <v>81</v>
      </c>
      <c r="D50" s="1">
        <f>D53+$D$69*(D60^2+D59^2)</f>
        <v>66413000</v>
      </c>
      <c r="E50" t="s">
        <v>76</v>
      </c>
    </row>
    <row r="51" spans="3:5">
      <c r="C51" s="6" t="s">
        <v>87</v>
      </c>
      <c r="D51" s="1">
        <f>D54+$D$69*(D60^2+D56^2)</f>
        <v>85143369.892286852</v>
      </c>
      <c r="E51" t="s">
        <v>76</v>
      </c>
    </row>
    <row r="52" spans="3:5">
      <c r="C52" s="6" t="s">
        <v>88</v>
      </c>
      <c r="D52" s="1">
        <f>D55+$D$69*(D59^2+D56^2)</f>
        <v>85143369.892286852</v>
      </c>
      <c r="E52" t="s">
        <v>76</v>
      </c>
    </row>
    <row r="53" spans="3:5">
      <c r="C53" s="32" t="s">
        <v>82</v>
      </c>
      <c r="D53" s="22">
        <v>66413000</v>
      </c>
      <c r="E53" s="16" t="s">
        <v>76</v>
      </c>
    </row>
    <row r="54" spans="3:5">
      <c r="C54" s="32" t="s">
        <v>83</v>
      </c>
      <c r="D54" s="22">
        <v>85004000</v>
      </c>
      <c r="E54" s="16" t="s">
        <v>76</v>
      </c>
    </row>
    <row r="55" spans="3:5">
      <c r="C55" s="32" t="s">
        <v>84</v>
      </c>
      <c r="D55" s="22">
        <v>85004000</v>
      </c>
      <c r="E55" s="16" t="s">
        <v>76</v>
      </c>
    </row>
    <row r="56" spans="3:5">
      <c r="C56" s="32" t="s">
        <v>89</v>
      </c>
      <c r="D56" s="24">
        <f>D47-D36</f>
        <v>-1.4422824596851893</v>
      </c>
      <c r="E56" s="16" t="s">
        <v>10</v>
      </c>
    </row>
    <row r="57" spans="3:5">
      <c r="C57" s="32" t="s">
        <v>90</v>
      </c>
      <c r="D57" s="24">
        <f t="shared" ref="D57:D58" si="2">D48-D37</f>
        <v>0</v>
      </c>
      <c r="E57" s="16" t="s">
        <v>10</v>
      </c>
    </row>
    <row r="58" spans="3:5">
      <c r="C58" s="32" t="s">
        <v>91</v>
      </c>
      <c r="D58" s="24">
        <f t="shared" si="2"/>
        <v>0</v>
      </c>
      <c r="E58" s="16" t="s">
        <v>10</v>
      </c>
    </row>
    <row r="61" spans="3:5" ht="18.75">
      <c r="C61" s="8" t="s">
        <v>79</v>
      </c>
      <c r="D61" s="5"/>
      <c r="E61" s="5"/>
    </row>
    <row r="62" spans="3:5">
      <c r="C62" s="6" t="s">
        <v>30</v>
      </c>
      <c r="D62">
        <f>D63+D89*2</f>
        <v>126</v>
      </c>
      <c r="E62" t="s">
        <v>10</v>
      </c>
    </row>
    <row r="63" spans="3:5">
      <c r="C63" s="6" t="s">
        <v>31</v>
      </c>
      <c r="D63" s="23">
        <v>3</v>
      </c>
      <c r="E63" t="s">
        <v>10</v>
      </c>
    </row>
    <row r="64" spans="3:5">
      <c r="C64" s="6" t="s">
        <v>32</v>
      </c>
      <c r="D64" s="9">
        <f>D34+D65+(-D66)*SIN(RADIANS(D67))</f>
        <v>90</v>
      </c>
      <c r="E64" t="s">
        <v>10</v>
      </c>
    </row>
    <row r="65" spans="1:6">
      <c r="C65" s="6" t="s">
        <v>34</v>
      </c>
      <c r="D65" s="23">
        <v>1.8</v>
      </c>
      <c r="E65" t="s">
        <v>10</v>
      </c>
    </row>
    <row r="66" spans="1:6">
      <c r="C66" s="6" t="s">
        <v>35</v>
      </c>
      <c r="D66" s="23">
        <v>10.6</v>
      </c>
      <c r="E66" t="s">
        <v>10</v>
      </c>
    </row>
    <row r="67" spans="1:6">
      <c r="C67" s="6" t="s">
        <v>36</v>
      </c>
      <c r="D67" s="23">
        <v>0</v>
      </c>
      <c r="E67" t="s">
        <v>37</v>
      </c>
    </row>
    <row r="68" spans="1:6">
      <c r="C68" s="6" t="s">
        <v>38</v>
      </c>
      <c r="D68" s="23">
        <v>0</v>
      </c>
      <c r="E68" t="s">
        <v>37</v>
      </c>
    </row>
    <row r="69" spans="1:6">
      <c r="C69" s="6" t="s">
        <v>70</v>
      </c>
      <c r="D69" s="38">
        <f>D70+D71</f>
        <v>66999</v>
      </c>
    </row>
    <row r="70" spans="1:6">
      <c r="C70" s="32" t="s">
        <v>39</v>
      </c>
      <c r="D70" s="50">
        <f>D88*D90</f>
        <v>66999</v>
      </c>
      <c r="E70" s="33" t="s">
        <v>8</v>
      </c>
    </row>
    <row r="71" spans="1:6">
      <c r="C71" s="32" t="s">
        <v>69</v>
      </c>
      <c r="D71" s="51">
        <v>0</v>
      </c>
      <c r="E71" s="33" t="s">
        <v>8</v>
      </c>
      <c r="F71" t="s">
        <v>105</v>
      </c>
    </row>
    <row r="72" spans="1:6">
      <c r="C72" s="6" t="s">
        <v>75</v>
      </c>
      <c r="D72" s="42">
        <v>115926</v>
      </c>
      <c r="E72" t="s">
        <v>76</v>
      </c>
    </row>
    <row r="73" spans="1:6">
      <c r="C73" s="6" t="s">
        <v>98</v>
      </c>
      <c r="D73" s="45">
        <f>(D66)*COS(RADIANS(D67))</f>
        <v>10.6</v>
      </c>
      <c r="E73" t="s">
        <v>10</v>
      </c>
    </row>
    <row r="74" spans="1:6">
      <c r="C74" s="6" t="s">
        <v>99</v>
      </c>
      <c r="D74" s="45">
        <v>0</v>
      </c>
      <c r="E74" t="s">
        <v>10</v>
      </c>
    </row>
    <row r="75" spans="1:6">
      <c r="C75" s="6" t="s">
        <v>100</v>
      </c>
      <c r="D75" s="45">
        <f>D64-D34</f>
        <v>1.7999999999999972</v>
      </c>
    </row>
    <row r="76" spans="1:6">
      <c r="C76" s="6" t="s">
        <v>81</v>
      </c>
      <c r="D76" s="1">
        <f>D79+$D$69*(D84^2+D83^2)</f>
        <v>44590326</v>
      </c>
      <c r="E76" t="s">
        <v>76</v>
      </c>
    </row>
    <row r="77" spans="1:6">
      <c r="C77" s="6" t="s">
        <v>87</v>
      </c>
      <c r="D77" s="1">
        <f>D80+$D$69*(D84^2+D82^2)</f>
        <v>29328182.019550979</v>
      </c>
      <c r="E77" t="s">
        <v>76</v>
      </c>
    </row>
    <row r="78" spans="1:6">
      <c r="B78" s="39"/>
      <c r="C78" s="6" t="s">
        <v>88</v>
      </c>
      <c r="D78" s="1">
        <f>D81+$D$69*(D83^2+D82^2)</f>
        <v>29328182.019550979</v>
      </c>
      <c r="E78" t="s">
        <v>76</v>
      </c>
    </row>
    <row r="79" spans="1:6">
      <c r="A79" s="39"/>
      <c r="B79" s="39"/>
      <c r="C79" s="32" t="s">
        <v>82</v>
      </c>
      <c r="D79" s="43">
        <f>D72+D88*D91</f>
        <v>44590326</v>
      </c>
      <c r="E79" s="33" t="s">
        <v>76</v>
      </c>
      <c r="F79" t="s">
        <v>86</v>
      </c>
    </row>
    <row r="80" spans="1:6">
      <c r="A80" s="39"/>
      <c r="B80" s="39"/>
      <c r="C80" s="32" t="s">
        <v>83</v>
      </c>
      <c r="D80" s="43">
        <f>D88*D91/2</f>
        <v>22237200</v>
      </c>
      <c r="E80" s="33" t="s">
        <v>76</v>
      </c>
      <c r="F80" t="s">
        <v>85</v>
      </c>
    </row>
    <row r="81" spans="1:6">
      <c r="A81" s="39"/>
      <c r="B81" s="39"/>
      <c r="C81" s="32" t="s">
        <v>84</v>
      </c>
      <c r="D81" s="43">
        <f>D88*D91/2</f>
        <v>22237200</v>
      </c>
      <c r="E81" s="33" t="s">
        <v>76</v>
      </c>
    </row>
    <row r="82" spans="1:6">
      <c r="A82" s="39"/>
      <c r="B82" s="39"/>
      <c r="C82" s="32" t="s">
        <v>89</v>
      </c>
      <c r="D82" s="9">
        <f>D73-D36</f>
        <v>10.28771754031481</v>
      </c>
    </row>
    <row r="83" spans="1:6">
      <c r="A83" s="39"/>
      <c r="B83" s="39"/>
      <c r="C83" s="32" t="s">
        <v>90</v>
      </c>
      <c r="D83" s="44">
        <f>D74-D37</f>
        <v>0</v>
      </c>
    </row>
    <row r="84" spans="1:6">
      <c r="A84" s="39"/>
      <c r="B84" s="39"/>
      <c r="C84" s="32" t="s">
        <v>91</v>
      </c>
      <c r="D84" s="44">
        <f>D75-D38</f>
        <v>-2.4424906541753444E-15</v>
      </c>
      <c r="E84" t="s">
        <v>10</v>
      </c>
    </row>
    <row r="85" spans="1:6">
      <c r="A85" s="39"/>
      <c r="B85" s="39"/>
      <c r="C85" s="32"/>
      <c r="D85" s="44"/>
    </row>
    <row r="86" spans="1:6">
      <c r="C86" s="6"/>
    </row>
    <row r="87" spans="1:6" ht="18.75">
      <c r="C87" s="8" t="s">
        <v>21</v>
      </c>
      <c r="D87" s="5"/>
      <c r="E87" s="5"/>
    </row>
    <row r="88" spans="1:6">
      <c r="C88" s="7" t="s">
        <v>22</v>
      </c>
      <c r="D88" s="23">
        <v>3</v>
      </c>
      <c r="E88" s="4"/>
    </row>
    <row r="89" spans="1:6">
      <c r="C89" s="7" t="s">
        <v>24</v>
      </c>
      <c r="D89" s="23">
        <v>61.5</v>
      </c>
      <c r="E89" s="4" t="s">
        <v>10</v>
      </c>
    </row>
    <row r="90" spans="1:6">
      <c r="C90" s="7" t="s">
        <v>16</v>
      </c>
      <c r="D90" s="52">
        <v>22333</v>
      </c>
      <c r="E90" s="4" t="s">
        <v>8</v>
      </c>
      <c r="F90" s="26"/>
    </row>
    <row r="91" spans="1:6">
      <c r="C91" s="7" t="s">
        <v>17</v>
      </c>
      <c r="D91" s="19">
        <v>14824800</v>
      </c>
      <c r="E91" s="4" t="s">
        <v>12</v>
      </c>
    </row>
    <row r="92" spans="1:6">
      <c r="C92" s="6" t="s">
        <v>18</v>
      </c>
      <c r="D92" s="19">
        <v>457270</v>
      </c>
      <c r="E92" s="4" t="s">
        <v>19</v>
      </c>
    </row>
    <row r="93" spans="1:6">
      <c r="C93" s="6" t="s">
        <v>20</v>
      </c>
      <c r="D93" s="12">
        <f>D92/D90</f>
        <v>20.475081717637575</v>
      </c>
      <c r="E93" s="4" t="s">
        <v>10</v>
      </c>
    </row>
    <row r="94" spans="1:6">
      <c r="B94" s="1"/>
    </row>
    <row r="95" spans="1:6">
      <c r="B9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E4" sqref="E4:K2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OC5-visao geral do paper</vt:lpstr>
      <vt:lpstr>OC4</vt:lpstr>
      <vt:lpstr>Teste com OC5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lucas.henrique</dc:creator>
  <cp:lastModifiedBy>lucas.henrique</cp:lastModifiedBy>
  <dcterms:created xsi:type="dcterms:W3CDTF">2019-07-19T14:54:11Z</dcterms:created>
  <dcterms:modified xsi:type="dcterms:W3CDTF">2019-09-10T10:49:47Z</dcterms:modified>
</cp:coreProperties>
</file>