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oporto" sheetId="1" r:id="rId4"/>
    <sheet state="visible" name="Rodoviária" sheetId="2" r:id="rId5"/>
    <sheet state="visible" name="PARNA" sheetId="3" r:id="rId6"/>
    <sheet state="visible" name="Itaipu " sheetId="4" r:id="rId7"/>
    <sheet state="visible" name="PARQUE DAS AVES" sheetId="5" r:id="rId8"/>
    <sheet state="visible" name="Marco" sheetId="6" r:id="rId9"/>
    <sheet state="visible" name="Marco Nacionalidade" sheetId="7" r:id="rId10"/>
    <sheet state="visible" name="Parna Iguazú" sheetId="8" r:id="rId11"/>
    <sheet state="visible" name="Apresentação Secretário" sheetId="9" r:id="rId12"/>
    <sheet state="visible" name="Voo Charter" sheetId="10" r:id="rId13"/>
    <sheet state="visible" name="Ecomuseu" sheetId="11" r:id="rId14"/>
    <sheet state="visible" name="Página3" sheetId="12" r:id="rId15"/>
  </sheets>
  <definedNames/>
  <calcPr/>
  <extLst>
    <ext uri="GoogleSheetsCustomDataVersion1">
      <go:sheetsCustomData xmlns:go="http://customooxmlschemas.google.com/" r:id="rId16" roundtripDataSignature="AMtx7mhHoBiVhRQIcb4wfMEA9NySGegI+g=="/>
    </ext>
  </extLst>
</workbook>
</file>

<file path=xl/sharedStrings.xml><?xml version="1.0" encoding="utf-8"?>
<sst xmlns="http://schemas.openxmlformats.org/spreadsheetml/2006/main" count="3555" uniqueCount="313">
  <si>
    <t>ANO</t>
  </si>
  <si>
    <t>Nº DE AERONAVES</t>
  </si>
  <si>
    <t>JAN</t>
  </si>
  <si>
    <t>FEV</t>
  </si>
  <si>
    <t>MAR</t>
  </si>
  <si>
    <t>ABR</t>
  </si>
  <si>
    <t>MAI</t>
  </si>
  <si>
    <t>JUN</t>
  </si>
  <si>
    <t>JUL</t>
  </si>
  <si>
    <t xml:space="preserve">AGO </t>
  </si>
  <si>
    <t>SET</t>
  </si>
  <si>
    <t>OUT</t>
  </si>
  <si>
    <t>NOV</t>
  </si>
  <si>
    <t>DEZ</t>
  </si>
  <si>
    <t>TOTAL</t>
  </si>
  <si>
    <t>POUSOS</t>
  </si>
  <si>
    <t>DECOLAGENS</t>
  </si>
  <si>
    <t>PASSAGEIROS</t>
  </si>
  <si>
    <t>EMBARQUES</t>
  </si>
  <si>
    <t>DESEMBARQUES</t>
  </si>
  <si>
    <t>AGO</t>
  </si>
  <si>
    <t>ND</t>
  </si>
  <si>
    <t>MÉDIA DO BHP (Apenas voos comerciais)</t>
  </si>
  <si>
    <t>Var Mês</t>
  </si>
  <si>
    <t>Nº DE ÔNIBUS</t>
  </si>
  <si>
    <t>SAÍDA DE ONIBUS</t>
  </si>
  <si>
    <t>CHEGADA ÔNIBUS</t>
  </si>
  <si>
    <t>Média Diária</t>
  </si>
  <si>
    <t>VISITANTES</t>
  </si>
  <si>
    <t>NACIONAIS</t>
  </si>
  <si>
    <t>ESTRANGEIROS</t>
  </si>
  <si>
    <t xml:space="preserve">VISITANTES </t>
  </si>
  <si>
    <t xml:space="preserve">SET </t>
  </si>
  <si>
    <t>Fonte: Itaipu Binacional - Lado Brasileiro</t>
  </si>
  <si>
    <t>SET *</t>
  </si>
  <si>
    <t>* Visitas Suspensas de 12 a 30/09/2001.</t>
  </si>
  <si>
    <t xml:space="preserve"> </t>
  </si>
  <si>
    <t>VISITANTES - 2020</t>
  </si>
  <si>
    <t>BRASILEIROS</t>
  </si>
  <si>
    <t>MERCOSUL</t>
  </si>
  <si>
    <t>MORADORES</t>
  </si>
  <si>
    <t>Isentos</t>
  </si>
  <si>
    <t>Mercosul incluem todos os paises do mercosul</t>
  </si>
  <si>
    <t>VISITANTES - 2021</t>
  </si>
  <si>
    <t>VISITANTES - 2017</t>
  </si>
  <si>
    <t>VISITANTES - 2018</t>
  </si>
  <si>
    <t>Tripulantes(Isentos)</t>
  </si>
  <si>
    <t>VISITANTES - 2019</t>
  </si>
  <si>
    <t>Moradores</t>
  </si>
  <si>
    <t>NACIONALIDADE VISITANTES MARCO DAS TRÊS FRONTEIRAS - 2021</t>
  </si>
  <si>
    <t>PAÍSES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</si>
  <si>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</si>
  <si>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</si>
  <si>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</si>
  <si>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</si>
  <si>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</si>
  <si>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</si>
  <si>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</si>
  <si>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</si>
  <si>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</si>
  <si>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</si>
  <si>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</si>
  <si>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</si>
  <si>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</si>
  <si>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</si>
  <si>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</si>
  <si>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</si>
  <si>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</si>
  <si>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</si>
  <si>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</si>
  <si>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</si>
  <si>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Antilhas Holandesas</t>
  </si>
  <si>
    <t>Arábia Saudita</t>
  </si>
  <si>
    <t>Argelia</t>
  </si>
  <si>
    <t>Argentina</t>
  </si>
  <si>
    <t>Armênia</t>
  </si>
  <si>
    <t>Aruba</t>
  </si>
  <si>
    <t>Austrália</t>
  </si>
  <si>
    <t>Áustria</t>
  </si>
  <si>
    <t>Azerbaijão</t>
  </si>
  <si>
    <t>Bahamas</t>
  </si>
  <si>
    <t>Bangladesh</t>
  </si>
  <si>
    <t>Barbados</t>
  </si>
  <si>
    <t>Bahrein</t>
  </si>
  <si>
    <t>Belarus</t>
  </si>
  <si>
    <t>Bélgica</t>
  </si>
  <si>
    <t>Belize</t>
  </si>
  <si>
    <t>Benin</t>
  </si>
  <si>
    <t>Bermudas (RU)</t>
  </si>
  <si>
    <t>Bolívia</t>
  </si>
  <si>
    <t>Bosnia-Herzegovina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</si>
  <si>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</si>
  <si>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</si>
  <si>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</si>
  <si>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</si>
  <si>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</si>
  <si>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</si>
  <si>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</si>
  <si>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Cabo Verde</t>
  </si>
  <si>
    <t xml:space="preserve">Camarões 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</si>
  <si>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</si>
  <si>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</si>
  <si>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</si>
  <si>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</si>
  <si>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</si>
  <si>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</si>
  <si>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</si>
  <si>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</si>
  <si>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Cingapura</t>
  </si>
  <si>
    <t>Colômbia</t>
  </si>
  <si>
    <t>Comores</t>
  </si>
  <si>
    <t>Congo</t>
  </si>
  <si>
    <t>Coréia do Norte</t>
  </si>
  <si>
    <t>Coréia do Sul</t>
  </si>
  <si>
    <t>Costa do Marfim</t>
  </si>
  <si>
    <t>Costa Rica</t>
  </si>
  <si>
    <t>Croácia</t>
  </si>
  <si>
    <t>Cuba</t>
  </si>
  <si>
    <t>Curaçao</t>
  </si>
  <si>
    <t>Dinamarca</t>
  </si>
  <si>
    <t>Djibuti</t>
  </si>
  <si>
    <t>Dominica</t>
  </si>
  <si>
    <t>Egito</t>
  </si>
  <si>
    <t>El Salvador</t>
  </si>
  <si>
    <t>Em. Árabes Unidos</t>
  </si>
  <si>
    <t>Equador</t>
  </si>
  <si>
    <t>Eritreia</t>
  </si>
  <si>
    <t>Escocia</t>
  </si>
  <si>
    <t>Eslováquia</t>
  </si>
  <si>
    <t>Eslovênia</t>
  </si>
  <si>
    <t>Espanha</t>
  </si>
  <si>
    <t>Estónia</t>
  </si>
  <si>
    <t>Etiópia</t>
  </si>
  <si>
    <t>EUA</t>
  </si>
  <si>
    <t>Federação Russa</t>
  </si>
  <si>
    <t>Fiji</t>
  </si>
  <si>
    <t>Filipinas</t>
  </si>
  <si>
    <t>Finlândia</t>
  </si>
  <si>
    <t>França</t>
  </si>
  <si>
    <t>Gabao</t>
  </si>
  <si>
    <t>Gambia</t>
  </si>
  <si>
    <t>Gana</t>
  </si>
  <si>
    <t>Georgia</t>
  </si>
  <si>
    <t>Granada</t>
  </si>
  <si>
    <t>Grécia</t>
  </si>
  <si>
    <t>Groenlândia</t>
  </si>
  <si>
    <t>Guadalupe</t>
  </si>
  <si>
    <t>Guam</t>
  </si>
  <si>
    <t>Guatemala</t>
  </si>
  <si>
    <t>Guiana</t>
  </si>
  <si>
    <t>Guiana Francesa</t>
  </si>
  <si>
    <t>Guine</t>
  </si>
  <si>
    <t>Guine Bissau</t>
  </si>
  <si>
    <t>Guine Equatorial</t>
  </si>
  <si>
    <t>Haiti</t>
  </si>
  <si>
    <t>Holanda</t>
  </si>
  <si>
    <t>Honduras</t>
  </si>
  <si>
    <t>Hong Kong</t>
  </si>
  <si>
    <t>Hungria</t>
  </si>
  <si>
    <t>Iemen</t>
  </si>
  <si>
    <t>Ilhas Aland</t>
  </si>
  <si>
    <t>Ilhas Canárias</t>
  </si>
  <si>
    <t>Ilhas Cayman</t>
  </si>
  <si>
    <t>Ilhas Cook (NZ)</t>
  </si>
  <si>
    <t>Ilhas do Canal</t>
  </si>
  <si>
    <t>Ilhas Falkland</t>
  </si>
  <si>
    <t>Ilhas Faroe</t>
  </si>
  <si>
    <t>Ilhas Marshall</t>
  </si>
  <si>
    <t>Ilhas Salomão</t>
  </si>
  <si>
    <t>Índia</t>
  </si>
  <si>
    <t>Indonésia</t>
  </si>
  <si>
    <t>Inglaterra</t>
  </si>
  <si>
    <t>Irã</t>
  </si>
  <si>
    <t>Iraque</t>
  </si>
  <si>
    <t>Irlanda</t>
  </si>
  <si>
    <t xml:space="preserve">Irlanda do Norte </t>
  </si>
  <si>
    <t>Islândia</t>
  </si>
  <si>
    <t>Israel</t>
  </si>
  <si>
    <t>Itália</t>
  </si>
  <si>
    <t>Jamaica</t>
  </si>
  <si>
    <t>Japão</t>
  </si>
  <si>
    <t>Jordânia</t>
  </si>
  <si>
    <t>Kiribati</t>
  </si>
  <si>
    <t>Kuweit</t>
  </si>
  <si>
    <t>Laos</t>
  </si>
  <si>
    <t>Lesoto</t>
  </si>
  <si>
    <t>Letônia</t>
  </si>
  <si>
    <t>Líbano</t>
  </si>
  <si>
    <t>Libéria</t>
  </si>
  <si>
    <t>Libia</t>
  </si>
  <si>
    <t>Liechtenstein</t>
  </si>
  <si>
    <t>Lituânia</t>
  </si>
  <si>
    <t>Luxemburgo</t>
  </si>
  <si>
    <t>Macau</t>
  </si>
  <si>
    <t>Macedônia</t>
  </si>
  <si>
    <t>Madagascar</t>
  </si>
  <si>
    <t>Malásia</t>
  </si>
  <si>
    <t>Malaui</t>
  </si>
  <si>
    <t>Maldivas</t>
  </si>
  <si>
    <t>Mali</t>
  </si>
  <si>
    <t>Malta</t>
  </si>
  <si>
    <t>Marrocos</t>
  </si>
  <si>
    <t>Martinica</t>
  </si>
  <si>
    <t>Mauricio</t>
  </si>
  <si>
    <t>Mauritania</t>
  </si>
  <si>
    <t>México</t>
  </si>
  <si>
    <t>Mianmar</t>
  </si>
  <si>
    <t>Micronésia</t>
  </si>
  <si>
    <t xml:space="preserve">Moçambique </t>
  </si>
  <si>
    <t>Moldávia</t>
  </si>
  <si>
    <t>Mônaco</t>
  </si>
  <si>
    <t>Mongolia</t>
  </si>
  <si>
    <t>Montenegro</t>
  </si>
  <si>
    <t>Namíbia</t>
  </si>
  <si>
    <t>Nauru</t>
  </si>
  <si>
    <t>Nepal</t>
  </si>
  <si>
    <t>Nicarágua</t>
  </si>
  <si>
    <t>Niger</t>
  </si>
  <si>
    <t>Nigéria</t>
  </si>
  <si>
    <t>Noruega</t>
  </si>
  <si>
    <t>Nova Caledonia</t>
  </si>
  <si>
    <t>Nova Zelândia</t>
  </si>
  <si>
    <t>Omã</t>
  </si>
  <si>
    <t>Pais de Gales</t>
  </si>
  <si>
    <t>Palau</t>
  </si>
  <si>
    <t>Palestina</t>
  </si>
  <si>
    <t>Panamá</t>
  </si>
  <si>
    <t>Papua Nova Guiné</t>
  </si>
  <si>
    <t>Paquistão</t>
  </si>
  <si>
    <t>Paraguai</t>
  </si>
  <si>
    <t>Peru</t>
  </si>
  <si>
    <t>Polinésia Francesa</t>
  </si>
  <si>
    <t>Polônia</t>
  </si>
  <si>
    <t>Porto Rico</t>
  </si>
  <si>
    <t>Portugal</t>
  </si>
  <si>
    <t>Quênia</t>
  </si>
  <si>
    <t>Quirguistão</t>
  </si>
  <si>
    <t>Reino Unido</t>
  </si>
  <si>
    <t>Rep. Centro Africana</t>
  </si>
  <si>
    <t>Rep. do Congo</t>
  </si>
  <si>
    <t>Rep. Dominicana</t>
  </si>
  <si>
    <t>Rep. Tcheca</t>
  </si>
  <si>
    <t>Reunião</t>
  </si>
  <si>
    <t>Romênia</t>
  </si>
  <si>
    <t>Ruanda</t>
  </si>
  <si>
    <t>Samoa</t>
  </si>
  <si>
    <t>Samoa Americana</t>
  </si>
  <si>
    <t>San Marino</t>
  </si>
  <si>
    <t>Santa Lucia</t>
  </si>
  <si>
    <t>São Cristóvão e Névis</t>
  </si>
  <si>
    <t>São Martinho</t>
  </si>
  <si>
    <t>São Tomé e Príncipe</t>
  </si>
  <si>
    <t>São Vicente e Granadinas</t>
  </si>
  <si>
    <t>Seicheles</t>
  </si>
  <si>
    <t>Senegal</t>
  </si>
  <si>
    <t>Serra Leoa</t>
  </si>
  <si>
    <t xml:space="preserve">Sérvia </t>
  </si>
  <si>
    <t>Singapura</t>
  </si>
  <si>
    <t>Síria</t>
  </si>
  <si>
    <t>Somália</t>
  </si>
  <si>
    <t>Sri - Lanka</t>
  </si>
  <si>
    <t>Suazilandia</t>
  </si>
  <si>
    <t>Sudão</t>
  </si>
  <si>
    <t>Suécia</t>
  </si>
  <si>
    <t>Suíça</t>
  </si>
  <si>
    <t>Suriname</t>
  </si>
  <si>
    <t>Tailândia</t>
  </si>
  <si>
    <t>Taiwan</t>
  </si>
  <si>
    <t>Tajiquistão</t>
  </si>
  <si>
    <t>Tanzania</t>
  </si>
  <si>
    <t>Timor Leste</t>
  </si>
  <si>
    <t>Togo</t>
  </si>
  <si>
    <t>Tonga</t>
  </si>
  <si>
    <t>Trinidad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</si>
  <si>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</si>
  <si>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</si>
  <si>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</si>
  <si>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</si>
  <si>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</si>
  <si>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</si>
  <si>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</si>
  <si>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Uzbequistão</t>
  </si>
  <si>
    <t>Vanuatu</t>
  </si>
  <si>
    <t>Vaticano</t>
  </si>
  <si>
    <t>Venezuela</t>
  </si>
  <si>
    <t>Vietnã</t>
  </si>
  <si>
    <t>Zambia</t>
  </si>
  <si>
    <t>Zimbábue</t>
  </si>
  <si>
    <t>ARGENTINOS</t>
  </si>
  <si>
    <t>MISIONEROS</t>
  </si>
  <si>
    <t>LIBERADOS</t>
  </si>
  <si>
    <r>
      <rPr>
        <rFont val="Calibri"/>
        <b/>
        <color theme="1"/>
        <sz val="11.0"/>
      </rPr>
      <t xml:space="preserve">Secretaria Municipal de Turismo                                                                         </t>
    </r>
    <r>
      <rPr>
        <rFont val="Calibri"/>
        <b val="0"/>
        <color theme="1"/>
        <sz val="11.0"/>
      </rPr>
      <t xml:space="preserve"> </t>
    </r>
  </si>
  <si>
    <r>
      <rPr>
        <rFont val="Calibri"/>
        <b/>
        <color theme="1"/>
        <sz val="11.0"/>
      </rPr>
      <t>Departamento de Desenvolvimento de Turismo</t>
    </r>
    <r>
      <rPr>
        <rFont val="Calibri"/>
        <b val="0"/>
        <color theme="1"/>
        <sz val="11.0"/>
      </rPr>
      <t xml:space="preserve"> </t>
    </r>
  </si>
  <si>
    <r>
      <rPr>
        <rFont val="Calibri"/>
        <b/>
        <color theme="1"/>
        <sz val="11.0"/>
      </rPr>
      <t>Divisão de Estudos e Pesquisas Turísticas</t>
    </r>
    <r>
      <rPr>
        <rFont val="Calibri"/>
        <b val="0"/>
        <color theme="1"/>
        <sz val="11.0"/>
      </rPr>
      <t xml:space="preserve"> </t>
    </r>
  </si>
  <si>
    <t>VOOS</t>
  </si>
  <si>
    <t>Pouso/Decol.</t>
  </si>
  <si>
    <t>Voos Regulares</t>
  </si>
  <si>
    <t>Charter</t>
  </si>
  <si>
    <t>Embar./Desem.</t>
  </si>
  <si>
    <t>Nº VOOS CHARTER</t>
  </si>
  <si>
    <t>FEV **</t>
  </si>
  <si>
    <t>MAI**</t>
  </si>
  <si>
    <t>JUN**</t>
  </si>
  <si>
    <t>JUL**</t>
  </si>
  <si>
    <t>AGO**</t>
  </si>
  <si>
    <t>SET **</t>
  </si>
  <si>
    <t>OUT**</t>
  </si>
  <si>
    <t>NOV**</t>
  </si>
  <si>
    <t>...</t>
  </si>
  <si>
    <t xml:space="preserve">FEV </t>
  </si>
  <si>
    <t>Fonte:Ecomuseu</t>
  </si>
  <si>
    <t>Fonte: PTI</t>
  </si>
  <si>
    <t>(...)Fechado para reforma.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</si>
</sst>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[Red]#,##0"/>
    <numFmt numFmtId="165" formatCode="#,##0_ ;[Red]\-#,##0\ "/>
  </numFmts>
  <fonts count="15">
    <font>
      <sz val="10.0"/>
      <color rgb="FF000000"/>
      <name val="Arial"/>
    </font>
    <font>
      <sz val="10.0"/>
      <color theme="1"/>
      <name val="Calibri"/>
    </font>
    <font>
      <b/>
      <sz val="10.0"/>
      <color theme="1"/>
      <name val="Calibri"/>
    </font>
    <font/>
    <font>
      <b/>
      <sz val="12.0"/>
      <color rgb="FF000000"/>
      <name val="Calibri"/>
    </font>
    <font>
      <color theme="1"/>
      <name val="Calibri"/>
    </font>
    <font>
      <b/>
      <sz val="10.0"/>
      <color rgb="FFFF0000"/>
      <name val="Calibri"/>
    </font>
    <font>
      <sz val="8.0"/>
      <color theme="1"/>
      <name val="Calibri"/>
    </font>
    <font>
      <b/>
      <color theme="1"/>
      <name val="Calibri"/>
    </font>
    <font>
      <sz val="36.0"/>
      <color theme="1"/>
      <name val="Calibri"/>
    </font>
    <font>
      <b/>
      <sz val="12.0"/>
      <color rgb="FF000000"/>
      <name val="Arial"/>
    </font>
    <font>
      <color rgb="FF000000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b/>
      <sz val="6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B8CCE4"/>
      </bottom>
    </border>
    <border>
      <left/>
      <right/>
      <top style="thin">
        <color rgb="FF000000"/>
      </top>
      <bottom style="thin">
        <color rgb="FFB8CCE4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B8CCE4"/>
      </right>
      <bottom style="thin">
        <color rgb="FF000000"/>
      </bottom>
    </border>
    <border>
      <left style="thin">
        <color rgb="FFB8CCE4"/>
      </left>
      <right style="thin">
        <color rgb="FFB8CCE4"/>
      </right>
      <top/>
      <bottom style="thin">
        <color rgb="FF000000"/>
      </bottom>
    </border>
    <border>
      <left style="thin">
        <color rgb="FFB8CCE4"/>
      </left>
      <bottom style="thin">
        <color rgb="FF000000"/>
      </bottom>
    </border>
    <border>
      <right style="thin">
        <color rgb="FFB8CCE4"/>
      </right>
      <top style="thin">
        <color rgb="FF000000"/>
      </top>
    </border>
    <border>
      <left/>
      <right style="thin">
        <color rgb="FFB8CCE4"/>
      </right>
      <top style="thin">
        <color rgb="FF000000"/>
      </top>
      <bottom/>
    </border>
    <border>
      <left style="thin">
        <color rgb="FFB8CCE4"/>
      </left>
      <right style="thin">
        <color rgb="FFB8CCE4"/>
      </right>
      <top style="thin">
        <color rgb="FF000000"/>
      </top>
      <bottom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</border>
    <border>
      <left/>
      <right style="thin">
        <color rgb="FFB8CCE4"/>
      </right>
      <top style="thin">
        <color rgb="FFB8CCE4"/>
      </top>
      <bottom style="thin">
        <color rgb="FFB8CCE4"/>
      </bottom>
    </border>
    <border>
      <right style="thin">
        <color rgb="FFC6D9F0"/>
      </right>
      <top style="thin">
        <color rgb="FF000000"/>
      </top>
    </border>
    <border>
      <left style="thin">
        <color rgb="FFC6D9F0"/>
      </left>
      <right style="thin">
        <color rgb="FFC6D9F0"/>
      </right>
      <top style="thin">
        <color rgb="FF000000"/>
      </top>
      <bottom style="thin">
        <color rgb="FFB8CCE4"/>
      </bottom>
    </border>
    <border>
      <left/>
      <right style="thin">
        <color rgb="FFC6D9F0"/>
      </right>
      <top style="thin">
        <color rgb="FF000000"/>
      </top>
      <bottom style="thin">
        <color rgb="FFB8CCE4"/>
      </bottom>
    </border>
    <border>
      <left style="thin">
        <color rgb="FFB8CCE4"/>
      </left>
      <right style="thin">
        <color rgb="FFB8CCE4"/>
      </right>
      <top/>
      <bottom style="thin">
        <color rgb="FFB8CCE4"/>
      </bottom>
    </border>
    <border>
      <left style="thin">
        <color rgb="FFB8CCE4"/>
      </left>
      <right style="thin">
        <color rgb="FFC6D9F0"/>
      </right>
      <top/>
      <bottom style="thin">
        <color rgb="FFB8CCE4"/>
      </bottom>
    </border>
    <border>
      <left style="thin">
        <color rgb="FFC6D9F0"/>
      </left>
      <right style="thin">
        <color rgb="FFC6D9F0"/>
      </right>
      <top/>
      <bottom style="thin">
        <color rgb="FFB8CCE4"/>
      </bottom>
    </border>
    <border>
      <left/>
      <right style="thin">
        <color rgb="FFB8CCE4"/>
      </right>
      <top/>
      <bottom style="thin">
        <color rgb="FFB8CCE4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horizontal="center" shrinkToFit="0" vertical="bottom" wrapText="0"/>
    </xf>
    <xf borderId="3" fillId="0" fontId="3" numFmtId="0" xfId="0" applyBorder="1" applyFont="1"/>
    <xf borderId="1" fillId="0" fontId="2" numFmtId="3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1" numFmtId="3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3" xfId="0" applyAlignment="1" applyBorder="1" applyFont="1" applyNumberFormat="1">
      <alignment horizontal="center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3" xfId="0" applyAlignment="1" applyBorder="1" applyFont="1" applyNumberForma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readingOrder="2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1" numFmtId="3" xfId="0" applyAlignment="1" applyBorder="1" applyFont="1" applyNumberFormat="1">
      <alignment horizontal="center" shrinkToFit="0" vertical="bottom" wrapText="0"/>
    </xf>
    <xf borderId="8" fillId="2" fontId="2" numFmtId="3" xfId="0" applyAlignment="1" applyBorder="1" applyFont="1" applyNumberFormat="1">
      <alignment horizontal="center" shrinkToFit="0" vertical="bottom" wrapText="0"/>
    </xf>
    <xf borderId="9" fillId="2" fontId="1" numFmtId="0" xfId="0" applyAlignment="1" applyBorder="1" applyFont="1">
      <alignment horizontal="center" shrinkToFit="0" vertical="bottom" wrapText="0"/>
    </xf>
    <xf borderId="10" fillId="2" fontId="2" numFmtId="0" xfId="0" applyAlignment="1" applyBorder="1" applyFont="1">
      <alignment horizontal="center" shrinkToFit="0" vertical="bottom" wrapText="0"/>
    </xf>
    <xf borderId="1" fillId="2" fontId="2" numFmtId="3" xfId="0" applyAlignment="1" applyBorder="1" applyFont="1" applyNumberFormat="1">
      <alignment horizontal="center" shrinkToFit="0" vertical="bottom" wrapText="0"/>
    </xf>
    <xf borderId="11" fillId="0" fontId="2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shrinkToFit="0" vertical="bottom" wrapText="0"/>
    </xf>
    <xf borderId="12" fillId="0" fontId="2" numFmtId="3" xfId="0" applyAlignment="1" applyBorder="1" applyFont="1" applyNumberFormat="1">
      <alignment horizontal="center" shrinkToFit="0" vertical="bottom" wrapText="0"/>
    </xf>
    <xf borderId="13" fillId="0" fontId="2" numFmtId="3" xfId="0" applyAlignment="1" applyBorder="1" applyFont="1" applyNumberFormat="1">
      <alignment horizontal="center" shrinkToFit="0" vertical="bottom" wrapText="0"/>
    </xf>
    <xf borderId="14" fillId="2" fontId="2" numFmtId="3" xfId="0" applyAlignment="1" applyBorder="1" applyFont="1" applyNumberFormat="1">
      <alignment horizontal="center"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16" fillId="0" fontId="2" numFmtId="0" xfId="0" applyAlignment="1" applyBorder="1" applyFont="1">
      <alignment horizontal="left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17" fillId="0" fontId="2" numFmtId="0" xfId="0" applyAlignment="1" applyBorder="1" applyFont="1">
      <alignment horizontal="center" shrinkToFit="0" vertical="bottom" wrapText="0"/>
    </xf>
    <xf borderId="18" fillId="2" fontId="2" numFmtId="0" xfId="0" applyAlignment="1" applyBorder="1" applyFont="1">
      <alignment horizontal="center" shrinkToFit="0" vertical="bottom" wrapText="0"/>
    </xf>
    <xf borderId="19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20" fillId="0" fontId="2" numFmtId="3" xfId="0" applyAlignment="1" applyBorder="1" applyFont="1" applyNumberFormat="1">
      <alignment horizontal="center" shrinkToFit="0" vertical="bottom" wrapText="0"/>
    </xf>
    <xf borderId="21" fillId="2" fontId="2" numFmtId="3" xfId="0" applyAlignment="1" applyBorder="1" applyFont="1" applyNumberFormat="1">
      <alignment horizontal="center" shrinkToFit="0" vertical="bottom" wrapText="0"/>
    </xf>
    <xf borderId="22" fillId="2" fontId="2" numFmtId="3" xfId="0" applyAlignment="1" applyBorder="1" applyFont="1" applyNumberFormat="1">
      <alignment horizontal="center" shrinkToFit="0" vertical="bottom" wrapText="0"/>
    </xf>
    <xf borderId="23" fillId="2" fontId="2" numFmtId="3" xfId="0" applyAlignment="1" applyBorder="1" applyFont="1" applyNumberFormat="1">
      <alignment horizontal="center" shrinkToFit="0" vertical="bottom" wrapText="0"/>
    </xf>
    <xf borderId="24" fillId="2" fontId="2" numFmtId="3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25" fillId="0" fontId="2" numFmtId="3" xfId="0" applyAlignment="1" applyBorder="1" applyFont="1" applyNumberFormat="1">
      <alignment horizontal="center" shrinkToFit="0" vertical="bottom" wrapText="0"/>
    </xf>
    <xf borderId="26" fillId="2" fontId="2" numFmtId="3" xfId="0" applyAlignment="1" applyBorder="1" applyFont="1" applyNumberFormat="1">
      <alignment horizontal="center" shrinkToFit="0" vertical="bottom" wrapText="0"/>
    </xf>
    <xf borderId="27" fillId="2" fontId="2" numFmtId="3" xfId="0" applyAlignment="1" applyBorder="1" applyFont="1" applyNumberFormat="1">
      <alignment horizontal="center" shrinkToFit="0" vertical="bottom" wrapText="0"/>
    </xf>
    <xf borderId="28" fillId="2" fontId="2" numFmtId="3" xfId="0" applyAlignment="1" applyBorder="1" applyFont="1" applyNumberFormat="1">
      <alignment horizontal="center" shrinkToFit="0" vertical="bottom" wrapText="0"/>
    </xf>
    <xf borderId="29" fillId="2" fontId="2" numFmtId="3" xfId="0" applyAlignment="1" applyBorder="1" applyFont="1" applyNumberFormat="1">
      <alignment horizontal="center" shrinkToFit="0" vertical="bottom" wrapText="0"/>
    </xf>
    <xf borderId="30" fillId="2" fontId="2" numFmtId="3" xfId="0" applyAlignment="1" applyBorder="1" applyFont="1" applyNumberFormat="1">
      <alignment horizontal="center" shrinkToFit="0" vertical="bottom" wrapText="0"/>
    </xf>
    <xf borderId="31" fillId="2" fontId="2" numFmtId="3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0" fillId="0" fontId="5" numFmtId="3" xfId="0" applyAlignment="1" applyFont="1" applyNumberFormat="1">
      <alignment horizontal="center" vertical="bottom"/>
    </xf>
    <xf borderId="1" fillId="0" fontId="5" numFmtId="3" xfId="0" applyAlignment="1" applyBorder="1" applyFont="1" applyNumberFormat="1">
      <alignment horizontal="center" vertical="bottom"/>
    </xf>
    <xf borderId="0" fillId="0" fontId="1" numFmtId="10" xfId="0" applyAlignment="1" applyFont="1" applyNumberFormat="1">
      <alignment shrinkToFit="0" vertical="bottom" wrapText="0"/>
    </xf>
    <xf borderId="1" fillId="3" fontId="2" numFmtId="3" xfId="0" applyAlignment="1" applyBorder="1" applyFill="1" applyFont="1" applyNumberFormat="1">
      <alignment horizontal="center" shrinkToFit="0" vertical="bottom" wrapText="0"/>
    </xf>
    <xf borderId="1" fillId="3" fontId="6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bottom" wrapText="0"/>
    </xf>
    <xf borderId="1" fillId="3" fontId="1" numFmtId="1" xfId="0" applyAlignment="1" applyBorder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2" numFmtId="9" xfId="0" applyAlignment="1" applyBorder="1" applyFont="1" applyNumberFormat="1">
      <alignment horizontal="center"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shrinkToFit="0" vertical="bottom" wrapText="0"/>
    </xf>
    <xf borderId="6" fillId="3" fontId="1" numFmtId="3" xfId="0" applyAlignment="1" applyBorder="1" applyFont="1" applyNumberFormat="1">
      <alignment horizontal="center" shrinkToFit="0" vertical="bottom" wrapText="0"/>
    </xf>
    <xf borderId="9" fillId="3" fontId="1" numFmtId="1" xfId="0" applyAlignment="1" applyBorder="1" applyFont="1" applyNumberFormat="1">
      <alignment horizontal="center" shrinkToFit="0" vertical="bottom" wrapText="0"/>
    </xf>
    <xf borderId="32" fillId="3" fontId="2" numFmtId="0" xfId="0" applyAlignment="1" applyBorder="1" applyFont="1">
      <alignment horizontal="left" shrinkToFit="0" vertical="bottom" wrapText="0"/>
    </xf>
    <xf borderId="16" fillId="3" fontId="2" numFmtId="9" xfId="0" applyAlignment="1" applyBorder="1" applyFont="1" applyNumberFormat="1">
      <alignment horizontal="center"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3" xfId="0" applyAlignment="1" applyBorder="1" applyFont="1" applyNumberFormat="1">
      <alignment horizontal="right" shrinkToFit="0" vertical="bottom" wrapText="0"/>
    </xf>
    <xf borderId="1" fillId="0" fontId="2" numFmtId="3" xfId="0" applyAlignment="1" applyBorder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1" fillId="0" fontId="2" numFmtId="3" xfId="0" applyAlignment="1" applyBorder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33" fillId="0" fontId="5" numFmtId="3" xfId="0" applyAlignment="1" applyBorder="1" applyFont="1" applyNumberFormat="1">
      <alignment horizontal="center" vertical="bottom"/>
    </xf>
    <xf borderId="33" fillId="2" fontId="5" numFmtId="3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 vertical="bottom"/>
    </xf>
    <xf borderId="33" fillId="0" fontId="8" numFmtId="3" xfId="0" applyAlignment="1" applyBorder="1" applyFont="1" applyNumberFormat="1">
      <alignment horizontal="center" vertical="bottom"/>
    </xf>
    <xf borderId="33" fillId="0" fontId="8" numFmtId="165" xfId="0" applyAlignment="1" applyBorder="1" applyFont="1" applyNumberFormat="1">
      <alignment horizontal="center" vertical="bottom"/>
    </xf>
    <xf borderId="0" fillId="0" fontId="4" numFmtId="0" xfId="0" applyAlignment="1" applyFont="1">
      <alignment horizontal="right" readingOrder="2" shrinkToFit="0" vertical="bottom" wrapText="0"/>
    </xf>
    <xf borderId="0" fillId="0" fontId="5" numFmtId="0" xfId="0" applyFont="1"/>
    <xf borderId="5" fillId="4" fontId="1" numFmtId="3" xfId="0" applyAlignment="1" applyBorder="1" applyFill="1" applyFont="1" applyNumberFormat="1">
      <alignment horizontal="center" shrinkToFit="0" vertical="bottom" wrapText="0"/>
    </xf>
    <xf borderId="1" fillId="4" fontId="1" numFmtId="3" xfId="0" applyAlignment="1" applyBorder="1" applyFont="1" applyNumberFormat="1">
      <alignment horizontal="center" shrinkToFit="0" vertical="bottom" wrapText="0"/>
    </xf>
    <xf borderId="0" fillId="0" fontId="8" numFmtId="0" xfId="0" applyFont="1"/>
    <xf borderId="4" fillId="0" fontId="8" numFmtId="0" xfId="0" applyAlignment="1" applyBorder="1" applyFont="1">
      <alignment vertical="bottom"/>
    </xf>
    <xf borderId="5" fillId="0" fontId="1" numFmtId="3" xfId="0" applyAlignment="1" applyBorder="1" applyFont="1" applyNumberFormat="1">
      <alignment horizontal="center" shrinkToFit="0" vertical="bottom" wrapText="0"/>
    </xf>
    <xf borderId="0" fillId="0" fontId="9" numFmtId="0" xfId="0" applyFont="1"/>
    <xf borderId="0" fillId="0" fontId="10" numFmtId="0" xfId="0" applyAlignment="1" applyFont="1">
      <alignment horizontal="center"/>
    </xf>
    <xf borderId="1" fillId="5" fontId="8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0" xfId="0" applyBorder="1" applyFont="1"/>
    <xf borderId="0" fillId="2" fontId="11" numFmtId="0" xfId="0" applyAlignment="1" applyFont="1">
      <alignment horizontal="center"/>
    </xf>
    <xf borderId="1" fillId="6" fontId="8" numFmtId="0" xfId="0" applyBorder="1" applyFill="1" applyFont="1"/>
    <xf borderId="1" fillId="6" fontId="8" numFmtId="0" xfId="0" applyAlignment="1" applyBorder="1" applyFont="1">
      <alignment horizontal="center"/>
    </xf>
    <xf borderId="1" fillId="7" fontId="8" numFmtId="0" xfId="0" applyBorder="1" applyFill="1" applyFont="1"/>
    <xf borderId="1" fillId="7" fontId="8" numFmtId="3" xfId="0" applyAlignment="1" applyBorder="1" applyFont="1" applyNumberFormat="1">
      <alignment horizontal="center"/>
    </xf>
    <xf borderId="1" fillId="7" fontId="8" numFmtId="0" xfId="0" applyAlignment="1" applyBorder="1" applyFont="1">
      <alignment horizontal="center"/>
    </xf>
    <xf borderId="0" fillId="2" fontId="11" numFmtId="0" xfId="0" applyAlignment="1" applyFont="1">
      <alignment horizontal="left"/>
    </xf>
    <xf borderId="1" fillId="8" fontId="8" numFmtId="0" xfId="0" applyBorder="1" applyFill="1" applyFont="1"/>
    <xf borderId="0" fillId="8" fontId="8" numFmtId="0" xfId="0" applyAlignment="1" applyFont="1">
      <alignment horizontal="center"/>
    </xf>
    <xf borderId="1" fillId="8" fontId="8" numFmtId="0" xfId="0" applyAlignment="1" applyBorder="1" applyFont="1">
      <alignment horizontal="center"/>
    </xf>
    <xf borderId="1" fillId="9" fontId="8" numFmtId="0" xfId="0" applyAlignment="1" applyBorder="1" applyFill="1" applyFont="1">
      <alignment horizontal="center"/>
    </xf>
    <xf borderId="1" fillId="9" fontId="5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7" fillId="0" fontId="1" numFmtId="3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34" fillId="0" fontId="13" numFmtId="0" xfId="0" applyAlignment="1" applyBorder="1" applyFont="1">
      <alignment horizontal="center" shrinkToFit="0" vertical="bottom" wrapText="0"/>
    </xf>
    <xf borderId="2" fillId="0" fontId="13" numFmtId="0" xfId="0" applyAlignment="1" applyBorder="1" applyFont="1">
      <alignment horizontal="center" shrinkToFit="0" vertical="bottom" wrapText="0"/>
    </xf>
    <xf borderId="5" fillId="0" fontId="13" numFmtId="0" xfId="0" applyAlignment="1" applyBorder="1" applyFont="1">
      <alignment horizontal="center" shrinkToFit="0" vertical="bottom" wrapText="0"/>
    </xf>
    <xf borderId="35" fillId="2" fontId="13" numFmtId="0" xfId="0" applyAlignment="1" applyBorder="1" applyFont="1">
      <alignment horizontal="center" shrinkToFit="0" vertical="bottom" wrapText="0"/>
    </xf>
    <xf borderId="33" fillId="0" fontId="3" numFmtId="0" xfId="0" applyBorder="1" applyFont="1"/>
    <xf borderId="1" fillId="0" fontId="14" numFmtId="0" xfId="0" applyAlignment="1" applyBorder="1" applyFont="1">
      <alignment horizontal="center"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34" fillId="0" fontId="13" numFmtId="0" xfId="0" applyAlignment="1" applyBorder="1" applyFont="1">
      <alignment horizontal="center" shrinkToFit="0" textRotation="90" vertical="center" wrapText="0"/>
    </xf>
    <xf borderId="1" fillId="0" fontId="13" numFmtId="0" xfId="0" applyAlignment="1" applyBorder="1" applyFont="1">
      <alignment shrinkToFit="0" vertical="bottom" wrapText="0"/>
    </xf>
    <xf borderId="1" fillId="0" fontId="7" numFmtId="3" xfId="0" applyAlignment="1" applyBorder="1" applyFont="1" applyNumberFormat="1">
      <alignment horizontal="center" shrinkToFit="0" vertical="bottom" wrapText="0"/>
    </xf>
    <xf borderId="1" fillId="2" fontId="7" numFmtId="3" xfId="0" applyAlignment="1" applyBorder="1" applyFont="1" applyNumberFormat="1">
      <alignment horizontal="center" shrinkToFit="0" vertical="bottom" wrapText="0"/>
    </xf>
    <xf borderId="5" fillId="0" fontId="7" numFmtId="3" xfId="0" applyAlignment="1" applyBorder="1" applyFont="1" applyNumberFormat="1">
      <alignment horizontal="center" shrinkToFit="0" vertical="bottom" wrapText="0"/>
    </xf>
    <xf borderId="36" fillId="0" fontId="3" numFmtId="0" xfId="0" applyBorder="1" applyFont="1"/>
    <xf borderId="2" fillId="0" fontId="13" numFmtId="0" xfId="0" applyAlignment="1" applyBorder="1" applyFont="1">
      <alignment shrinkToFit="0" vertical="bottom" wrapText="0"/>
    </xf>
    <xf borderId="2" fillId="0" fontId="7" numFmtId="3" xfId="0" applyAlignment="1" applyBorder="1" applyFont="1" applyNumberFormat="1">
      <alignment horizontal="center" shrinkToFit="0" vertical="bottom" wrapText="0"/>
    </xf>
    <xf borderId="8" fillId="2" fontId="7" numFmtId="3" xfId="0" applyAlignment="1" applyBorder="1" applyFont="1" applyNumberFormat="1">
      <alignment horizontal="center" shrinkToFit="0" vertical="bottom" wrapText="0"/>
    </xf>
    <xf borderId="11" fillId="0" fontId="7" numFmtId="3" xfId="0" applyAlignment="1" applyBorder="1" applyFont="1" applyNumberFormat="1">
      <alignment horizontal="center" shrinkToFit="0" vertical="bottom" wrapText="0"/>
    </xf>
    <xf borderId="2" fillId="0" fontId="13" numFmtId="3" xfId="0" applyAlignment="1" applyBorder="1" applyFont="1" applyNumberFormat="1">
      <alignment horizontal="center" shrinkToFit="0" vertical="bottom" wrapText="0"/>
    </xf>
    <xf borderId="8" fillId="2" fontId="13" numFmtId="3" xfId="0" applyAlignment="1" applyBorder="1" applyFont="1" applyNumberFormat="1">
      <alignment horizontal="center" shrinkToFit="0" vertical="bottom" wrapText="0"/>
    </xf>
    <xf borderId="11" fillId="0" fontId="13" numFmtId="3" xfId="0" applyAlignment="1" applyBorder="1" applyFont="1" applyNumberFormat="1">
      <alignment horizontal="center" shrinkToFit="0" vertical="bottom" wrapText="0"/>
    </xf>
    <xf borderId="5" fillId="0" fontId="7" numFmtId="0" xfId="0" applyAlignment="1" applyBorder="1" applyFont="1">
      <alignment shrinkToFit="0" vertical="bottom" wrapText="0"/>
    </xf>
    <xf borderId="4" fillId="0" fontId="13" numFmtId="0" xfId="0" applyAlignment="1" applyBorder="1" applyFont="1">
      <alignment horizontal="left" shrinkToFit="0" vertical="bottom" wrapText="0"/>
    </xf>
    <xf borderId="4" fillId="0" fontId="7" numFmtId="3" xfId="0" applyAlignment="1" applyBorder="1" applyFont="1" applyNumberFormat="1">
      <alignment horizontal="center" shrinkToFit="0" vertical="bottom" wrapText="0"/>
    </xf>
    <xf borderId="10" fillId="2" fontId="7" numFmtId="3" xfId="0" applyAlignment="1" applyBorder="1" applyFont="1" applyNumberFormat="1">
      <alignment horizontal="center" shrinkToFit="0" vertical="bottom" wrapText="0"/>
    </xf>
    <xf borderId="32" fillId="0" fontId="7" numFmtId="3" xfId="0" applyAlignment="1" applyBorder="1" applyFont="1" applyNumberFormat="1">
      <alignment horizontal="center" shrinkToFit="0" vertical="bottom" wrapText="0"/>
    </xf>
    <xf borderId="1" fillId="0" fontId="13" numFmtId="3" xfId="0" applyAlignment="1" applyBorder="1" applyFont="1" applyNumberFormat="1">
      <alignment horizontal="center" shrinkToFit="0" vertical="bottom" wrapText="0"/>
    </xf>
    <xf borderId="1" fillId="2" fontId="13" numFmtId="3" xfId="0" applyAlignment="1" applyBorder="1" applyFont="1" applyNumberFormat="1">
      <alignment horizontal="center" shrinkToFit="0" vertical="bottom" wrapText="0"/>
    </xf>
    <xf borderId="5" fillId="0" fontId="13" numFmtId="3" xfId="0" applyAlignment="1" applyBorder="1" applyFont="1" applyNumberFormat="1">
      <alignment horizontal="center" shrinkToFit="0" vertical="bottom" wrapText="0"/>
    </xf>
    <xf borderId="37" fillId="2" fontId="1" numFmtId="0" xfId="0" applyAlignment="1" applyBorder="1" applyFont="1">
      <alignment shrinkToFit="0" vertical="bottom" wrapText="0"/>
    </xf>
    <xf borderId="8" fillId="2" fontId="1" numFmtId="3" xfId="0" applyAlignment="1" applyBorder="1" applyFont="1" applyNumberFormat="1">
      <alignment horizontal="center" shrinkToFit="0" vertical="bottom" wrapText="0"/>
    </xf>
    <xf borderId="12" fillId="0" fontId="7" numFmtId="0" xfId="0" applyAlignment="1" applyBorder="1" applyFont="1">
      <alignment horizontal="left" shrinkToFit="0" vertical="bottom" wrapText="0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114300</xdr:rowOff>
    </xdr:from>
    <xdr:ext cx="9334500" cy="657225"/>
    <xdr:sp>
      <xdr:nvSpPr>
        <xdr:cNvPr id="3" name="Shape 3"/>
        <xdr:cNvSpPr/>
      </xdr:nvSpPr>
      <xdr:spPr>
        <a:xfrm>
          <a:off x="683513" y="3456150"/>
          <a:ext cx="9324975" cy="647700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DO AEROPORTO INTERNACIONAL DE FOZ DO IGUAÇU 2000/2002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37</xdr:row>
      <xdr:rowOff>104775</xdr:rowOff>
    </xdr:from>
    <xdr:ext cx="9344025" cy="685800"/>
    <xdr:sp>
      <xdr:nvSpPr>
        <xdr:cNvPr id="4" name="Shape 4"/>
        <xdr:cNvSpPr/>
      </xdr:nvSpPr>
      <xdr:spPr>
        <a:xfrm>
          <a:off x="678750" y="3441863"/>
          <a:ext cx="9334500" cy="6762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DO AEROPORTO INTERNACIONAL DE FOZ DO IGUAÇU 2003/2005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9344025" cy="638175"/>
    <xdr:sp>
      <xdr:nvSpPr>
        <xdr:cNvPr id="5" name="Shape 5"/>
        <xdr:cNvSpPr/>
      </xdr:nvSpPr>
      <xdr:spPr>
        <a:xfrm>
          <a:off x="678750" y="3465675"/>
          <a:ext cx="9334500" cy="628650"/>
        </a:xfrm>
        <a:prstGeom prst="rect">
          <a:avLst/>
        </a:prstGeom>
        <a:solidFill>
          <a:srgbClr val="646464">
            <a:alpha val="68627"/>
          </a:srgbClr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DO AEROPORTO INTERNACIONAL DE FOZ DO IGUAÇU 2006/2008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112</xdr:row>
      <xdr:rowOff>0</xdr:rowOff>
    </xdr:from>
    <xdr:ext cx="9344025" cy="809625"/>
    <xdr:sp>
      <xdr:nvSpPr>
        <xdr:cNvPr id="6" name="Shape 6"/>
        <xdr:cNvSpPr/>
      </xdr:nvSpPr>
      <xdr:spPr>
        <a:xfrm>
          <a:off x="678750" y="3379950"/>
          <a:ext cx="9334500" cy="800100"/>
        </a:xfrm>
        <a:prstGeom prst="rect">
          <a:avLst/>
        </a:prstGeom>
        <a:solidFill>
          <a:srgbClr val="646464"/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DO AEROPORTO INTERNACIONAL DE FOZ DO IGUAÇU 2009/2011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150</xdr:row>
      <xdr:rowOff>0</xdr:rowOff>
    </xdr:from>
    <xdr:ext cx="9372600" cy="771525"/>
    <xdr:sp>
      <xdr:nvSpPr>
        <xdr:cNvPr id="7" name="Shape 7"/>
        <xdr:cNvSpPr/>
      </xdr:nvSpPr>
      <xdr:spPr>
        <a:xfrm>
          <a:off x="664463" y="3399000"/>
          <a:ext cx="9363075" cy="762000"/>
        </a:xfrm>
        <a:prstGeom prst="rect">
          <a:avLst/>
        </a:prstGeom>
        <a:solidFill>
          <a:srgbClr val="646464"/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MOVIMENTODE VOOS REGULARES -  AEROPORTO INTERNACIONAL DE FOZ DO IGUAÇU 2012/2014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187</xdr:row>
      <xdr:rowOff>0</xdr:rowOff>
    </xdr:from>
    <xdr:ext cx="9334500" cy="752475"/>
    <xdr:sp>
      <xdr:nvSpPr>
        <xdr:cNvPr id="8" name="Shape 8"/>
        <xdr:cNvSpPr/>
      </xdr:nvSpPr>
      <xdr:spPr>
        <a:xfrm>
          <a:off x="683513" y="3408525"/>
          <a:ext cx="9324975" cy="742950"/>
        </a:xfrm>
        <a:prstGeom prst="rect">
          <a:avLst/>
        </a:prstGeom>
        <a:solidFill>
          <a:srgbClr val="646464"/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MOVIMENTODE VOOS REGULARES -  AEROPORTO INTERNACIONAL DE FOZ DO IGUAÇU 2015/2017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222</xdr:row>
      <xdr:rowOff>104775</xdr:rowOff>
    </xdr:from>
    <xdr:ext cx="9353550" cy="790575"/>
    <xdr:sp>
      <xdr:nvSpPr>
        <xdr:cNvPr id="9" name="Shape 9"/>
        <xdr:cNvSpPr/>
      </xdr:nvSpPr>
      <xdr:spPr>
        <a:xfrm>
          <a:off x="673988" y="3389475"/>
          <a:ext cx="9344025" cy="781050"/>
        </a:xfrm>
        <a:prstGeom prst="rect">
          <a:avLst/>
        </a:prstGeom>
        <a:solidFill>
          <a:srgbClr val="93C47D"/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DE VOOS REGULARES -  AEROPORTO INTERNACIONAL DE FOZ DO IGUAÇU 2018/2020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828675"/>
    <xdr:sp>
      <xdr:nvSpPr>
        <xdr:cNvPr id="10" name="Shape 10"/>
        <xdr:cNvSpPr/>
      </xdr:nvSpPr>
      <xdr:spPr>
        <a:xfrm>
          <a:off x="769238" y="3370425"/>
          <a:ext cx="9153525" cy="819150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IGUAÇU- 2001/2003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35</xdr:row>
      <xdr:rowOff>0</xdr:rowOff>
    </xdr:from>
    <xdr:ext cx="9144000" cy="819150"/>
    <xdr:sp>
      <xdr:nvSpPr>
        <xdr:cNvPr id="11" name="Shape 11"/>
        <xdr:cNvSpPr/>
      </xdr:nvSpPr>
      <xdr:spPr>
        <a:xfrm>
          <a:off x="778763" y="3375188"/>
          <a:ext cx="9134475" cy="80962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IGUAÇU- 2004/2006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9163050" cy="800100"/>
    <xdr:sp>
      <xdr:nvSpPr>
        <xdr:cNvPr id="12" name="Shape 12"/>
        <xdr:cNvSpPr/>
      </xdr:nvSpPr>
      <xdr:spPr>
        <a:xfrm>
          <a:off x="769238" y="3384713"/>
          <a:ext cx="9153525" cy="7905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IGUAÇU- 2007/2009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0</xdr:colOff>
      <xdr:row>104</xdr:row>
      <xdr:rowOff>123825</xdr:rowOff>
    </xdr:from>
    <xdr:ext cx="9134475" cy="838200"/>
    <xdr:sp>
      <xdr:nvSpPr>
        <xdr:cNvPr id="13" name="Shape 13"/>
        <xdr:cNvSpPr/>
      </xdr:nvSpPr>
      <xdr:spPr>
        <a:xfrm>
          <a:off x="783525" y="3365663"/>
          <a:ext cx="9124950" cy="8286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IGUAÇU- 2010/2012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140</xdr:row>
      <xdr:rowOff>0</xdr:rowOff>
    </xdr:from>
    <xdr:ext cx="9153525" cy="828675"/>
    <xdr:sp>
      <xdr:nvSpPr>
        <xdr:cNvPr id="14" name="Shape 14"/>
        <xdr:cNvSpPr/>
      </xdr:nvSpPr>
      <xdr:spPr>
        <a:xfrm>
          <a:off x="774000" y="3370425"/>
          <a:ext cx="9144000" cy="819150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 - 2013/2015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175</xdr:row>
      <xdr:rowOff>9525</xdr:rowOff>
    </xdr:from>
    <xdr:ext cx="9163050" cy="800100"/>
    <xdr:sp>
      <xdr:nvSpPr>
        <xdr:cNvPr id="15" name="Shape 15"/>
        <xdr:cNvSpPr/>
      </xdr:nvSpPr>
      <xdr:spPr>
        <a:xfrm>
          <a:off x="769238" y="3384713"/>
          <a:ext cx="9153525" cy="7905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 - 2016/2018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209</xdr:row>
      <xdr:rowOff>76200</xdr:rowOff>
    </xdr:from>
    <xdr:ext cx="9153525" cy="809625"/>
    <xdr:sp>
      <xdr:nvSpPr>
        <xdr:cNvPr id="16" name="Shape 16"/>
        <xdr:cNvSpPr/>
      </xdr:nvSpPr>
      <xdr:spPr>
        <a:xfrm>
          <a:off x="774000" y="3379950"/>
          <a:ext cx="9144000" cy="800100"/>
        </a:xfrm>
        <a:prstGeom prst="rect">
          <a:avLst/>
        </a:prstGeom>
        <a:solidFill>
          <a:srgbClr val="B6D7A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DA RODOVIÁRIA INTERNACIONAL DE FOZ DO IGUAÇU - 2019/2020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9182100" cy="781050"/>
    <xdr:sp>
      <xdr:nvSpPr>
        <xdr:cNvPr id="17" name="Shape 17"/>
        <xdr:cNvSpPr/>
      </xdr:nvSpPr>
      <xdr:spPr>
        <a:xfrm>
          <a:off x="759713" y="3394238"/>
          <a:ext cx="9172575" cy="77152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ESTATÍSTICASVISITAÇÃO PARQUE NACIONAL DO IGUAÇU - 2000/2005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42</xdr:row>
      <xdr:rowOff>9525</xdr:rowOff>
    </xdr:from>
    <xdr:ext cx="9248775" cy="628650"/>
    <xdr:sp>
      <xdr:nvSpPr>
        <xdr:cNvPr id="18" name="Shape 18"/>
        <xdr:cNvSpPr/>
      </xdr:nvSpPr>
      <xdr:spPr>
        <a:xfrm>
          <a:off x="726375" y="3470438"/>
          <a:ext cx="9239250" cy="61912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ESTATÍSTICASVISITAÇÃO PARQUE NACIONAL DO IGUAÇU - 2006/2011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82</xdr:row>
      <xdr:rowOff>0</xdr:rowOff>
    </xdr:from>
    <xdr:ext cx="9248775" cy="647700"/>
    <xdr:sp>
      <xdr:nvSpPr>
        <xdr:cNvPr id="19" name="Shape 19"/>
        <xdr:cNvSpPr/>
      </xdr:nvSpPr>
      <xdr:spPr>
        <a:xfrm>
          <a:off x="726375" y="3460913"/>
          <a:ext cx="9239250" cy="6381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TURISMOESTATÍSTICAS  -  VISITAÇÃO PARQUE NACIONAL DO IGUAÇU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2012/2017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123825</xdr:rowOff>
    </xdr:from>
    <xdr:ext cx="9277350" cy="771525"/>
    <xdr:sp>
      <xdr:nvSpPr>
        <xdr:cNvPr id="20" name="Shape 20"/>
        <xdr:cNvSpPr/>
      </xdr:nvSpPr>
      <xdr:spPr>
        <a:xfrm>
          <a:off x="712088" y="3399000"/>
          <a:ext cx="9267825" cy="762000"/>
        </a:xfrm>
        <a:prstGeom prst="rect">
          <a:avLst/>
        </a:prstGeom>
        <a:solidFill>
          <a:srgbClr val="FF99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 -  VISITAÇÃO PARQUE NACIONAL DO IGUAÇU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2018/2020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-19050</xdr:rowOff>
    </xdr:from>
    <xdr:ext cx="3667125" cy="57150"/>
    <xdr:sp>
      <xdr:nvSpPr>
        <xdr:cNvPr id="21" name="Shape 21"/>
        <xdr:cNvSpPr/>
      </xdr:nvSpPr>
      <xdr:spPr>
        <a:xfrm>
          <a:off x="3517200" y="3756188"/>
          <a:ext cx="3657600" cy="476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Nota: (*) Visitação suspensa por 20 dias.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0</xdr:row>
      <xdr:rowOff>-19050</xdr:rowOff>
    </xdr:from>
    <xdr:ext cx="4381500" cy="57150"/>
    <xdr:sp>
      <xdr:nvSpPr>
        <xdr:cNvPr id="22" name="Shape 22"/>
        <xdr:cNvSpPr/>
      </xdr:nvSpPr>
      <xdr:spPr>
        <a:xfrm>
          <a:off x="3160013" y="3756188"/>
          <a:ext cx="4371975" cy="476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Fonte: Itaipu Binacional - Lado Brasileiro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47625</xdr:rowOff>
    </xdr:from>
    <xdr:ext cx="8134350" cy="723900"/>
    <xdr:sp>
      <xdr:nvSpPr>
        <xdr:cNvPr id="23" name="Shape 23"/>
        <xdr:cNvSpPr/>
      </xdr:nvSpPr>
      <xdr:spPr>
        <a:xfrm>
          <a:off x="1283588" y="3422813"/>
          <a:ext cx="8124825" cy="714375"/>
        </a:xfrm>
        <a:prstGeom prst="rect">
          <a:avLst/>
        </a:prstGeom>
        <a:solidFill>
          <a:srgbClr val="646464">
            <a:alpha val="73725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ITAIPU BINACIONAL - 2000/2005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15</xdr:row>
      <xdr:rowOff>0</xdr:rowOff>
    </xdr:from>
    <xdr:ext cx="4391025" cy="180975"/>
    <xdr:sp>
      <xdr:nvSpPr>
        <xdr:cNvPr id="24" name="Shape 24"/>
        <xdr:cNvSpPr/>
      </xdr:nvSpPr>
      <xdr:spPr>
        <a:xfrm>
          <a:off x="3155250" y="3694275"/>
          <a:ext cx="4381500" cy="171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Fonte: Itaipu Binacional - Lado Brasileiro</a:t>
          </a:r>
          <a:endParaRPr sz="1400"/>
        </a:p>
      </xdr:txBody>
    </xdr:sp>
    <xdr:clientData fLocksWithSheet="0"/>
  </xdr:oneCellAnchor>
  <xdr:oneCellAnchor>
    <xdr:from>
      <xdr:col>0</xdr:col>
      <xdr:colOff>161925</xdr:colOff>
      <xdr:row>43</xdr:row>
      <xdr:rowOff>0</xdr:rowOff>
    </xdr:from>
    <xdr:ext cx="8153400" cy="638175"/>
    <xdr:sp>
      <xdr:nvSpPr>
        <xdr:cNvPr id="25" name="Shape 25"/>
        <xdr:cNvSpPr/>
      </xdr:nvSpPr>
      <xdr:spPr>
        <a:xfrm>
          <a:off x="1274063" y="3465675"/>
          <a:ext cx="8143875" cy="628650"/>
        </a:xfrm>
        <a:prstGeom prst="rect">
          <a:avLst/>
        </a:prstGeom>
        <a:solidFill>
          <a:srgbClr val="646464">
            <a:alpha val="6666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ITAIPU BINACIONAL - 2006/2011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85</xdr:row>
      <xdr:rowOff>0</xdr:rowOff>
    </xdr:from>
    <xdr:ext cx="8143875" cy="638175"/>
    <xdr:sp>
      <xdr:nvSpPr>
        <xdr:cNvPr id="26" name="Shape 26"/>
        <xdr:cNvSpPr/>
      </xdr:nvSpPr>
      <xdr:spPr>
        <a:xfrm>
          <a:off x="1278825" y="3465675"/>
          <a:ext cx="8134350" cy="628650"/>
        </a:xfrm>
        <a:prstGeom prst="rect">
          <a:avLst/>
        </a:prstGeom>
        <a:solidFill>
          <a:srgbClr val="646464">
            <a:alpha val="66666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ITAIPU BINACIONAL - 2012/2017</a:t>
          </a:r>
          <a:endParaRPr sz="1400"/>
        </a:p>
      </xdr:txBody>
    </xdr:sp>
    <xdr:clientData fLocksWithSheet="0"/>
  </xdr:oneCellAnchor>
  <xdr:oneCellAnchor>
    <xdr:from>
      <xdr:col>0</xdr:col>
      <xdr:colOff>304800</xdr:colOff>
      <xdr:row>124</xdr:row>
      <xdr:rowOff>76200</xdr:rowOff>
    </xdr:from>
    <xdr:ext cx="8172450" cy="657225"/>
    <xdr:sp>
      <xdr:nvSpPr>
        <xdr:cNvPr id="27" name="Shape 27"/>
        <xdr:cNvSpPr/>
      </xdr:nvSpPr>
      <xdr:spPr>
        <a:xfrm>
          <a:off x="1264538" y="3456150"/>
          <a:ext cx="8162925" cy="647700"/>
        </a:xfrm>
        <a:prstGeom prst="rect">
          <a:avLst/>
        </a:prstGeom>
        <a:solidFill>
          <a:srgbClr val="9FC5E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ITAIPU BINACIONAL - 2018/2020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448675" cy="847725"/>
    <xdr:sp>
      <xdr:nvSpPr>
        <xdr:cNvPr id="28" name="Shape 28"/>
        <xdr:cNvSpPr/>
      </xdr:nvSpPr>
      <xdr:spPr>
        <a:xfrm>
          <a:off x="1126425" y="3360900"/>
          <a:ext cx="8439150" cy="838200"/>
        </a:xfrm>
        <a:prstGeom prst="rect">
          <a:avLst/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 -  </a:t>
          </a:r>
          <a:r>
            <a:rPr b="1" lang="en-US" sz="1200"/>
            <a:t>VISITAÇÃO PARQUE DAS AVES</a:t>
          </a:r>
          <a:endParaRPr b="1"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t/>
          </a:r>
          <a:endParaRPr b="1" sz="12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202</a:t>
          </a:r>
          <a:r>
            <a:rPr b="1" lang="en-US" sz="1200"/>
            <a:t>1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448675" cy="847725"/>
    <xdr:sp>
      <xdr:nvSpPr>
        <xdr:cNvPr id="29" name="Shape 29"/>
        <xdr:cNvSpPr/>
      </xdr:nvSpPr>
      <xdr:spPr>
        <a:xfrm>
          <a:off x="1126425" y="3360900"/>
          <a:ext cx="8439150" cy="838200"/>
        </a:xfrm>
        <a:prstGeom prst="rect">
          <a:avLst/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 -  VISITAÇÃO MARCO DAS AMÉRICAS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2017/202</a:t>
          </a:r>
          <a:r>
            <a:rPr b="1" lang="en-US" sz="1200"/>
            <a:t>1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0" cy="666750"/>
    <xdr:sp>
      <xdr:nvSpPr>
        <xdr:cNvPr id="30" name="Shape 30"/>
        <xdr:cNvSpPr/>
      </xdr:nvSpPr>
      <xdr:spPr>
        <a:xfrm>
          <a:off x="1207388" y="3451388"/>
          <a:ext cx="8277225" cy="65722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IGUAZÚ ARGENTINA - 2005/2010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8267700" cy="647700"/>
    <xdr:sp>
      <xdr:nvSpPr>
        <xdr:cNvPr id="31" name="Shape 31"/>
        <xdr:cNvSpPr/>
      </xdr:nvSpPr>
      <xdr:spPr>
        <a:xfrm>
          <a:off x="1216913" y="3460913"/>
          <a:ext cx="8258175" cy="63817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IGUAZÚ ARGENTINA - 2011/2015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95</xdr:row>
      <xdr:rowOff>0</xdr:rowOff>
    </xdr:from>
    <xdr:ext cx="8305800" cy="800100"/>
    <xdr:sp>
      <xdr:nvSpPr>
        <xdr:cNvPr id="32" name="Shape 32"/>
        <xdr:cNvSpPr/>
      </xdr:nvSpPr>
      <xdr:spPr>
        <a:xfrm>
          <a:off x="1197863" y="3384713"/>
          <a:ext cx="8296275" cy="790575"/>
        </a:xfrm>
        <a:prstGeom prst="rect">
          <a:avLst/>
        </a:prstGeom>
        <a:solidFill>
          <a:srgbClr val="FF990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IGUAZÚ ARGENTINA - 2016/2020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</xdr:row>
      <xdr:rowOff>85725</xdr:rowOff>
    </xdr:from>
    <xdr:ext cx="2543175" cy="1371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361950</xdr:colOff>
      <xdr:row>1</xdr:row>
      <xdr:rowOff>57150</xdr:rowOff>
    </xdr:from>
    <xdr:ext cx="1590675" cy="12763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57150</xdr:rowOff>
    </xdr:from>
    <xdr:ext cx="9201150" cy="790575"/>
    <xdr:sp>
      <xdr:nvSpPr>
        <xdr:cNvPr id="33" name="Shape 33"/>
        <xdr:cNvSpPr/>
      </xdr:nvSpPr>
      <xdr:spPr>
        <a:xfrm>
          <a:off x="750188" y="3389475"/>
          <a:ext cx="9191625" cy="781050"/>
        </a:xfrm>
        <a:prstGeom prst="rect">
          <a:avLst/>
        </a:prstGeom>
        <a:solidFill>
          <a:srgbClr val="64646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MOVIMENTO DE VOOS CHARTER -  AEROPORTO INTERNACIONAL DE FOZ DO IGUAÇU 2012/2013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39</xdr:row>
      <xdr:rowOff>19050</xdr:rowOff>
    </xdr:from>
    <xdr:ext cx="8153400" cy="285750"/>
    <xdr:sp>
      <xdr:nvSpPr>
        <xdr:cNvPr id="34" name="Shape 34"/>
        <xdr:cNvSpPr/>
      </xdr:nvSpPr>
      <xdr:spPr>
        <a:xfrm>
          <a:off x="1274063" y="3641888"/>
          <a:ext cx="8143875" cy="276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Nota: (**) Fechado 17 dias para reforma / Em 2002, fechado de maio  a novembro devido a reformas. Reinaugurado em 12/12/02.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38</xdr:row>
      <xdr:rowOff>9525</xdr:rowOff>
    </xdr:from>
    <xdr:ext cx="2181225" cy="180975"/>
    <xdr:sp>
      <xdr:nvSpPr>
        <xdr:cNvPr id="35" name="Shape 35"/>
        <xdr:cNvSpPr/>
      </xdr:nvSpPr>
      <xdr:spPr>
        <a:xfrm>
          <a:off x="4260150" y="3694275"/>
          <a:ext cx="2171700" cy="171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Fonte: Itaipu Binacional - Lado Brasileiro</a:t>
          </a: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76200</xdr:rowOff>
    </xdr:from>
    <xdr:ext cx="8401050" cy="962025"/>
    <xdr:sp>
      <xdr:nvSpPr>
        <xdr:cNvPr id="36" name="Shape 36"/>
        <xdr:cNvSpPr/>
      </xdr:nvSpPr>
      <xdr:spPr>
        <a:xfrm>
          <a:off x="1150238" y="3303750"/>
          <a:ext cx="8391525" cy="952500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ECOMUSEU DE ITAIPU - 2001/2005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41</xdr:row>
      <xdr:rowOff>76200</xdr:rowOff>
    </xdr:from>
    <xdr:ext cx="8515350" cy="857250"/>
    <xdr:sp>
      <xdr:nvSpPr>
        <xdr:cNvPr id="37" name="Shape 37"/>
        <xdr:cNvSpPr/>
      </xdr:nvSpPr>
      <xdr:spPr>
        <a:xfrm>
          <a:off x="1093088" y="3356138"/>
          <a:ext cx="8505825" cy="847725"/>
        </a:xfrm>
        <a:prstGeom prst="rect">
          <a:avLst/>
        </a:prstGeom>
        <a:solidFill>
          <a:srgbClr val="646464">
            <a:alpha val="69019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MUNICIPAL DE TURISMO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ESTATÍSTICAS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VISITAÇÃO ECOMUSEU DE ITAIPU - 2006/2010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1.43"/>
    <col customWidth="1" min="3" max="5" width="8.71"/>
    <col customWidth="1" min="6" max="6" width="9.14"/>
    <col customWidth="1" min="7" max="14" width="8.71"/>
    <col customWidth="1" min="15" max="15" width="10.29"/>
    <col customWidth="1" min="16" max="17" width="9.14"/>
    <col customWidth="1" min="18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0</v>
      </c>
      <c r="B6" s="3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>
        <v>2000.0</v>
      </c>
      <c r="B7" s="5" t="s">
        <v>15</v>
      </c>
      <c r="C7" s="6">
        <v>364.0</v>
      </c>
      <c r="D7" s="6">
        <v>372.0</v>
      </c>
      <c r="E7" s="6">
        <v>417.0</v>
      </c>
      <c r="F7" s="6">
        <v>386.0</v>
      </c>
      <c r="G7" s="6">
        <v>382.0</v>
      </c>
      <c r="H7" s="6">
        <v>365.0</v>
      </c>
      <c r="I7" s="6">
        <v>352.0</v>
      </c>
      <c r="J7" s="6">
        <v>397.0</v>
      </c>
      <c r="K7" s="6">
        <v>380.0</v>
      </c>
      <c r="L7" s="6">
        <v>416.0</v>
      </c>
      <c r="M7" s="6">
        <v>395.0</v>
      </c>
      <c r="N7" s="6">
        <v>365.0</v>
      </c>
      <c r="O7" s="6">
        <f t="shared" ref="O7:O9" si="1">SUM(C7:N7)</f>
        <v>4591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/>
      <c r="B8" s="5" t="s">
        <v>16</v>
      </c>
      <c r="C8" s="6">
        <v>362.0</v>
      </c>
      <c r="D8" s="6">
        <v>376.0</v>
      </c>
      <c r="E8" s="6">
        <v>412.0</v>
      </c>
      <c r="F8" s="6">
        <v>389.0</v>
      </c>
      <c r="G8" s="6">
        <v>383.0</v>
      </c>
      <c r="H8" s="6">
        <v>362.0</v>
      </c>
      <c r="I8" s="6">
        <v>355.0</v>
      </c>
      <c r="J8" s="6">
        <v>395.0</v>
      </c>
      <c r="K8" s="6">
        <v>382.0</v>
      </c>
      <c r="L8" s="6">
        <v>412.0</v>
      </c>
      <c r="M8" s="6">
        <v>399.0</v>
      </c>
      <c r="N8" s="6">
        <v>363.0</v>
      </c>
      <c r="O8" s="6">
        <f t="shared" si="1"/>
        <v>4590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/>
      <c r="B9" s="5" t="s">
        <v>14</v>
      </c>
      <c r="C9" s="8">
        <f t="shared" ref="C9:N9" si="2">SUM(C7:C8)</f>
        <v>726</v>
      </c>
      <c r="D9" s="8">
        <f t="shared" si="2"/>
        <v>748</v>
      </c>
      <c r="E9" s="8">
        <f t="shared" si="2"/>
        <v>829</v>
      </c>
      <c r="F9" s="8">
        <f t="shared" si="2"/>
        <v>775</v>
      </c>
      <c r="G9" s="8">
        <f t="shared" si="2"/>
        <v>765</v>
      </c>
      <c r="H9" s="8">
        <f t="shared" si="2"/>
        <v>727</v>
      </c>
      <c r="I9" s="8">
        <f t="shared" si="2"/>
        <v>707</v>
      </c>
      <c r="J9" s="8">
        <f t="shared" si="2"/>
        <v>792</v>
      </c>
      <c r="K9" s="8">
        <f t="shared" si="2"/>
        <v>762</v>
      </c>
      <c r="L9" s="8">
        <f t="shared" si="2"/>
        <v>828</v>
      </c>
      <c r="M9" s="8">
        <f t="shared" si="2"/>
        <v>794</v>
      </c>
      <c r="N9" s="8">
        <f t="shared" si="2"/>
        <v>728</v>
      </c>
      <c r="O9" s="8">
        <f t="shared" si="1"/>
        <v>9181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/>
      <c r="B11" s="3" t="s">
        <v>17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/>
      <c r="B12" s="5" t="s">
        <v>18</v>
      </c>
      <c r="C12" s="6">
        <v>20819.0</v>
      </c>
      <c r="D12" s="6">
        <v>20154.0</v>
      </c>
      <c r="E12" s="6">
        <v>22602.0</v>
      </c>
      <c r="F12" s="6">
        <v>20890.0</v>
      </c>
      <c r="G12" s="6">
        <v>18024.0</v>
      </c>
      <c r="H12" s="6">
        <v>16033.0</v>
      </c>
      <c r="I12" s="6">
        <v>17811.0</v>
      </c>
      <c r="J12" s="6">
        <v>20987.0</v>
      </c>
      <c r="K12" s="6">
        <v>17648.0</v>
      </c>
      <c r="L12" s="6">
        <v>22826.0</v>
      </c>
      <c r="M12" s="6">
        <v>24112.0</v>
      </c>
      <c r="N12" s="6">
        <v>17823.0</v>
      </c>
      <c r="O12" s="6">
        <f t="shared" ref="O12:O14" si="3">SUM(C12:N12)</f>
        <v>239729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/>
      <c r="B13" s="5" t="s">
        <v>19</v>
      </c>
      <c r="C13" s="6">
        <v>20014.0</v>
      </c>
      <c r="D13" s="6">
        <v>19555.0</v>
      </c>
      <c r="E13" s="6">
        <v>22114.0</v>
      </c>
      <c r="F13" s="6">
        <v>21118.0</v>
      </c>
      <c r="G13" s="6">
        <v>16771.0</v>
      </c>
      <c r="H13" s="6">
        <v>15394.0</v>
      </c>
      <c r="I13" s="6">
        <v>18135.0</v>
      </c>
      <c r="J13" s="6">
        <v>20427.0</v>
      </c>
      <c r="K13" s="6">
        <v>17027.0</v>
      </c>
      <c r="L13" s="6">
        <v>22984.0</v>
      </c>
      <c r="M13" s="6">
        <v>23368.0</v>
      </c>
      <c r="N13" s="6">
        <v>17377.0</v>
      </c>
      <c r="O13" s="6">
        <f t="shared" si="3"/>
        <v>234284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1"/>
      <c r="B14" s="5" t="s">
        <v>14</v>
      </c>
      <c r="C14" s="8">
        <f t="shared" ref="C14:N14" si="4">SUM(C12:C13)</f>
        <v>40833</v>
      </c>
      <c r="D14" s="8">
        <f t="shared" si="4"/>
        <v>39709</v>
      </c>
      <c r="E14" s="8">
        <f t="shared" si="4"/>
        <v>44716</v>
      </c>
      <c r="F14" s="8">
        <f t="shared" si="4"/>
        <v>42008</v>
      </c>
      <c r="G14" s="8">
        <f t="shared" si="4"/>
        <v>34795</v>
      </c>
      <c r="H14" s="8">
        <f t="shared" si="4"/>
        <v>31427</v>
      </c>
      <c r="I14" s="8">
        <f t="shared" si="4"/>
        <v>35946</v>
      </c>
      <c r="J14" s="8">
        <f t="shared" si="4"/>
        <v>41414</v>
      </c>
      <c r="K14" s="8">
        <f t="shared" si="4"/>
        <v>34675</v>
      </c>
      <c r="L14" s="8">
        <f t="shared" si="4"/>
        <v>45810</v>
      </c>
      <c r="M14" s="8">
        <f t="shared" si="4"/>
        <v>47480</v>
      </c>
      <c r="N14" s="8">
        <f t="shared" si="4"/>
        <v>35200</v>
      </c>
      <c r="O14" s="8">
        <f t="shared" si="3"/>
        <v>474013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0</v>
      </c>
      <c r="B17" s="3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">
        <v>2001.0</v>
      </c>
      <c r="B18" s="5" t="s">
        <v>15</v>
      </c>
      <c r="C18" s="6">
        <v>407.0</v>
      </c>
      <c r="D18" s="6">
        <v>369.0</v>
      </c>
      <c r="E18" s="6">
        <v>389.0</v>
      </c>
      <c r="F18" s="6">
        <v>407.0</v>
      </c>
      <c r="G18" s="6">
        <v>439.0</v>
      </c>
      <c r="H18" s="6">
        <v>445.0</v>
      </c>
      <c r="I18" s="6">
        <v>412.0</v>
      </c>
      <c r="J18" s="6">
        <v>391.0</v>
      </c>
      <c r="K18" s="6">
        <v>389.0</v>
      </c>
      <c r="L18" s="6">
        <v>389.0</v>
      </c>
      <c r="M18" s="6">
        <v>393.0</v>
      </c>
      <c r="N18" s="6">
        <v>378.0</v>
      </c>
      <c r="O18" s="6">
        <f t="shared" ref="O18:O19" si="5">SUM(C18:N18)</f>
        <v>4808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/>
      <c r="B19" s="5" t="s">
        <v>16</v>
      </c>
      <c r="C19" s="6">
        <v>406.0</v>
      </c>
      <c r="D19" s="6">
        <v>371.0</v>
      </c>
      <c r="E19" s="6">
        <v>389.0</v>
      </c>
      <c r="F19" s="6">
        <v>407.0</v>
      </c>
      <c r="G19" s="6">
        <v>436.0</v>
      </c>
      <c r="H19" s="6">
        <v>448.0</v>
      </c>
      <c r="I19" s="6">
        <v>407.0</v>
      </c>
      <c r="J19" s="6">
        <v>395.0</v>
      </c>
      <c r="K19" s="6">
        <v>390.0</v>
      </c>
      <c r="L19" s="6">
        <v>389.0</v>
      </c>
      <c r="M19" s="6">
        <v>389.0</v>
      </c>
      <c r="N19" s="6">
        <v>383.0</v>
      </c>
      <c r="O19" s="6">
        <f t="shared" si="5"/>
        <v>4810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/>
      <c r="B20" s="5" t="s">
        <v>14</v>
      </c>
      <c r="C20" s="8">
        <f t="shared" ref="C20:O20" si="6">SUM(C18:C19)</f>
        <v>813</v>
      </c>
      <c r="D20" s="8">
        <f t="shared" si="6"/>
        <v>740</v>
      </c>
      <c r="E20" s="8">
        <f t="shared" si="6"/>
        <v>778</v>
      </c>
      <c r="F20" s="8">
        <f t="shared" si="6"/>
        <v>814</v>
      </c>
      <c r="G20" s="8">
        <f t="shared" si="6"/>
        <v>875</v>
      </c>
      <c r="H20" s="8">
        <f t="shared" si="6"/>
        <v>893</v>
      </c>
      <c r="I20" s="8">
        <f t="shared" si="6"/>
        <v>819</v>
      </c>
      <c r="J20" s="8">
        <f t="shared" si="6"/>
        <v>786</v>
      </c>
      <c r="K20" s="8">
        <f t="shared" si="6"/>
        <v>779</v>
      </c>
      <c r="L20" s="8">
        <f t="shared" si="6"/>
        <v>778</v>
      </c>
      <c r="M20" s="8">
        <f t="shared" si="6"/>
        <v>782</v>
      </c>
      <c r="N20" s="8">
        <f t="shared" si="6"/>
        <v>761</v>
      </c>
      <c r="O20" s="8">
        <f t="shared" si="6"/>
        <v>9618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/>
      <c r="B22" s="3" t="s">
        <v>17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/>
      <c r="B23" s="5" t="s">
        <v>18</v>
      </c>
      <c r="C23" s="6">
        <v>22099.0</v>
      </c>
      <c r="D23" s="6">
        <v>18888.0</v>
      </c>
      <c r="E23" s="6">
        <v>20030.0</v>
      </c>
      <c r="F23" s="6">
        <v>19996.0</v>
      </c>
      <c r="G23" s="6">
        <v>17937.0</v>
      </c>
      <c r="H23" s="6">
        <v>17258.0</v>
      </c>
      <c r="I23" s="6">
        <v>20151.0</v>
      </c>
      <c r="J23" s="6">
        <v>23314.0</v>
      </c>
      <c r="K23" s="6">
        <v>17685.0</v>
      </c>
      <c r="L23" s="6">
        <v>19530.0</v>
      </c>
      <c r="M23" s="6">
        <v>21993.0</v>
      </c>
      <c r="N23" s="6">
        <v>17831.0</v>
      </c>
      <c r="O23" s="6">
        <f t="shared" ref="O23:O24" si="7">SUM(C23:N23)</f>
        <v>236712</v>
      </c>
      <c r="P23" s="1"/>
      <c r="Q23" s="15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/>
      <c r="B24" s="5" t="s">
        <v>19</v>
      </c>
      <c r="C24" s="6">
        <v>20528.0</v>
      </c>
      <c r="D24" s="6">
        <v>18802.0</v>
      </c>
      <c r="E24" s="6">
        <v>19521.0</v>
      </c>
      <c r="F24" s="6">
        <v>20046.0</v>
      </c>
      <c r="G24" s="6">
        <v>17236.0</v>
      </c>
      <c r="H24" s="6">
        <v>16580.0</v>
      </c>
      <c r="I24" s="6">
        <v>20418.0</v>
      </c>
      <c r="J24" s="6">
        <v>22970.0</v>
      </c>
      <c r="K24" s="6">
        <v>17398.0</v>
      </c>
      <c r="L24" s="6">
        <v>19839.0</v>
      </c>
      <c r="M24" s="6">
        <v>21203.0</v>
      </c>
      <c r="N24" s="6">
        <v>17293.0</v>
      </c>
      <c r="O24" s="6">
        <f t="shared" si="7"/>
        <v>231834</v>
      </c>
      <c r="P24" s="1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1"/>
      <c r="B25" s="5" t="s">
        <v>14</v>
      </c>
      <c r="C25" s="8">
        <f t="shared" ref="C25:O25" si="8">SUM(C23:C24)</f>
        <v>42627</v>
      </c>
      <c r="D25" s="8">
        <f t="shared" si="8"/>
        <v>37690</v>
      </c>
      <c r="E25" s="8">
        <f t="shared" si="8"/>
        <v>39551</v>
      </c>
      <c r="F25" s="8">
        <f t="shared" si="8"/>
        <v>40042</v>
      </c>
      <c r="G25" s="8">
        <f t="shared" si="8"/>
        <v>35173</v>
      </c>
      <c r="H25" s="8">
        <f t="shared" si="8"/>
        <v>33838</v>
      </c>
      <c r="I25" s="8">
        <f t="shared" si="8"/>
        <v>40569</v>
      </c>
      <c r="J25" s="8">
        <f t="shared" si="8"/>
        <v>46284</v>
      </c>
      <c r="K25" s="8">
        <f t="shared" si="8"/>
        <v>35083</v>
      </c>
      <c r="L25" s="8">
        <f t="shared" si="8"/>
        <v>39369</v>
      </c>
      <c r="M25" s="8">
        <f t="shared" si="8"/>
        <v>43196</v>
      </c>
      <c r="N25" s="8">
        <f t="shared" si="8"/>
        <v>35124</v>
      </c>
      <c r="O25" s="8">
        <f t="shared" si="8"/>
        <v>468546</v>
      </c>
      <c r="P25" s="1"/>
      <c r="Q25" s="14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"/>
      <c r="Q26" s="14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0</v>
      </c>
      <c r="B28" s="3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>
        <v>2002.0</v>
      </c>
      <c r="B29" s="5" t="s">
        <v>15</v>
      </c>
      <c r="C29" s="6">
        <v>408.0</v>
      </c>
      <c r="D29" s="6">
        <v>350.0</v>
      </c>
      <c r="E29" s="6">
        <v>408.0</v>
      </c>
      <c r="F29" s="6">
        <v>359.0</v>
      </c>
      <c r="G29" s="6">
        <v>342.0</v>
      </c>
      <c r="H29" s="6">
        <v>304.0</v>
      </c>
      <c r="I29" s="6">
        <v>314.0</v>
      </c>
      <c r="J29" s="6">
        <v>329.0</v>
      </c>
      <c r="K29" s="6">
        <v>315.0</v>
      </c>
      <c r="L29" s="6">
        <v>331.0</v>
      </c>
      <c r="M29" s="6">
        <v>318.0</v>
      </c>
      <c r="N29" s="6">
        <v>340.0</v>
      </c>
      <c r="O29" s="6">
        <f t="shared" ref="O29:O30" si="9">SUM(C29:N29)</f>
        <v>4118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7"/>
      <c r="B30" s="5" t="s">
        <v>16</v>
      </c>
      <c r="C30" s="6">
        <v>408.0</v>
      </c>
      <c r="D30" s="6">
        <v>348.0</v>
      </c>
      <c r="E30" s="6">
        <v>408.0</v>
      </c>
      <c r="F30" s="6">
        <v>361.0</v>
      </c>
      <c r="G30" s="6">
        <v>336.0</v>
      </c>
      <c r="H30" s="6">
        <v>310.0</v>
      </c>
      <c r="I30" s="6">
        <v>314.0</v>
      </c>
      <c r="J30" s="6">
        <v>329.0</v>
      </c>
      <c r="K30" s="6">
        <v>315.0</v>
      </c>
      <c r="L30" s="6">
        <v>330.0</v>
      </c>
      <c r="M30" s="6">
        <v>317.0</v>
      </c>
      <c r="N30" s="6">
        <v>338.0</v>
      </c>
      <c r="O30" s="6">
        <f t="shared" si="9"/>
        <v>4114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7"/>
      <c r="B31" s="5" t="s">
        <v>14</v>
      </c>
      <c r="C31" s="8">
        <f t="shared" ref="C31:O31" si="10">SUM(C29:C30)</f>
        <v>816</v>
      </c>
      <c r="D31" s="8">
        <f t="shared" si="10"/>
        <v>698</v>
      </c>
      <c r="E31" s="8">
        <f t="shared" si="10"/>
        <v>816</v>
      </c>
      <c r="F31" s="8">
        <f t="shared" si="10"/>
        <v>720</v>
      </c>
      <c r="G31" s="8">
        <f t="shared" si="10"/>
        <v>678</v>
      </c>
      <c r="H31" s="8">
        <f t="shared" si="10"/>
        <v>614</v>
      </c>
      <c r="I31" s="8">
        <f t="shared" si="10"/>
        <v>628</v>
      </c>
      <c r="J31" s="8">
        <f t="shared" si="10"/>
        <v>658</v>
      </c>
      <c r="K31" s="8">
        <f t="shared" si="10"/>
        <v>630</v>
      </c>
      <c r="L31" s="8">
        <f t="shared" si="10"/>
        <v>661</v>
      </c>
      <c r="M31" s="8">
        <f t="shared" si="10"/>
        <v>635</v>
      </c>
      <c r="N31" s="8">
        <f t="shared" si="10"/>
        <v>678</v>
      </c>
      <c r="O31" s="8">
        <f t="shared" si="10"/>
        <v>8232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7"/>
      <c r="B33" s="3" t="s">
        <v>17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7"/>
      <c r="B34" s="5" t="s">
        <v>18</v>
      </c>
      <c r="C34" s="6">
        <v>21219.0</v>
      </c>
      <c r="D34" s="6">
        <v>19150.0</v>
      </c>
      <c r="E34" s="6">
        <v>21474.0</v>
      </c>
      <c r="F34" s="6">
        <v>16029.0</v>
      </c>
      <c r="G34" s="6">
        <v>18291.0</v>
      </c>
      <c r="H34" s="6">
        <v>14633.0</v>
      </c>
      <c r="I34" s="6">
        <v>17212.0</v>
      </c>
      <c r="J34" s="6">
        <v>20478.0</v>
      </c>
      <c r="K34" s="6">
        <v>17709.0</v>
      </c>
      <c r="L34" s="6">
        <v>19407.0</v>
      </c>
      <c r="M34" s="6">
        <v>20804.0</v>
      </c>
      <c r="N34" s="6">
        <v>17037.0</v>
      </c>
      <c r="O34" s="6">
        <f t="shared" ref="O34:O35" si="11">SUM(C34:N34)</f>
        <v>223443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7"/>
      <c r="B35" s="5" t="s">
        <v>19</v>
      </c>
      <c r="C35" s="6">
        <v>19342.0</v>
      </c>
      <c r="D35" s="6">
        <v>19313.0</v>
      </c>
      <c r="E35" s="6">
        <v>20972.0</v>
      </c>
      <c r="F35" s="6">
        <v>15379.0</v>
      </c>
      <c r="G35" s="6">
        <v>18956.0</v>
      </c>
      <c r="H35" s="6">
        <v>13088.0</v>
      </c>
      <c r="I35" s="6">
        <v>17223.0</v>
      </c>
      <c r="J35" s="6">
        <v>19891.0</v>
      </c>
      <c r="K35" s="6">
        <v>17847.0</v>
      </c>
      <c r="L35" s="6">
        <v>19253.0</v>
      </c>
      <c r="M35" s="6">
        <v>20635.0</v>
      </c>
      <c r="N35" s="6">
        <v>17500.0</v>
      </c>
      <c r="O35" s="6">
        <f t="shared" si="11"/>
        <v>219399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1"/>
      <c r="B36" s="5" t="s">
        <v>14</v>
      </c>
      <c r="C36" s="8">
        <f t="shared" ref="C36:O36" si="12">SUM(C34:C35)</f>
        <v>40561</v>
      </c>
      <c r="D36" s="8">
        <f t="shared" si="12"/>
        <v>38463</v>
      </c>
      <c r="E36" s="8">
        <f t="shared" si="12"/>
        <v>42446</v>
      </c>
      <c r="F36" s="8">
        <f t="shared" si="12"/>
        <v>31408</v>
      </c>
      <c r="G36" s="8">
        <f t="shared" si="12"/>
        <v>37247</v>
      </c>
      <c r="H36" s="8">
        <f t="shared" si="12"/>
        <v>27721</v>
      </c>
      <c r="I36" s="8">
        <f t="shared" si="12"/>
        <v>34435</v>
      </c>
      <c r="J36" s="8">
        <f t="shared" si="12"/>
        <v>40369</v>
      </c>
      <c r="K36" s="8">
        <f t="shared" si="12"/>
        <v>35556</v>
      </c>
      <c r="L36" s="8">
        <f t="shared" si="12"/>
        <v>38660</v>
      </c>
      <c r="M36" s="8">
        <f t="shared" si="12"/>
        <v>41439</v>
      </c>
      <c r="N36" s="8">
        <f t="shared" si="12"/>
        <v>34537</v>
      </c>
      <c r="O36" s="8">
        <f t="shared" si="12"/>
        <v>442842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 t="s">
        <v>0</v>
      </c>
      <c r="B43" s="3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">
        <v>2003.0</v>
      </c>
      <c r="B44" s="5" t="s">
        <v>15</v>
      </c>
      <c r="C44" s="6">
        <v>334.0</v>
      </c>
      <c r="D44" s="6">
        <v>307.0</v>
      </c>
      <c r="E44" s="6">
        <v>327.0</v>
      </c>
      <c r="F44" s="6">
        <v>385.0</v>
      </c>
      <c r="G44" s="6">
        <v>338.0</v>
      </c>
      <c r="H44" s="6">
        <v>292.0</v>
      </c>
      <c r="I44" s="6">
        <v>343.0</v>
      </c>
      <c r="J44" s="6">
        <v>338.0</v>
      </c>
      <c r="K44" s="6">
        <v>311.0</v>
      </c>
      <c r="L44" s="6">
        <v>373.0</v>
      </c>
      <c r="M44" s="6">
        <v>337.0</v>
      </c>
      <c r="N44" s="6">
        <v>353.0</v>
      </c>
      <c r="O44" s="6">
        <f t="shared" ref="O44:O45" si="13">SUM(C44:N44)</f>
        <v>4038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7"/>
      <c r="B45" s="5" t="s">
        <v>16</v>
      </c>
      <c r="C45" s="6">
        <v>334.0</v>
      </c>
      <c r="D45" s="6">
        <v>307.0</v>
      </c>
      <c r="E45" s="6">
        <v>328.0</v>
      </c>
      <c r="F45" s="6">
        <v>384.0</v>
      </c>
      <c r="G45" s="6">
        <v>338.0</v>
      </c>
      <c r="H45" s="6">
        <v>292.0</v>
      </c>
      <c r="I45" s="6">
        <v>343.0</v>
      </c>
      <c r="J45" s="6">
        <v>338.0</v>
      </c>
      <c r="K45" s="6">
        <v>311.0</v>
      </c>
      <c r="L45" s="6">
        <v>370.0</v>
      </c>
      <c r="M45" s="6">
        <v>341.0</v>
      </c>
      <c r="N45" s="6">
        <v>355.0</v>
      </c>
      <c r="O45" s="6">
        <f t="shared" si="13"/>
        <v>4041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7"/>
      <c r="B46" s="5" t="s">
        <v>14</v>
      </c>
      <c r="C46" s="8">
        <v>668.0</v>
      </c>
      <c r="D46" s="8">
        <v>614.0</v>
      </c>
      <c r="E46" s="8">
        <f t="shared" ref="E46:O46" si="14">SUM(E44:E45)</f>
        <v>655</v>
      </c>
      <c r="F46" s="8">
        <f t="shared" si="14"/>
        <v>769</v>
      </c>
      <c r="G46" s="8">
        <f t="shared" si="14"/>
        <v>676</v>
      </c>
      <c r="H46" s="8">
        <f t="shared" si="14"/>
        <v>584</v>
      </c>
      <c r="I46" s="8">
        <f t="shared" si="14"/>
        <v>686</v>
      </c>
      <c r="J46" s="8">
        <f t="shared" si="14"/>
        <v>676</v>
      </c>
      <c r="K46" s="8">
        <f t="shared" si="14"/>
        <v>622</v>
      </c>
      <c r="L46" s="8">
        <f t="shared" si="14"/>
        <v>743</v>
      </c>
      <c r="M46" s="8">
        <f t="shared" si="14"/>
        <v>678</v>
      </c>
      <c r="N46" s="8">
        <f t="shared" si="14"/>
        <v>708</v>
      </c>
      <c r="O46" s="8">
        <f t="shared" si="14"/>
        <v>8079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7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7"/>
      <c r="B48" s="3" t="s">
        <v>17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7"/>
      <c r="B49" s="5" t="s">
        <v>18</v>
      </c>
      <c r="C49" s="6">
        <v>19643.0</v>
      </c>
      <c r="D49" s="6">
        <v>19036.0</v>
      </c>
      <c r="E49" s="6">
        <v>21762.0</v>
      </c>
      <c r="F49" s="6">
        <v>18344.0</v>
      </c>
      <c r="G49" s="6">
        <v>16984.0</v>
      </c>
      <c r="H49" s="6">
        <v>14758.0</v>
      </c>
      <c r="I49" s="6">
        <v>18870.0</v>
      </c>
      <c r="J49" s="6">
        <v>22579.0</v>
      </c>
      <c r="K49" s="6">
        <v>18324.0</v>
      </c>
      <c r="L49" s="6">
        <v>24025.0</v>
      </c>
      <c r="M49" s="6">
        <v>26360.0</v>
      </c>
      <c r="N49" s="6">
        <v>20246.0</v>
      </c>
      <c r="O49" s="6">
        <f t="shared" ref="O49:O51" si="15">SUM(C49:N49)</f>
        <v>240931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7"/>
      <c r="B50" s="5" t="s">
        <v>19</v>
      </c>
      <c r="C50" s="6">
        <v>18030.0</v>
      </c>
      <c r="D50" s="6">
        <v>19423.0</v>
      </c>
      <c r="E50" s="6">
        <v>19470.0</v>
      </c>
      <c r="F50" s="6">
        <v>18339.0</v>
      </c>
      <c r="G50" s="6">
        <v>17681.0</v>
      </c>
      <c r="H50" s="6">
        <v>16148.0</v>
      </c>
      <c r="I50" s="6">
        <v>21557.0</v>
      </c>
      <c r="J50" s="6">
        <v>22166.0</v>
      </c>
      <c r="K50" s="6">
        <v>17972.0</v>
      </c>
      <c r="L50" s="6">
        <v>24288.0</v>
      </c>
      <c r="M50" s="6">
        <v>24346.0</v>
      </c>
      <c r="N50" s="6">
        <v>20566.0</v>
      </c>
      <c r="O50" s="6">
        <f t="shared" si="15"/>
        <v>239986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1"/>
      <c r="B51" s="5" t="s">
        <v>14</v>
      </c>
      <c r="C51" s="8">
        <f t="shared" ref="C51:N51" si="16">SUM(C49:C50)</f>
        <v>37673</v>
      </c>
      <c r="D51" s="8">
        <f t="shared" si="16"/>
        <v>38459</v>
      </c>
      <c r="E51" s="8">
        <f t="shared" si="16"/>
        <v>41232</v>
      </c>
      <c r="F51" s="8">
        <f t="shared" si="16"/>
        <v>36683</v>
      </c>
      <c r="G51" s="8">
        <f t="shared" si="16"/>
        <v>34665</v>
      </c>
      <c r="H51" s="8">
        <f t="shared" si="16"/>
        <v>30906</v>
      </c>
      <c r="I51" s="8">
        <f t="shared" si="16"/>
        <v>40427</v>
      </c>
      <c r="J51" s="8">
        <f t="shared" si="16"/>
        <v>44745</v>
      </c>
      <c r="K51" s="8">
        <f t="shared" si="16"/>
        <v>36296</v>
      </c>
      <c r="L51" s="8">
        <f t="shared" si="16"/>
        <v>48313</v>
      </c>
      <c r="M51" s="8">
        <f t="shared" si="16"/>
        <v>50706</v>
      </c>
      <c r="N51" s="8">
        <f t="shared" si="16"/>
        <v>40812</v>
      </c>
      <c r="O51" s="8">
        <f t="shared" si="15"/>
        <v>480917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2" t="s">
        <v>0</v>
      </c>
      <c r="B54" s="3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  <c r="M54" s="2" t="s">
        <v>12</v>
      </c>
      <c r="N54" s="2" t="s">
        <v>13</v>
      </c>
      <c r="O54" s="2" t="s">
        <v>14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">
        <v>2004.0</v>
      </c>
      <c r="B55" s="5" t="s">
        <v>15</v>
      </c>
      <c r="C55" s="6">
        <v>389.0</v>
      </c>
      <c r="D55" s="6">
        <v>348.0</v>
      </c>
      <c r="E55" s="6">
        <v>378.0</v>
      </c>
      <c r="F55" s="6">
        <v>356.0</v>
      </c>
      <c r="G55" s="6">
        <v>337.0</v>
      </c>
      <c r="H55" s="6">
        <v>369.0</v>
      </c>
      <c r="I55" s="6">
        <v>372.0</v>
      </c>
      <c r="J55" s="6">
        <v>432.0</v>
      </c>
      <c r="K55" s="6">
        <v>417.0</v>
      </c>
      <c r="L55" s="6">
        <v>432.0</v>
      </c>
      <c r="M55" s="6">
        <v>452.0</v>
      </c>
      <c r="N55" s="6">
        <v>411.0</v>
      </c>
      <c r="O55" s="6">
        <f t="shared" ref="O55:O56" si="17">SUM(C55:N55)</f>
        <v>4693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7"/>
      <c r="B56" s="5" t="s">
        <v>16</v>
      </c>
      <c r="C56" s="6">
        <v>386.0</v>
      </c>
      <c r="D56" s="6">
        <v>344.0</v>
      </c>
      <c r="E56" s="6">
        <v>380.0</v>
      </c>
      <c r="F56" s="6">
        <v>358.0</v>
      </c>
      <c r="G56" s="6">
        <v>337.0</v>
      </c>
      <c r="H56" s="6">
        <v>370.0</v>
      </c>
      <c r="I56" s="6">
        <v>371.0</v>
      </c>
      <c r="J56" s="6">
        <v>432.0</v>
      </c>
      <c r="K56" s="6">
        <v>417.0</v>
      </c>
      <c r="L56" s="6">
        <v>430.0</v>
      </c>
      <c r="M56" s="6">
        <v>454.0</v>
      </c>
      <c r="N56" s="6">
        <v>413.0</v>
      </c>
      <c r="O56" s="6">
        <f t="shared" si="17"/>
        <v>4692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7"/>
      <c r="B57" s="5" t="s">
        <v>14</v>
      </c>
      <c r="C57" s="8">
        <f t="shared" ref="C57:I57" si="18">SUM(C55:C56)</f>
        <v>775</v>
      </c>
      <c r="D57" s="8">
        <f t="shared" si="18"/>
        <v>692</v>
      </c>
      <c r="E57" s="8">
        <f t="shared" si="18"/>
        <v>758</v>
      </c>
      <c r="F57" s="8">
        <f t="shared" si="18"/>
        <v>714</v>
      </c>
      <c r="G57" s="8">
        <f t="shared" si="18"/>
        <v>674</v>
      </c>
      <c r="H57" s="8">
        <f t="shared" si="18"/>
        <v>739</v>
      </c>
      <c r="I57" s="8">
        <f t="shared" si="18"/>
        <v>743</v>
      </c>
      <c r="J57" s="8">
        <f t="shared" ref="J57:L57" si="19">SUM(K55:K56)</f>
        <v>834</v>
      </c>
      <c r="K57" s="8">
        <f t="shared" si="19"/>
        <v>862</v>
      </c>
      <c r="L57" s="8">
        <f t="shared" si="19"/>
        <v>906</v>
      </c>
      <c r="M57" s="8">
        <f t="shared" ref="M57:O57" si="20">SUM(M55:M56)</f>
        <v>906</v>
      </c>
      <c r="N57" s="8">
        <f t="shared" si="20"/>
        <v>824</v>
      </c>
      <c r="O57" s="8">
        <f t="shared" si="20"/>
        <v>9385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7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7"/>
      <c r="B59" s="3" t="s">
        <v>17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7"/>
      <c r="B60" s="5" t="s">
        <v>18</v>
      </c>
      <c r="C60" s="6">
        <v>24071.0</v>
      </c>
      <c r="D60" s="6">
        <v>24248.0</v>
      </c>
      <c r="E60" s="6">
        <v>26587.0</v>
      </c>
      <c r="F60" s="6">
        <v>24181.0</v>
      </c>
      <c r="G60" s="6">
        <v>19977.0</v>
      </c>
      <c r="H60" s="6">
        <v>16652.0</v>
      </c>
      <c r="I60" s="6">
        <v>22718.0</v>
      </c>
      <c r="J60" s="6">
        <v>28229.0</v>
      </c>
      <c r="K60" s="6">
        <v>23645.0</v>
      </c>
      <c r="L60" s="6">
        <v>30092.0</v>
      </c>
      <c r="M60" s="6">
        <v>33812.0</v>
      </c>
      <c r="N60" s="6">
        <v>29455.0</v>
      </c>
      <c r="O60" s="6">
        <f t="shared" ref="O60:O61" si="21">SUM(C60:N60)</f>
        <v>303667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7"/>
      <c r="B61" s="5" t="s">
        <v>19</v>
      </c>
      <c r="C61" s="6">
        <v>21895.0</v>
      </c>
      <c r="D61" s="6">
        <v>22496.0</v>
      </c>
      <c r="E61" s="6">
        <v>25293.0</v>
      </c>
      <c r="F61" s="6">
        <v>22625.0</v>
      </c>
      <c r="G61" s="6">
        <v>19257.0</v>
      </c>
      <c r="H61" s="6">
        <v>16240.0</v>
      </c>
      <c r="I61" s="6">
        <v>23657.0</v>
      </c>
      <c r="J61" s="6">
        <v>26843.0</v>
      </c>
      <c r="K61" s="6">
        <v>23400.0</v>
      </c>
      <c r="L61" s="6">
        <v>29726.0</v>
      </c>
      <c r="M61" s="6">
        <v>33001.0</v>
      </c>
      <c r="N61" s="6">
        <v>29653.0</v>
      </c>
      <c r="O61" s="6">
        <f t="shared" si="21"/>
        <v>294086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1"/>
      <c r="B62" s="5" t="s">
        <v>14</v>
      </c>
      <c r="C62" s="8">
        <f t="shared" ref="C62:O62" si="22">SUM(C60:C61)</f>
        <v>45966</v>
      </c>
      <c r="D62" s="8">
        <f t="shared" si="22"/>
        <v>46744</v>
      </c>
      <c r="E62" s="8">
        <f t="shared" si="22"/>
        <v>51880</v>
      </c>
      <c r="F62" s="8">
        <f t="shared" si="22"/>
        <v>46806</v>
      </c>
      <c r="G62" s="8">
        <f t="shared" si="22"/>
        <v>39234</v>
      </c>
      <c r="H62" s="8">
        <f t="shared" si="22"/>
        <v>32892</v>
      </c>
      <c r="I62" s="8">
        <f t="shared" si="22"/>
        <v>46375</v>
      </c>
      <c r="J62" s="8">
        <f t="shared" si="22"/>
        <v>55072</v>
      </c>
      <c r="K62" s="8">
        <f t="shared" si="22"/>
        <v>47045</v>
      </c>
      <c r="L62" s="8">
        <f t="shared" si="22"/>
        <v>59818</v>
      </c>
      <c r="M62" s="8">
        <f t="shared" si="22"/>
        <v>66813</v>
      </c>
      <c r="N62" s="8">
        <f t="shared" si="22"/>
        <v>59108</v>
      </c>
      <c r="O62" s="8">
        <f t="shared" si="22"/>
        <v>597753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2" t="s">
        <v>0</v>
      </c>
      <c r="B65" s="3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4">
        <v>2005.0</v>
      </c>
      <c r="B66" s="5" t="s">
        <v>15</v>
      </c>
      <c r="C66" s="6">
        <v>437.0</v>
      </c>
      <c r="D66" s="6">
        <v>413.0</v>
      </c>
      <c r="E66" s="6">
        <v>401.0</v>
      </c>
      <c r="F66" s="6">
        <v>444.0</v>
      </c>
      <c r="G66" s="6">
        <v>491.0</v>
      </c>
      <c r="H66" s="6">
        <v>444.0</v>
      </c>
      <c r="I66" s="6">
        <v>456.0</v>
      </c>
      <c r="J66" s="6">
        <v>478.0</v>
      </c>
      <c r="K66" s="6">
        <v>491.0</v>
      </c>
      <c r="L66" s="6">
        <v>443.0</v>
      </c>
      <c r="M66" s="6">
        <v>482.0</v>
      </c>
      <c r="N66" s="6">
        <v>476.0</v>
      </c>
      <c r="O66" s="6">
        <f t="shared" ref="O66:O68" si="23">SUM(C66:N66)</f>
        <v>5456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7"/>
      <c r="B67" s="5" t="s">
        <v>16</v>
      </c>
      <c r="C67" s="6">
        <v>435.0</v>
      </c>
      <c r="D67" s="6">
        <v>413.0</v>
      </c>
      <c r="E67" s="6">
        <v>401.0</v>
      </c>
      <c r="F67" s="6">
        <v>447.0</v>
      </c>
      <c r="G67" s="6">
        <v>490.0</v>
      </c>
      <c r="H67" s="6">
        <v>444.0</v>
      </c>
      <c r="I67" s="6">
        <v>452.0</v>
      </c>
      <c r="J67" s="6">
        <v>476.0</v>
      </c>
      <c r="K67" s="6">
        <v>493.0</v>
      </c>
      <c r="L67" s="6">
        <v>445.0</v>
      </c>
      <c r="M67" s="6">
        <v>483.0</v>
      </c>
      <c r="N67" s="6">
        <v>474.0</v>
      </c>
      <c r="O67" s="6">
        <f t="shared" si="23"/>
        <v>5453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7"/>
      <c r="B68" s="5" t="s">
        <v>14</v>
      </c>
      <c r="C68" s="8">
        <f t="shared" ref="C68:H68" si="24">SUM(C66:C67)</f>
        <v>872</v>
      </c>
      <c r="D68" s="8">
        <f t="shared" si="24"/>
        <v>826</v>
      </c>
      <c r="E68" s="8">
        <f t="shared" si="24"/>
        <v>802</v>
      </c>
      <c r="F68" s="8">
        <f t="shared" si="24"/>
        <v>891</v>
      </c>
      <c r="G68" s="8">
        <f t="shared" si="24"/>
        <v>981</v>
      </c>
      <c r="H68" s="8">
        <f t="shared" si="24"/>
        <v>888</v>
      </c>
      <c r="I68" s="8">
        <v>908.0</v>
      </c>
      <c r="J68" s="8">
        <v>954.0</v>
      </c>
      <c r="K68" s="8">
        <v>984.0</v>
      </c>
      <c r="L68" s="8">
        <v>888.0</v>
      </c>
      <c r="M68" s="8">
        <v>965.0</v>
      </c>
      <c r="N68" s="8">
        <v>950.0</v>
      </c>
      <c r="O68" s="8">
        <f t="shared" si="23"/>
        <v>10909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7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7"/>
      <c r="B70" s="3" t="s">
        <v>17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7"/>
      <c r="B71" s="5" t="s">
        <v>18</v>
      </c>
      <c r="C71" s="6">
        <v>35073.0</v>
      </c>
      <c r="D71" s="6">
        <v>35238.0</v>
      </c>
      <c r="E71" s="6">
        <v>36330.0</v>
      </c>
      <c r="F71" s="6">
        <v>32394.0</v>
      </c>
      <c r="G71" s="6">
        <v>32596.0</v>
      </c>
      <c r="H71" s="6">
        <v>25649.0</v>
      </c>
      <c r="I71" s="6">
        <v>34208.0</v>
      </c>
      <c r="J71" s="6">
        <v>35318.0</v>
      </c>
      <c r="K71" s="6">
        <v>33464.0</v>
      </c>
      <c r="L71" s="6">
        <v>38988.0</v>
      </c>
      <c r="M71" s="6">
        <v>39489.0</v>
      </c>
      <c r="N71" s="6">
        <v>34221.0</v>
      </c>
      <c r="O71" s="6">
        <f t="shared" ref="O71:O73" si="25">SUM(C71:N71)</f>
        <v>412968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7"/>
      <c r="B72" s="5" t="s">
        <v>19</v>
      </c>
      <c r="C72" s="6">
        <v>32753.0</v>
      </c>
      <c r="D72" s="6">
        <v>32561.0</v>
      </c>
      <c r="E72" s="6">
        <v>34412.0</v>
      </c>
      <c r="F72" s="6">
        <v>31399.0</v>
      </c>
      <c r="G72" s="6">
        <v>31040.0</v>
      </c>
      <c r="H72" s="6">
        <v>26207.0</v>
      </c>
      <c r="I72" s="6">
        <v>34660.0</v>
      </c>
      <c r="J72" s="6">
        <v>34711.0</v>
      </c>
      <c r="K72" s="6">
        <v>34062.0</v>
      </c>
      <c r="L72" s="6">
        <v>39332.0</v>
      </c>
      <c r="M72" s="6">
        <v>38119.0</v>
      </c>
      <c r="N72" s="6">
        <v>35504.0</v>
      </c>
      <c r="O72" s="6">
        <f t="shared" si="25"/>
        <v>404760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1"/>
      <c r="B73" s="5" t="s">
        <v>14</v>
      </c>
      <c r="C73" s="8">
        <f t="shared" ref="C73:H73" si="26">SUM(C71:C72)</f>
        <v>67826</v>
      </c>
      <c r="D73" s="8">
        <f t="shared" si="26"/>
        <v>67799</v>
      </c>
      <c r="E73" s="8">
        <f t="shared" si="26"/>
        <v>70742</v>
      </c>
      <c r="F73" s="8">
        <f t="shared" si="26"/>
        <v>63793</v>
      </c>
      <c r="G73" s="8">
        <f t="shared" si="26"/>
        <v>63636</v>
      </c>
      <c r="H73" s="8">
        <f t="shared" si="26"/>
        <v>51856</v>
      </c>
      <c r="I73" s="8">
        <v>68868.0</v>
      </c>
      <c r="J73" s="8">
        <v>70029.0</v>
      </c>
      <c r="K73" s="8">
        <v>67526.0</v>
      </c>
      <c r="L73" s="8">
        <v>78320.0</v>
      </c>
      <c r="M73" s="8">
        <v>77608.0</v>
      </c>
      <c r="N73" s="8">
        <v>69725.0</v>
      </c>
      <c r="O73" s="8">
        <f t="shared" si="25"/>
        <v>817728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2" t="s">
        <v>0</v>
      </c>
      <c r="B80" s="3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  <c r="O80" s="2" t="s">
        <v>14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4">
        <v>2006.0</v>
      </c>
      <c r="B81" s="5" t="s">
        <v>15</v>
      </c>
      <c r="C81" s="6">
        <v>452.0</v>
      </c>
      <c r="D81" s="6">
        <v>417.0</v>
      </c>
      <c r="E81" s="6">
        <v>546.0</v>
      </c>
      <c r="F81" s="6">
        <v>490.0</v>
      </c>
      <c r="G81" s="6">
        <v>487.0</v>
      </c>
      <c r="H81" s="6">
        <v>426.0</v>
      </c>
      <c r="I81" s="6">
        <v>430.0</v>
      </c>
      <c r="J81" s="6">
        <v>363.0</v>
      </c>
      <c r="K81" s="6">
        <v>353.0</v>
      </c>
      <c r="L81" s="6">
        <v>351.0</v>
      </c>
      <c r="M81" s="6">
        <v>369.0</v>
      </c>
      <c r="N81" s="6">
        <v>344.0</v>
      </c>
      <c r="O81" s="6">
        <f t="shared" ref="O81:O83" si="27">SUM(C81:N81)</f>
        <v>5028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7"/>
      <c r="B82" s="5" t="s">
        <v>16</v>
      </c>
      <c r="C82" s="6">
        <v>454.0</v>
      </c>
      <c r="D82" s="6">
        <v>417.0</v>
      </c>
      <c r="E82" s="6">
        <v>545.0</v>
      </c>
      <c r="F82" s="6">
        <v>492.0</v>
      </c>
      <c r="G82" s="6">
        <v>487.0</v>
      </c>
      <c r="H82" s="6">
        <v>425.0</v>
      </c>
      <c r="I82" s="6">
        <v>430.0</v>
      </c>
      <c r="J82" s="6">
        <v>362.0</v>
      </c>
      <c r="K82" s="6">
        <v>354.0</v>
      </c>
      <c r="L82" s="6">
        <v>351.0</v>
      </c>
      <c r="M82" s="6">
        <v>369.0</v>
      </c>
      <c r="N82" s="6">
        <v>345.0</v>
      </c>
      <c r="O82" s="6">
        <f t="shared" si="27"/>
        <v>5031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7"/>
      <c r="B83" s="5" t="s">
        <v>14</v>
      </c>
      <c r="C83" s="8">
        <v>906.0</v>
      </c>
      <c r="D83" s="8">
        <v>834.0</v>
      </c>
      <c r="E83" s="8">
        <v>1091.0</v>
      </c>
      <c r="F83" s="8">
        <v>982.0</v>
      </c>
      <c r="G83" s="8">
        <v>974.0</v>
      </c>
      <c r="H83" s="8">
        <v>851.0</v>
      </c>
      <c r="I83" s="8">
        <v>860.0</v>
      </c>
      <c r="J83" s="8">
        <f t="shared" ref="J83:K83" si="28">SUM(J81:J82)</f>
        <v>725</v>
      </c>
      <c r="K83" s="8">
        <f t="shared" si="28"/>
        <v>707</v>
      </c>
      <c r="L83" s="8">
        <v>702.0</v>
      </c>
      <c r="M83" s="8">
        <f t="shared" ref="M83:N83" si="29">SUM(M81:M82)</f>
        <v>738</v>
      </c>
      <c r="N83" s="8">
        <f t="shared" si="29"/>
        <v>689</v>
      </c>
      <c r="O83" s="8">
        <f t="shared" si="27"/>
        <v>10059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7"/>
      <c r="B84" s="9"/>
      <c r="C84" s="6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7"/>
      <c r="B85" s="3" t="s">
        <v>17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7"/>
      <c r="B86" s="5" t="s">
        <v>18</v>
      </c>
      <c r="C86" s="6">
        <v>37562.0</v>
      </c>
      <c r="D86" s="6">
        <v>32921.0</v>
      </c>
      <c r="E86" s="6">
        <v>40190.0</v>
      </c>
      <c r="F86" s="6">
        <v>33906.0</v>
      </c>
      <c r="G86" s="6">
        <v>30724.0</v>
      </c>
      <c r="H86" s="6">
        <v>26691.0</v>
      </c>
      <c r="I86" s="6">
        <v>28447.0</v>
      </c>
      <c r="J86" s="6">
        <v>28250.0</v>
      </c>
      <c r="K86" s="6">
        <v>25357.0</v>
      </c>
      <c r="L86" s="6">
        <v>29244.0</v>
      </c>
      <c r="M86" s="6">
        <v>30496.0</v>
      </c>
      <c r="N86" s="6">
        <v>25076.0</v>
      </c>
      <c r="O86" s="6">
        <f t="shared" ref="O86:O88" si="30">SUM(C86:N86)</f>
        <v>368864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7"/>
      <c r="B87" s="5" t="s">
        <v>19</v>
      </c>
      <c r="C87" s="6">
        <v>34289.0</v>
      </c>
      <c r="D87" s="6">
        <v>32419.0</v>
      </c>
      <c r="E87" s="6">
        <v>38808.0</v>
      </c>
      <c r="F87" s="6">
        <v>33087.0</v>
      </c>
      <c r="G87" s="6">
        <v>29083.0</v>
      </c>
      <c r="H87" s="6">
        <v>26655.0</v>
      </c>
      <c r="I87" s="6">
        <v>29261.0</v>
      </c>
      <c r="J87" s="6">
        <v>28116.0</v>
      </c>
      <c r="K87" s="6">
        <v>25371.0</v>
      </c>
      <c r="L87" s="6">
        <v>28374.0</v>
      </c>
      <c r="M87" s="6">
        <v>29868.0</v>
      </c>
      <c r="N87" s="6">
        <v>25709.0</v>
      </c>
      <c r="O87" s="6">
        <f t="shared" si="30"/>
        <v>361040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1"/>
      <c r="B88" s="5" t="s">
        <v>14</v>
      </c>
      <c r="C88" s="8">
        <v>71851.0</v>
      </c>
      <c r="D88" s="8">
        <v>65340.0</v>
      </c>
      <c r="E88" s="8">
        <v>78998.0</v>
      </c>
      <c r="F88" s="8">
        <v>66993.0</v>
      </c>
      <c r="G88" s="8">
        <v>59807.0</v>
      </c>
      <c r="H88" s="8">
        <v>53346.0</v>
      </c>
      <c r="I88" s="8">
        <v>57708.0</v>
      </c>
      <c r="J88" s="8">
        <f t="shared" ref="J88:K88" si="31">SUM(J86:J87)</f>
        <v>56366</v>
      </c>
      <c r="K88" s="8">
        <f t="shared" si="31"/>
        <v>50728</v>
      </c>
      <c r="L88" s="8">
        <v>57618.0</v>
      </c>
      <c r="M88" s="8">
        <f t="shared" ref="M88:N88" si="32">SUM(M86:M87)</f>
        <v>60364</v>
      </c>
      <c r="N88" s="8">
        <f t="shared" si="32"/>
        <v>50785</v>
      </c>
      <c r="O88" s="8">
        <f t="shared" si="30"/>
        <v>729904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2" t="s">
        <v>0</v>
      </c>
      <c r="B91" s="3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4">
        <v>2007.0</v>
      </c>
      <c r="B92" s="5" t="s">
        <v>15</v>
      </c>
      <c r="C92" s="6">
        <v>356.0</v>
      </c>
      <c r="D92" s="6">
        <v>328.0</v>
      </c>
      <c r="E92" s="6">
        <v>394.0</v>
      </c>
      <c r="F92" s="6">
        <v>369.0</v>
      </c>
      <c r="G92" s="6">
        <v>397.0</v>
      </c>
      <c r="H92" s="6">
        <v>410.0</v>
      </c>
      <c r="I92" s="6">
        <v>475.0</v>
      </c>
      <c r="J92" s="6">
        <v>488.0</v>
      </c>
      <c r="K92" s="6">
        <v>480.0</v>
      </c>
      <c r="L92" s="6">
        <v>505.0</v>
      </c>
      <c r="M92" s="6">
        <v>498.0</v>
      </c>
      <c r="N92" s="6">
        <v>508.0</v>
      </c>
      <c r="O92" s="6">
        <f t="shared" ref="O92:O94" si="33">SUM(C92:N92)</f>
        <v>5208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7"/>
      <c r="B93" s="5" t="s">
        <v>16</v>
      </c>
      <c r="C93" s="6">
        <v>355.0</v>
      </c>
      <c r="D93" s="6">
        <v>328.0</v>
      </c>
      <c r="E93" s="6">
        <v>394.0</v>
      </c>
      <c r="F93" s="6">
        <v>369.0</v>
      </c>
      <c r="G93" s="6">
        <v>399.0</v>
      </c>
      <c r="H93" s="6">
        <v>407.0</v>
      </c>
      <c r="I93" s="6">
        <v>475.0</v>
      </c>
      <c r="J93" s="6">
        <v>490.0</v>
      </c>
      <c r="K93" s="6">
        <v>475.0</v>
      </c>
      <c r="L93" s="6">
        <v>508.0</v>
      </c>
      <c r="M93" s="6">
        <v>495.0</v>
      </c>
      <c r="N93" s="6">
        <v>507.0</v>
      </c>
      <c r="O93" s="6">
        <f t="shared" si="33"/>
        <v>5202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7"/>
      <c r="B94" s="17" t="s">
        <v>14</v>
      </c>
      <c r="C94" s="18">
        <f t="shared" ref="C94:F94" si="34">SUM(C92:C93)</f>
        <v>711</v>
      </c>
      <c r="D94" s="18">
        <f t="shared" si="34"/>
        <v>656</v>
      </c>
      <c r="E94" s="18">
        <f t="shared" si="34"/>
        <v>788</v>
      </c>
      <c r="F94" s="18">
        <f t="shared" si="34"/>
        <v>738</v>
      </c>
      <c r="G94" s="18">
        <v>796.0</v>
      </c>
      <c r="H94" s="18">
        <v>817.0</v>
      </c>
      <c r="I94" s="18">
        <v>950.0</v>
      </c>
      <c r="J94" s="18">
        <f t="shared" ref="J94:N94" si="35">SUM(J92:J93)</f>
        <v>978</v>
      </c>
      <c r="K94" s="18">
        <f t="shared" si="35"/>
        <v>955</v>
      </c>
      <c r="L94" s="18">
        <f t="shared" si="35"/>
        <v>1013</v>
      </c>
      <c r="M94" s="18">
        <f t="shared" si="35"/>
        <v>993</v>
      </c>
      <c r="N94" s="18">
        <f t="shared" si="35"/>
        <v>1015</v>
      </c>
      <c r="O94" s="18">
        <f t="shared" si="33"/>
        <v>10410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7"/>
      <c r="B95" s="19"/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7"/>
      <c r="B96" s="23" t="s">
        <v>17</v>
      </c>
      <c r="C96" s="24" t="s">
        <v>2</v>
      </c>
      <c r="D96" s="24" t="s">
        <v>3</v>
      </c>
      <c r="E96" s="24" t="s">
        <v>4</v>
      </c>
      <c r="F96" s="24" t="s">
        <v>5</v>
      </c>
      <c r="G96" s="24" t="s">
        <v>6</v>
      </c>
      <c r="H96" s="24" t="s">
        <v>7</v>
      </c>
      <c r="I96" s="24" t="s">
        <v>8</v>
      </c>
      <c r="J96" s="24" t="s">
        <v>9</v>
      </c>
      <c r="K96" s="24" t="s">
        <v>10</v>
      </c>
      <c r="L96" s="24" t="s">
        <v>11</v>
      </c>
      <c r="M96" s="24" t="s">
        <v>12</v>
      </c>
      <c r="N96" s="24" t="s">
        <v>13</v>
      </c>
      <c r="O96" s="24" t="s">
        <v>14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7"/>
      <c r="B97" s="5" t="s">
        <v>18</v>
      </c>
      <c r="C97" s="6">
        <v>29358.0</v>
      </c>
      <c r="D97" s="6">
        <v>27542.0</v>
      </c>
      <c r="E97" s="6">
        <v>31543.0</v>
      </c>
      <c r="F97" s="6">
        <v>27999.0</v>
      </c>
      <c r="G97" s="6">
        <v>28063.0</v>
      </c>
      <c r="H97" s="6">
        <v>25181.0</v>
      </c>
      <c r="I97" s="6">
        <v>28364.0</v>
      </c>
      <c r="J97" s="6">
        <v>26548.0</v>
      </c>
      <c r="K97" s="6">
        <v>27891.0</v>
      </c>
      <c r="L97" s="6">
        <v>35930.0</v>
      </c>
      <c r="M97" s="6">
        <v>37217.0</v>
      </c>
      <c r="N97" s="6">
        <v>33057.0</v>
      </c>
      <c r="O97" s="6">
        <f t="shared" ref="O97:O98" si="36">SUM(C97:N97)</f>
        <v>358693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7"/>
      <c r="B98" s="5" t="s">
        <v>19</v>
      </c>
      <c r="C98" s="6">
        <v>30594.0</v>
      </c>
      <c r="D98" s="6">
        <v>26538.0</v>
      </c>
      <c r="E98" s="6">
        <v>30187.0</v>
      </c>
      <c r="F98" s="6">
        <v>27698.0</v>
      </c>
      <c r="G98" s="6">
        <v>27641.0</v>
      </c>
      <c r="H98" s="6">
        <v>26327.0</v>
      </c>
      <c r="I98" s="6">
        <v>28344.0</v>
      </c>
      <c r="J98" s="6">
        <v>26219.0</v>
      </c>
      <c r="K98" s="6">
        <v>29296.0</v>
      </c>
      <c r="L98" s="6">
        <v>37767.0</v>
      </c>
      <c r="M98" s="6">
        <v>36825.0</v>
      </c>
      <c r="N98" s="6">
        <v>34834.0</v>
      </c>
      <c r="O98" s="6">
        <f t="shared" si="36"/>
        <v>362270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1"/>
      <c r="B99" s="5" t="s">
        <v>14</v>
      </c>
      <c r="C99" s="8">
        <f t="shared" ref="C99:F99" si="37">SUM(C97:C98)</f>
        <v>59952</v>
      </c>
      <c r="D99" s="8">
        <f t="shared" si="37"/>
        <v>54080</v>
      </c>
      <c r="E99" s="8">
        <f t="shared" si="37"/>
        <v>61730</v>
      </c>
      <c r="F99" s="8">
        <f t="shared" si="37"/>
        <v>55697</v>
      </c>
      <c r="G99" s="8">
        <v>55704.0</v>
      </c>
      <c r="H99" s="8">
        <v>51508.0</v>
      </c>
      <c r="I99" s="8">
        <f t="shared" ref="I99:O99" si="38">SUM(I97:I98)</f>
        <v>56708</v>
      </c>
      <c r="J99" s="8">
        <f t="shared" si="38"/>
        <v>52767</v>
      </c>
      <c r="K99" s="8">
        <f t="shared" si="38"/>
        <v>57187</v>
      </c>
      <c r="L99" s="8">
        <f t="shared" si="38"/>
        <v>73697</v>
      </c>
      <c r="M99" s="8">
        <f t="shared" si="38"/>
        <v>74042</v>
      </c>
      <c r="N99" s="8">
        <f t="shared" si="38"/>
        <v>67891</v>
      </c>
      <c r="O99" s="8">
        <f t="shared" si="38"/>
        <v>720963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2" t="s">
        <v>0</v>
      </c>
      <c r="B102" s="3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14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4">
        <v>2008.0</v>
      </c>
      <c r="B103" s="5" t="s">
        <v>15</v>
      </c>
      <c r="C103" s="6">
        <v>463.0</v>
      </c>
      <c r="D103" s="6">
        <v>444.0</v>
      </c>
      <c r="E103" s="6">
        <v>469.0</v>
      </c>
      <c r="F103" s="6">
        <v>482.0</v>
      </c>
      <c r="G103" s="6">
        <v>462.0</v>
      </c>
      <c r="H103" s="6">
        <v>415.0</v>
      </c>
      <c r="I103" s="6">
        <v>442.0</v>
      </c>
      <c r="J103" s="6">
        <v>442.0</v>
      </c>
      <c r="K103" s="6">
        <v>444.0</v>
      </c>
      <c r="L103" s="6">
        <v>476.0</v>
      </c>
      <c r="M103" s="6">
        <v>439.0</v>
      </c>
      <c r="N103" s="6">
        <v>461.0</v>
      </c>
      <c r="O103" s="6">
        <f t="shared" ref="O103:O105" si="39">SUM(C103:N103)</f>
        <v>5439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7"/>
      <c r="B104" s="5" t="s">
        <v>16</v>
      </c>
      <c r="C104" s="6">
        <v>467.0</v>
      </c>
      <c r="D104" s="6">
        <v>442.0</v>
      </c>
      <c r="E104" s="6">
        <v>467.0</v>
      </c>
      <c r="F104" s="6">
        <v>484.0</v>
      </c>
      <c r="G104" s="6">
        <v>458.0</v>
      </c>
      <c r="H104" s="6">
        <v>415.0</v>
      </c>
      <c r="I104" s="6">
        <v>442.0</v>
      </c>
      <c r="J104" s="6">
        <v>441.0</v>
      </c>
      <c r="K104" s="6">
        <v>447.0</v>
      </c>
      <c r="L104" s="6">
        <v>474.0</v>
      </c>
      <c r="M104" s="6">
        <v>441.0</v>
      </c>
      <c r="N104" s="6">
        <v>461.0</v>
      </c>
      <c r="O104" s="6">
        <f t="shared" si="39"/>
        <v>5439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7"/>
      <c r="B105" s="17" t="s">
        <v>14</v>
      </c>
      <c r="C105" s="18">
        <v>930.0</v>
      </c>
      <c r="D105" s="18">
        <f t="shared" ref="D105:E105" si="40">SUM(D103:D104)</f>
        <v>886</v>
      </c>
      <c r="E105" s="18">
        <f t="shared" si="40"/>
        <v>936</v>
      </c>
      <c r="F105" s="18">
        <v>966.0</v>
      </c>
      <c r="G105" s="18">
        <f t="shared" ref="G105:N105" si="41">SUM(G103:G104)</f>
        <v>920</v>
      </c>
      <c r="H105" s="18">
        <f t="shared" si="41"/>
        <v>830</v>
      </c>
      <c r="I105" s="18">
        <f t="shared" si="41"/>
        <v>884</v>
      </c>
      <c r="J105" s="18">
        <f t="shared" si="41"/>
        <v>883</v>
      </c>
      <c r="K105" s="18">
        <f t="shared" si="41"/>
        <v>891</v>
      </c>
      <c r="L105" s="18">
        <f t="shared" si="41"/>
        <v>950</v>
      </c>
      <c r="M105" s="18">
        <f t="shared" si="41"/>
        <v>880</v>
      </c>
      <c r="N105" s="18">
        <f t="shared" si="41"/>
        <v>922</v>
      </c>
      <c r="O105" s="18">
        <f t="shared" si="39"/>
        <v>10878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7"/>
      <c r="B106" s="19"/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7"/>
      <c r="B107" s="23" t="s">
        <v>17</v>
      </c>
      <c r="C107" s="24" t="s">
        <v>2</v>
      </c>
      <c r="D107" s="24" t="s">
        <v>3</v>
      </c>
      <c r="E107" s="24" t="s">
        <v>4</v>
      </c>
      <c r="F107" s="24" t="s">
        <v>5</v>
      </c>
      <c r="G107" s="24" t="s">
        <v>6</v>
      </c>
      <c r="H107" s="24" t="s">
        <v>7</v>
      </c>
      <c r="I107" s="24" t="s">
        <v>8</v>
      </c>
      <c r="J107" s="24" t="s">
        <v>9</v>
      </c>
      <c r="K107" s="24" t="s">
        <v>10</v>
      </c>
      <c r="L107" s="24" t="s">
        <v>11</v>
      </c>
      <c r="M107" s="24" t="s">
        <v>12</v>
      </c>
      <c r="N107" s="24" t="s">
        <v>13</v>
      </c>
      <c r="O107" s="24" t="s">
        <v>14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7"/>
      <c r="B108" s="5" t="s">
        <v>18</v>
      </c>
      <c r="C108" s="6">
        <v>37009.0</v>
      </c>
      <c r="D108" s="6">
        <v>36806.0</v>
      </c>
      <c r="E108" s="6">
        <v>36078.0</v>
      </c>
      <c r="F108" s="6">
        <v>33296.0</v>
      </c>
      <c r="G108" s="6">
        <v>36569.0</v>
      </c>
      <c r="H108" s="6">
        <v>28616.0</v>
      </c>
      <c r="I108" s="6">
        <v>28628.0</v>
      </c>
      <c r="J108" s="6">
        <v>31295.0</v>
      </c>
      <c r="K108" s="6">
        <v>27078.0</v>
      </c>
      <c r="L108" s="6">
        <v>28846.0</v>
      </c>
      <c r="M108" s="6">
        <v>33026.0</v>
      </c>
      <c r="N108" s="6">
        <v>28742.0</v>
      </c>
      <c r="O108" s="6">
        <f t="shared" ref="O108:O110" si="42">SUM(C108:N108)</f>
        <v>385989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7"/>
      <c r="B109" s="5" t="s">
        <v>19</v>
      </c>
      <c r="C109" s="6">
        <v>32829.0</v>
      </c>
      <c r="D109" s="6">
        <v>36720.0</v>
      </c>
      <c r="E109" s="6">
        <v>35569.0</v>
      </c>
      <c r="F109" s="6">
        <v>32567.0</v>
      </c>
      <c r="G109" s="6">
        <v>35618.0</v>
      </c>
      <c r="H109" s="6">
        <v>27986.0</v>
      </c>
      <c r="I109" s="6">
        <v>28579.0</v>
      </c>
      <c r="J109" s="6">
        <v>31174.0</v>
      </c>
      <c r="K109" s="6">
        <v>27940.0</v>
      </c>
      <c r="L109" s="6">
        <v>29071.0</v>
      </c>
      <c r="M109" s="6">
        <v>30666.0</v>
      </c>
      <c r="N109" s="6">
        <v>31261.0</v>
      </c>
      <c r="O109" s="6">
        <f t="shared" si="42"/>
        <v>379980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1"/>
      <c r="B110" s="5" t="s">
        <v>14</v>
      </c>
      <c r="C110" s="8">
        <f t="shared" ref="C110:E110" si="43">SUM(C108:C109)</f>
        <v>69838</v>
      </c>
      <c r="D110" s="8">
        <f t="shared" si="43"/>
        <v>73526</v>
      </c>
      <c r="E110" s="8">
        <f t="shared" si="43"/>
        <v>71647</v>
      </c>
      <c r="F110" s="8">
        <v>65863.0</v>
      </c>
      <c r="G110" s="8">
        <f t="shared" ref="G110:N110" si="44">SUM(G108:G109)</f>
        <v>72187</v>
      </c>
      <c r="H110" s="8">
        <f t="shared" si="44"/>
        <v>56602</v>
      </c>
      <c r="I110" s="8">
        <f t="shared" si="44"/>
        <v>57207</v>
      </c>
      <c r="J110" s="8">
        <f t="shared" si="44"/>
        <v>62469</v>
      </c>
      <c r="K110" s="8">
        <f t="shared" si="44"/>
        <v>55018</v>
      </c>
      <c r="L110" s="8">
        <f t="shared" si="44"/>
        <v>57917</v>
      </c>
      <c r="M110" s="8">
        <f t="shared" si="44"/>
        <v>63692</v>
      </c>
      <c r="N110" s="8">
        <f t="shared" si="44"/>
        <v>60003</v>
      </c>
      <c r="O110" s="8">
        <f t="shared" si="42"/>
        <v>765969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2" t="s">
        <v>0</v>
      </c>
      <c r="B118" s="3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4">
        <v>2009.0</v>
      </c>
      <c r="B119" s="5" t="s">
        <v>15</v>
      </c>
      <c r="C119" s="6">
        <v>401.0</v>
      </c>
      <c r="D119" s="6">
        <v>358.0</v>
      </c>
      <c r="E119" s="6">
        <v>463.0</v>
      </c>
      <c r="F119" s="6">
        <v>404.0</v>
      </c>
      <c r="G119" s="6">
        <v>425.0</v>
      </c>
      <c r="H119" s="6">
        <v>498.0</v>
      </c>
      <c r="I119" s="6">
        <v>494.0</v>
      </c>
      <c r="J119" s="6">
        <v>538.0</v>
      </c>
      <c r="K119" s="6">
        <v>525.0</v>
      </c>
      <c r="L119" s="6">
        <v>615.0</v>
      </c>
      <c r="M119" s="6">
        <v>626.0</v>
      </c>
      <c r="N119" s="6">
        <v>613.0</v>
      </c>
      <c r="O119" s="6">
        <f t="shared" ref="O119:O121" si="45">SUM(C119:N119)</f>
        <v>5960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7"/>
      <c r="B120" s="5" t="s">
        <v>16</v>
      </c>
      <c r="C120" s="6">
        <v>401.0</v>
      </c>
      <c r="D120" s="6">
        <v>358.0</v>
      </c>
      <c r="E120" s="6">
        <v>460.0</v>
      </c>
      <c r="F120" s="6">
        <v>404.0</v>
      </c>
      <c r="G120" s="6">
        <v>425.0</v>
      </c>
      <c r="H120" s="6">
        <v>498.0</v>
      </c>
      <c r="I120" s="6">
        <v>498.0</v>
      </c>
      <c r="J120" s="6">
        <v>537.0</v>
      </c>
      <c r="K120" s="6">
        <v>523.0</v>
      </c>
      <c r="L120" s="6">
        <v>615.0</v>
      </c>
      <c r="M120" s="6">
        <v>628.0</v>
      </c>
      <c r="N120" s="6">
        <v>611.0</v>
      </c>
      <c r="O120" s="6">
        <f t="shared" si="45"/>
        <v>5958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7"/>
      <c r="B121" s="17" t="s">
        <v>14</v>
      </c>
      <c r="C121" s="18">
        <f t="shared" ref="C121:F121" si="46">SUM(C119:C120)</f>
        <v>802</v>
      </c>
      <c r="D121" s="18">
        <f t="shared" si="46"/>
        <v>716</v>
      </c>
      <c r="E121" s="18">
        <f t="shared" si="46"/>
        <v>923</v>
      </c>
      <c r="F121" s="18">
        <f t="shared" si="46"/>
        <v>808</v>
      </c>
      <c r="G121" s="18">
        <v>850.0</v>
      </c>
      <c r="H121" s="18">
        <f t="shared" ref="H121:K121" si="47">SUM(H119:H120)</f>
        <v>996</v>
      </c>
      <c r="I121" s="18">
        <f t="shared" si="47"/>
        <v>992</v>
      </c>
      <c r="J121" s="18">
        <f t="shared" si="47"/>
        <v>1075</v>
      </c>
      <c r="K121" s="18">
        <f t="shared" si="47"/>
        <v>1048</v>
      </c>
      <c r="L121" s="18">
        <v>1230.0</v>
      </c>
      <c r="M121" s="18">
        <f t="shared" ref="M121:N121" si="48">SUM(M119:M120)</f>
        <v>1254</v>
      </c>
      <c r="N121" s="18">
        <f t="shared" si="48"/>
        <v>1224</v>
      </c>
      <c r="O121" s="18">
        <f t="shared" si="45"/>
        <v>11918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7"/>
      <c r="B122" s="19"/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7"/>
      <c r="B123" s="23" t="s">
        <v>17</v>
      </c>
      <c r="C123" s="24" t="s">
        <v>2</v>
      </c>
      <c r="D123" s="24" t="s">
        <v>3</v>
      </c>
      <c r="E123" s="24" t="s">
        <v>4</v>
      </c>
      <c r="F123" s="24" t="s">
        <v>5</v>
      </c>
      <c r="G123" s="24" t="s">
        <v>6</v>
      </c>
      <c r="H123" s="24" t="s">
        <v>7</v>
      </c>
      <c r="I123" s="24" t="s">
        <v>8</v>
      </c>
      <c r="J123" s="24" t="s">
        <v>9</v>
      </c>
      <c r="K123" s="24" t="s">
        <v>10</v>
      </c>
      <c r="L123" s="24" t="s">
        <v>11</v>
      </c>
      <c r="M123" s="24" t="s">
        <v>12</v>
      </c>
      <c r="N123" s="24" t="s">
        <v>13</v>
      </c>
      <c r="O123" s="24" t="s">
        <v>14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7"/>
      <c r="B124" s="5" t="s">
        <v>18</v>
      </c>
      <c r="C124" s="6">
        <v>33453.0</v>
      </c>
      <c r="D124" s="6">
        <v>27607.0</v>
      </c>
      <c r="E124" s="6">
        <v>31967.0</v>
      </c>
      <c r="F124" s="6">
        <v>29490.0</v>
      </c>
      <c r="G124" s="6">
        <v>28205.0</v>
      </c>
      <c r="H124" s="6">
        <v>26488.0</v>
      </c>
      <c r="I124" s="6">
        <v>30832.0</v>
      </c>
      <c r="J124" s="6">
        <v>31138.0</v>
      </c>
      <c r="K124" s="6">
        <v>33631.0</v>
      </c>
      <c r="L124" s="6">
        <v>44550.0</v>
      </c>
      <c r="M124" s="6">
        <v>45800.0</v>
      </c>
      <c r="N124" s="6">
        <v>43470.0</v>
      </c>
      <c r="O124" s="6">
        <f t="shared" ref="O124:O126" si="49">SUM(C124:N124)</f>
        <v>406631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7"/>
      <c r="B125" s="5" t="s">
        <v>19</v>
      </c>
      <c r="C125" s="6">
        <v>28953.0</v>
      </c>
      <c r="D125" s="6">
        <v>26615.0</v>
      </c>
      <c r="E125" s="6">
        <v>29882.0</v>
      </c>
      <c r="F125" s="6">
        <v>29995.0</v>
      </c>
      <c r="G125" s="6">
        <v>25692.0</v>
      </c>
      <c r="H125" s="6">
        <v>27126.0</v>
      </c>
      <c r="I125" s="6">
        <v>31272.0</v>
      </c>
      <c r="J125" s="6">
        <v>30767.0</v>
      </c>
      <c r="K125" s="6">
        <v>34433.0</v>
      </c>
      <c r="L125" s="6">
        <v>46143.0</v>
      </c>
      <c r="M125" s="6">
        <v>43898.0</v>
      </c>
      <c r="N125" s="6">
        <v>46312.0</v>
      </c>
      <c r="O125" s="6">
        <f t="shared" si="49"/>
        <v>401088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1"/>
      <c r="B126" s="5" t="s">
        <v>14</v>
      </c>
      <c r="C126" s="8">
        <f t="shared" ref="C126:N126" si="50">SUM(C124:C125)</f>
        <v>62406</v>
      </c>
      <c r="D126" s="8">
        <f t="shared" si="50"/>
        <v>54222</v>
      </c>
      <c r="E126" s="8">
        <f t="shared" si="50"/>
        <v>61849</v>
      </c>
      <c r="F126" s="8">
        <f t="shared" si="50"/>
        <v>59485</v>
      </c>
      <c r="G126" s="8">
        <f t="shared" si="50"/>
        <v>53897</v>
      </c>
      <c r="H126" s="8">
        <f t="shared" si="50"/>
        <v>53614</v>
      </c>
      <c r="I126" s="8">
        <f t="shared" si="50"/>
        <v>62104</v>
      </c>
      <c r="J126" s="8">
        <f t="shared" si="50"/>
        <v>61905</v>
      </c>
      <c r="K126" s="8">
        <f t="shared" si="50"/>
        <v>68064</v>
      </c>
      <c r="L126" s="8">
        <f t="shared" si="50"/>
        <v>90693</v>
      </c>
      <c r="M126" s="8">
        <f t="shared" si="50"/>
        <v>89698</v>
      </c>
      <c r="N126" s="8">
        <f t="shared" si="50"/>
        <v>89782</v>
      </c>
      <c r="O126" s="8">
        <f t="shared" si="49"/>
        <v>807719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2" t="s">
        <v>0</v>
      </c>
      <c r="B129" s="3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13</v>
      </c>
      <c r="O129" s="2" t="s">
        <v>14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4">
        <v>2010.0</v>
      </c>
      <c r="B130" s="5" t="s">
        <v>15</v>
      </c>
      <c r="C130" s="6">
        <v>601.0</v>
      </c>
      <c r="D130" s="6">
        <v>558.0</v>
      </c>
      <c r="E130" s="6">
        <v>639.0</v>
      </c>
      <c r="F130" s="6">
        <v>596.0</v>
      </c>
      <c r="G130" s="6">
        <v>641.0</v>
      </c>
      <c r="H130" s="6">
        <v>651.0</v>
      </c>
      <c r="I130" s="6">
        <v>688.0</v>
      </c>
      <c r="J130" s="6">
        <v>724.0</v>
      </c>
      <c r="K130" s="6">
        <v>702.0</v>
      </c>
      <c r="L130" s="6">
        <v>707.0</v>
      </c>
      <c r="M130" s="6">
        <v>694.0</v>
      </c>
      <c r="N130" s="6">
        <v>742.0</v>
      </c>
      <c r="O130" s="6">
        <f t="shared" ref="O130:O132" si="51">SUM(C130:N130)</f>
        <v>7943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7"/>
      <c r="B131" s="5" t="s">
        <v>16</v>
      </c>
      <c r="C131" s="6">
        <v>600.0</v>
      </c>
      <c r="D131" s="6">
        <v>560.0</v>
      </c>
      <c r="E131" s="6">
        <v>639.0</v>
      </c>
      <c r="F131" s="6">
        <v>592.0</v>
      </c>
      <c r="G131" s="6">
        <v>644.0</v>
      </c>
      <c r="H131" s="6">
        <v>650.0</v>
      </c>
      <c r="I131" s="6">
        <v>687.0</v>
      </c>
      <c r="J131" s="6">
        <v>726.0</v>
      </c>
      <c r="K131" s="6">
        <v>702.0</v>
      </c>
      <c r="L131" s="6">
        <v>706.0</v>
      </c>
      <c r="M131" s="6">
        <v>694.0</v>
      </c>
      <c r="N131" s="6">
        <v>743.0</v>
      </c>
      <c r="O131" s="6">
        <f t="shared" si="51"/>
        <v>7943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7"/>
      <c r="B132" s="17" t="s">
        <v>14</v>
      </c>
      <c r="C132" s="18">
        <f t="shared" ref="C132:N132" si="52">SUM(C130:C131)</f>
        <v>1201</v>
      </c>
      <c r="D132" s="18">
        <f t="shared" si="52"/>
        <v>1118</v>
      </c>
      <c r="E132" s="18">
        <f t="shared" si="52"/>
        <v>1278</v>
      </c>
      <c r="F132" s="18">
        <f t="shared" si="52"/>
        <v>1188</v>
      </c>
      <c r="G132" s="18">
        <f t="shared" si="52"/>
        <v>1285</v>
      </c>
      <c r="H132" s="18">
        <f t="shared" si="52"/>
        <v>1301</v>
      </c>
      <c r="I132" s="18">
        <f t="shared" si="52"/>
        <v>1375</v>
      </c>
      <c r="J132" s="18">
        <f t="shared" si="52"/>
        <v>1450</v>
      </c>
      <c r="K132" s="18">
        <f t="shared" si="52"/>
        <v>1404</v>
      </c>
      <c r="L132" s="18">
        <f t="shared" si="52"/>
        <v>1413</v>
      </c>
      <c r="M132" s="18">
        <f t="shared" si="52"/>
        <v>1388</v>
      </c>
      <c r="N132" s="18">
        <f t="shared" si="52"/>
        <v>1485</v>
      </c>
      <c r="O132" s="18">
        <f t="shared" si="51"/>
        <v>15886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7"/>
      <c r="B133" s="19"/>
      <c r="C133" s="20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7"/>
      <c r="B134" s="23" t="s">
        <v>17</v>
      </c>
      <c r="C134" s="24" t="s">
        <v>2</v>
      </c>
      <c r="D134" s="24" t="s">
        <v>3</v>
      </c>
      <c r="E134" s="24" t="s">
        <v>4</v>
      </c>
      <c r="F134" s="24" t="s">
        <v>5</v>
      </c>
      <c r="G134" s="24" t="s">
        <v>6</v>
      </c>
      <c r="H134" s="24" t="s">
        <v>7</v>
      </c>
      <c r="I134" s="24" t="s">
        <v>8</v>
      </c>
      <c r="J134" s="24" t="s">
        <v>9</v>
      </c>
      <c r="K134" s="24" t="s">
        <v>10</v>
      </c>
      <c r="L134" s="24" t="s">
        <v>11</v>
      </c>
      <c r="M134" s="24" t="s">
        <v>12</v>
      </c>
      <c r="N134" s="24" t="s">
        <v>13</v>
      </c>
      <c r="O134" s="24" t="s">
        <v>14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7"/>
      <c r="B135" s="5" t="s">
        <v>18</v>
      </c>
      <c r="C135" s="6">
        <v>50263.0</v>
      </c>
      <c r="D135" s="6">
        <v>44236.0</v>
      </c>
      <c r="E135" s="6">
        <v>47114.0</v>
      </c>
      <c r="F135" s="6">
        <v>42338.0</v>
      </c>
      <c r="G135" s="6">
        <v>40646.0</v>
      </c>
      <c r="H135" s="6">
        <v>38639.0</v>
      </c>
      <c r="I135" s="6">
        <v>46291.0</v>
      </c>
      <c r="J135" s="6">
        <v>53279.0</v>
      </c>
      <c r="K135" s="6">
        <v>50665.0</v>
      </c>
      <c r="L135" s="6">
        <v>51967.0</v>
      </c>
      <c r="M135" s="6">
        <v>54273.0</v>
      </c>
      <c r="N135" s="6">
        <v>55163.0</v>
      </c>
      <c r="O135" s="6">
        <f t="shared" ref="O135:O137" si="53">SUM(C135:N135)</f>
        <v>574874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7"/>
      <c r="B136" s="5" t="s">
        <v>19</v>
      </c>
      <c r="C136" s="6">
        <v>44855.0</v>
      </c>
      <c r="D136" s="6">
        <v>42884.0</v>
      </c>
      <c r="E136" s="6">
        <v>48653.0</v>
      </c>
      <c r="F136" s="6">
        <v>42151.0</v>
      </c>
      <c r="G136" s="6">
        <v>40632.0</v>
      </c>
      <c r="H136" s="6">
        <v>39456.0</v>
      </c>
      <c r="I136" s="6">
        <v>47740.0</v>
      </c>
      <c r="J136" s="6">
        <v>55400.0</v>
      </c>
      <c r="K136" s="6">
        <v>51740.0</v>
      </c>
      <c r="L136" s="6">
        <v>55103.0</v>
      </c>
      <c r="M136" s="6">
        <v>52599.0</v>
      </c>
      <c r="N136" s="6">
        <v>59456.0</v>
      </c>
      <c r="O136" s="6">
        <f t="shared" si="53"/>
        <v>580669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1"/>
      <c r="B137" s="5" t="s">
        <v>14</v>
      </c>
      <c r="C137" s="8">
        <f t="shared" ref="C137:N137" si="54">SUM(C135:C136)</f>
        <v>95118</v>
      </c>
      <c r="D137" s="8">
        <f t="shared" si="54"/>
        <v>87120</v>
      </c>
      <c r="E137" s="8">
        <f t="shared" si="54"/>
        <v>95767</v>
      </c>
      <c r="F137" s="8">
        <f t="shared" si="54"/>
        <v>84489</v>
      </c>
      <c r="G137" s="8">
        <f t="shared" si="54"/>
        <v>81278</v>
      </c>
      <c r="H137" s="8">
        <f t="shared" si="54"/>
        <v>78095</v>
      </c>
      <c r="I137" s="8">
        <f t="shared" si="54"/>
        <v>94031</v>
      </c>
      <c r="J137" s="8">
        <f t="shared" si="54"/>
        <v>108679</v>
      </c>
      <c r="K137" s="8">
        <f t="shared" si="54"/>
        <v>102405</v>
      </c>
      <c r="L137" s="8">
        <f t="shared" si="54"/>
        <v>107070</v>
      </c>
      <c r="M137" s="8">
        <f t="shared" si="54"/>
        <v>106872</v>
      </c>
      <c r="N137" s="8">
        <f t="shared" si="54"/>
        <v>114619</v>
      </c>
      <c r="O137" s="8">
        <f t="shared" si="53"/>
        <v>1155543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2" t="s">
        <v>0</v>
      </c>
      <c r="B140" s="3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4">
        <v>2011.0</v>
      </c>
      <c r="B141" s="5" t="s">
        <v>15</v>
      </c>
      <c r="C141" s="6">
        <v>782.0</v>
      </c>
      <c r="D141" s="6">
        <v>773.0</v>
      </c>
      <c r="E141" s="6">
        <v>862.0</v>
      </c>
      <c r="F141" s="6">
        <v>853.0</v>
      </c>
      <c r="G141" s="6">
        <v>866.0</v>
      </c>
      <c r="H141" s="6">
        <v>804.0</v>
      </c>
      <c r="I141" s="6">
        <v>863.0</v>
      </c>
      <c r="J141" s="6">
        <v>872.0</v>
      </c>
      <c r="K141" s="6">
        <v>842.0</v>
      </c>
      <c r="L141" s="6">
        <v>859.0</v>
      </c>
      <c r="M141" s="6">
        <v>935.0</v>
      </c>
      <c r="N141" s="6">
        <v>873.0</v>
      </c>
      <c r="O141" s="6">
        <f t="shared" ref="O141:O143" si="55">SUM(C141:N141)</f>
        <v>10184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7"/>
      <c r="B142" s="5" t="s">
        <v>16</v>
      </c>
      <c r="C142" s="6">
        <v>781.0</v>
      </c>
      <c r="D142" s="6">
        <v>772.0</v>
      </c>
      <c r="E142" s="6">
        <v>859.0</v>
      </c>
      <c r="F142" s="6">
        <v>859.0</v>
      </c>
      <c r="G142" s="6">
        <v>865.0</v>
      </c>
      <c r="H142" s="6">
        <v>803.0</v>
      </c>
      <c r="I142" s="6">
        <v>861.0</v>
      </c>
      <c r="J142" s="6">
        <v>873.0</v>
      </c>
      <c r="K142" s="6">
        <v>843.0</v>
      </c>
      <c r="L142" s="6">
        <v>859.0</v>
      </c>
      <c r="M142" s="6">
        <v>935.0</v>
      </c>
      <c r="N142" s="6">
        <v>871.0</v>
      </c>
      <c r="O142" s="6">
        <f t="shared" si="55"/>
        <v>10181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7"/>
      <c r="B143" s="17" t="s">
        <v>14</v>
      </c>
      <c r="C143" s="18">
        <f t="shared" ref="C143:N143" si="56">SUM(C141:C142)</f>
        <v>1563</v>
      </c>
      <c r="D143" s="18">
        <f t="shared" si="56"/>
        <v>1545</v>
      </c>
      <c r="E143" s="18">
        <f t="shared" si="56"/>
        <v>1721</v>
      </c>
      <c r="F143" s="18">
        <f t="shared" si="56"/>
        <v>1712</v>
      </c>
      <c r="G143" s="18">
        <f t="shared" si="56"/>
        <v>1731</v>
      </c>
      <c r="H143" s="18">
        <f t="shared" si="56"/>
        <v>1607</v>
      </c>
      <c r="I143" s="18">
        <f t="shared" si="56"/>
        <v>1724</v>
      </c>
      <c r="J143" s="18">
        <f t="shared" si="56"/>
        <v>1745</v>
      </c>
      <c r="K143" s="18">
        <f t="shared" si="56"/>
        <v>1685</v>
      </c>
      <c r="L143" s="18">
        <f t="shared" si="56"/>
        <v>1718</v>
      </c>
      <c r="M143" s="18">
        <f t="shared" si="56"/>
        <v>1870</v>
      </c>
      <c r="N143" s="18">
        <f t="shared" si="56"/>
        <v>1744</v>
      </c>
      <c r="O143" s="18">
        <f t="shared" si="55"/>
        <v>20365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7"/>
      <c r="B144" s="19"/>
      <c r="C144" s="20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7"/>
      <c r="B145" s="23" t="s">
        <v>17</v>
      </c>
      <c r="C145" s="24" t="s">
        <v>2</v>
      </c>
      <c r="D145" s="24" t="s">
        <v>3</v>
      </c>
      <c r="E145" s="24" t="s">
        <v>4</v>
      </c>
      <c r="F145" s="24" t="s">
        <v>5</v>
      </c>
      <c r="G145" s="24" t="s">
        <v>6</v>
      </c>
      <c r="H145" s="24" t="s">
        <v>7</v>
      </c>
      <c r="I145" s="24" t="s">
        <v>8</v>
      </c>
      <c r="J145" s="24" t="s">
        <v>9</v>
      </c>
      <c r="K145" s="24" t="s">
        <v>10</v>
      </c>
      <c r="L145" s="24" t="s">
        <v>11</v>
      </c>
      <c r="M145" s="24" t="s">
        <v>12</v>
      </c>
      <c r="N145" s="24" t="s">
        <v>13</v>
      </c>
      <c r="O145" s="24" t="s">
        <v>14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7"/>
      <c r="B146" s="5" t="s">
        <v>18</v>
      </c>
      <c r="C146" s="6">
        <v>69247.0</v>
      </c>
      <c r="D146" s="6">
        <v>65441.0</v>
      </c>
      <c r="E146" s="6">
        <v>73436.0</v>
      </c>
      <c r="F146" s="6">
        <v>71105.0</v>
      </c>
      <c r="G146" s="6">
        <v>68765.0</v>
      </c>
      <c r="H146" s="6">
        <v>62294.0</v>
      </c>
      <c r="I146" s="6">
        <v>68215.0</v>
      </c>
      <c r="J146" s="6">
        <v>69921.0</v>
      </c>
      <c r="K146" s="6">
        <v>69174.0</v>
      </c>
      <c r="L146" s="6">
        <v>77340.0</v>
      </c>
      <c r="M146" s="6">
        <v>74761.0</v>
      </c>
      <c r="N146" s="6">
        <v>69023.0</v>
      </c>
      <c r="O146" s="6">
        <f t="shared" ref="O146:O148" si="57">SUM(C146:N146)</f>
        <v>838722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7"/>
      <c r="B147" s="5" t="s">
        <v>19</v>
      </c>
      <c r="C147" s="6">
        <v>66375.0</v>
      </c>
      <c r="D147" s="6">
        <v>65034.0</v>
      </c>
      <c r="E147" s="6">
        <v>74100.0</v>
      </c>
      <c r="F147" s="6">
        <v>74163.0</v>
      </c>
      <c r="G147" s="6">
        <v>69603.0</v>
      </c>
      <c r="H147" s="6">
        <v>65608.0</v>
      </c>
      <c r="I147" s="6">
        <v>70055.0</v>
      </c>
      <c r="J147" s="6">
        <v>70675.0</v>
      </c>
      <c r="K147" s="6">
        <v>71715.0</v>
      </c>
      <c r="L147" s="6">
        <v>78140.0</v>
      </c>
      <c r="M147" s="6">
        <v>74840.0</v>
      </c>
      <c r="N147" s="6">
        <v>71496.0</v>
      </c>
      <c r="O147" s="6">
        <f t="shared" si="57"/>
        <v>851804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1"/>
      <c r="B148" s="5" t="s">
        <v>14</v>
      </c>
      <c r="C148" s="8">
        <f t="shared" ref="C148:N148" si="58">SUM(C146:C147)</f>
        <v>135622</v>
      </c>
      <c r="D148" s="8">
        <f t="shared" si="58"/>
        <v>130475</v>
      </c>
      <c r="E148" s="8">
        <f t="shared" si="58"/>
        <v>147536</v>
      </c>
      <c r="F148" s="8">
        <f t="shared" si="58"/>
        <v>145268</v>
      </c>
      <c r="G148" s="8">
        <f t="shared" si="58"/>
        <v>138368</v>
      </c>
      <c r="H148" s="8">
        <f t="shared" si="58"/>
        <v>127902</v>
      </c>
      <c r="I148" s="8">
        <f t="shared" si="58"/>
        <v>138270</v>
      </c>
      <c r="J148" s="8">
        <f t="shared" si="58"/>
        <v>140596</v>
      </c>
      <c r="K148" s="8">
        <f t="shared" si="58"/>
        <v>140889</v>
      </c>
      <c r="L148" s="8">
        <f t="shared" si="58"/>
        <v>155480</v>
      </c>
      <c r="M148" s="8">
        <f t="shared" si="58"/>
        <v>149601</v>
      </c>
      <c r="N148" s="8">
        <f t="shared" si="58"/>
        <v>140519</v>
      </c>
      <c r="O148" s="8">
        <f t="shared" si="57"/>
        <v>1690526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2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2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2" t="s">
        <v>0</v>
      </c>
      <c r="B155" s="3" t="s">
        <v>1</v>
      </c>
      <c r="C155" s="2" t="s">
        <v>2</v>
      </c>
      <c r="D155" s="2" t="s">
        <v>3</v>
      </c>
      <c r="E155" s="2" t="s">
        <v>4</v>
      </c>
      <c r="F155" s="26" t="s">
        <v>5</v>
      </c>
      <c r="G155" s="26" t="s">
        <v>6</v>
      </c>
      <c r="H155" s="26" t="s">
        <v>7</v>
      </c>
      <c r="I155" s="26" t="s">
        <v>8</v>
      </c>
      <c r="J155" s="26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  <c r="O155" s="2" t="s">
        <v>14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4">
        <v>2012.0</v>
      </c>
      <c r="B156" s="5" t="s">
        <v>15</v>
      </c>
      <c r="C156" s="6">
        <f>652+32</f>
        <v>684</v>
      </c>
      <c r="D156" s="6">
        <f>589+29</f>
        <v>618</v>
      </c>
      <c r="E156" s="6">
        <f>634+30</f>
        <v>664</v>
      </c>
      <c r="F156" s="27">
        <f>618+30</f>
        <v>648</v>
      </c>
      <c r="G156" s="27">
        <f>665+32</f>
        <v>697</v>
      </c>
      <c r="H156" s="27">
        <f>638+28</f>
        <v>666</v>
      </c>
      <c r="I156" s="27">
        <f>663+19</f>
        <v>682</v>
      </c>
      <c r="J156" s="27">
        <f>662+18</f>
        <v>680</v>
      </c>
      <c r="K156" s="6">
        <f t="shared" ref="K156:K157" si="59">604+17</f>
        <v>621</v>
      </c>
      <c r="L156" s="6">
        <f t="shared" ref="L156:L157" si="60">651+18</f>
        <v>669</v>
      </c>
      <c r="M156" s="6">
        <f>572+17</f>
        <v>589</v>
      </c>
      <c r="N156" s="6">
        <f>513+17</f>
        <v>530</v>
      </c>
      <c r="O156" s="6">
        <f t="shared" ref="O156:O158" si="61">SUM(C156:N156)</f>
        <v>7748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7"/>
      <c r="B157" s="5" t="s">
        <v>16</v>
      </c>
      <c r="C157" s="6">
        <f>651+32</f>
        <v>683</v>
      </c>
      <c r="D157" s="6">
        <f>588+29</f>
        <v>617</v>
      </c>
      <c r="E157" s="6">
        <f>636+30</f>
        <v>666</v>
      </c>
      <c r="F157" s="27">
        <f>617+30</f>
        <v>647</v>
      </c>
      <c r="G157" s="27">
        <f>667+32</f>
        <v>699</v>
      </c>
      <c r="H157" s="27">
        <f>637+28</f>
        <v>665</v>
      </c>
      <c r="I157" s="27">
        <f>662+19</f>
        <v>681</v>
      </c>
      <c r="J157" s="27">
        <f>660+18</f>
        <v>678</v>
      </c>
      <c r="K157" s="6">
        <f t="shared" si="59"/>
        <v>621</v>
      </c>
      <c r="L157" s="6">
        <f t="shared" si="60"/>
        <v>669</v>
      </c>
      <c r="M157" s="6">
        <f>571+17</f>
        <v>588</v>
      </c>
      <c r="N157" s="6">
        <f>512+17</f>
        <v>529</v>
      </c>
      <c r="O157" s="6">
        <f t="shared" si="61"/>
        <v>7743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7"/>
      <c r="B158" s="17" t="s">
        <v>14</v>
      </c>
      <c r="C158" s="18">
        <f t="shared" ref="C158:N158" si="62">SUM(C156:C157)</f>
        <v>1367</v>
      </c>
      <c r="D158" s="18">
        <f t="shared" si="62"/>
        <v>1235</v>
      </c>
      <c r="E158" s="18">
        <f t="shared" si="62"/>
        <v>1330</v>
      </c>
      <c r="F158" s="28">
        <f t="shared" si="62"/>
        <v>1295</v>
      </c>
      <c r="G158" s="28">
        <f t="shared" si="62"/>
        <v>1396</v>
      </c>
      <c r="H158" s="28">
        <f t="shared" si="62"/>
        <v>1331</v>
      </c>
      <c r="I158" s="28">
        <f t="shared" si="62"/>
        <v>1363</v>
      </c>
      <c r="J158" s="28">
        <f t="shared" si="62"/>
        <v>1358</v>
      </c>
      <c r="K158" s="18">
        <f t="shared" si="62"/>
        <v>1242</v>
      </c>
      <c r="L158" s="18">
        <f t="shared" si="62"/>
        <v>1338</v>
      </c>
      <c r="M158" s="18">
        <f t="shared" si="62"/>
        <v>1177</v>
      </c>
      <c r="N158" s="18">
        <f t="shared" si="62"/>
        <v>1059</v>
      </c>
      <c r="O158" s="18">
        <f t="shared" si="61"/>
        <v>15491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7"/>
      <c r="B159" s="19"/>
      <c r="C159" s="20"/>
      <c r="D159" s="21"/>
      <c r="E159" s="21"/>
      <c r="F159" s="29"/>
      <c r="G159" s="29"/>
      <c r="H159" s="29"/>
      <c r="I159" s="29"/>
      <c r="J159" s="29"/>
      <c r="K159" s="21"/>
      <c r="L159" s="21"/>
      <c r="M159" s="21"/>
      <c r="N159" s="21"/>
      <c r="O159" s="2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7"/>
      <c r="B160" s="23" t="s">
        <v>17</v>
      </c>
      <c r="C160" s="24" t="s">
        <v>2</v>
      </c>
      <c r="D160" s="24" t="s">
        <v>3</v>
      </c>
      <c r="E160" s="24" t="s">
        <v>4</v>
      </c>
      <c r="F160" s="30" t="s">
        <v>5</v>
      </c>
      <c r="G160" s="30" t="s">
        <v>6</v>
      </c>
      <c r="H160" s="30" t="s">
        <v>7</v>
      </c>
      <c r="I160" s="30" t="s">
        <v>8</v>
      </c>
      <c r="J160" s="30" t="s">
        <v>9</v>
      </c>
      <c r="K160" s="24" t="s">
        <v>10</v>
      </c>
      <c r="L160" s="24" t="s">
        <v>11</v>
      </c>
      <c r="M160" s="24" t="s">
        <v>12</v>
      </c>
      <c r="N160" s="24" t="s">
        <v>13</v>
      </c>
      <c r="O160" s="24" t="s">
        <v>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7"/>
      <c r="B161" s="5" t="s">
        <v>18</v>
      </c>
      <c r="C161" s="6">
        <f>73015+3276</f>
        <v>76291</v>
      </c>
      <c r="D161" s="6">
        <f>61325+3116</f>
        <v>64441</v>
      </c>
      <c r="E161" s="6">
        <f>68679+2852</f>
        <v>71531</v>
      </c>
      <c r="F161" s="27">
        <f>67044+2991</f>
        <v>70035</v>
      </c>
      <c r="G161" s="27">
        <f>68055+3117</f>
        <v>71172</v>
      </c>
      <c r="H161" s="27">
        <f>65195+2901</f>
        <v>68096</v>
      </c>
      <c r="I161" s="27">
        <f>72706+2264</f>
        <v>74970</v>
      </c>
      <c r="J161" s="27">
        <f>69888+2229</f>
        <v>72117</v>
      </c>
      <c r="K161" s="6">
        <f>70387+2141</f>
        <v>72528</v>
      </c>
      <c r="L161" s="6">
        <f>73713+2368</f>
        <v>76081</v>
      </c>
      <c r="M161" s="6">
        <f>69216+2127</f>
        <v>71343</v>
      </c>
      <c r="N161" s="6">
        <f>63480+2288</f>
        <v>65768</v>
      </c>
      <c r="O161" s="6">
        <f t="shared" ref="O161:O163" si="63">SUM(C161:N161)</f>
        <v>854373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7"/>
      <c r="B162" s="5" t="s">
        <v>19</v>
      </c>
      <c r="C162" s="6">
        <f>68847+3287</f>
        <v>72134</v>
      </c>
      <c r="D162" s="6">
        <f>59700+3089</f>
        <v>62789</v>
      </c>
      <c r="E162" s="6">
        <f>69077+2838</f>
        <v>71915</v>
      </c>
      <c r="F162" s="27">
        <f>68638+2881</f>
        <v>71519</v>
      </c>
      <c r="G162" s="27">
        <f>68246+3090</f>
        <v>71336</v>
      </c>
      <c r="H162" s="27">
        <f>65279+2686</f>
        <v>67965</v>
      </c>
      <c r="I162" s="27">
        <f>73796+2174</f>
        <v>75970</v>
      </c>
      <c r="J162" s="27">
        <f>71630+2272</f>
        <v>73902</v>
      </c>
      <c r="K162" s="6">
        <f>70471+1965</f>
        <v>72436</v>
      </c>
      <c r="L162" s="6">
        <f>73542+2300</f>
        <v>75842</v>
      </c>
      <c r="M162" s="6">
        <f>70414+2102</f>
        <v>72516</v>
      </c>
      <c r="N162" s="6">
        <f>65590+1893</f>
        <v>67483</v>
      </c>
      <c r="O162" s="6">
        <f t="shared" si="63"/>
        <v>855807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1"/>
      <c r="B163" s="5" t="s">
        <v>14</v>
      </c>
      <c r="C163" s="8">
        <f t="shared" ref="C163:N163" si="64">SUM(C161:C162)</f>
        <v>148425</v>
      </c>
      <c r="D163" s="8">
        <f t="shared" si="64"/>
        <v>127230</v>
      </c>
      <c r="E163" s="8">
        <f t="shared" si="64"/>
        <v>143446</v>
      </c>
      <c r="F163" s="31">
        <f t="shared" si="64"/>
        <v>141554</v>
      </c>
      <c r="G163" s="31">
        <f t="shared" si="64"/>
        <v>142508</v>
      </c>
      <c r="H163" s="31">
        <f t="shared" si="64"/>
        <v>136061</v>
      </c>
      <c r="I163" s="31">
        <f t="shared" si="64"/>
        <v>150940</v>
      </c>
      <c r="J163" s="31">
        <f t="shared" si="64"/>
        <v>146019</v>
      </c>
      <c r="K163" s="8">
        <f t="shared" si="64"/>
        <v>144964</v>
      </c>
      <c r="L163" s="8">
        <f t="shared" si="64"/>
        <v>151923</v>
      </c>
      <c r="M163" s="8">
        <f t="shared" si="64"/>
        <v>143859</v>
      </c>
      <c r="N163" s="8">
        <f t="shared" si="64"/>
        <v>133251</v>
      </c>
      <c r="O163" s="8">
        <f t="shared" si="63"/>
        <v>1710180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32"/>
      <c r="B164" s="33"/>
      <c r="C164" s="34"/>
      <c r="D164" s="34"/>
      <c r="E164" s="35"/>
      <c r="F164" s="36"/>
      <c r="G164" s="36"/>
      <c r="H164" s="36"/>
      <c r="I164" s="36"/>
      <c r="J164" s="36"/>
      <c r="K164" s="35"/>
      <c r="L164" s="34"/>
      <c r="M164" s="34"/>
      <c r="N164" s="34"/>
      <c r="O164" s="3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37"/>
      <c r="B165" s="38"/>
      <c r="C165" s="39"/>
      <c r="D165" s="39"/>
      <c r="E165" s="40"/>
      <c r="F165" s="41"/>
      <c r="G165" s="41"/>
      <c r="H165" s="41"/>
      <c r="I165" s="41"/>
      <c r="J165" s="41"/>
      <c r="K165" s="42"/>
      <c r="L165" s="39"/>
      <c r="M165" s="39"/>
      <c r="N165" s="39"/>
      <c r="O165" s="3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2" t="s">
        <v>0</v>
      </c>
      <c r="B166" s="3" t="s">
        <v>1</v>
      </c>
      <c r="C166" s="2" t="s">
        <v>2</v>
      </c>
      <c r="D166" s="2" t="s">
        <v>3</v>
      </c>
      <c r="E166" s="2" t="s">
        <v>4</v>
      </c>
      <c r="F166" s="26" t="s">
        <v>5</v>
      </c>
      <c r="G166" s="26" t="s">
        <v>6</v>
      </c>
      <c r="H166" s="26" t="s">
        <v>7</v>
      </c>
      <c r="I166" s="26" t="s">
        <v>8</v>
      </c>
      <c r="J166" s="26" t="s">
        <v>9</v>
      </c>
      <c r="K166" s="2" t="s">
        <v>10</v>
      </c>
      <c r="L166" s="2" t="s">
        <v>11</v>
      </c>
      <c r="M166" s="2" t="s">
        <v>12</v>
      </c>
      <c r="N166" s="2" t="s">
        <v>13</v>
      </c>
      <c r="O166" s="2" t="s">
        <v>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4">
        <v>2013.0</v>
      </c>
      <c r="B167" s="5" t="s">
        <v>15</v>
      </c>
      <c r="C167" s="6">
        <f>579+18</f>
        <v>597</v>
      </c>
      <c r="D167" s="6">
        <f>472+16</f>
        <v>488</v>
      </c>
      <c r="E167" s="6">
        <f>592+18</f>
        <v>610</v>
      </c>
      <c r="F167" s="27">
        <f>580+17</f>
        <v>597</v>
      </c>
      <c r="G167" s="27">
        <f>595+18</f>
        <v>613</v>
      </c>
      <c r="H167" s="27">
        <f>563+17</f>
        <v>580</v>
      </c>
      <c r="I167" s="27">
        <f>639+17</f>
        <v>656</v>
      </c>
      <c r="J167" s="27">
        <f>603+25</f>
        <v>628</v>
      </c>
      <c r="K167" s="6">
        <f>568+27</f>
        <v>595</v>
      </c>
      <c r="L167" s="6">
        <f t="shared" ref="L167:L168" si="65">544+27</f>
        <v>571</v>
      </c>
      <c r="M167" s="6">
        <f>518+25</f>
        <v>543</v>
      </c>
      <c r="N167" s="6">
        <f>541+25</f>
        <v>566</v>
      </c>
      <c r="O167" s="6">
        <f t="shared" ref="O167:O169" si="66">SUM(C167:N167)</f>
        <v>7044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7"/>
      <c r="B168" s="5" t="s">
        <v>16</v>
      </c>
      <c r="C168" s="6">
        <f>578+18</f>
        <v>596</v>
      </c>
      <c r="D168" s="6">
        <f>475+16</f>
        <v>491</v>
      </c>
      <c r="E168" s="6">
        <f>594+18</f>
        <v>612</v>
      </c>
      <c r="F168" s="27">
        <f>579+17</f>
        <v>596</v>
      </c>
      <c r="G168" s="27">
        <f>597+18</f>
        <v>615</v>
      </c>
      <c r="H168" s="27">
        <f>567+17</f>
        <v>584</v>
      </c>
      <c r="I168" s="27">
        <f>643+17</f>
        <v>660</v>
      </c>
      <c r="J168" s="27">
        <f>607+25</f>
        <v>632</v>
      </c>
      <c r="K168" s="6">
        <f>571+27</f>
        <v>598</v>
      </c>
      <c r="L168" s="6">
        <f t="shared" si="65"/>
        <v>571</v>
      </c>
      <c r="M168" s="6">
        <f>519+25</f>
        <v>544</v>
      </c>
      <c r="N168" s="6">
        <f>538+25</f>
        <v>563</v>
      </c>
      <c r="O168" s="6">
        <f t="shared" si="66"/>
        <v>7062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7"/>
      <c r="B169" s="17" t="s">
        <v>14</v>
      </c>
      <c r="C169" s="18">
        <f t="shared" ref="C169:N169" si="67">SUM(C167:C168)</f>
        <v>1193</v>
      </c>
      <c r="D169" s="18">
        <f t="shared" si="67"/>
        <v>979</v>
      </c>
      <c r="E169" s="18">
        <f t="shared" si="67"/>
        <v>1222</v>
      </c>
      <c r="F169" s="28">
        <f t="shared" si="67"/>
        <v>1193</v>
      </c>
      <c r="G169" s="28">
        <f t="shared" si="67"/>
        <v>1228</v>
      </c>
      <c r="H169" s="28">
        <f t="shared" si="67"/>
        <v>1164</v>
      </c>
      <c r="I169" s="28">
        <f t="shared" si="67"/>
        <v>1316</v>
      </c>
      <c r="J169" s="28">
        <f t="shared" si="67"/>
        <v>1260</v>
      </c>
      <c r="K169" s="18">
        <f t="shared" si="67"/>
        <v>1193</v>
      </c>
      <c r="L169" s="18">
        <f t="shared" si="67"/>
        <v>1142</v>
      </c>
      <c r="M169" s="18">
        <f t="shared" si="67"/>
        <v>1087</v>
      </c>
      <c r="N169" s="18">
        <f t="shared" si="67"/>
        <v>1129</v>
      </c>
      <c r="O169" s="18">
        <f t="shared" si="66"/>
        <v>14106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7"/>
      <c r="B170" s="19"/>
      <c r="C170" s="20"/>
      <c r="D170" s="21"/>
      <c r="E170" s="21"/>
      <c r="F170" s="29"/>
      <c r="G170" s="29"/>
      <c r="H170" s="29"/>
      <c r="I170" s="29"/>
      <c r="J170" s="29"/>
      <c r="K170" s="21"/>
      <c r="L170" s="21"/>
      <c r="M170" s="21"/>
      <c r="N170" s="21"/>
      <c r="O170" s="2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7"/>
      <c r="B171" s="23" t="s">
        <v>17</v>
      </c>
      <c r="C171" s="24" t="s">
        <v>2</v>
      </c>
      <c r="D171" s="24" t="s">
        <v>3</v>
      </c>
      <c r="E171" s="24" t="s">
        <v>4</v>
      </c>
      <c r="F171" s="30" t="s">
        <v>5</v>
      </c>
      <c r="G171" s="30" t="s">
        <v>6</v>
      </c>
      <c r="H171" s="30" t="s">
        <v>7</v>
      </c>
      <c r="I171" s="30" t="s">
        <v>8</v>
      </c>
      <c r="J171" s="30" t="s">
        <v>9</v>
      </c>
      <c r="K171" s="24" t="s">
        <v>10</v>
      </c>
      <c r="L171" s="24" t="s">
        <v>11</v>
      </c>
      <c r="M171" s="24" t="s">
        <v>12</v>
      </c>
      <c r="N171" s="24" t="s">
        <v>13</v>
      </c>
      <c r="O171" s="24" t="s">
        <v>14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7"/>
      <c r="B172" s="5" t="s">
        <v>18</v>
      </c>
      <c r="C172" s="6">
        <f>72395+2267</f>
        <v>74662</v>
      </c>
      <c r="D172" s="6">
        <f>57183+2186</f>
        <v>59369</v>
      </c>
      <c r="E172" s="6">
        <f>69408+2507</f>
        <v>71915</v>
      </c>
      <c r="F172" s="27">
        <f>64013+2352</f>
        <v>66365</v>
      </c>
      <c r="G172" s="27">
        <f>65628+2428</f>
        <v>68056</v>
      </c>
      <c r="H172" s="27">
        <f>61408+2285</f>
        <v>63693</v>
      </c>
      <c r="I172" s="27">
        <f>66912+1887</f>
        <v>68799</v>
      </c>
      <c r="J172" s="27">
        <f>66053+2503</f>
        <v>68556</v>
      </c>
      <c r="K172" s="6">
        <f>65000+2594</f>
        <v>67594</v>
      </c>
      <c r="L172" s="6">
        <f>68035+2669</f>
        <v>70704</v>
      </c>
      <c r="M172" s="6">
        <f>69515+2499</f>
        <v>72014</v>
      </c>
      <c r="N172" s="6">
        <f>68163+2599</f>
        <v>70762</v>
      </c>
      <c r="O172" s="6">
        <f t="shared" ref="O172:O174" si="68">SUM(C172:N172)</f>
        <v>822489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7"/>
      <c r="B173" s="5" t="s">
        <v>19</v>
      </c>
      <c r="C173" s="6">
        <f>65779+2380</f>
        <v>68159</v>
      </c>
      <c r="D173" s="6">
        <f>56758+2180</f>
        <v>58938</v>
      </c>
      <c r="E173" s="6">
        <f>68948+2420</f>
        <v>71368</v>
      </c>
      <c r="F173" s="27">
        <f>65899+2311</f>
        <v>68210</v>
      </c>
      <c r="G173" s="27">
        <f>68897+2492</f>
        <v>71389</v>
      </c>
      <c r="H173" s="27">
        <f>60479+2371</f>
        <v>62850</v>
      </c>
      <c r="I173" s="27">
        <f>69050+2368</f>
        <v>71418</v>
      </c>
      <c r="J173" s="27">
        <f>67260+2307</f>
        <v>69567</v>
      </c>
      <c r="K173" s="6">
        <f>64337+2775</f>
        <v>67112</v>
      </c>
      <c r="L173" s="6">
        <f>69178+2873</f>
        <v>72051</v>
      </c>
      <c r="M173" s="6">
        <f>68395+2483</f>
        <v>70878</v>
      </c>
      <c r="N173" s="6">
        <f>70712+2242</f>
        <v>72954</v>
      </c>
      <c r="O173" s="6">
        <f t="shared" si="68"/>
        <v>824894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1"/>
      <c r="B174" s="5" t="s">
        <v>14</v>
      </c>
      <c r="C174" s="8">
        <f t="shared" ref="C174:N174" si="69">SUM(C172:C173)</f>
        <v>142821</v>
      </c>
      <c r="D174" s="8">
        <f t="shared" si="69"/>
        <v>118307</v>
      </c>
      <c r="E174" s="8">
        <f t="shared" si="69"/>
        <v>143283</v>
      </c>
      <c r="F174" s="31">
        <f t="shared" si="69"/>
        <v>134575</v>
      </c>
      <c r="G174" s="31">
        <f t="shared" si="69"/>
        <v>139445</v>
      </c>
      <c r="H174" s="31">
        <f t="shared" si="69"/>
        <v>126543</v>
      </c>
      <c r="I174" s="31">
        <f t="shared" si="69"/>
        <v>140217</v>
      </c>
      <c r="J174" s="31">
        <f t="shared" si="69"/>
        <v>138123</v>
      </c>
      <c r="K174" s="8">
        <f t="shared" si="69"/>
        <v>134706</v>
      </c>
      <c r="L174" s="8">
        <f t="shared" si="69"/>
        <v>142755</v>
      </c>
      <c r="M174" s="8">
        <f t="shared" si="69"/>
        <v>142892</v>
      </c>
      <c r="N174" s="8">
        <f t="shared" si="69"/>
        <v>143716</v>
      </c>
      <c r="O174" s="8">
        <f t="shared" si="68"/>
        <v>1647383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2" t="s">
        <v>0</v>
      </c>
      <c r="B177" s="3" t="s">
        <v>1</v>
      </c>
      <c r="C177" s="2" t="s">
        <v>2</v>
      </c>
      <c r="D177" s="2" t="s">
        <v>3</v>
      </c>
      <c r="E177" s="2" t="s">
        <v>4</v>
      </c>
      <c r="F177" s="26" t="s">
        <v>5</v>
      </c>
      <c r="G177" s="26" t="s">
        <v>6</v>
      </c>
      <c r="H177" s="26" t="s">
        <v>7</v>
      </c>
      <c r="I177" s="26" t="s">
        <v>8</v>
      </c>
      <c r="J177" s="26" t="s">
        <v>9</v>
      </c>
      <c r="K177" s="2" t="s">
        <v>10</v>
      </c>
      <c r="L177" s="2" t="s">
        <v>11</v>
      </c>
      <c r="M177" s="2" t="s">
        <v>12</v>
      </c>
      <c r="N177" s="2" t="s">
        <v>13</v>
      </c>
      <c r="O177" s="2" t="s">
        <v>14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4">
        <v>2014.0</v>
      </c>
      <c r="B178" s="5" t="s">
        <v>15</v>
      </c>
      <c r="C178" s="6">
        <f>572+18</f>
        <v>590</v>
      </c>
      <c r="D178" s="6">
        <f>523+16</f>
        <v>539</v>
      </c>
      <c r="E178" s="6">
        <f>571+17</f>
        <v>588</v>
      </c>
      <c r="F178" s="27">
        <f>530+30</f>
        <v>560</v>
      </c>
      <c r="G178" s="27">
        <f>580+31</f>
        <v>611</v>
      </c>
      <c r="H178" s="27">
        <f>547+30</f>
        <v>577</v>
      </c>
      <c r="I178" s="27">
        <f>614+31</f>
        <v>645</v>
      </c>
      <c r="J178" s="27">
        <f>615+32</f>
        <v>647</v>
      </c>
      <c r="K178" s="6">
        <f>546+30</f>
        <v>576</v>
      </c>
      <c r="L178" s="6">
        <f>619+30</f>
        <v>649</v>
      </c>
      <c r="M178" s="6">
        <f>596+30</f>
        <v>626</v>
      </c>
      <c r="N178" s="6">
        <f>640+30</f>
        <v>670</v>
      </c>
      <c r="O178" s="6">
        <f t="shared" ref="O178:O180" si="70">SUM(C178:N178)</f>
        <v>7278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7"/>
      <c r="B179" s="5" t="s">
        <v>16</v>
      </c>
      <c r="C179" s="6">
        <f>571+18</f>
        <v>589</v>
      </c>
      <c r="D179" s="6">
        <f>525+16</f>
        <v>541</v>
      </c>
      <c r="E179" s="6">
        <f>567+17</f>
        <v>584</v>
      </c>
      <c r="F179" s="27">
        <f>529+30</f>
        <v>559</v>
      </c>
      <c r="G179" s="27">
        <f>564+31</f>
        <v>595</v>
      </c>
      <c r="H179" s="27">
        <f>538+30</f>
        <v>568</v>
      </c>
      <c r="I179" s="27">
        <f>611+31</f>
        <v>642</v>
      </c>
      <c r="J179" s="27">
        <f>617+32</f>
        <v>649</v>
      </c>
      <c r="K179" s="6">
        <f>547+30</f>
        <v>577</v>
      </c>
      <c r="L179" s="6">
        <f>618+30</f>
        <v>648</v>
      </c>
      <c r="M179" s="6">
        <f>592+30</f>
        <v>622</v>
      </c>
      <c r="N179" s="6">
        <f>637+30</f>
        <v>667</v>
      </c>
      <c r="O179" s="6">
        <f t="shared" si="70"/>
        <v>7241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7"/>
      <c r="B180" s="17" t="s">
        <v>14</v>
      </c>
      <c r="C180" s="18">
        <f t="shared" ref="C180:N180" si="71">SUM(C178:C179)</f>
        <v>1179</v>
      </c>
      <c r="D180" s="18">
        <f t="shared" si="71"/>
        <v>1080</v>
      </c>
      <c r="E180" s="18">
        <f t="shared" si="71"/>
        <v>1172</v>
      </c>
      <c r="F180" s="28">
        <f t="shared" si="71"/>
        <v>1119</v>
      </c>
      <c r="G180" s="28">
        <f t="shared" si="71"/>
        <v>1206</v>
      </c>
      <c r="H180" s="28">
        <f t="shared" si="71"/>
        <v>1145</v>
      </c>
      <c r="I180" s="28">
        <f t="shared" si="71"/>
        <v>1287</v>
      </c>
      <c r="J180" s="28">
        <f t="shared" si="71"/>
        <v>1296</v>
      </c>
      <c r="K180" s="18">
        <f t="shared" si="71"/>
        <v>1153</v>
      </c>
      <c r="L180" s="18">
        <f t="shared" si="71"/>
        <v>1297</v>
      </c>
      <c r="M180" s="18">
        <f t="shared" si="71"/>
        <v>1248</v>
      </c>
      <c r="N180" s="18">
        <f t="shared" si="71"/>
        <v>1337</v>
      </c>
      <c r="O180" s="18">
        <f t="shared" si="70"/>
        <v>14519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7"/>
      <c r="B181" s="19"/>
      <c r="C181" s="20"/>
      <c r="D181" s="21"/>
      <c r="E181" s="21"/>
      <c r="F181" s="29"/>
      <c r="G181" s="29"/>
      <c r="H181" s="29"/>
      <c r="I181" s="29"/>
      <c r="J181" s="29"/>
      <c r="K181" s="21"/>
      <c r="L181" s="21"/>
      <c r="M181" s="21"/>
      <c r="N181" s="21"/>
      <c r="O181" s="2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7"/>
      <c r="B182" s="23" t="s">
        <v>17</v>
      </c>
      <c r="C182" s="24" t="s">
        <v>2</v>
      </c>
      <c r="D182" s="24" t="s">
        <v>3</v>
      </c>
      <c r="E182" s="24" t="s">
        <v>4</v>
      </c>
      <c r="F182" s="30" t="s">
        <v>5</v>
      </c>
      <c r="G182" s="30" t="s">
        <v>6</v>
      </c>
      <c r="H182" s="30" t="s">
        <v>7</v>
      </c>
      <c r="I182" s="30" t="s">
        <v>8</v>
      </c>
      <c r="J182" s="30" t="s">
        <v>9</v>
      </c>
      <c r="K182" s="24" t="s">
        <v>10</v>
      </c>
      <c r="L182" s="24" t="s">
        <v>11</v>
      </c>
      <c r="M182" s="24" t="s">
        <v>12</v>
      </c>
      <c r="N182" s="24" t="s">
        <v>13</v>
      </c>
      <c r="O182" s="24" t="s">
        <v>14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7"/>
      <c r="B183" s="5" t="s">
        <v>18</v>
      </c>
      <c r="C183" s="6">
        <f>78232+2124</f>
        <v>80356</v>
      </c>
      <c r="D183" s="6">
        <f>64457+1842</f>
        <v>66299</v>
      </c>
      <c r="E183" s="6">
        <f>74017+2189</f>
        <v>76206</v>
      </c>
      <c r="F183" s="27">
        <f>68187+3655</f>
        <v>71842</v>
      </c>
      <c r="G183" s="27">
        <f>68396+3409</f>
        <v>71805</v>
      </c>
      <c r="H183" s="27">
        <f>69791+3050</f>
        <v>72841</v>
      </c>
      <c r="I183" s="27">
        <f>79216+4197</f>
        <v>83413</v>
      </c>
      <c r="J183" s="27">
        <f>75774+3973</f>
        <v>79747</v>
      </c>
      <c r="K183" s="6">
        <f>70260+3614</f>
        <v>73874</v>
      </c>
      <c r="L183" s="6">
        <f>78662+3760</f>
        <v>82422</v>
      </c>
      <c r="M183" s="6">
        <f>77327+3812</f>
        <v>81139</v>
      </c>
      <c r="N183" s="6">
        <f>78174+4149</f>
        <v>82323</v>
      </c>
      <c r="O183" s="6">
        <f t="shared" ref="O183:O185" si="72">SUM(C183:N183)</f>
        <v>922267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7"/>
      <c r="B184" s="5" t="s">
        <v>19</v>
      </c>
      <c r="C184" s="6">
        <f>73089+2403</f>
        <v>75492</v>
      </c>
      <c r="D184" s="6">
        <f>65716+2177</f>
        <v>67893</v>
      </c>
      <c r="E184" s="6">
        <f>72463+2379</f>
        <v>74842</v>
      </c>
      <c r="F184" s="27">
        <f>69369+3434</f>
        <v>72803</v>
      </c>
      <c r="G184" s="27">
        <f>69884+3915</f>
        <v>73799</v>
      </c>
      <c r="H184" s="27">
        <f>67947+3507</f>
        <v>71454</v>
      </c>
      <c r="I184" s="27">
        <f>82394+3196</f>
        <v>85590</v>
      </c>
      <c r="J184" s="27">
        <f>74733+4061</f>
        <v>78794</v>
      </c>
      <c r="K184" s="6">
        <f>67906+3818</f>
        <v>71724</v>
      </c>
      <c r="L184" s="6">
        <f>80650+3973</f>
        <v>84623</v>
      </c>
      <c r="M184" s="6">
        <f>77564+3189</f>
        <v>80753</v>
      </c>
      <c r="N184" s="6">
        <f>81192+2519</f>
        <v>83711</v>
      </c>
      <c r="O184" s="6">
        <f t="shared" si="72"/>
        <v>921478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1"/>
      <c r="B185" s="5" t="s">
        <v>14</v>
      </c>
      <c r="C185" s="8">
        <f t="shared" ref="C185:N185" si="73">SUM(C183:C184)</f>
        <v>155848</v>
      </c>
      <c r="D185" s="8">
        <f t="shared" si="73"/>
        <v>134192</v>
      </c>
      <c r="E185" s="8">
        <f t="shared" si="73"/>
        <v>151048</v>
      </c>
      <c r="F185" s="31">
        <f t="shared" si="73"/>
        <v>144645</v>
      </c>
      <c r="G185" s="31">
        <f t="shared" si="73"/>
        <v>145604</v>
      </c>
      <c r="H185" s="31">
        <f t="shared" si="73"/>
        <v>144295</v>
      </c>
      <c r="I185" s="31">
        <f t="shared" si="73"/>
        <v>169003</v>
      </c>
      <c r="J185" s="31">
        <f t="shared" si="73"/>
        <v>158541</v>
      </c>
      <c r="K185" s="8">
        <f t="shared" si="73"/>
        <v>145598</v>
      </c>
      <c r="L185" s="8">
        <f t="shared" si="73"/>
        <v>167045</v>
      </c>
      <c r="M185" s="8">
        <f t="shared" si="73"/>
        <v>161892</v>
      </c>
      <c r="N185" s="8">
        <f t="shared" si="73"/>
        <v>166034</v>
      </c>
      <c r="O185" s="8">
        <f t="shared" si="72"/>
        <v>1843745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43"/>
      <c r="B186" s="13"/>
      <c r="C186" s="14"/>
      <c r="D186" s="14"/>
      <c r="E186" s="44"/>
      <c r="F186" s="45"/>
      <c r="G186" s="46"/>
      <c r="H186" s="45"/>
      <c r="I186" s="45"/>
      <c r="J186" s="46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43"/>
      <c r="B187" s="13"/>
      <c r="C187" s="14"/>
      <c r="D187" s="14"/>
      <c r="E187" s="14"/>
      <c r="F187" s="47"/>
      <c r="G187" s="47"/>
      <c r="H187" s="48"/>
      <c r="I187" s="48"/>
      <c r="J187" s="47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2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2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4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2" t="s">
        <v>0</v>
      </c>
      <c r="B192" s="3" t="s">
        <v>1</v>
      </c>
      <c r="C192" s="2" t="s">
        <v>2</v>
      </c>
      <c r="D192" s="2" t="s">
        <v>3</v>
      </c>
      <c r="E192" s="2" t="s">
        <v>4</v>
      </c>
      <c r="F192" s="26" t="s">
        <v>5</v>
      </c>
      <c r="G192" s="26" t="s">
        <v>6</v>
      </c>
      <c r="H192" s="26" t="s">
        <v>7</v>
      </c>
      <c r="I192" s="26" t="s">
        <v>8</v>
      </c>
      <c r="J192" s="26" t="s">
        <v>9</v>
      </c>
      <c r="K192" s="2" t="s">
        <v>10</v>
      </c>
      <c r="L192" s="2" t="s">
        <v>11</v>
      </c>
      <c r="M192" s="2" t="s">
        <v>12</v>
      </c>
      <c r="N192" s="2" t="s">
        <v>13</v>
      </c>
      <c r="O192" s="2" t="s">
        <v>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4">
        <v>2015.0</v>
      </c>
      <c r="B193" s="5" t="s">
        <v>15</v>
      </c>
      <c r="C193" s="6">
        <f>677+31</f>
        <v>708</v>
      </c>
      <c r="D193" s="6">
        <f>594+28</f>
        <v>622</v>
      </c>
      <c r="E193" s="6">
        <f>668+32</f>
        <v>700</v>
      </c>
      <c r="F193" s="27">
        <f>624+25</f>
        <v>649</v>
      </c>
      <c r="G193" s="27">
        <f>639+24</f>
        <v>663</v>
      </c>
      <c r="H193" s="27">
        <f>597+24</f>
        <v>621</v>
      </c>
      <c r="I193" s="27">
        <f>681+22</f>
        <v>703</v>
      </c>
      <c r="J193" s="27">
        <f>635+22</f>
        <v>657</v>
      </c>
      <c r="K193" s="6">
        <f>626+21</f>
        <v>647</v>
      </c>
      <c r="L193" s="6">
        <f>641+22</f>
        <v>663</v>
      </c>
      <c r="M193" s="6">
        <f>625+22</f>
        <v>647</v>
      </c>
      <c r="N193" s="6">
        <f>669-22</f>
        <v>647</v>
      </c>
      <c r="O193" s="6">
        <f t="shared" ref="O193:O195" si="74">SUM(C193:N193)</f>
        <v>7927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7"/>
      <c r="B194" s="5" t="s">
        <v>16</v>
      </c>
      <c r="C194" s="6">
        <f>680+31</f>
        <v>711</v>
      </c>
      <c r="D194" s="6">
        <f>596+28</f>
        <v>624</v>
      </c>
      <c r="E194" s="6">
        <f>668+31</f>
        <v>699</v>
      </c>
      <c r="F194" s="27">
        <f>619+25</f>
        <v>644</v>
      </c>
      <c r="G194" s="27">
        <f>638+24</f>
        <v>662</v>
      </c>
      <c r="H194" s="27">
        <f>595+24</f>
        <v>619</v>
      </c>
      <c r="I194" s="27">
        <f>679+22</f>
        <v>701</v>
      </c>
      <c r="J194" s="27">
        <f>632+22</f>
        <v>654</v>
      </c>
      <c r="K194" s="6">
        <f>627+21</f>
        <v>648</v>
      </c>
      <c r="L194" s="6">
        <f>643+22</f>
        <v>665</v>
      </c>
      <c r="M194" s="6">
        <f>628+22</f>
        <v>650</v>
      </c>
      <c r="N194" s="6">
        <f>667-22</f>
        <v>645</v>
      </c>
      <c r="O194" s="6">
        <f t="shared" si="74"/>
        <v>7922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7"/>
      <c r="B195" s="17" t="s">
        <v>14</v>
      </c>
      <c r="C195" s="18">
        <f t="shared" ref="C195:N195" si="75">SUM(C193:C194)</f>
        <v>1419</v>
      </c>
      <c r="D195" s="18">
        <f t="shared" si="75"/>
        <v>1246</v>
      </c>
      <c r="E195" s="18">
        <f t="shared" si="75"/>
        <v>1399</v>
      </c>
      <c r="F195" s="28">
        <f t="shared" si="75"/>
        <v>1293</v>
      </c>
      <c r="G195" s="28">
        <f t="shared" si="75"/>
        <v>1325</v>
      </c>
      <c r="H195" s="28">
        <f t="shared" si="75"/>
        <v>1240</v>
      </c>
      <c r="I195" s="28">
        <f t="shared" si="75"/>
        <v>1404</v>
      </c>
      <c r="J195" s="28">
        <f t="shared" si="75"/>
        <v>1311</v>
      </c>
      <c r="K195" s="18">
        <f t="shared" si="75"/>
        <v>1295</v>
      </c>
      <c r="L195" s="18">
        <f t="shared" si="75"/>
        <v>1328</v>
      </c>
      <c r="M195" s="18">
        <f t="shared" si="75"/>
        <v>1297</v>
      </c>
      <c r="N195" s="18">
        <f t="shared" si="75"/>
        <v>1292</v>
      </c>
      <c r="O195" s="18">
        <f t="shared" si="74"/>
        <v>15849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7"/>
      <c r="B196" s="19"/>
      <c r="C196" s="20"/>
      <c r="D196" s="21"/>
      <c r="E196" s="21"/>
      <c r="F196" s="29"/>
      <c r="G196" s="29"/>
      <c r="H196" s="29"/>
      <c r="I196" s="29"/>
      <c r="J196" s="29"/>
      <c r="K196" s="21"/>
      <c r="L196" s="21"/>
      <c r="M196" s="21"/>
      <c r="N196" s="21"/>
      <c r="O196" s="2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7"/>
      <c r="B197" s="23" t="s">
        <v>17</v>
      </c>
      <c r="C197" s="24" t="s">
        <v>2</v>
      </c>
      <c r="D197" s="24" t="s">
        <v>3</v>
      </c>
      <c r="E197" s="24" t="s">
        <v>4</v>
      </c>
      <c r="F197" s="30" t="s">
        <v>5</v>
      </c>
      <c r="G197" s="30" t="s">
        <v>6</v>
      </c>
      <c r="H197" s="30" t="s">
        <v>7</v>
      </c>
      <c r="I197" s="30" t="s">
        <v>8</v>
      </c>
      <c r="J197" s="30" t="s">
        <v>9</v>
      </c>
      <c r="K197" s="24" t="s">
        <v>10</v>
      </c>
      <c r="L197" s="24" t="s">
        <v>11</v>
      </c>
      <c r="M197" s="24" t="s">
        <v>12</v>
      </c>
      <c r="N197" s="24" t="s">
        <v>13</v>
      </c>
      <c r="O197" s="24" t="s">
        <v>14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7"/>
      <c r="B198" s="5" t="s">
        <v>18</v>
      </c>
      <c r="C198" s="6">
        <f>97892+3972</f>
        <v>101864</v>
      </c>
      <c r="D198" s="6">
        <f>74434+3524</f>
        <v>77958</v>
      </c>
      <c r="E198" s="6">
        <f>83309+4028</f>
        <v>87337</v>
      </c>
      <c r="F198" s="27">
        <f>77157+3258</f>
        <v>80415</v>
      </c>
      <c r="G198" s="27">
        <f>77192+3012</f>
        <v>80204</v>
      </c>
      <c r="H198" s="27">
        <f>71875+3037</f>
        <v>74912</v>
      </c>
      <c r="I198" s="27">
        <f>91395+2845</f>
        <v>94240</v>
      </c>
      <c r="J198" s="27">
        <f>87428+2818</f>
        <v>90246</v>
      </c>
      <c r="K198" s="6">
        <f>78479+2727</f>
        <v>81206</v>
      </c>
      <c r="L198" s="6">
        <f>81665+3026</f>
        <v>84691</v>
      </c>
      <c r="M198" s="6">
        <f>78694+2689</f>
        <v>81383</v>
      </c>
      <c r="N198" s="6">
        <f>76966-2942</f>
        <v>74024</v>
      </c>
      <c r="O198" s="6">
        <f t="shared" ref="O198:O200" si="76">SUM(C198:N198)</f>
        <v>1008480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7"/>
      <c r="B199" s="5" t="s">
        <v>19</v>
      </c>
      <c r="C199" s="6">
        <f>90237+4352</f>
        <v>94589</v>
      </c>
      <c r="D199" s="6">
        <f>73960+3852</f>
        <v>77812</v>
      </c>
      <c r="E199" s="6">
        <f>80761+4031</f>
        <v>84792</v>
      </c>
      <c r="F199" s="27">
        <f>77543+3059</f>
        <v>80602</v>
      </c>
      <c r="G199" s="27">
        <f>74752+3113</f>
        <v>77865</v>
      </c>
      <c r="H199" s="27">
        <f>72584+2885</f>
        <v>75469</v>
      </c>
      <c r="I199" s="27">
        <f>92361+2755</f>
        <v>95116</v>
      </c>
      <c r="J199" s="27">
        <f>85010+2797</f>
        <v>87807</v>
      </c>
      <c r="K199" s="6">
        <f>77062+2720</f>
        <v>79782</v>
      </c>
      <c r="L199" s="6">
        <f>83522+2801</f>
        <v>86323</v>
      </c>
      <c r="M199" s="6">
        <f>75121+2346</f>
        <v>77467</v>
      </c>
      <c r="N199" s="6">
        <f>77799-1845</f>
        <v>75954</v>
      </c>
      <c r="O199" s="6">
        <f t="shared" si="76"/>
        <v>993578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1"/>
      <c r="B200" s="5" t="s">
        <v>14</v>
      </c>
      <c r="C200" s="8">
        <f t="shared" ref="C200:N200" si="77">SUM(C198:C199)</f>
        <v>196453</v>
      </c>
      <c r="D200" s="8">
        <f t="shared" si="77"/>
        <v>155770</v>
      </c>
      <c r="E200" s="8">
        <f t="shared" si="77"/>
        <v>172129</v>
      </c>
      <c r="F200" s="31">
        <f t="shared" si="77"/>
        <v>161017</v>
      </c>
      <c r="G200" s="31">
        <f t="shared" si="77"/>
        <v>158069</v>
      </c>
      <c r="H200" s="31">
        <f t="shared" si="77"/>
        <v>150381</v>
      </c>
      <c r="I200" s="31">
        <f t="shared" si="77"/>
        <v>189356</v>
      </c>
      <c r="J200" s="31">
        <f t="shared" si="77"/>
        <v>178053</v>
      </c>
      <c r="K200" s="8">
        <f t="shared" si="77"/>
        <v>160988</v>
      </c>
      <c r="L200" s="8">
        <f t="shared" si="77"/>
        <v>171014</v>
      </c>
      <c r="M200" s="8">
        <f t="shared" si="77"/>
        <v>158850</v>
      </c>
      <c r="N200" s="8">
        <f t="shared" si="77"/>
        <v>149978</v>
      </c>
      <c r="O200" s="8">
        <f t="shared" si="76"/>
        <v>2002058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2" t="s">
        <v>0</v>
      </c>
      <c r="B203" s="3" t="s">
        <v>1</v>
      </c>
      <c r="C203" s="2" t="s">
        <v>2</v>
      </c>
      <c r="D203" s="2" t="s">
        <v>3</v>
      </c>
      <c r="E203" s="2" t="s">
        <v>4</v>
      </c>
      <c r="F203" s="26" t="s">
        <v>5</v>
      </c>
      <c r="G203" s="26" t="s">
        <v>6</v>
      </c>
      <c r="H203" s="26" t="s">
        <v>7</v>
      </c>
      <c r="I203" s="26" t="s">
        <v>8</v>
      </c>
      <c r="J203" s="26" t="s">
        <v>9</v>
      </c>
      <c r="K203" s="2" t="s">
        <v>10</v>
      </c>
      <c r="L203" s="2" t="s">
        <v>11</v>
      </c>
      <c r="M203" s="2" t="s">
        <v>12</v>
      </c>
      <c r="N203" s="2" t="s">
        <v>13</v>
      </c>
      <c r="O203" s="2" t="s">
        <v>14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4">
        <v>2016.0</v>
      </c>
      <c r="B204" s="5" t="s">
        <v>15</v>
      </c>
      <c r="C204" s="6">
        <f>656+22</f>
        <v>678</v>
      </c>
      <c r="D204" s="6">
        <f>576+21</f>
        <v>597</v>
      </c>
      <c r="E204" s="6">
        <f>577+21</f>
        <v>598</v>
      </c>
      <c r="F204" s="27">
        <f>525-21</f>
        <v>504</v>
      </c>
      <c r="G204" s="27">
        <f>538+22</f>
        <v>560</v>
      </c>
      <c r="H204" s="27">
        <f>499+21</f>
        <v>520</v>
      </c>
      <c r="I204" s="27">
        <f>543+23</f>
        <v>566</v>
      </c>
      <c r="J204" s="27">
        <f t="shared" ref="J204:J205" si="78">498+22</f>
        <v>520</v>
      </c>
      <c r="K204" s="6">
        <f>573+22</f>
        <v>595</v>
      </c>
      <c r="L204" s="6">
        <f>584+24</f>
        <v>608</v>
      </c>
      <c r="M204" s="6">
        <f>550+21</f>
        <v>571</v>
      </c>
      <c r="N204" s="6">
        <f>639+23</f>
        <v>662</v>
      </c>
      <c r="O204" s="6">
        <f t="shared" ref="O204:O206" si="79">SUM(C204:N204)</f>
        <v>6979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7"/>
      <c r="B205" s="5" t="s">
        <v>16</v>
      </c>
      <c r="C205" s="6">
        <f>655+22</f>
        <v>677</v>
      </c>
      <c r="D205" s="6">
        <f>577+21</f>
        <v>598</v>
      </c>
      <c r="E205" s="6">
        <f>573+21</f>
        <v>594</v>
      </c>
      <c r="F205" s="27">
        <f>516-21</f>
        <v>495</v>
      </c>
      <c r="G205" s="27">
        <f>539+22</f>
        <v>561</v>
      </c>
      <c r="H205" s="27">
        <f>497+21</f>
        <v>518</v>
      </c>
      <c r="I205" s="27">
        <f>544+23</f>
        <v>567</v>
      </c>
      <c r="J205" s="27">
        <f t="shared" si="78"/>
        <v>520</v>
      </c>
      <c r="K205" s="6">
        <f>569+22</f>
        <v>591</v>
      </c>
      <c r="L205" s="6">
        <f>574+24</f>
        <v>598</v>
      </c>
      <c r="M205" s="6">
        <f>551+21</f>
        <v>572</v>
      </c>
      <c r="N205" s="6">
        <f>642+23</f>
        <v>665</v>
      </c>
      <c r="O205" s="6">
        <f t="shared" si="79"/>
        <v>6956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7"/>
      <c r="B206" s="17" t="s">
        <v>14</v>
      </c>
      <c r="C206" s="18">
        <f t="shared" ref="C206:N206" si="80">SUM(C204:C205)</f>
        <v>1355</v>
      </c>
      <c r="D206" s="18">
        <f t="shared" si="80"/>
        <v>1195</v>
      </c>
      <c r="E206" s="18">
        <f t="shared" si="80"/>
        <v>1192</v>
      </c>
      <c r="F206" s="28">
        <f t="shared" si="80"/>
        <v>999</v>
      </c>
      <c r="G206" s="28">
        <f t="shared" si="80"/>
        <v>1121</v>
      </c>
      <c r="H206" s="28">
        <f t="shared" si="80"/>
        <v>1038</v>
      </c>
      <c r="I206" s="28">
        <f t="shared" si="80"/>
        <v>1133</v>
      </c>
      <c r="J206" s="28">
        <f t="shared" si="80"/>
        <v>1040</v>
      </c>
      <c r="K206" s="18">
        <f t="shared" si="80"/>
        <v>1186</v>
      </c>
      <c r="L206" s="18">
        <f t="shared" si="80"/>
        <v>1206</v>
      </c>
      <c r="M206" s="18">
        <f t="shared" si="80"/>
        <v>1143</v>
      </c>
      <c r="N206" s="18">
        <f t="shared" si="80"/>
        <v>1327</v>
      </c>
      <c r="O206" s="18">
        <f t="shared" si="79"/>
        <v>13935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7"/>
      <c r="B207" s="19"/>
      <c r="C207" s="20"/>
      <c r="D207" s="21"/>
      <c r="E207" s="21"/>
      <c r="F207" s="29"/>
      <c r="G207" s="29"/>
      <c r="H207" s="29"/>
      <c r="I207" s="29"/>
      <c r="J207" s="29"/>
      <c r="K207" s="21"/>
      <c r="L207" s="21"/>
      <c r="M207" s="21"/>
      <c r="N207" s="21"/>
      <c r="O207" s="2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7"/>
      <c r="B208" s="23" t="s">
        <v>17</v>
      </c>
      <c r="C208" s="24" t="s">
        <v>2</v>
      </c>
      <c r="D208" s="24" t="s">
        <v>3</v>
      </c>
      <c r="E208" s="24" t="s">
        <v>4</v>
      </c>
      <c r="F208" s="30" t="s">
        <v>5</v>
      </c>
      <c r="G208" s="30" t="s">
        <v>6</v>
      </c>
      <c r="H208" s="30" t="s">
        <v>7</v>
      </c>
      <c r="I208" s="30" t="s">
        <v>8</v>
      </c>
      <c r="J208" s="30" t="s">
        <v>9</v>
      </c>
      <c r="K208" s="24" t="s">
        <v>10</v>
      </c>
      <c r="L208" s="24" t="s">
        <v>11</v>
      </c>
      <c r="M208" s="24" t="s">
        <v>12</v>
      </c>
      <c r="N208" s="24" t="s">
        <v>13</v>
      </c>
      <c r="O208" s="24" t="s">
        <v>14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7"/>
      <c r="B209" s="5" t="s">
        <v>18</v>
      </c>
      <c r="C209" s="6">
        <f>93264+3013</f>
        <v>96277</v>
      </c>
      <c r="D209" s="6">
        <f>75957+2830</f>
        <v>78787</v>
      </c>
      <c r="E209" s="6">
        <f>74483+2755</f>
        <v>77238</v>
      </c>
      <c r="F209" s="27">
        <f>62601-2593</f>
        <v>60008</v>
      </c>
      <c r="G209" s="27">
        <f>67944+2855</f>
        <v>70799</v>
      </c>
      <c r="H209" s="27">
        <f>58780+2559</f>
        <v>61339</v>
      </c>
      <c r="I209" s="27">
        <f>74232+3117</f>
        <v>77349</v>
      </c>
      <c r="J209" s="27">
        <f>65977+3039</f>
        <v>69016</v>
      </c>
      <c r="K209" s="6">
        <f>71653+3019</f>
        <v>74672</v>
      </c>
      <c r="L209" s="6">
        <f>73623+3350</f>
        <v>76973</v>
      </c>
      <c r="M209" s="6">
        <f>69860+2796</f>
        <v>72656</v>
      </c>
      <c r="N209" s="6">
        <f>74278+3178</f>
        <v>77456</v>
      </c>
      <c r="O209" s="6">
        <f t="shared" ref="O209:O211" si="81">SUM(C209:N209)</f>
        <v>892570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7"/>
      <c r="B210" s="5" t="s">
        <v>19</v>
      </c>
      <c r="C210" s="6">
        <f>82513+2811</f>
        <v>85324</v>
      </c>
      <c r="D210" s="6">
        <f>76905+2810</f>
        <v>79715</v>
      </c>
      <c r="E210" s="6">
        <f>73655+2332</f>
        <v>75987</v>
      </c>
      <c r="F210" s="27">
        <f>63152-2010</f>
        <v>61142</v>
      </c>
      <c r="G210" s="27">
        <f>62069+2314</f>
        <v>64383</v>
      </c>
      <c r="H210" s="27">
        <f>58419+2223</f>
        <v>60642</v>
      </c>
      <c r="I210" s="27">
        <f>71450+2681</f>
        <v>74131</v>
      </c>
      <c r="J210" s="27">
        <f>69011+2702</f>
        <v>71713</v>
      </c>
      <c r="K210" s="6">
        <f>68016+2743</f>
        <v>70759</v>
      </c>
      <c r="L210" s="6">
        <f>72983+3101</f>
        <v>76084</v>
      </c>
      <c r="M210" s="6">
        <f>66969+2251</f>
        <v>69220</v>
      </c>
      <c r="N210" s="6">
        <f>70063+2110</f>
        <v>72173</v>
      </c>
      <c r="O210" s="6">
        <f t="shared" si="81"/>
        <v>861273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1"/>
      <c r="B211" s="5" t="s">
        <v>14</v>
      </c>
      <c r="C211" s="8">
        <f t="shared" ref="C211:N211" si="82">SUM(C209:C210)</f>
        <v>181601</v>
      </c>
      <c r="D211" s="8">
        <f t="shared" si="82"/>
        <v>158502</v>
      </c>
      <c r="E211" s="8">
        <f t="shared" si="82"/>
        <v>153225</v>
      </c>
      <c r="F211" s="31">
        <f t="shared" si="82"/>
        <v>121150</v>
      </c>
      <c r="G211" s="31">
        <f t="shared" si="82"/>
        <v>135182</v>
      </c>
      <c r="H211" s="31">
        <f t="shared" si="82"/>
        <v>121981</v>
      </c>
      <c r="I211" s="31">
        <f t="shared" si="82"/>
        <v>151480</v>
      </c>
      <c r="J211" s="31">
        <f t="shared" si="82"/>
        <v>140729</v>
      </c>
      <c r="K211" s="8">
        <f t="shared" si="82"/>
        <v>145431</v>
      </c>
      <c r="L211" s="8">
        <f t="shared" si="82"/>
        <v>153057</v>
      </c>
      <c r="M211" s="8">
        <f t="shared" si="82"/>
        <v>141876</v>
      </c>
      <c r="N211" s="8">
        <f t="shared" si="82"/>
        <v>149629</v>
      </c>
      <c r="O211" s="8">
        <f t="shared" si="81"/>
        <v>1753843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2" t="s">
        <v>0</v>
      </c>
      <c r="B214" s="3" t="s">
        <v>1</v>
      </c>
      <c r="C214" s="2" t="s">
        <v>2</v>
      </c>
      <c r="D214" s="2" t="s">
        <v>3</v>
      </c>
      <c r="E214" s="2" t="s">
        <v>4</v>
      </c>
      <c r="F214" s="26" t="s">
        <v>5</v>
      </c>
      <c r="G214" s="26" t="s">
        <v>6</v>
      </c>
      <c r="H214" s="26" t="s">
        <v>7</v>
      </c>
      <c r="I214" s="26" t="s">
        <v>8</v>
      </c>
      <c r="J214" s="26" t="s">
        <v>9</v>
      </c>
      <c r="K214" s="2" t="s">
        <v>10</v>
      </c>
      <c r="L214" s="2" t="s">
        <v>11</v>
      </c>
      <c r="M214" s="2" t="s">
        <v>12</v>
      </c>
      <c r="N214" s="2" t="s">
        <v>13</v>
      </c>
      <c r="O214" s="2" t="s">
        <v>14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4">
        <v>2017.0</v>
      </c>
      <c r="B215" s="5" t="s">
        <v>15</v>
      </c>
      <c r="C215" s="6">
        <v>1003.0</v>
      </c>
      <c r="D215" s="6">
        <v>752.0</v>
      </c>
      <c r="E215" s="6">
        <v>840.0</v>
      </c>
      <c r="F215" s="27">
        <v>807.0</v>
      </c>
      <c r="G215" s="27">
        <v>822.0</v>
      </c>
      <c r="H215" s="27">
        <v>866.0</v>
      </c>
      <c r="I215" s="27">
        <v>970.0</v>
      </c>
      <c r="J215" s="27">
        <v>874.0</v>
      </c>
      <c r="K215" s="6">
        <v>854.0</v>
      </c>
      <c r="L215" s="6">
        <v>833.0</v>
      </c>
      <c r="M215" s="6">
        <v>875.0</v>
      </c>
      <c r="N215" s="6">
        <v>968.0</v>
      </c>
      <c r="O215" s="6">
        <f t="shared" ref="O215:O217" si="83">SUM(C215:N215)</f>
        <v>10464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7"/>
      <c r="B216" s="5" t="s">
        <v>16</v>
      </c>
      <c r="C216" s="6">
        <v>1003.0</v>
      </c>
      <c r="D216" s="6">
        <v>749.0</v>
      </c>
      <c r="E216" s="6">
        <v>841.0</v>
      </c>
      <c r="F216" s="27">
        <v>812.0</v>
      </c>
      <c r="G216" s="27">
        <v>821.0</v>
      </c>
      <c r="H216" s="27">
        <v>866.0</v>
      </c>
      <c r="I216" s="27">
        <v>973.0</v>
      </c>
      <c r="J216" s="27">
        <v>869.0</v>
      </c>
      <c r="K216" s="6">
        <v>857.0</v>
      </c>
      <c r="L216" s="6">
        <v>834.0</v>
      </c>
      <c r="M216" s="6">
        <v>871.0</v>
      </c>
      <c r="N216" s="6">
        <v>971.0</v>
      </c>
      <c r="O216" s="6">
        <f t="shared" si="83"/>
        <v>10467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7"/>
      <c r="B217" s="17" t="s">
        <v>14</v>
      </c>
      <c r="C217" s="18">
        <f t="shared" ref="C217:N217" si="84">SUM(C215:C216)</f>
        <v>2006</v>
      </c>
      <c r="D217" s="18">
        <f t="shared" si="84"/>
        <v>1501</v>
      </c>
      <c r="E217" s="18">
        <f t="shared" si="84"/>
        <v>1681</v>
      </c>
      <c r="F217" s="28">
        <f t="shared" si="84"/>
        <v>1619</v>
      </c>
      <c r="G217" s="28">
        <f t="shared" si="84"/>
        <v>1643</v>
      </c>
      <c r="H217" s="28">
        <f t="shared" si="84"/>
        <v>1732</v>
      </c>
      <c r="I217" s="28">
        <f t="shared" si="84"/>
        <v>1943</v>
      </c>
      <c r="J217" s="28">
        <f t="shared" si="84"/>
        <v>1743</v>
      </c>
      <c r="K217" s="18">
        <f t="shared" si="84"/>
        <v>1711</v>
      </c>
      <c r="L217" s="18">
        <f t="shared" si="84"/>
        <v>1667</v>
      </c>
      <c r="M217" s="18">
        <f t="shared" si="84"/>
        <v>1746</v>
      </c>
      <c r="N217" s="18">
        <f t="shared" si="84"/>
        <v>1939</v>
      </c>
      <c r="O217" s="18">
        <f t="shared" si="83"/>
        <v>20931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7"/>
      <c r="B218" s="19"/>
      <c r="C218" s="20"/>
      <c r="D218" s="21"/>
      <c r="E218" s="21"/>
      <c r="F218" s="29"/>
      <c r="G218" s="29"/>
      <c r="H218" s="29"/>
      <c r="I218" s="29"/>
      <c r="J218" s="29"/>
      <c r="K218" s="21"/>
      <c r="L218" s="21"/>
      <c r="M218" s="21"/>
      <c r="N218" s="21"/>
      <c r="O218" s="2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7"/>
      <c r="B219" s="23" t="s">
        <v>17</v>
      </c>
      <c r="C219" s="24" t="s">
        <v>2</v>
      </c>
      <c r="D219" s="24" t="s">
        <v>3</v>
      </c>
      <c r="E219" s="24" t="s">
        <v>4</v>
      </c>
      <c r="F219" s="30" t="s">
        <v>5</v>
      </c>
      <c r="G219" s="30" t="s">
        <v>6</v>
      </c>
      <c r="H219" s="30" t="s">
        <v>7</v>
      </c>
      <c r="I219" s="30" t="s">
        <v>8</v>
      </c>
      <c r="J219" s="30" t="s">
        <v>9</v>
      </c>
      <c r="K219" s="24" t="s">
        <v>10</v>
      </c>
      <c r="L219" s="24" t="s">
        <v>11</v>
      </c>
      <c r="M219" s="24" t="s">
        <v>12</v>
      </c>
      <c r="N219" s="24" t="s">
        <v>13</v>
      </c>
      <c r="O219" s="24" t="s">
        <v>14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7"/>
      <c r="B220" s="5" t="s">
        <v>18</v>
      </c>
      <c r="C220" s="6">
        <v>120404.0</v>
      </c>
      <c r="D220" s="6">
        <v>77338.0</v>
      </c>
      <c r="E220" s="6">
        <v>85116.0</v>
      </c>
      <c r="F220" s="27">
        <v>79121.0</v>
      </c>
      <c r="G220" s="27">
        <v>79261.0</v>
      </c>
      <c r="H220" s="27">
        <v>77906.0</v>
      </c>
      <c r="I220" s="27">
        <v>103226.0</v>
      </c>
      <c r="J220" s="27">
        <v>89981.0</v>
      </c>
      <c r="K220" s="6">
        <v>89887.0</v>
      </c>
      <c r="L220" s="6">
        <v>96014.0</v>
      </c>
      <c r="M220" s="6">
        <v>95460.0</v>
      </c>
      <c r="N220" s="6">
        <v>107347.0</v>
      </c>
      <c r="O220" s="6">
        <f t="shared" ref="O220:O222" si="85">SUM(C220:N220)</f>
        <v>1101061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7"/>
      <c r="B221" s="5" t="s">
        <v>19</v>
      </c>
      <c r="C221" s="6">
        <v>108221.0</v>
      </c>
      <c r="D221" s="6">
        <v>86516.0</v>
      </c>
      <c r="E221" s="6">
        <v>82666.0</v>
      </c>
      <c r="F221" s="27">
        <v>77906.0</v>
      </c>
      <c r="G221" s="27">
        <v>76842.0</v>
      </c>
      <c r="H221" s="27">
        <v>77767.0</v>
      </c>
      <c r="I221" s="27">
        <v>99746.0</v>
      </c>
      <c r="J221" s="27">
        <v>89920.0</v>
      </c>
      <c r="K221" s="6">
        <v>89490.0</v>
      </c>
      <c r="L221" s="6">
        <v>93885.0</v>
      </c>
      <c r="M221" s="6">
        <v>94724.0</v>
      </c>
      <c r="N221" s="6">
        <v>95625.0</v>
      </c>
      <c r="O221" s="6">
        <f t="shared" si="85"/>
        <v>1073308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1"/>
      <c r="B222" s="5" t="s">
        <v>14</v>
      </c>
      <c r="C222" s="8">
        <f t="shared" ref="C222:N222" si="86">SUM(C220:C221)</f>
        <v>228625</v>
      </c>
      <c r="D222" s="8">
        <f t="shared" si="86"/>
        <v>163854</v>
      </c>
      <c r="E222" s="8">
        <f t="shared" si="86"/>
        <v>167782</v>
      </c>
      <c r="F222" s="31">
        <f t="shared" si="86"/>
        <v>157027</v>
      </c>
      <c r="G222" s="31">
        <f t="shared" si="86"/>
        <v>156103</v>
      </c>
      <c r="H222" s="31">
        <f t="shared" si="86"/>
        <v>155673</v>
      </c>
      <c r="I222" s="31">
        <f t="shared" si="86"/>
        <v>202972</v>
      </c>
      <c r="J222" s="31">
        <f t="shared" si="86"/>
        <v>179901</v>
      </c>
      <c r="K222" s="8">
        <f t="shared" si="86"/>
        <v>179377</v>
      </c>
      <c r="L222" s="8">
        <f t="shared" si="86"/>
        <v>189899</v>
      </c>
      <c r="M222" s="8">
        <f t="shared" si="86"/>
        <v>190184</v>
      </c>
      <c r="N222" s="8">
        <f t="shared" si="86"/>
        <v>202972</v>
      </c>
      <c r="O222" s="8">
        <f t="shared" si="85"/>
        <v>2174369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43"/>
      <c r="B223" s="13"/>
      <c r="C223" s="14"/>
      <c r="D223" s="14"/>
      <c r="E223" s="50"/>
      <c r="F223" s="51"/>
      <c r="G223" s="52"/>
      <c r="H223" s="51"/>
      <c r="I223" s="51"/>
      <c r="J223" s="51"/>
      <c r="K223" s="14"/>
      <c r="L223" s="14"/>
      <c r="M223" s="14"/>
      <c r="N223" s="14"/>
      <c r="O223" s="1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43"/>
      <c r="B224" s="13"/>
      <c r="C224" s="14"/>
      <c r="D224" s="14"/>
      <c r="E224" s="14"/>
      <c r="F224" s="53"/>
      <c r="G224" s="54"/>
      <c r="H224" s="55"/>
      <c r="I224" s="56"/>
      <c r="J224" s="56"/>
      <c r="K224" s="14"/>
      <c r="L224" s="14"/>
      <c r="M224" s="14"/>
      <c r="N224" s="14"/>
      <c r="O224" s="1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2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2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4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2" t="s">
        <v>0</v>
      </c>
      <c r="B229" s="3" t="s">
        <v>1</v>
      </c>
      <c r="C229" s="2" t="s">
        <v>2</v>
      </c>
      <c r="D229" s="2" t="s">
        <v>3</v>
      </c>
      <c r="E229" s="2" t="s">
        <v>4</v>
      </c>
      <c r="F229" s="26" t="s">
        <v>5</v>
      </c>
      <c r="G229" s="26" t="s">
        <v>6</v>
      </c>
      <c r="H229" s="26" t="s">
        <v>7</v>
      </c>
      <c r="I229" s="26" t="s">
        <v>8</v>
      </c>
      <c r="J229" s="26" t="s">
        <v>9</v>
      </c>
      <c r="K229" s="2" t="s">
        <v>10</v>
      </c>
      <c r="L229" s="2" t="s">
        <v>11</v>
      </c>
      <c r="M229" s="2" t="s">
        <v>12</v>
      </c>
      <c r="N229" s="2" t="s">
        <v>13</v>
      </c>
      <c r="O229" s="2" t="s">
        <v>14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4">
        <v>2018.0</v>
      </c>
      <c r="B230" s="5" t="s">
        <v>15</v>
      </c>
      <c r="C230" s="6">
        <v>1043.0</v>
      </c>
      <c r="D230" s="6">
        <v>824.0</v>
      </c>
      <c r="E230" s="6">
        <v>869.0</v>
      </c>
      <c r="F230" s="27">
        <v>961.0</v>
      </c>
      <c r="G230" s="27">
        <v>999.0</v>
      </c>
      <c r="H230" s="27">
        <v>798.0</v>
      </c>
      <c r="I230" s="27">
        <v>936.0</v>
      </c>
      <c r="J230" s="27">
        <v>892.0</v>
      </c>
      <c r="K230" s="6">
        <v>828.0</v>
      </c>
      <c r="L230" s="6">
        <v>832.0</v>
      </c>
      <c r="M230" s="6">
        <v>843.0</v>
      </c>
      <c r="N230" s="6">
        <v>992.0</v>
      </c>
      <c r="O230" s="6">
        <f t="shared" ref="O230:O232" si="87">SUM(C230:N230)</f>
        <v>10817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7"/>
      <c r="B231" s="5" t="s">
        <v>16</v>
      </c>
      <c r="C231" s="6">
        <v>1042.0</v>
      </c>
      <c r="D231" s="6">
        <v>823.0</v>
      </c>
      <c r="E231" s="6">
        <v>870.0</v>
      </c>
      <c r="F231" s="27">
        <v>962.0</v>
      </c>
      <c r="G231" s="27">
        <v>998.0</v>
      </c>
      <c r="H231" s="27">
        <v>798.0</v>
      </c>
      <c r="I231" s="27">
        <v>938.0</v>
      </c>
      <c r="J231" s="27">
        <v>894.0</v>
      </c>
      <c r="K231" s="6">
        <v>826.0</v>
      </c>
      <c r="L231" s="6">
        <v>831.0</v>
      </c>
      <c r="M231" s="6">
        <v>846.0</v>
      </c>
      <c r="N231" s="6">
        <v>993.0</v>
      </c>
      <c r="O231" s="6">
        <f t="shared" si="87"/>
        <v>10821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7"/>
      <c r="B232" s="17" t="s">
        <v>14</v>
      </c>
      <c r="C232" s="18">
        <f t="shared" ref="C232:N232" si="88">SUM(C230:C231)</f>
        <v>2085</v>
      </c>
      <c r="D232" s="18">
        <f t="shared" si="88"/>
        <v>1647</v>
      </c>
      <c r="E232" s="18">
        <f t="shared" si="88"/>
        <v>1739</v>
      </c>
      <c r="F232" s="28">
        <f t="shared" si="88"/>
        <v>1923</v>
      </c>
      <c r="G232" s="28">
        <f t="shared" si="88"/>
        <v>1997</v>
      </c>
      <c r="H232" s="28">
        <f t="shared" si="88"/>
        <v>1596</v>
      </c>
      <c r="I232" s="28">
        <f t="shared" si="88"/>
        <v>1874</v>
      </c>
      <c r="J232" s="28">
        <f t="shared" si="88"/>
        <v>1786</v>
      </c>
      <c r="K232" s="18">
        <f t="shared" si="88"/>
        <v>1654</v>
      </c>
      <c r="L232" s="18">
        <f t="shared" si="88"/>
        <v>1663</v>
      </c>
      <c r="M232" s="18">
        <f t="shared" si="88"/>
        <v>1689</v>
      </c>
      <c r="N232" s="18">
        <f t="shared" si="88"/>
        <v>1985</v>
      </c>
      <c r="O232" s="18">
        <f t="shared" si="87"/>
        <v>21638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7"/>
      <c r="B233" s="19"/>
      <c r="C233" s="20"/>
      <c r="D233" s="21"/>
      <c r="E233" s="21"/>
      <c r="F233" s="29"/>
      <c r="G233" s="29"/>
      <c r="H233" s="29"/>
      <c r="I233" s="29"/>
      <c r="J233" s="29"/>
      <c r="K233" s="21"/>
      <c r="L233" s="21"/>
      <c r="M233" s="21"/>
      <c r="N233" s="21"/>
      <c r="O233" s="2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7"/>
      <c r="B234" s="23" t="s">
        <v>17</v>
      </c>
      <c r="C234" s="24" t="s">
        <v>2</v>
      </c>
      <c r="D234" s="24" t="s">
        <v>3</v>
      </c>
      <c r="E234" s="24" t="s">
        <v>4</v>
      </c>
      <c r="F234" s="30" t="s">
        <v>5</v>
      </c>
      <c r="G234" s="30" t="s">
        <v>6</v>
      </c>
      <c r="H234" s="30" t="s">
        <v>7</v>
      </c>
      <c r="I234" s="30" t="s">
        <v>8</v>
      </c>
      <c r="J234" s="30" t="s">
        <v>20</v>
      </c>
      <c r="K234" s="24" t="s">
        <v>10</v>
      </c>
      <c r="L234" s="24" t="s">
        <v>11</v>
      </c>
      <c r="M234" s="24" t="s">
        <v>12</v>
      </c>
      <c r="N234" s="24" t="s">
        <v>13</v>
      </c>
      <c r="O234" s="24" t="s">
        <v>14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7"/>
      <c r="B235" s="5" t="s">
        <v>18</v>
      </c>
      <c r="C235" s="6">
        <v>134999.0</v>
      </c>
      <c r="D235" s="6">
        <v>93581.0</v>
      </c>
      <c r="E235" s="6">
        <v>92491.0</v>
      </c>
      <c r="F235" s="27">
        <v>98820.0</v>
      </c>
      <c r="G235" s="27">
        <v>98931.0</v>
      </c>
      <c r="H235" s="27">
        <v>78809.0</v>
      </c>
      <c r="I235" s="27">
        <v>106453.0</v>
      </c>
      <c r="J235" s="27">
        <v>90856.0</v>
      </c>
      <c r="K235" s="6">
        <v>88075.0</v>
      </c>
      <c r="L235" s="6">
        <v>93465.0</v>
      </c>
      <c r="M235" s="6">
        <v>94012.0</v>
      </c>
      <c r="N235" s="6">
        <v>105071.0</v>
      </c>
      <c r="O235" s="6">
        <f t="shared" ref="O235:O237" si="89">SUM(C235:N235)</f>
        <v>1175563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7"/>
      <c r="B236" s="5" t="s">
        <v>19</v>
      </c>
      <c r="C236" s="6">
        <v>123544.0</v>
      </c>
      <c r="D236" s="6">
        <v>99683.0</v>
      </c>
      <c r="E236" s="6">
        <v>94100.0</v>
      </c>
      <c r="F236" s="27">
        <v>101908.0</v>
      </c>
      <c r="G236" s="27">
        <v>96997.0</v>
      </c>
      <c r="H236" s="27">
        <v>77984.0</v>
      </c>
      <c r="I236" s="27">
        <v>104271.0</v>
      </c>
      <c r="J236" s="27">
        <v>91165.0</v>
      </c>
      <c r="K236" s="6">
        <v>88759.0</v>
      </c>
      <c r="L236" s="6">
        <v>92497.0</v>
      </c>
      <c r="M236" s="6">
        <v>88655.0</v>
      </c>
      <c r="N236" s="6">
        <v>95759.0</v>
      </c>
      <c r="O236" s="6">
        <f t="shared" si="89"/>
        <v>1155322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1"/>
      <c r="B237" s="5" t="s">
        <v>14</v>
      </c>
      <c r="C237" s="8">
        <f t="shared" ref="C237:N237" si="90">SUM(C235:C236)</f>
        <v>258543</v>
      </c>
      <c r="D237" s="8">
        <f t="shared" si="90"/>
        <v>193264</v>
      </c>
      <c r="E237" s="8">
        <f t="shared" si="90"/>
        <v>186591</v>
      </c>
      <c r="F237" s="31">
        <f t="shared" si="90"/>
        <v>200728</v>
      </c>
      <c r="G237" s="31">
        <f t="shared" si="90"/>
        <v>195928</v>
      </c>
      <c r="H237" s="31">
        <f t="shared" si="90"/>
        <v>156793</v>
      </c>
      <c r="I237" s="31">
        <f t="shared" si="90"/>
        <v>210724</v>
      </c>
      <c r="J237" s="31">
        <f t="shared" si="90"/>
        <v>182021</v>
      </c>
      <c r="K237" s="8">
        <f t="shared" si="90"/>
        <v>176834</v>
      </c>
      <c r="L237" s="8">
        <f t="shared" si="90"/>
        <v>185962</v>
      </c>
      <c r="M237" s="8">
        <f t="shared" si="90"/>
        <v>182667</v>
      </c>
      <c r="N237" s="8">
        <f t="shared" si="90"/>
        <v>200830</v>
      </c>
      <c r="O237" s="8">
        <f t="shared" si="89"/>
        <v>2330885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2" t="s">
        <v>0</v>
      </c>
      <c r="B240" s="3" t="s">
        <v>1</v>
      </c>
      <c r="C240" s="2" t="s">
        <v>2</v>
      </c>
      <c r="D240" s="2" t="s">
        <v>3</v>
      </c>
      <c r="E240" s="2" t="s">
        <v>4</v>
      </c>
      <c r="F240" s="26" t="s">
        <v>5</v>
      </c>
      <c r="G240" s="26" t="s">
        <v>6</v>
      </c>
      <c r="H240" s="26" t="s">
        <v>7</v>
      </c>
      <c r="I240" s="26" t="s">
        <v>8</v>
      </c>
      <c r="J240" s="26" t="s">
        <v>9</v>
      </c>
      <c r="K240" s="2" t="s">
        <v>10</v>
      </c>
      <c r="L240" s="2" t="s">
        <v>11</v>
      </c>
      <c r="M240" s="2" t="s">
        <v>12</v>
      </c>
      <c r="N240" s="2" t="s">
        <v>13</v>
      </c>
      <c r="O240" s="2" t="s">
        <v>14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4"/>
      <c r="B241" s="5" t="s">
        <v>15</v>
      </c>
      <c r="C241" s="6">
        <v>1115.0</v>
      </c>
      <c r="D241" s="6">
        <v>882.0</v>
      </c>
      <c r="E241" s="6">
        <v>852.0</v>
      </c>
      <c r="F241" s="27">
        <v>744.0</v>
      </c>
      <c r="G241" s="27">
        <v>737.0</v>
      </c>
      <c r="H241" s="27">
        <v>753.0</v>
      </c>
      <c r="I241" s="27">
        <v>963.0</v>
      </c>
      <c r="J241" s="27">
        <v>906.0</v>
      </c>
      <c r="K241" s="6">
        <v>855.0</v>
      </c>
      <c r="L241" s="6">
        <v>907.0</v>
      </c>
      <c r="M241" s="6">
        <v>903.0</v>
      </c>
      <c r="N241" s="6" t="s">
        <v>21</v>
      </c>
      <c r="O241" s="6">
        <f t="shared" ref="O241:O243" si="91">SUM(C241:N241)</f>
        <v>9617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57"/>
      <c r="B242" s="5" t="s">
        <v>16</v>
      </c>
      <c r="C242" s="6">
        <v>1111.0</v>
      </c>
      <c r="D242" s="6">
        <v>884.0</v>
      </c>
      <c r="E242" s="6">
        <v>852.0</v>
      </c>
      <c r="F242" s="27">
        <v>744.0</v>
      </c>
      <c r="G242" s="27">
        <v>732.0</v>
      </c>
      <c r="H242" s="27">
        <v>757.0</v>
      </c>
      <c r="I242" s="27">
        <v>960.0</v>
      </c>
      <c r="J242" s="27">
        <v>906.0</v>
      </c>
      <c r="K242" s="6">
        <v>860.0</v>
      </c>
      <c r="L242" s="6">
        <v>896.0</v>
      </c>
      <c r="M242" s="6">
        <v>910.0</v>
      </c>
      <c r="N242" s="6" t="s">
        <v>21</v>
      </c>
      <c r="O242" s="6">
        <f t="shared" si="91"/>
        <v>9612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57"/>
      <c r="B243" s="17" t="s">
        <v>14</v>
      </c>
      <c r="C243" s="18">
        <f t="shared" ref="C243:J243" si="92">SUM(C241:C242)</f>
        <v>2226</v>
      </c>
      <c r="D243" s="18">
        <f t="shared" si="92"/>
        <v>1766</v>
      </c>
      <c r="E243" s="18">
        <f t="shared" si="92"/>
        <v>1704</v>
      </c>
      <c r="F243" s="28">
        <f t="shared" si="92"/>
        <v>1488</v>
      </c>
      <c r="G243" s="28">
        <f t="shared" si="92"/>
        <v>1469</v>
      </c>
      <c r="H243" s="28">
        <f t="shared" si="92"/>
        <v>1510</v>
      </c>
      <c r="I243" s="28">
        <f t="shared" si="92"/>
        <v>1923</v>
      </c>
      <c r="J243" s="28">
        <f t="shared" si="92"/>
        <v>1812</v>
      </c>
      <c r="K243" s="18">
        <v>1715.0</v>
      </c>
      <c r="L243" s="18">
        <v>1803.0</v>
      </c>
      <c r="M243" s="18">
        <f>SUM(M241:M242)</f>
        <v>1813</v>
      </c>
      <c r="N243" s="18" t="s">
        <v>21</v>
      </c>
      <c r="O243" s="18">
        <f t="shared" si="91"/>
        <v>19229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57">
        <v>2019.0</v>
      </c>
      <c r="B244" s="19"/>
      <c r="C244" s="20">
        <f t="shared" ref="C244:N244" si="93">C243/30</f>
        <v>74.2</v>
      </c>
      <c r="D244" s="20">
        <f t="shared" si="93"/>
        <v>58.86666667</v>
      </c>
      <c r="E244" s="20">
        <f t="shared" si="93"/>
        <v>56.8</v>
      </c>
      <c r="F244" s="20">
        <f t="shared" si="93"/>
        <v>49.6</v>
      </c>
      <c r="G244" s="20">
        <f t="shared" si="93"/>
        <v>48.96666667</v>
      </c>
      <c r="H244" s="20">
        <f t="shared" si="93"/>
        <v>50.33333333</v>
      </c>
      <c r="I244" s="20">
        <f t="shared" si="93"/>
        <v>64.1</v>
      </c>
      <c r="J244" s="20">
        <f t="shared" si="93"/>
        <v>60.4</v>
      </c>
      <c r="K244" s="20">
        <f t="shared" si="93"/>
        <v>57.16666667</v>
      </c>
      <c r="L244" s="20">
        <f t="shared" si="93"/>
        <v>60.1</v>
      </c>
      <c r="M244" s="20">
        <f t="shared" si="93"/>
        <v>60.43333333</v>
      </c>
      <c r="N244" s="20" t="str">
        <f t="shared" si="93"/>
        <v>#VALUE!</v>
      </c>
      <c r="O244" s="2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57"/>
      <c r="B245" s="23" t="s">
        <v>17</v>
      </c>
      <c r="C245" s="24" t="s">
        <v>2</v>
      </c>
      <c r="D245" s="24" t="s">
        <v>3</v>
      </c>
      <c r="E245" s="24" t="s">
        <v>4</v>
      </c>
      <c r="F245" s="30" t="s">
        <v>5</v>
      </c>
      <c r="G245" s="30" t="s">
        <v>6</v>
      </c>
      <c r="H245" s="30" t="s">
        <v>7</v>
      </c>
      <c r="I245" s="30" t="s">
        <v>8</v>
      </c>
      <c r="J245" s="30" t="s">
        <v>20</v>
      </c>
      <c r="K245" s="24" t="s">
        <v>10</v>
      </c>
      <c r="L245" s="24" t="s">
        <v>11</v>
      </c>
      <c r="M245" s="24" t="s">
        <v>12</v>
      </c>
      <c r="N245" s="24" t="s">
        <v>13</v>
      </c>
      <c r="O245" s="24" t="s">
        <v>14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57"/>
      <c r="B246" s="5" t="s">
        <v>18</v>
      </c>
      <c r="C246" s="6">
        <v>133634.0</v>
      </c>
      <c r="D246" s="6">
        <v>102320.0</v>
      </c>
      <c r="E246" s="6">
        <v>99195.0</v>
      </c>
      <c r="F246" s="27">
        <v>84896.0</v>
      </c>
      <c r="G246" s="27">
        <v>74436.0</v>
      </c>
      <c r="H246" s="27">
        <v>73125.0</v>
      </c>
      <c r="I246" s="27">
        <v>106798.0</v>
      </c>
      <c r="J246" s="27">
        <v>84067.0</v>
      </c>
      <c r="K246" s="6">
        <v>85860.0</v>
      </c>
      <c r="L246" s="6">
        <v>101872.0</v>
      </c>
      <c r="M246" s="6">
        <v>105158.0</v>
      </c>
      <c r="N246" s="6">
        <v>111647.0</v>
      </c>
      <c r="O246" s="6">
        <f t="shared" ref="O246:O248" si="94">SUM(C246:N246)</f>
        <v>1163008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57"/>
      <c r="B247" s="5" t="s">
        <v>19</v>
      </c>
      <c r="C247" s="6">
        <v>122500.0</v>
      </c>
      <c r="D247" s="6">
        <v>104482.0</v>
      </c>
      <c r="E247" s="6">
        <v>96004.0</v>
      </c>
      <c r="F247" s="27">
        <v>81639.0</v>
      </c>
      <c r="G247" s="27">
        <v>70850.0</v>
      </c>
      <c r="H247" s="27">
        <v>72066.0</v>
      </c>
      <c r="I247" s="27">
        <v>101173.0</v>
      </c>
      <c r="J247" s="27">
        <v>83966.0</v>
      </c>
      <c r="K247" s="6">
        <v>77652.0</v>
      </c>
      <c r="L247" s="6">
        <v>101187.0</v>
      </c>
      <c r="M247" s="6">
        <v>99694.0</v>
      </c>
      <c r="N247" s="6">
        <v>99929.0</v>
      </c>
      <c r="O247" s="6">
        <f t="shared" si="94"/>
        <v>1111142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58"/>
      <c r="B248" s="5" t="s">
        <v>14</v>
      </c>
      <c r="C248" s="8">
        <f t="shared" ref="C248:J248" si="95">SUM(C246:C247)</f>
        <v>256134</v>
      </c>
      <c r="D248" s="8">
        <f t="shared" si="95"/>
        <v>206802</v>
      </c>
      <c r="E248" s="8">
        <f t="shared" si="95"/>
        <v>195199</v>
      </c>
      <c r="F248" s="31">
        <f t="shared" si="95"/>
        <v>166535</v>
      </c>
      <c r="G248" s="31">
        <f t="shared" si="95"/>
        <v>145286</v>
      </c>
      <c r="H248" s="31">
        <f t="shared" si="95"/>
        <v>145191</v>
      </c>
      <c r="I248" s="31">
        <f t="shared" si="95"/>
        <v>207971</v>
      </c>
      <c r="J248" s="31">
        <f t="shared" si="95"/>
        <v>168033</v>
      </c>
      <c r="K248" s="8">
        <v>163512.0</v>
      </c>
      <c r="L248" s="8">
        <v>203059.0</v>
      </c>
      <c r="M248" s="8">
        <f>SUM(M246:M247)</f>
        <v>204852</v>
      </c>
      <c r="N248" s="8" t="s">
        <v>21</v>
      </c>
      <c r="O248" s="8">
        <f t="shared" si="94"/>
        <v>2062574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2" t="s">
        <v>0</v>
      </c>
      <c r="B251" s="3" t="s">
        <v>1</v>
      </c>
      <c r="C251" s="2" t="s">
        <v>2</v>
      </c>
      <c r="D251" s="2" t="s">
        <v>3</v>
      </c>
      <c r="E251" s="2" t="s">
        <v>4</v>
      </c>
      <c r="F251" s="26" t="s">
        <v>5</v>
      </c>
      <c r="G251" s="26" t="s">
        <v>6</v>
      </c>
      <c r="H251" s="26" t="s">
        <v>7</v>
      </c>
      <c r="I251" s="26" t="s">
        <v>8</v>
      </c>
      <c r="J251" s="26" t="s">
        <v>9</v>
      </c>
      <c r="K251" s="2" t="s">
        <v>10</v>
      </c>
      <c r="L251" s="2" t="s">
        <v>11</v>
      </c>
      <c r="M251" s="2" t="s">
        <v>12</v>
      </c>
      <c r="N251" s="2" t="s">
        <v>13</v>
      </c>
      <c r="O251" s="2" t="s">
        <v>14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4"/>
      <c r="B252" s="5" t="s">
        <v>15</v>
      </c>
      <c r="C252" s="6">
        <v>1021.0</v>
      </c>
      <c r="D252" s="6">
        <v>878.0</v>
      </c>
      <c r="E252" s="6">
        <v>643.0</v>
      </c>
      <c r="F252" s="27">
        <v>50.0</v>
      </c>
      <c r="G252" s="27">
        <v>69.0</v>
      </c>
      <c r="H252" s="27">
        <v>87.0</v>
      </c>
      <c r="I252" s="27">
        <v>91.0</v>
      </c>
      <c r="J252" s="27">
        <v>134.0</v>
      </c>
      <c r="K252" s="6">
        <v>153.0</v>
      </c>
      <c r="L252" s="6">
        <v>288.0</v>
      </c>
      <c r="M252" s="6">
        <v>399.0</v>
      </c>
      <c r="N252" s="6">
        <v>445.0</v>
      </c>
      <c r="O252" s="6">
        <f t="shared" ref="O252:O253" si="96">SUM(C252:N252)</f>
        <v>4258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57"/>
      <c r="B253" s="5" t="s">
        <v>16</v>
      </c>
      <c r="C253" s="6">
        <v>1016.0</v>
      </c>
      <c r="D253" s="6">
        <v>879.0</v>
      </c>
      <c r="E253" s="6">
        <v>646.0</v>
      </c>
      <c r="F253" s="27">
        <v>51.0</v>
      </c>
      <c r="G253" s="27">
        <v>69.0</v>
      </c>
      <c r="H253" s="27">
        <v>87.0</v>
      </c>
      <c r="I253" s="27">
        <v>91.0</v>
      </c>
      <c r="J253" s="27">
        <v>131.0</v>
      </c>
      <c r="K253" s="6">
        <v>154.0</v>
      </c>
      <c r="L253" s="6">
        <v>289.0</v>
      </c>
      <c r="M253" s="6">
        <v>393.0</v>
      </c>
      <c r="N253" s="6">
        <v>450.0</v>
      </c>
      <c r="O253" s="6">
        <f t="shared" si="96"/>
        <v>4256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57"/>
      <c r="B254" s="17" t="s">
        <v>14</v>
      </c>
      <c r="C254" s="18">
        <f t="shared" ref="C254:O254" si="97">SUM(C252:C253)</f>
        <v>2037</v>
      </c>
      <c r="D254" s="18">
        <f t="shared" si="97"/>
        <v>1757</v>
      </c>
      <c r="E254" s="18">
        <f t="shared" si="97"/>
        <v>1289</v>
      </c>
      <c r="F254" s="18">
        <f t="shared" si="97"/>
        <v>101</v>
      </c>
      <c r="G254" s="18">
        <f t="shared" si="97"/>
        <v>138</v>
      </c>
      <c r="H254" s="18">
        <f t="shared" si="97"/>
        <v>174</v>
      </c>
      <c r="I254" s="18">
        <f t="shared" si="97"/>
        <v>182</v>
      </c>
      <c r="J254" s="18">
        <f t="shared" si="97"/>
        <v>265</v>
      </c>
      <c r="K254" s="18">
        <f t="shared" si="97"/>
        <v>307</v>
      </c>
      <c r="L254" s="18">
        <f t="shared" si="97"/>
        <v>577</v>
      </c>
      <c r="M254" s="18">
        <f t="shared" si="97"/>
        <v>792</v>
      </c>
      <c r="N254" s="18">
        <f t="shared" si="97"/>
        <v>895</v>
      </c>
      <c r="O254" s="8">
        <f t="shared" si="97"/>
        <v>8514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57">
        <v>2020.0</v>
      </c>
      <c r="B255" s="19"/>
      <c r="C255" s="20">
        <f t="shared" ref="C255:N255" si="98">(C254/30)/2</f>
        <v>33.95</v>
      </c>
      <c r="D255" s="20">
        <f t="shared" si="98"/>
        <v>29.28333333</v>
      </c>
      <c r="E255" s="20">
        <f t="shared" si="98"/>
        <v>21.48333333</v>
      </c>
      <c r="F255" s="20">
        <f t="shared" si="98"/>
        <v>1.683333333</v>
      </c>
      <c r="G255" s="20">
        <f t="shared" si="98"/>
        <v>2.3</v>
      </c>
      <c r="H255" s="20">
        <f t="shared" si="98"/>
        <v>2.9</v>
      </c>
      <c r="I255" s="20">
        <f t="shared" si="98"/>
        <v>3.033333333</v>
      </c>
      <c r="J255" s="20">
        <f t="shared" si="98"/>
        <v>4.416666667</v>
      </c>
      <c r="K255" s="20">
        <f t="shared" si="98"/>
        <v>5.116666667</v>
      </c>
      <c r="L255" s="20">
        <f t="shared" si="98"/>
        <v>9.616666667</v>
      </c>
      <c r="M255" s="20">
        <f t="shared" si="98"/>
        <v>13.2</v>
      </c>
      <c r="N255" s="20">
        <f t="shared" si="98"/>
        <v>14.91666667</v>
      </c>
      <c r="O255" s="2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57"/>
      <c r="B256" s="23" t="s">
        <v>17</v>
      </c>
      <c r="C256" s="24" t="s">
        <v>2</v>
      </c>
      <c r="D256" s="24" t="s">
        <v>3</v>
      </c>
      <c r="E256" s="24" t="s">
        <v>4</v>
      </c>
      <c r="F256" s="30" t="s">
        <v>5</v>
      </c>
      <c r="G256" s="30" t="s">
        <v>6</v>
      </c>
      <c r="H256" s="30" t="s">
        <v>7</v>
      </c>
      <c r="I256" s="30" t="s">
        <v>8</v>
      </c>
      <c r="J256" s="30" t="s">
        <v>20</v>
      </c>
      <c r="K256" s="24" t="s">
        <v>10</v>
      </c>
      <c r="L256" s="24" t="s">
        <v>11</v>
      </c>
      <c r="M256" s="24" t="s">
        <v>12</v>
      </c>
      <c r="N256" s="24" t="s">
        <v>13</v>
      </c>
      <c r="O256" s="24" t="s">
        <v>14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57"/>
      <c r="B257" s="5" t="s">
        <v>18</v>
      </c>
      <c r="C257" s="6">
        <v>129049.0</v>
      </c>
      <c r="D257" s="6">
        <v>98981.0</v>
      </c>
      <c r="E257" s="6">
        <v>62611.0</v>
      </c>
      <c r="F257" s="27">
        <v>217.0</v>
      </c>
      <c r="G257" s="27">
        <v>2323.0</v>
      </c>
      <c r="H257" s="27">
        <v>3900.0</v>
      </c>
      <c r="I257" s="27">
        <v>6390.0</v>
      </c>
      <c r="J257" s="27">
        <v>8279.0</v>
      </c>
      <c r="K257" s="6">
        <v>11963.0</v>
      </c>
      <c r="L257" s="6">
        <v>22065.0</v>
      </c>
      <c r="M257" s="6">
        <v>33359.0</v>
      </c>
      <c r="N257" s="6">
        <v>37895.0</v>
      </c>
      <c r="O257" s="6">
        <f t="shared" ref="O257:O258" si="99">SUM(C257:N257)</f>
        <v>417032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57"/>
      <c r="B258" s="5" t="s">
        <v>19</v>
      </c>
      <c r="C258" s="6">
        <v>114368.0</v>
      </c>
      <c r="D258" s="6">
        <v>100527.0</v>
      </c>
      <c r="E258" s="6">
        <v>60220.0</v>
      </c>
      <c r="F258" s="27">
        <v>277.0</v>
      </c>
      <c r="G258" s="27">
        <v>1712.0</v>
      </c>
      <c r="H258" s="27">
        <v>3675.0</v>
      </c>
      <c r="I258" s="27">
        <v>5683.0</v>
      </c>
      <c r="J258" s="27">
        <v>8092.0</v>
      </c>
      <c r="K258" s="6">
        <v>12006.0</v>
      </c>
      <c r="L258" s="6">
        <v>23004.0</v>
      </c>
      <c r="M258" s="6">
        <v>34159.0</v>
      </c>
      <c r="N258" s="6">
        <v>38870.0</v>
      </c>
      <c r="O258" s="6">
        <f t="shared" si="99"/>
        <v>402593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58"/>
      <c r="B259" s="5" t="s">
        <v>14</v>
      </c>
      <c r="C259" s="8">
        <f t="shared" ref="C259:O259" si="100">SUM(C257:C258)</f>
        <v>243417</v>
      </c>
      <c r="D259" s="8">
        <f t="shared" si="100"/>
        <v>199508</v>
      </c>
      <c r="E259" s="8">
        <f t="shared" si="100"/>
        <v>122831</v>
      </c>
      <c r="F259" s="8">
        <f t="shared" si="100"/>
        <v>494</v>
      </c>
      <c r="G259" s="8">
        <f t="shared" si="100"/>
        <v>4035</v>
      </c>
      <c r="H259" s="8">
        <f t="shared" si="100"/>
        <v>7575</v>
      </c>
      <c r="I259" s="8">
        <f t="shared" si="100"/>
        <v>12073</v>
      </c>
      <c r="J259" s="8">
        <f t="shared" si="100"/>
        <v>16371</v>
      </c>
      <c r="K259" s="8">
        <f t="shared" si="100"/>
        <v>23969</v>
      </c>
      <c r="L259" s="8">
        <f t="shared" si="100"/>
        <v>45069</v>
      </c>
      <c r="M259" s="8">
        <f t="shared" si="100"/>
        <v>67518</v>
      </c>
      <c r="N259" s="8">
        <f t="shared" si="100"/>
        <v>76765</v>
      </c>
      <c r="O259" s="8">
        <f t="shared" si="100"/>
        <v>819625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59">
        <v>114868.0</v>
      </c>
      <c r="D260" s="60">
        <v>100527.0</v>
      </c>
      <c r="E260" s="60">
        <v>60220.0</v>
      </c>
      <c r="F260" s="60">
        <v>277.0</v>
      </c>
      <c r="G260" s="60">
        <v>1712.0</v>
      </c>
      <c r="H260" s="60">
        <v>3675.0</v>
      </c>
      <c r="I260" s="60">
        <v>5683.0</v>
      </c>
      <c r="J260" s="60">
        <v>8092.0</v>
      </c>
      <c r="K260" s="60">
        <v>12006.0</v>
      </c>
      <c r="L260" s="60">
        <v>23004.0</v>
      </c>
      <c r="M260" s="60">
        <v>34159.0</v>
      </c>
      <c r="N260" s="60">
        <v>38870.0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61"/>
      <c r="M261" s="61"/>
      <c r="N261" s="6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2" t="s">
        <v>0</v>
      </c>
      <c r="B262" s="3" t="s">
        <v>1</v>
      </c>
      <c r="C262" s="2" t="s">
        <v>2</v>
      </c>
      <c r="D262" s="2" t="s">
        <v>3</v>
      </c>
      <c r="E262" s="2" t="s">
        <v>4</v>
      </c>
      <c r="F262" s="26" t="s">
        <v>5</v>
      </c>
      <c r="G262" s="26" t="s">
        <v>6</v>
      </c>
      <c r="H262" s="26" t="s">
        <v>7</v>
      </c>
      <c r="I262" s="26" t="s">
        <v>8</v>
      </c>
      <c r="J262" s="26" t="s">
        <v>9</v>
      </c>
      <c r="K262" s="2" t="s">
        <v>10</v>
      </c>
      <c r="L262" s="2" t="s">
        <v>11</v>
      </c>
      <c r="M262" s="2" t="s">
        <v>12</v>
      </c>
      <c r="N262" s="2" t="s">
        <v>13</v>
      </c>
      <c r="O262" s="2" t="s">
        <v>14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4"/>
      <c r="B263" s="5" t="s">
        <v>15</v>
      </c>
      <c r="C263" s="6">
        <v>497.0</v>
      </c>
      <c r="D263" s="6">
        <v>307.0</v>
      </c>
      <c r="E263" s="6">
        <v>306.0</v>
      </c>
      <c r="F263" s="27">
        <v>257.0</v>
      </c>
      <c r="G263" s="27">
        <v>305.0</v>
      </c>
      <c r="H263" s="27">
        <v>388.0</v>
      </c>
      <c r="I263" s="27"/>
      <c r="J263" s="27"/>
      <c r="K263" s="6"/>
      <c r="L263" s="6"/>
      <c r="M263" s="6"/>
      <c r="N263" s="6"/>
      <c r="O263" s="6">
        <f t="shared" ref="O263:O264" si="101">SUM(C263:N263)</f>
        <v>2060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57"/>
      <c r="B264" s="5" t="s">
        <v>16</v>
      </c>
      <c r="C264" s="6">
        <v>498.0</v>
      </c>
      <c r="D264" s="6">
        <v>306.0</v>
      </c>
      <c r="E264" s="6">
        <v>305.0</v>
      </c>
      <c r="F264" s="27">
        <v>254.0</v>
      </c>
      <c r="G264" s="27">
        <v>308.0</v>
      </c>
      <c r="H264" s="27">
        <v>389.0</v>
      </c>
      <c r="I264" s="27"/>
      <c r="J264" s="27"/>
      <c r="K264" s="6"/>
      <c r="L264" s="6"/>
      <c r="M264" s="6"/>
      <c r="N264" s="6"/>
      <c r="O264" s="6">
        <f t="shared" si="101"/>
        <v>2060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57"/>
      <c r="B265" s="17" t="s">
        <v>14</v>
      </c>
      <c r="C265" s="18">
        <f t="shared" ref="C265:O265" si="102">SUM(C263:C264)</f>
        <v>995</v>
      </c>
      <c r="D265" s="18">
        <f t="shared" si="102"/>
        <v>613</v>
      </c>
      <c r="E265" s="18">
        <f t="shared" si="102"/>
        <v>611</v>
      </c>
      <c r="F265" s="18">
        <f t="shared" si="102"/>
        <v>511</v>
      </c>
      <c r="G265" s="18">
        <f t="shared" si="102"/>
        <v>613</v>
      </c>
      <c r="H265" s="18">
        <f t="shared" si="102"/>
        <v>777</v>
      </c>
      <c r="I265" s="18">
        <f t="shared" si="102"/>
        <v>0</v>
      </c>
      <c r="J265" s="18">
        <f t="shared" si="102"/>
        <v>0</v>
      </c>
      <c r="K265" s="18">
        <f t="shared" si="102"/>
        <v>0</v>
      </c>
      <c r="L265" s="18">
        <f t="shared" si="102"/>
        <v>0</v>
      </c>
      <c r="M265" s="18">
        <f t="shared" si="102"/>
        <v>0</v>
      </c>
      <c r="N265" s="18">
        <f t="shared" si="102"/>
        <v>0</v>
      </c>
      <c r="O265" s="62">
        <f t="shared" si="102"/>
        <v>4120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0.75" customHeight="1">
      <c r="A266" s="57">
        <v>2021.0</v>
      </c>
      <c r="B266" s="63" t="s">
        <v>22</v>
      </c>
      <c r="C266" s="64">
        <v>27.0</v>
      </c>
      <c r="D266" s="64">
        <v>16.0</v>
      </c>
      <c r="E266" s="64">
        <v>15.0</v>
      </c>
      <c r="F266" s="65">
        <f>316/30</f>
        <v>10.53333333</v>
      </c>
      <c r="G266" s="65">
        <f>(50+80+92+92+38)/31</f>
        <v>11.35483871</v>
      </c>
      <c r="H266" s="65">
        <v>17.0</v>
      </c>
      <c r="I266" s="65"/>
      <c r="J266" s="65"/>
      <c r="K266" s="65"/>
      <c r="L266" s="65"/>
      <c r="M266" s="65"/>
      <c r="N266" s="65"/>
      <c r="O266" s="10"/>
      <c r="Q266" s="8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57"/>
      <c r="B267" s="66" t="s">
        <v>23</v>
      </c>
      <c r="C267" s="67">
        <f>C265/N254-1</f>
        <v>0.1117318436</v>
      </c>
      <c r="D267" s="67">
        <f t="shared" ref="D267:N267" si="103">D265/C265-1</f>
        <v>-0.383919598</v>
      </c>
      <c r="E267" s="67">
        <f t="shared" si="103"/>
        <v>-0.003262642741</v>
      </c>
      <c r="F267" s="67">
        <f t="shared" si="103"/>
        <v>-0.1636661211</v>
      </c>
      <c r="G267" s="67">
        <f t="shared" si="103"/>
        <v>0.1996086106</v>
      </c>
      <c r="H267" s="67">
        <f t="shared" si="103"/>
        <v>0.2675367047</v>
      </c>
      <c r="I267" s="67">
        <f t="shared" si="103"/>
        <v>-1</v>
      </c>
      <c r="J267" s="67" t="str">
        <f t="shared" si="103"/>
        <v>#DIV/0!</v>
      </c>
      <c r="K267" s="67" t="str">
        <f t="shared" si="103"/>
        <v>#DIV/0!</v>
      </c>
      <c r="L267" s="67" t="str">
        <f t="shared" si="103"/>
        <v>#DIV/0!</v>
      </c>
      <c r="M267" s="67" t="str">
        <f t="shared" si="103"/>
        <v>#DIV/0!</v>
      </c>
      <c r="N267" s="67" t="str">
        <f t="shared" si="103"/>
        <v>#DIV/0!</v>
      </c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57"/>
      <c r="B268" s="23" t="s">
        <v>17</v>
      </c>
      <c r="C268" s="24" t="s">
        <v>2</v>
      </c>
      <c r="D268" s="24" t="s">
        <v>3</v>
      </c>
      <c r="E268" s="24" t="s">
        <v>4</v>
      </c>
      <c r="F268" s="68" t="s">
        <v>5</v>
      </c>
      <c r="G268" s="68" t="s">
        <v>6</v>
      </c>
      <c r="H268" s="68" t="s">
        <v>7</v>
      </c>
      <c r="I268" s="68" t="s">
        <v>8</v>
      </c>
      <c r="J268" s="68" t="s">
        <v>20</v>
      </c>
      <c r="K268" s="24" t="s">
        <v>10</v>
      </c>
      <c r="L268" s="24" t="s">
        <v>11</v>
      </c>
      <c r="M268" s="24" t="s">
        <v>12</v>
      </c>
      <c r="N268" s="24" t="s">
        <v>13</v>
      </c>
      <c r="O268" s="24" t="s">
        <v>14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57"/>
      <c r="B269" s="5" t="s">
        <v>18</v>
      </c>
      <c r="C269" s="6">
        <v>47296.0</v>
      </c>
      <c r="D269" s="6">
        <v>28458.0</v>
      </c>
      <c r="E269" s="6">
        <v>19446.0</v>
      </c>
      <c r="F269" s="27">
        <v>18271.0</v>
      </c>
      <c r="G269" s="27">
        <v>25495.0</v>
      </c>
      <c r="H269" s="27">
        <v>30647.0</v>
      </c>
      <c r="I269" s="27"/>
      <c r="J269" s="27"/>
      <c r="K269" s="6"/>
      <c r="L269" s="6"/>
      <c r="M269" s="6"/>
      <c r="N269" s="6"/>
      <c r="O269" s="6">
        <f t="shared" ref="O269:O270" si="104">SUM(C269:N269)</f>
        <v>169613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57"/>
      <c r="B270" s="5" t="s">
        <v>19</v>
      </c>
      <c r="C270" s="6">
        <v>47804.0</v>
      </c>
      <c r="D270" s="6">
        <v>30741.0</v>
      </c>
      <c r="E270" s="6">
        <v>20409.0</v>
      </c>
      <c r="F270" s="27">
        <v>18797.0</v>
      </c>
      <c r="G270" s="27">
        <v>25949.0</v>
      </c>
      <c r="H270" s="27">
        <v>31894.0</v>
      </c>
      <c r="I270" s="27"/>
      <c r="J270" s="27"/>
      <c r="K270" s="6"/>
      <c r="L270" s="6"/>
      <c r="M270" s="6"/>
      <c r="N270" s="6"/>
      <c r="O270" s="6">
        <f t="shared" si="104"/>
        <v>175594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58"/>
      <c r="B271" s="69" t="s">
        <v>14</v>
      </c>
      <c r="C271" s="62">
        <f t="shared" ref="C271:O271" si="105">SUM(C269:C270)</f>
        <v>95100</v>
      </c>
      <c r="D271" s="62">
        <f t="shared" si="105"/>
        <v>59199</v>
      </c>
      <c r="E271" s="62">
        <f t="shared" si="105"/>
        <v>39855</v>
      </c>
      <c r="F271" s="62">
        <f t="shared" si="105"/>
        <v>37068</v>
      </c>
      <c r="G271" s="62">
        <f t="shared" si="105"/>
        <v>51444</v>
      </c>
      <c r="H271" s="62">
        <f t="shared" si="105"/>
        <v>62541</v>
      </c>
      <c r="I271" s="62">
        <f t="shared" si="105"/>
        <v>0</v>
      </c>
      <c r="J271" s="62">
        <f t="shared" si="105"/>
        <v>0</v>
      </c>
      <c r="K271" s="62">
        <f t="shared" si="105"/>
        <v>0</v>
      </c>
      <c r="L271" s="62">
        <f t="shared" si="105"/>
        <v>0</v>
      </c>
      <c r="M271" s="62">
        <f t="shared" si="105"/>
        <v>0</v>
      </c>
      <c r="N271" s="62">
        <f t="shared" si="105"/>
        <v>0</v>
      </c>
      <c r="O271" s="62">
        <f t="shared" si="105"/>
        <v>345207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9">
    <mergeCell ref="A7:A14"/>
    <mergeCell ref="A18:A25"/>
    <mergeCell ref="A29:A36"/>
    <mergeCell ref="A44:A51"/>
    <mergeCell ref="A55:A62"/>
    <mergeCell ref="A66:A73"/>
    <mergeCell ref="A81:A88"/>
    <mergeCell ref="A178:A185"/>
    <mergeCell ref="A193:A200"/>
    <mergeCell ref="A204:A211"/>
    <mergeCell ref="A215:A222"/>
    <mergeCell ref="A230:A237"/>
    <mergeCell ref="A92:A99"/>
    <mergeCell ref="A103:A110"/>
    <mergeCell ref="A119:A126"/>
    <mergeCell ref="A130:A137"/>
    <mergeCell ref="A141:A148"/>
    <mergeCell ref="A156:A163"/>
    <mergeCell ref="A167:A17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14"/>
    <col customWidth="1" min="3" max="3" width="8.14"/>
    <col customWidth="1" min="4" max="4" width="8.57"/>
    <col customWidth="1" min="5" max="5" width="8.29"/>
    <col customWidth="1" min="6" max="6" width="8.71"/>
    <col customWidth="1" min="7" max="7" width="8.29"/>
    <col customWidth="1" min="8" max="8" width="7.71"/>
    <col customWidth="1" min="9" max="9" width="9.0"/>
    <col customWidth="1" min="10" max="11" width="7.71"/>
    <col customWidth="1" min="12" max="12" width="8.57"/>
    <col customWidth="1" min="13" max="13" width="8.71"/>
    <col customWidth="1" min="14" max="14" width="9.0"/>
    <col customWidth="1" min="15" max="15" width="10.43"/>
    <col customWidth="1" min="16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2" t="s">
        <v>0</v>
      </c>
      <c r="B6" s="3" t="s">
        <v>24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5"/>
      <c r="B7" s="5" t="s">
        <v>25</v>
      </c>
      <c r="C7" s="6">
        <v>4834.0</v>
      </c>
      <c r="D7" s="6">
        <v>4020.0</v>
      </c>
      <c r="E7" s="6">
        <v>3920.0</v>
      </c>
      <c r="F7" s="6">
        <v>4326.0</v>
      </c>
      <c r="G7" s="6">
        <v>4150.0</v>
      </c>
      <c r="H7" s="6">
        <v>3593.0</v>
      </c>
      <c r="I7" s="6">
        <v>4645.0</v>
      </c>
      <c r="J7" s="6">
        <v>3340.0</v>
      </c>
      <c r="K7" s="6">
        <v>2845.0</v>
      </c>
      <c r="L7" s="6">
        <v>3168.0</v>
      </c>
      <c r="M7" s="6">
        <v>3434.0</v>
      </c>
      <c r="N7" s="6">
        <v>4963.0</v>
      </c>
      <c r="O7" s="6">
        <f t="shared" ref="O7:O8" si="1">SUM(C7:N7)</f>
        <v>47238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"/>
      <c r="B8" s="5" t="s">
        <v>26</v>
      </c>
      <c r="C8" s="6">
        <v>4662.0</v>
      </c>
      <c r="D8" s="6">
        <v>3128.0</v>
      </c>
      <c r="E8" s="6">
        <v>3682.0</v>
      </c>
      <c r="F8" s="6">
        <v>3622.0</v>
      </c>
      <c r="G8" s="6">
        <v>3879.0</v>
      </c>
      <c r="H8" s="6">
        <v>3570.0</v>
      </c>
      <c r="I8" s="6">
        <v>3840.0</v>
      </c>
      <c r="J8" s="6">
        <v>3408.0</v>
      </c>
      <c r="K8" s="6">
        <v>3398.0</v>
      </c>
      <c r="L8" s="6">
        <v>3609.0</v>
      </c>
      <c r="M8" s="6">
        <v>3381.0</v>
      </c>
      <c r="N8" s="6">
        <v>3914.0</v>
      </c>
      <c r="O8" s="6">
        <f t="shared" si="1"/>
        <v>44093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/>
      <c r="B9" s="5" t="s">
        <v>14</v>
      </c>
      <c r="C9" s="8">
        <f t="shared" ref="C9:O9" si="2">SUM(C7:C8)</f>
        <v>9496</v>
      </c>
      <c r="D9" s="8">
        <f t="shared" si="2"/>
        <v>7148</v>
      </c>
      <c r="E9" s="8">
        <f t="shared" si="2"/>
        <v>7602</v>
      </c>
      <c r="F9" s="8">
        <f t="shared" si="2"/>
        <v>7948</v>
      </c>
      <c r="G9" s="8">
        <f t="shared" si="2"/>
        <v>8029</v>
      </c>
      <c r="H9" s="8">
        <f t="shared" si="2"/>
        <v>7163</v>
      </c>
      <c r="I9" s="8">
        <f t="shared" si="2"/>
        <v>8485</v>
      </c>
      <c r="J9" s="8">
        <f t="shared" si="2"/>
        <v>6748</v>
      </c>
      <c r="K9" s="8">
        <f t="shared" si="2"/>
        <v>6243</v>
      </c>
      <c r="L9" s="8">
        <f t="shared" si="2"/>
        <v>6777</v>
      </c>
      <c r="M9" s="8">
        <f t="shared" si="2"/>
        <v>6815</v>
      </c>
      <c r="N9" s="8">
        <f t="shared" si="2"/>
        <v>8877</v>
      </c>
      <c r="O9" s="8">
        <f t="shared" si="2"/>
        <v>91331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">
        <v>2001.0</v>
      </c>
      <c r="B10" s="3" t="s">
        <v>17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5"/>
      <c r="B11" s="5" t="s">
        <v>18</v>
      </c>
      <c r="C11" s="6">
        <v>72589.0</v>
      </c>
      <c r="D11" s="6">
        <v>51578.0</v>
      </c>
      <c r="E11" s="6">
        <v>48698.0</v>
      </c>
      <c r="F11" s="6">
        <v>51603.0</v>
      </c>
      <c r="G11" s="6">
        <v>49030.0</v>
      </c>
      <c r="H11" s="6">
        <v>44600.0</v>
      </c>
      <c r="I11" s="6">
        <v>53842.0</v>
      </c>
      <c r="J11" s="6">
        <v>44374.0</v>
      </c>
      <c r="K11" s="6">
        <v>40757.0</v>
      </c>
      <c r="L11" s="6">
        <v>43260.0</v>
      </c>
      <c r="M11" s="6">
        <v>43891.0</v>
      </c>
      <c r="N11" s="6">
        <v>65229.0</v>
      </c>
      <c r="O11" s="6">
        <f t="shared" ref="O11:O12" si="3">SUM(C11:N11)</f>
        <v>609451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"/>
      <c r="B12" s="5" t="s">
        <v>19</v>
      </c>
      <c r="C12" s="6">
        <v>64301.0</v>
      </c>
      <c r="D12" s="6">
        <v>45195.0</v>
      </c>
      <c r="E12" s="6">
        <v>45051.0</v>
      </c>
      <c r="F12" s="6">
        <v>47578.0</v>
      </c>
      <c r="G12" s="6">
        <v>48881.0</v>
      </c>
      <c r="H12" s="6">
        <v>42429.0</v>
      </c>
      <c r="I12" s="6">
        <v>54043.0</v>
      </c>
      <c r="J12" s="6">
        <v>39492.0</v>
      </c>
      <c r="K12" s="6">
        <v>39382.0</v>
      </c>
      <c r="L12" s="6">
        <v>42952.0</v>
      </c>
      <c r="M12" s="6">
        <v>40633.0</v>
      </c>
      <c r="N12" s="6">
        <v>56675.0</v>
      </c>
      <c r="O12" s="6">
        <f t="shared" si="3"/>
        <v>566612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"/>
      <c r="B13" s="5" t="s">
        <v>14</v>
      </c>
      <c r="C13" s="8">
        <f t="shared" ref="C13:O13" si="4">SUM(C11:C12)</f>
        <v>136890</v>
      </c>
      <c r="D13" s="8">
        <f t="shared" si="4"/>
        <v>96773</v>
      </c>
      <c r="E13" s="8">
        <f t="shared" si="4"/>
        <v>93749</v>
      </c>
      <c r="F13" s="8">
        <f t="shared" si="4"/>
        <v>99181</v>
      </c>
      <c r="G13" s="8">
        <f t="shared" si="4"/>
        <v>97911</v>
      </c>
      <c r="H13" s="8">
        <f t="shared" si="4"/>
        <v>87029</v>
      </c>
      <c r="I13" s="8">
        <f t="shared" si="4"/>
        <v>107885</v>
      </c>
      <c r="J13" s="8">
        <f t="shared" si="4"/>
        <v>83866</v>
      </c>
      <c r="K13" s="8">
        <f t="shared" si="4"/>
        <v>80139</v>
      </c>
      <c r="L13" s="8">
        <f t="shared" si="4"/>
        <v>86212</v>
      </c>
      <c r="M13" s="8">
        <f t="shared" si="4"/>
        <v>84524</v>
      </c>
      <c r="N13" s="8">
        <f t="shared" si="4"/>
        <v>121904</v>
      </c>
      <c r="O13" s="8">
        <f t="shared" si="4"/>
        <v>1176063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" t="s">
        <v>0</v>
      </c>
      <c r="B16" s="3" t="s">
        <v>24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5"/>
      <c r="B17" s="5" t="s">
        <v>25</v>
      </c>
      <c r="C17" s="6">
        <v>4230.0</v>
      </c>
      <c r="D17" s="6">
        <v>3722.0</v>
      </c>
      <c r="E17" s="6">
        <v>3910.0</v>
      </c>
      <c r="F17" s="6">
        <v>3416.0</v>
      </c>
      <c r="G17" s="6">
        <v>3564.0</v>
      </c>
      <c r="H17" s="6">
        <v>3219.0</v>
      </c>
      <c r="I17" s="6">
        <v>3695.0</v>
      </c>
      <c r="J17" s="6">
        <v>3722.0</v>
      </c>
      <c r="K17" s="6">
        <v>3371.0</v>
      </c>
      <c r="L17" s="6">
        <v>3782.0</v>
      </c>
      <c r="M17" s="6">
        <v>3740.0</v>
      </c>
      <c r="N17" s="6">
        <v>4287.0</v>
      </c>
      <c r="O17" s="6">
        <f t="shared" ref="O17:O18" si="5">SUM(C17:N17)</f>
        <v>44658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"/>
      <c r="B18" s="5" t="s">
        <v>26</v>
      </c>
      <c r="C18" s="6">
        <v>4307.0</v>
      </c>
      <c r="D18" s="6">
        <v>3592.0</v>
      </c>
      <c r="E18" s="6">
        <v>3356.0</v>
      </c>
      <c r="F18" s="6">
        <v>3110.0</v>
      </c>
      <c r="G18" s="6">
        <v>3316.0</v>
      </c>
      <c r="H18" s="6">
        <v>3344.0</v>
      </c>
      <c r="I18" s="6">
        <v>3305.0</v>
      </c>
      <c r="J18" s="6">
        <v>3446.0</v>
      </c>
      <c r="K18" s="6">
        <v>3682.0</v>
      </c>
      <c r="L18" s="6">
        <v>3591.0</v>
      </c>
      <c r="M18" s="6">
        <v>3566.0</v>
      </c>
      <c r="N18" s="6">
        <v>4182.0</v>
      </c>
      <c r="O18" s="6">
        <f t="shared" si="5"/>
        <v>42797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"/>
      <c r="B19" s="5" t="s">
        <v>14</v>
      </c>
      <c r="C19" s="8">
        <f t="shared" ref="C19:O19" si="6">SUM(C17:C18)</f>
        <v>8537</v>
      </c>
      <c r="D19" s="8">
        <f t="shared" si="6"/>
        <v>7314</v>
      </c>
      <c r="E19" s="8">
        <f t="shared" si="6"/>
        <v>7266</v>
      </c>
      <c r="F19" s="8">
        <f t="shared" si="6"/>
        <v>6526</v>
      </c>
      <c r="G19" s="8">
        <f t="shared" si="6"/>
        <v>6880</v>
      </c>
      <c r="H19" s="8">
        <f t="shared" si="6"/>
        <v>6563</v>
      </c>
      <c r="I19" s="8">
        <f t="shared" si="6"/>
        <v>7000</v>
      </c>
      <c r="J19" s="8">
        <f t="shared" si="6"/>
        <v>7168</v>
      </c>
      <c r="K19" s="8">
        <f t="shared" si="6"/>
        <v>7053</v>
      </c>
      <c r="L19" s="8">
        <f t="shared" si="6"/>
        <v>7373</v>
      </c>
      <c r="M19" s="8">
        <f t="shared" si="6"/>
        <v>7306</v>
      </c>
      <c r="N19" s="8">
        <f t="shared" si="6"/>
        <v>8469</v>
      </c>
      <c r="O19" s="8">
        <f t="shared" si="6"/>
        <v>87455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">
        <v>2002.0</v>
      </c>
      <c r="B20" s="3" t="s">
        <v>17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5"/>
      <c r="B21" s="5" t="s">
        <v>18</v>
      </c>
      <c r="C21" s="6">
        <v>60470.0</v>
      </c>
      <c r="D21" s="6">
        <v>44729.0</v>
      </c>
      <c r="E21" s="6">
        <v>46928.0</v>
      </c>
      <c r="F21" s="6">
        <v>44104.0</v>
      </c>
      <c r="G21" s="6">
        <v>46143.0</v>
      </c>
      <c r="H21" s="6">
        <v>41069.0</v>
      </c>
      <c r="I21" s="6">
        <v>53052.0</v>
      </c>
      <c r="J21" s="6">
        <v>42731.0</v>
      </c>
      <c r="K21" s="6">
        <v>41179.0</v>
      </c>
      <c r="L21" s="6">
        <v>45808.0</v>
      </c>
      <c r="M21" s="6">
        <v>45346.0</v>
      </c>
      <c r="N21" s="6">
        <v>65176.0</v>
      </c>
      <c r="O21" s="6">
        <f t="shared" ref="O21:O22" si="7">SUM(C21:N21)</f>
        <v>576735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"/>
      <c r="B22" s="5" t="s">
        <v>19</v>
      </c>
      <c r="C22" s="6">
        <v>60422.0</v>
      </c>
      <c r="D22" s="6">
        <v>45421.0</v>
      </c>
      <c r="E22" s="6">
        <v>42529.0</v>
      </c>
      <c r="F22" s="6">
        <v>41552.0</v>
      </c>
      <c r="G22" s="6">
        <v>40993.0</v>
      </c>
      <c r="H22" s="6">
        <v>37722.0</v>
      </c>
      <c r="I22" s="6">
        <v>45167.0</v>
      </c>
      <c r="J22" s="6">
        <v>37993.0</v>
      </c>
      <c r="K22" s="6">
        <v>40419.0</v>
      </c>
      <c r="L22" s="6">
        <v>41269.0</v>
      </c>
      <c r="M22" s="6">
        <v>41582.0</v>
      </c>
      <c r="N22" s="6">
        <v>59293.0</v>
      </c>
      <c r="O22" s="6">
        <f t="shared" si="7"/>
        <v>534362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"/>
      <c r="B23" s="5" t="s">
        <v>14</v>
      </c>
      <c r="C23" s="8">
        <f t="shared" ref="C23:M23" si="8">SUM(C21:C22)</f>
        <v>120892</v>
      </c>
      <c r="D23" s="8">
        <f t="shared" si="8"/>
        <v>90150</v>
      </c>
      <c r="E23" s="8">
        <f t="shared" si="8"/>
        <v>89457</v>
      </c>
      <c r="F23" s="8">
        <f t="shared" si="8"/>
        <v>85656</v>
      </c>
      <c r="G23" s="8">
        <f t="shared" si="8"/>
        <v>87136</v>
      </c>
      <c r="H23" s="8">
        <f t="shared" si="8"/>
        <v>78791</v>
      </c>
      <c r="I23" s="8">
        <f t="shared" si="8"/>
        <v>98219</v>
      </c>
      <c r="J23" s="8">
        <f t="shared" si="8"/>
        <v>80724</v>
      </c>
      <c r="K23" s="8">
        <f t="shared" si="8"/>
        <v>81598</v>
      </c>
      <c r="L23" s="8">
        <f t="shared" si="8"/>
        <v>87077</v>
      </c>
      <c r="M23" s="8">
        <f t="shared" si="8"/>
        <v>86928</v>
      </c>
      <c r="N23" s="8">
        <v>124469.0</v>
      </c>
      <c r="O23" s="8">
        <f>SUM(O21:O22)</f>
        <v>1111097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" t="s">
        <v>0</v>
      </c>
      <c r="B26" s="3" t="s">
        <v>24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5"/>
      <c r="B27" s="5" t="s">
        <v>25</v>
      </c>
      <c r="C27" s="6">
        <v>4507.0</v>
      </c>
      <c r="D27" s="6">
        <v>3959.0</v>
      </c>
      <c r="E27" s="6">
        <v>3696.0</v>
      </c>
      <c r="F27" s="6">
        <v>3677.0</v>
      </c>
      <c r="G27" s="6">
        <v>3745.0</v>
      </c>
      <c r="H27" s="6">
        <v>3577.0</v>
      </c>
      <c r="I27" s="6">
        <v>3986.0</v>
      </c>
      <c r="J27" s="6">
        <v>3430.0</v>
      </c>
      <c r="K27" s="6">
        <v>3221.0</v>
      </c>
      <c r="L27" s="6">
        <v>3737.0</v>
      </c>
      <c r="M27" s="6">
        <v>3514.0</v>
      </c>
      <c r="N27" s="6">
        <v>4440.0</v>
      </c>
      <c r="O27" s="6">
        <f t="shared" ref="O27:O28" si="9">SUM(C27:N27)</f>
        <v>45489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"/>
      <c r="B28" s="5" t="s">
        <v>26</v>
      </c>
      <c r="C28" s="6">
        <v>4357.0</v>
      </c>
      <c r="D28" s="6">
        <v>3828.0</v>
      </c>
      <c r="E28" s="6">
        <v>3390.0</v>
      </c>
      <c r="F28" s="6">
        <v>3845.0</v>
      </c>
      <c r="G28" s="6">
        <v>3560.0</v>
      </c>
      <c r="H28" s="6">
        <v>3414.0</v>
      </c>
      <c r="I28" s="6">
        <v>3750.0</v>
      </c>
      <c r="J28" s="6">
        <v>3358.0</v>
      </c>
      <c r="K28" s="6">
        <v>3076.0</v>
      </c>
      <c r="L28" s="6">
        <v>3847.0</v>
      </c>
      <c r="M28" s="6">
        <v>3448.0</v>
      </c>
      <c r="N28" s="6">
        <v>4317.0</v>
      </c>
      <c r="O28" s="6">
        <f t="shared" si="9"/>
        <v>44190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"/>
      <c r="B29" s="5" t="s">
        <v>14</v>
      </c>
      <c r="C29" s="8">
        <f t="shared" ref="C29:O29" si="10">SUM(C27:C28)</f>
        <v>8864</v>
      </c>
      <c r="D29" s="8">
        <f t="shared" si="10"/>
        <v>7787</v>
      </c>
      <c r="E29" s="8">
        <f t="shared" si="10"/>
        <v>7086</v>
      </c>
      <c r="F29" s="8">
        <f t="shared" si="10"/>
        <v>7522</v>
      </c>
      <c r="G29" s="8">
        <f t="shared" si="10"/>
        <v>7305</v>
      </c>
      <c r="H29" s="8">
        <f t="shared" si="10"/>
        <v>6991</v>
      </c>
      <c r="I29" s="8">
        <f t="shared" si="10"/>
        <v>7736</v>
      </c>
      <c r="J29" s="8">
        <f t="shared" si="10"/>
        <v>6788</v>
      </c>
      <c r="K29" s="8">
        <f t="shared" si="10"/>
        <v>6297</v>
      </c>
      <c r="L29" s="8">
        <f t="shared" si="10"/>
        <v>7584</v>
      </c>
      <c r="M29" s="8">
        <f t="shared" si="10"/>
        <v>6962</v>
      </c>
      <c r="N29" s="8">
        <f t="shared" si="10"/>
        <v>8757</v>
      </c>
      <c r="O29" s="8">
        <f t="shared" si="10"/>
        <v>89679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">
        <v>2003.0</v>
      </c>
      <c r="B30" s="3" t="s">
        <v>17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5"/>
      <c r="B31" s="5" t="s">
        <v>18</v>
      </c>
      <c r="C31" s="6">
        <v>63194.0</v>
      </c>
      <c r="D31" s="6">
        <v>48479.0</v>
      </c>
      <c r="E31" s="6">
        <v>45413.0</v>
      </c>
      <c r="F31" s="6">
        <v>50824.0</v>
      </c>
      <c r="G31" s="6">
        <v>49684.0</v>
      </c>
      <c r="H31" s="6">
        <v>45797.0</v>
      </c>
      <c r="I31" s="6">
        <v>56037.0</v>
      </c>
      <c r="J31" s="6">
        <v>45246.0</v>
      </c>
      <c r="K31" s="6">
        <v>43546.0</v>
      </c>
      <c r="L31" s="6">
        <v>44084.0</v>
      </c>
      <c r="M31" s="6">
        <v>45402.0</v>
      </c>
      <c r="N31" s="6">
        <v>73051.0</v>
      </c>
      <c r="O31" s="6">
        <f t="shared" ref="O31:O33" si="11">SUM(C31:N31)</f>
        <v>610757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"/>
      <c r="B32" s="5" t="s">
        <v>19</v>
      </c>
      <c r="C32" s="6">
        <v>59124.0</v>
      </c>
      <c r="D32" s="6">
        <v>48650.0</v>
      </c>
      <c r="E32" s="6">
        <v>42513.0</v>
      </c>
      <c r="F32" s="6">
        <v>52588.0</v>
      </c>
      <c r="G32" s="6">
        <v>46513.0</v>
      </c>
      <c r="H32" s="6">
        <v>42507.0</v>
      </c>
      <c r="I32" s="6">
        <v>53936.0</v>
      </c>
      <c r="J32" s="6">
        <v>39495.0</v>
      </c>
      <c r="K32" s="6">
        <v>37211.0</v>
      </c>
      <c r="L32" s="6">
        <v>44926.0</v>
      </c>
      <c r="M32" s="6">
        <v>44184.0</v>
      </c>
      <c r="N32" s="6">
        <v>67529.0</v>
      </c>
      <c r="O32" s="6">
        <f t="shared" si="11"/>
        <v>579176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"/>
      <c r="B33" s="5" t="s">
        <v>14</v>
      </c>
      <c r="C33" s="8">
        <v>122318.0</v>
      </c>
      <c r="D33" s="8">
        <v>97129.0</v>
      </c>
      <c r="E33" s="8">
        <v>87926.0</v>
      </c>
      <c r="F33" s="8">
        <f t="shared" ref="F33:N33" si="12">SUM(F31:F32)</f>
        <v>103412</v>
      </c>
      <c r="G33" s="8">
        <f t="shared" si="12"/>
        <v>96197</v>
      </c>
      <c r="H33" s="8">
        <f t="shared" si="12"/>
        <v>88304</v>
      </c>
      <c r="I33" s="8">
        <f t="shared" si="12"/>
        <v>109973</v>
      </c>
      <c r="J33" s="8">
        <f t="shared" si="12"/>
        <v>84741</v>
      </c>
      <c r="K33" s="8">
        <f t="shared" si="12"/>
        <v>80757</v>
      </c>
      <c r="L33" s="8">
        <f t="shared" si="12"/>
        <v>89010</v>
      </c>
      <c r="M33" s="8">
        <f t="shared" si="12"/>
        <v>89586</v>
      </c>
      <c r="N33" s="8">
        <f t="shared" si="12"/>
        <v>140580</v>
      </c>
      <c r="O33" s="6">
        <f t="shared" si="11"/>
        <v>1189933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>
      <c r="A41" s="2" t="s">
        <v>0</v>
      </c>
      <c r="B41" s="3" t="s">
        <v>24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5"/>
      <c r="B42" s="5" t="s">
        <v>25</v>
      </c>
      <c r="C42" s="6">
        <v>4132.0</v>
      </c>
      <c r="D42" s="6">
        <v>3908.0</v>
      </c>
      <c r="E42" s="6">
        <v>3804.0</v>
      </c>
      <c r="F42" s="6">
        <v>3653.0</v>
      </c>
      <c r="G42" s="6">
        <v>3915.0</v>
      </c>
      <c r="H42" s="6">
        <v>3520.0</v>
      </c>
      <c r="I42" s="6">
        <v>3492.0</v>
      </c>
      <c r="J42" s="6">
        <v>3346.0</v>
      </c>
      <c r="K42" s="6">
        <v>3527.0</v>
      </c>
      <c r="L42" s="6">
        <v>3654.0</v>
      </c>
      <c r="M42" s="6">
        <v>3484.0</v>
      </c>
      <c r="N42" s="6">
        <v>3840.0</v>
      </c>
      <c r="O42" s="6">
        <f t="shared" ref="O42:O43" si="13">SUM(C42:N42)</f>
        <v>44275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"/>
      <c r="B43" s="5" t="s">
        <v>26</v>
      </c>
      <c r="C43" s="6">
        <v>4190.0</v>
      </c>
      <c r="D43" s="6">
        <v>3773.0</v>
      </c>
      <c r="E43" s="6">
        <v>3675.0</v>
      </c>
      <c r="F43" s="6">
        <v>3545.0</v>
      </c>
      <c r="G43" s="6">
        <v>3039.0</v>
      </c>
      <c r="H43" s="6">
        <v>2768.0</v>
      </c>
      <c r="I43" s="6">
        <v>3204.0</v>
      </c>
      <c r="J43" s="6">
        <v>3234.0</v>
      </c>
      <c r="K43" s="6">
        <v>3359.0</v>
      </c>
      <c r="L43" s="6">
        <v>3483.0</v>
      </c>
      <c r="M43" s="6">
        <v>3330.0</v>
      </c>
      <c r="N43" s="6">
        <v>3343.0</v>
      </c>
      <c r="O43" s="6">
        <f t="shared" si="13"/>
        <v>40943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"/>
      <c r="B44" s="5" t="s">
        <v>14</v>
      </c>
      <c r="C44" s="8">
        <f t="shared" ref="C44:O44" si="14">SUM(C42:C43)</f>
        <v>8322</v>
      </c>
      <c r="D44" s="8">
        <f t="shared" si="14"/>
        <v>7681</v>
      </c>
      <c r="E44" s="8">
        <f t="shared" si="14"/>
        <v>7479</v>
      </c>
      <c r="F44" s="8">
        <f t="shared" si="14"/>
        <v>7198</v>
      </c>
      <c r="G44" s="8">
        <f t="shared" si="14"/>
        <v>6954</v>
      </c>
      <c r="H44" s="8">
        <f t="shared" si="14"/>
        <v>6288</v>
      </c>
      <c r="I44" s="8">
        <f t="shared" si="14"/>
        <v>6696</v>
      </c>
      <c r="J44" s="8">
        <f t="shared" si="14"/>
        <v>6580</v>
      </c>
      <c r="K44" s="8">
        <f t="shared" si="14"/>
        <v>6886</v>
      </c>
      <c r="L44" s="8">
        <f t="shared" si="14"/>
        <v>7137</v>
      </c>
      <c r="M44" s="8">
        <f t="shared" si="14"/>
        <v>6814</v>
      </c>
      <c r="N44" s="8">
        <f t="shared" si="14"/>
        <v>7183</v>
      </c>
      <c r="O44" s="8">
        <f t="shared" si="14"/>
        <v>85218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">
        <v>2004.0</v>
      </c>
      <c r="B45" s="3" t="s">
        <v>17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5"/>
      <c r="B46" s="5" t="s">
        <v>18</v>
      </c>
      <c r="C46" s="6">
        <v>67518.0</v>
      </c>
      <c r="D46" s="6">
        <v>51333.0</v>
      </c>
      <c r="E46" s="6">
        <v>47465.0</v>
      </c>
      <c r="F46" s="6">
        <v>46866.0</v>
      </c>
      <c r="G46" s="6">
        <v>48367.0</v>
      </c>
      <c r="H46" s="6">
        <v>45420.0</v>
      </c>
      <c r="I46" s="6">
        <v>54911.0</v>
      </c>
      <c r="J46" s="6">
        <v>45793.0</v>
      </c>
      <c r="K46" s="6">
        <v>48065.0</v>
      </c>
      <c r="L46" s="6">
        <v>50690.0</v>
      </c>
      <c r="M46" s="6">
        <v>47900.0</v>
      </c>
      <c r="N46" s="6">
        <v>63573.0</v>
      </c>
      <c r="O46" s="6">
        <f t="shared" ref="O46:O47" si="15">SUM(C46:N46)</f>
        <v>617901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"/>
      <c r="B47" s="5" t="s">
        <v>19</v>
      </c>
      <c r="C47" s="6">
        <v>61533.0</v>
      </c>
      <c r="D47" s="6">
        <v>50241.0</v>
      </c>
      <c r="E47" s="6">
        <v>45973.0</v>
      </c>
      <c r="F47" s="6">
        <v>47672.0</v>
      </c>
      <c r="G47" s="6">
        <v>39905.0</v>
      </c>
      <c r="H47" s="6">
        <v>35260.0</v>
      </c>
      <c r="I47" s="6">
        <v>48793.0</v>
      </c>
      <c r="J47" s="6">
        <v>40362.0</v>
      </c>
      <c r="K47" s="6">
        <v>44218.0</v>
      </c>
      <c r="L47" s="6">
        <v>48050.0</v>
      </c>
      <c r="M47" s="6">
        <v>45247.0</v>
      </c>
      <c r="N47" s="6">
        <v>53339.0</v>
      </c>
      <c r="O47" s="6">
        <f t="shared" si="15"/>
        <v>560593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"/>
      <c r="B48" s="5" t="s">
        <v>14</v>
      </c>
      <c r="C48" s="8">
        <f t="shared" ref="C48:O48" si="16">SUM(C46:C47)</f>
        <v>129051</v>
      </c>
      <c r="D48" s="8">
        <f t="shared" si="16"/>
        <v>101574</v>
      </c>
      <c r="E48" s="8">
        <f t="shared" si="16"/>
        <v>93438</v>
      </c>
      <c r="F48" s="8">
        <f t="shared" si="16"/>
        <v>94538</v>
      </c>
      <c r="G48" s="8">
        <f t="shared" si="16"/>
        <v>88272</v>
      </c>
      <c r="H48" s="8">
        <f t="shared" si="16"/>
        <v>80680</v>
      </c>
      <c r="I48" s="8">
        <f t="shared" si="16"/>
        <v>103704</v>
      </c>
      <c r="J48" s="8">
        <f t="shared" si="16"/>
        <v>86155</v>
      </c>
      <c r="K48" s="8">
        <f t="shared" si="16"/>
        <v>92283</v>
      </c>
      <c r="L48" s="8">
        <f t="shared" si="16"/>
        <v>98740</v>
      </c>
      <c r="M48" s="8">
        <f t="shared" si="16"/>
        <v>93147</v>
      </c>
      <c r="N48" s="8">
        <f t="shared" si="16"/>
        <v>116912</v>
      </c>
      <c r="O48" s="8">
        <f t="shared" si="16"/>
        <v>1178494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 t="s">
        <v>0</v>
      </c>
      <c r="B51" s="3" t="s">
        <v>24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5"/>
      <c r="B52" s="5" t="s">
        <v>25</v>
      </c>
      <c r="C52" s="6">
        <v>5155.0</v>
      </c>
      <c r="D52" s="6">
        <v>3400.0</v>
      </c>
      <c r="E52" s="6">
        <v>3791.0</v>
      </c>
      <c r="F52" s="6">
        <v>3321.0</v>
      </c>
      <c r="G52" s="6">
        <v>3342.0</v>
      </c>
      <c r="H52" s="6">
        <v>2955.0</v>
      </c>
      <c r="I52" s="6">
        <v>4100.0</v>
      </c>
      <c r="J52" s="6">
        <v>3399.0</v>
      </c>
      <c r="K52" s="6">
        <v>3520.0</v>
      </c>
      <c r="L52" s="6">
        <v>3743.0</v>
      </c>
      <c r="M52" s="6">
        <v>3668.0</v>
      </c>
      <c r="N52" s="6">
        <v>4466.0</v>
      </c>
      <c r="O52" s="6">
        <f t="shared" ref="O52:O53" si="17">SUM(C52:N52)</f>
        <v>44860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2"/>
      <c r="B53" s="5" t="s">
        <v>26</v>
      </c>
      <c r="C53" s="6">
        <v>4782.0</v>
      </c>
      <c r="D53" s="6">
        <v>3231.0</v>
      </c>
      <c r="E53" s="6">
        <v>3678.0</v>
      </c>
      <c r="F53" s="6">
        <v>3207.0</v>
      </c>
      <c r="G53" s="6">
        <v>3260.0</v>
      </c>
      <c r="H53" s="6">
        <v>2876.0</v>
      </c>
      <c r="I53" s="6">
        <v>3138.0</v>
      </c>
      <c r="J53" s="6">
        <v>3441.0</v>
      </c>
      <c r="K53" s="6">
        <v>3527.0</v>
      </c>
      <c r="L53" s="6">
        <v>3303.0</v>
      </c>
      <c r="M53" s="6">
        <v>3501.0</v>
      </c>
      <c r="N53" s="6">
        <v>4238.0</v>
      </c>
      <c r="O53" s="6">
        <f t="shared" si="17"/>
        <v>42182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2"/>
      <c r="B54" s="5" t="s">
        <v>14</v>
      </c>
      <c r="C54" s="8">
        <f t="shared" ref="C54:H54" si="18">SUM(C52:C53)</f>
        <v>9937</v>
      </c>
      <c r="D54" s="8">
        <f t="shared" si="18"/>
        <v>6631</v>
      </c>
      <c r="E54" s="8">
        <f t="shared" si="18"/>
        <v>7469</v>
      </c>
      <c r="F54" s="8">
        <f t="shared" si="18"/>
        <v>6528</v>
      </c>
      <c r="G54" s="8">
        <f t="shared" si="18"/>
        <v>6602</v>
      </c>
      <c r="H54" s="8">
        <f t="shared" si="18"/>
        <v>5831</v>
      </c>
      <c r="I54" s="8">
        <v>7238.0</v>
      </c>
      <c r="J54" s="8">
        <v>6840.0</v>
      </c>
      <c r="K54" s="8">
        <v>7047.0</v>
      </c>
      <c r="L54" s="8">
        <v>7046.0</v>
      </c>
      <c r="M54" s="8">
        <v>7169.0</v>
      </c>
      <c r="N54" s="8">
        <v>8704.0</v>
      </c>
      <c r="O54" s="8">
        <f>SUM(O52:O53)</f>
        <v>87042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>
        <v>2005.0</v>
      </c>
      <c r="B55" s="3" t="s">
        <v>17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5"/>
      <c r="B56" s="5" t="s">
        <v>18</v>
      </c>
      <c r="C56" s="6">
        <v>68762.0</v>
      </c>
      <c r="D56" s="6">
        <v>49635.0</v>
      </c>
      <c r="E56" s="6">
        <v>53024.0</v>
      </c>
      <c r="F56" s="6">
        <v>47588.0</v>
      </c>
      <c r="G56" s="6">
        <v>47015.0</v>
      </c>
      <c r="H56" s="6">
        <v>43456.0</v>
      </c>
      <c r="I56" s="6">
        <v>63766.0</v>
      </c>
      <c r="J56" s="6">
        <v>63766.0</v>
      </c>
      <c r="K56" s="6">
        <v>61138.0</v>
      </c>
      <c r="L56" s="6">
        <v>68613.0</v>
      </c>
      <c r="M56" s="6">
        <v>63200.0</v>
      </c>
      <c r="N56" s="6">
        <v>90605.0</v>
      </c>
      <c r="O56" s="6">
        <f t="shared" ref="O56:O57" si="19">SUM(C56:N56)</f>
        <v>720568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"/>
      <c r="B57" s="5" t="s">
        <v>19</v>
      </c>
      <c r="C57" s="6">
        <v>69337.0</v>
      </c>
      <c r="D57" s="6">
        <v>47332.0</v>
      </c>
      <c r="E57" s="6">
        <v>54021.0</v>
      </c>
      <c r="F57" s="6">
        <v>42720.0</v>
      </c>
      <c r="G57" s="6">
        <v>43956.0</v>
      </c>
      <c r="H57" s="6">
        <v>41161.0</v>
      </c>
      <c r="I57" s="6">
        <v>54428.0</v>
      </c>
      <c r="J57" s="6">
        <v>52939.0</v>
      </c>
      <c r="K57" s="6">
        <v>55527.0</v>
      </c>
      <c r="L57" s="6">
        <v>51664.0</v>
      </c>
      <c r="M57" s="6">
        <v>57275.0</v>
      </c>
      <c r="N57" s="6">
        <v>78347.0</v>
      </c>
      <c r="O57" s="6">
        <f t="shared" si="19"/>
        <v>648707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/>
      <c r="B58" s="5" t="s">
        <v>14</v>
      </c>
      <c r="C58" s="8">
        <f t="shared" ref="C58:H58" si="20">SUM(C56:C57)</f>
        <v>138099</v>
      </c>
      <c r="D58" s="8">
        <f t="shared" si="20"/>
        <v>96967</v>
      </c>
      <c r="E58" s="8">
        <f t="shared" si="20"/>
        <v>107045</v>
      </c>
      <c r="F58" s="8">
        <f t="shared" si="20"/>
        <v>90308</v>
      </c>
      <c r="G58" s="8">
        <f t="shared" si="20"/>
        <v>90971</v>
      </c>
      <c r="H58" s="8">
        <f t="shared" si="20"/>
        <v>84617</v>
      </c>
      <c r="I58" s="8">
        <v>118194.0</v>
      </c>
      <c r="J58" s="8">
        <v>116705.0</v>
      </c>
      <c r="K58" s="8">
        <v>116665.0</v>
      </c>
      <c r="L58" s="8">
        <v>120277.0</v>
      </c>
      <c r="M58" s="8">
        <v>120475.0</v>
      </c>
      <c r="N58" s="8">
        <v>168952.0</v>
      </c>
      <c r="O58" s="8">
        <f>SUM(O56:O57)</f>
        <v>1369275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 t="s">
        <v>0</v>
      </c>
      <c r="B61" s="3" t="s">
        <v>24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5"/>
      <c r="B62" s="5" t="s">
        <v>25</v>
      </c>
      <c r="C62" s="6">
        <v>4620.0</v>
      </c>
      <c r="D62" s="6">
        <v>3158.0</v>
      </c>
      <c r="E62" s="6">
        <v>3342.0</v>
      </c>
      <c r="F62" s="6">
        <v>3286.0</v>
      </c>
      <c r="G62" s="6">
        <v>3407.0</v>
      </c>
      <c r="H62" s="6">
        <v>2950.0</v>
      </c>
      <c r="I62" s="6">
        <v>3186.0</v>
      </c>
      <c r="J62" s="6">
        <v>2956.0</v>
      </c>
      <c r="K62" s="6">
        <v>3079.0</v>
      </c>
      <c r="L62" s="6">
        <v>2986.0</v>
      </c>
      <c r="M62" s="6">
        <v>2893.0</v>
      </c>
      <c r="N62" s="6">
        <v>3325.0</v>
      </c>
      <c r="O62" s="6">
        <f t="shared" ref="O62:O64" si="21">SUM(C62:N62)</f>
        <v>39188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2"/>
      <c r="B63" s="5" t="s">
        <v>26</v>
      </c>
      <c r="C63" s="6">
        <v>4267.0</v>
      </c>
      <c r="D63" s="6">
        <v>3370.0</v>
      </c>
      <c r="E63" s="6">
        <v>3197.0</v>
      </c>
      <c r="F63" s="6">
        <v>3207.0</v>
      </c>
      <c r="G63" s="6">
        <v>3154.0</v>
      </c>
      <c r="H63" s="6">
        <v>3092.0</v>
      </c>
      <c r="I63" s="6">
        <v>3392.0</v>
      </c>
      <c r="J63" s="6">
        <v>3286.0</v>
      </c>
      <c r="K63" s="6">
        <v>2956.0</v>
      </c>
      <c r="L63" s="6">
        <v>3041.0</v>
      </c>
      <c r="M63" s="6">
        <v>2885.0</v>
      </c>
      <c r="N63" s="6">
        <v>3624.0</v>
      </c>
      <c r="O63" s="6">
        <f t="shared" si="21"/>
        <v>39471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2"/>
      <c r="B64" s="5" t="s">
        <v>14</v>
      </c>
      <c r="C64" s="8">
        <f>SUM(C62:C63)</f>
        <v>8887</v>
      </c>
      <c r="D64" s="8">
        <v>6528.0</v>
      </c>
      <c r="E64" s="8">
        <v>6539.0</v>
      </c>
      <c r="F64" s="8">
        <v>6493.0</v>
      </c>
      <c r="G64" s="8">
        <v>6561.0</v>
      </c>
      <c r="H64" s="8">
        <v>6042.0</v>
      </c>
      <c r="I64" s="8">
        <v>6578.0</v>
      </c>
      <c r="J64" s="8">
        <f t="shared" ref="J64:K64" si="22">SUM(J62:J63)</f>
        <v>6242</v>
      </c>
      <c r="K64" s="8">
        <f t="shared" si="22"/>
        <v>6035</v>
      </c>
      <c r="L64" s="8">
        <v>6027.0</v>
      </c>
      <c r="M64" s="8">
        <f t="shared" ref="M64:N64" si="23">SUM(M62:M63)</f>
        <v>5778</v>
      </c>
      <c r="N64" s="8">
        <f t="shared" si="23"/>
        <v>6949</v>
      </c>
      <c r="O64" s="8">
        <f t="shared" si="21"/>
        <v>78659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2">
        <v>2006.0</v>
      </c>
      <c r="B65" s="3" t="s">
        <v>17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5"/>
      <c r="B66" s="5" t="s">
        <v>18</v>
      </c>
      <c r="C66" s="6">
        <v>87643.0</v>
      </c>
      <c r="D66" s="6">
        <v>60042.0</v>
      </c>
      <c r="E66" s="6">
        <v>49257.0</v>
      </c>
      <c r="F66" s="6">
        <v>56232.0</v>
      </c>
      <c r="G66" s="6">
        <v>54684.0</v>
      </c>
      <c r="H66" s="6">
        <v>35843.0</v>
      </c>
      <c r="I66" s="6">
        <v>42984.0</v>
      </c>
      <c r="J66" s="6">
        <v>33070.0</v>
      </c>
      <c r="K66" s="6">
        <v>34050.0</v>
      </c>
      <c r="L66" s="6">
        <v>34710.0</v>
      </c>
      <c r="M66" s="6">
        <v>35638.0</v>
      </c>
      <c r="N66" s="6">
        <v>51899.0</v>
      </c>
      <c r="O66" s="6">
        <f t="shared" ref="O66:O68" si="24">SUM(C66:N66)</f>
        <v>576052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2"/>
      <c r="B67" s="5" t="s">
        <v>19</v>
      </c>
      <c r="C67" s="6">
        <v>72603.0</v>
      </c>
      <c r="D67" s="6">
        <v>51160.0</v>
      </c>
      <c r="E67" s="6">
        <v>47711.0</v>
      </c>
      <c r="F67" s="6">
        <v>51567.0</v>
      </c>
      <c r="G67" s="6">
        <v>47986.0</v>
      </c>
      <c r="H67" s="6">
        <v>40465.0</v>
      </c>
      <c r="I67" s="6">
        <v>50251.0</v>
      </c>
      <c r="J67" s="6">
        <v>39717.0</v>
      </c>
      <c r="K67" s="6">
        <v>36963.0</v>
      </c>
      <c r="L67" s="6">
        <v>39174.0</v>
      </c>
      <c r="M67" s="6">
        <v>35531.0</v>
      </c>
      <c r="N67" s="6">
        <v>53392.0</v>
      </c>
      <c r="O67" s="6">
        <f t="shared" si="24"/>
        <v>566520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2"/>
      <c r="B68" s="5" t="s">
        <v>14</v>
      </c>
      <c r="C68" s="8">
        <f>SUM(C66:C67)</f>
        <v>160246</v>
      </c>
      <c r="D68" s="8">
        <v>111202.0</v>
      </c>
      <c r="E68" s="8">
        <v>96968.0</v>
      </c>
      <c r="F68" s="8">
        <v>107799.0</v>
      </c>
      <c r="G68" s="8">
        <v>102670.0</v>
      </c>
      <c r="H68" s="8">
        <v>76308.0</v>
      </c>
      <c r="I68" s="8">
        <v>93235.0</v>
      </c>
      <c r="J68" s="8">
        <f t="shared" ref="J68:K68" si="25">SUM(J66:J67)</f>
        <v>72787</v>
      </c>
      <c r="K68" s="8">
        <f t="shared" si="25"/>
        <v>71013</v>
      </c>
      <c r="L68" s="8">
        <v>73884.0</v>
      </c>
      <c r="M68" s="8">
        <f t="shared" ref="M68:N68" si="26">SUM(M66:M67)</f>
        <v>71169</v>
      </c>
      <c r="N68" s="8">
        <f t="shared" si="26"/>
        <v>105291</v>
      </c>
      <c r="O68" s="8">
        <f t="shared" si="24"/>
        <v>1142572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2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2" t="s">
        <v>0</v>
      </c>
      <c r="B76" s="3" t="s">
        <v>24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5"/>
      <c r="B77" s="5" t="s">
        <v>25</v>
      </c>
      <c r="C77" s="6">
        <v>3497.0</v>
      </c>
      <c r="D77" s="6">
        <v>2837.0</v>
      </c>
      <c r="E77" s="6">
        <v>2679.0</v>
      </c>
      <c r="F77" s="6">
        <v>2681.0</v>
      </c>
      <c r="G77" s="6">
        <v>2770.0</v>
      </c>
      <c r="H77" s="6">
        <v>2745.0</v>
      </c>
      <c r="I77" s="6">
        <v>2900.0</v>
      </c>
      <c r="J77" s="6">
        <v>2693.0</v>
      </c>
      <c r="K77" s="6">
        <v>2683.0</v>
      </c>
      <c r="L77" s="6">
        <v>3685.0</v>
      </c>
      <c r="M77" s="6">
        <v>3410.0</v>
      </c>
      <c r="N77" s="6">
        <v>3205.0</v>
      </c>
      <c r="O77" s="6">
        <f t="shared" ref="O77:O79" si="27">SUM(C77:N77)</f>
        <v>35785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2"/>
      <c r="B78" s="5" t="s">
        <v>26</v>
      </c>
      <c r="C78" s="6">
        <v>3514.0</v>
      </c>
      <c r="D78" s="6">
        <v>2781.0</v>
      </c>
      <c r="E78" s="6">
        <v>3001.0</v>
      </c>
      <c r="F78" s="6">
        <v>2638.0</v>
      </c>
      <c r="G78" s="6">
        <v>2571.0</v>
      </c>
      <c r="H78" s="6">
        <v>2734.0</v>
      </c>
      <c r="I78" s="6">
        <v>2875.0</v>
      </c>
      <c r="J78" s="6">
        <v>3155.0</v>
      </c>
      <c r="K78" s="6">
        <v>2326.0</v>
      </c>
      <c r="L78" s="6">
        <v>1952.0</v>
      </c>
      <c r="M78" s="6">
        <v>2051.0</v>
      </c>
      <c r="N78" s="6">
        <v>3031.0</v>
      </c>
      <c r="O78" s="6">
        <f t="shared" si="27"/>
        <v>32629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2"/>
      <c r="B79" s="5" t="s">
        <v>14</v>
      </c>
      <c r="C79" s="8">
        <f t="shared" ref="C79:G79" si="28">SUM(C77:C78)</f>
        <v>7011</v>
      </c>
      <c r="D79" s="8">
        <f t="shared" si="28"/>
        <v>5618</v>
      </c>
      <c r="E79" s="8">
        <f t="shared" si="28"/>
        <v>5680</v>
      </c>
      <c r="F79" s="8">
        <f t="shared" si="28"/>
        <v>5319</v>
      </c>
      <c r="G79" s="8">
        <f t="shared" si="28"/>
        <v>5341</v>
      </c>
      <c r="H79" s="8">
        <v>5479.0</v>
      </c>
      <c r="I79" s="8">
        <f t="shared" ref="I79:N79" si="29">SUM(I77:I78)</f>
        <v>5775</v>
      </c>
      <c r="J79" s="8">
        <f t="shared" si="29"/>
        <v>5848</v>
      </c>
      <c r="K79" s="8">
        <f t="shared" si="29"/>
        <v>5009</v>
      </c>
      <c r="L79" s="8">
        <f t="shared" si="29"/>
        <v>5637</v>
      </c>
      <c r="M79" s="8">
        <f t="shared" si="29"/>
        <v>5461</v>
      </c>
      <c r="N79" s="8">
        <f t="shared" si="29"/>
        <v>6236</v>
      </c>
      <c r="O79" s="8">
        <f t="shared" si="27"/>
        <v>68414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2">
        <v>2007.0</v>
      </c>
      <c r="B80" s="3" t="s">
        <v>17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  <c r="O80" s="2" t="s">
        <v>14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5"/>
      <c r="B81" s="5" t="s">
        <v>18</v>
      </c>
      <c r="C81" s="6">
        <v>54896.0</v>
      </c>
      <c r="D81" s="6">
        <v>40865.0</v>
      </c>
      <c r="E81" s="6">
        <v>40936.0</v>
      </c>
      <c r="F81" s="6">
        <v>40937.0</v>
      </c>
      <c r="G81" s="6">
        <v>40389.0</v>
      </c>
      <c r="H81" s="6">
        <v>40443.0</v>
      </c>
      <c r="I81" s="6">
        <v>50809.0</v>
      </c>
      <c r="J81" s="6">
        <v>42054.0</v>
      </c>
      <c r="K81" s="6">
        <v>39203.0</v>
      </c>
      <c r="L81" s="6">
        <v>40304.0</v>
      </c>
      <c r="M81" s="6">
        <v>42838.0</v>
      </c>
      <c r="N81" s="6">
        <v>54340.0</v>
      </c>
      <c r="O81" s="6">
        <f t="shared" ref="O81:O83" si="30">SUM(C81:N81)</f>
        <v>528014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2"/>
      <c r="B82" s="5" t="s">
        <v>19</v>
      </c>
      <c r="C82" s="6">
        <v>50715.0</v>
      </c>
      <c r="D82" s="6">
        <v>38287.0</v>
      </c>
      <c r="E82" s="6">
        <v>42140.0</v>
      </c>
      <c r="F82" s="6">
        <v>36154.0</v>
      </c>
      <c r="G82" s="6">
        <v>37598.0</v>
      </c>
      <c r="H82" s="6">
        <v>39300.0</v>
      </c>
      <c r="I82" s="6">
        <v>44639.0</v>
      </c>
      <c r="J82" s="6">
        <v>44124.0</v>
      </c>
      <c r="K82" s="6">
        <v>30844.0</v>
      </c>
      <c r="L82" s="6">
        <v>27987.0</v>
      </c>
      <c r="M82" s="6">
        <v>29696.0</v>
      </c>
      <c r="N82" s="6">
        <v>47142.0</v>
      </c>
      <c r="O82" s="6">
        <f t="shared" si="30"/>
        <v>468626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2"/>
      <c r="B83" s="5" t="s">
        <v>14</v>
      </c>
      <c r="C83" s="8">
        <f t="shared" ref="C83:G83" si="31">SUM(C81:C82)</f>
        <v>105611</v>
      </c>
      <c r="D83" s="8">
        <f t="shared" si="31"/>
        <v>79152</v>
      </c>
      <c r="E83" s="8">
        <f t="shared" si="31"/>
        <v>83076</v>
      </c>
      <c r="F83" s="8">
        <f t="shared" si="31"/>
        <v>77091</v>
      </c>
      <c r="G83" s="8">
        <f t="shared" si="31"/>
        <v>77987</v>
      </c>
      <c r="H83" s="8">
        <v>79743.0</v>
      </c>
      <c r="I83" s="8">
        <f t="shared" ref="I83:N83" si="32">SUM(I81:I82)</f>
        <v>95448</v>
      </c>
      <c r="J83" s="8">
        <f t="shared" si="32"/>
        <v>86178</v>
      </c>
      <c r="K83" s="8">
        <f t="shared" si="32"/>
        <v>70047</v>
      </c>
      <c r="L83" s="8">
        <f t="shared" si="32"/>
        <v>68291</v>
      </c>
      <c r="M83" s="8">
        <f t="shared" si="32"/>
        <v>72534</v>
      </c>
      <c r="N83" s="8">
        <f t="shared" si="32"/>
        <v>101482</v>
      </c>
      <c r="O83" s="8">
        <f t="shared" si="30"/>
        <v>996640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2" t="s">
        <v>0</v>
      </c>
      <c r="B86" s="3" t="s">
        <v>24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5"/>
      <c r="B87" s="5" t="s">
        <v>25</v>
      </c>
      <c r="C87" s="6">
        <v>3249.0</v>
      </c>
      <c r="D87" s="6">
        <v>2489.0</v>
      </c>
      <c r="E87" s="6">
        <v>1938.0</v>
      </c>
      <c r="F87" s="6">
        <v>2810.0</v>
      </c>
      <c r="G87" s="6">
        <v>2943.0</v>
      </c>
      <c r="H87" s="6">
        <v>2754.0</v>
      </c>
      <c r="I87" s="6">
        <v>3143.0</v>
      </c>
      <c r="J87" s="6">
        <v>2979.0</v>
      </c>
      <c r="K87" s="6">
        <v>2840.0</v>
      </c>
      <c r="L87" s="6">
        <v>2883.0</v>
      </c>
      <c r="M87" s="6">
        <v>2753.0</v>
      </c>
      <c r="N87" s="6">
        <v>3587.0</v>
      </c>
      <c r="O87" s="6">
        <f t="shared" ref="O87:O89" si="33">SUM(C87:N87)</f>
        <v>34368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2"/>
      <c r="B88" s="5" t="s">
        <v>26</v>
      </c>
      <c r="C88" s="6">
        <v>2925.0</v>
      </c>
      <c r="D88" s="6">
        <v>2241.0</v>
      </c>
      <c r="E88" s="6">
        <v>2725.0</v>
      </c>
      <c r="F88" s="6">
        <v>2847.0</v>
      </c>
      <c r="G88" s="6">
        <v>2657.0</v>
      </c>
      <c r="H88" s="6">
        <v>2492.0</v>
      </c>
      <c r="I88" s="6">
        <v>2808.0</v>
      </c>
      <c r="J88" s="6">
        <v>2659.0</v>
      </c>
      <c r="K88" s="6">
        <v>2574.0</v>
      </c>
      <c r="L88" s="6">
        <v>2604.0</v>
      </c>
      <c r="M88" s="6">
        <v>2527.0</v>
      </c>
      <c r="N88" s="6">
        <v>3118.0</v>
      </c>
      <c r="O88" s="6">
        <f t="shared" si="33"/>
        <v>32177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2"/>
      <c r="B89" s="5" t="s">
        <v>14</v>
      </c>
      <c r="C89" s="8">
        <f t="shared" ref="C89:E89" si="34">SUM(C87:C88)</f>
        <v>6174</v>
      </c>
      <c r="D89" s="8">
        <f t="shared" si="34"/>
        <v>4730</v>
      </c>
      <c r="E89" s="8">
        <f t="shared" si="34"/>
        <v>4663</v>
      </c>
      <c r="F89" s="8">
        <v>5657.0</v>
      </c>
      <c r="G89" s="8">
        <f t="shared" ref="G89:N89" si="35">SUM(G87:G88)</f>
        <v>5600</v>
      </c>
      <c r="H89" s="8">
        <f t="shared" si="35"/>
        <v>5246</v>
      </c>
      <c r="I89" s="8">
        <f t="shared" si="35"/>
        <v>5951</v>
      </c>
      <c r="J89" s="8">
        <f t="shared" si="35"/>
        <v>5638</v>
      </c>
      <c r="K89" s="8">
        <f t="shared" si="35"/>
        <v>5414</v>
      </c>
      <c r="L89" s="8">
        <f t="shared" si="35"/>
        <v>5487</v>
      </c>
      <c r="M89" s="8">
        <f t="shared" si="35"/>
        <v>5280</v>
      </c>
      <c r="N89" s="8">
        <f t="shared" si="35"/>
        <v>6705</v>
      </c>
      <c r="O89" s="8">
        <f t="shared" si="33"/>
        <v>66545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2">
        <v>2008.0</v>
      </c>
      <c r="B90" s="3" t="s">
        <v>17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 t="s">
        <v>11</v>
      </c>
      <c r="M90" s="2" t="s">
        <v>12</v>
      </c>
      <c r="N90" s="2" t="s">
        <v>13</v>
      </c>
      <c r="O90" s="2" t="s">
        <v>14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5"/>
      <c r="B91" s="5" t="s">
        <v>18</v>
      </c>
      <c r="C91" s="6">
        <v>58959.0</v>
      </c>
      <c r="D91" s="6">
        <v>42589.0</v>
      </c>
      <c r="E91" s="6">
        <v>45382.0</v>
      </c>
      <c r="F91" s="6">
        <v>44002.0</v>
      </c>
      <c r="G91" s="6">
        <v>50237.0</v>
      </c>
      <c r="H91" s="6">
        <v>40433.0</v>
      </c>
      <c r="I91" s="6">
        <v>59339.0</v>
      </c>
      <c r="J91" s="6">
        <v>49629.0</v>
      </c>
      <c r="K91" s="6">
        <v>47484.0</v>
      </c>
      <c r="L91" s="6">
        <v>43593.0</v>
      </c>
      <c r="M91" s="6">
        <v>44598.0</v>
      </c>
      <c r="N91" s="6">
        <v>56495.0</v>
      </c>
      <c r="O91" s="6">
        <f t="shared" ref="O91:O93" si="36">SUM(C91:N91)</f>
        <v>582740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2"/>
      <c r="B92" s="5" t="s">
        <v>19</v>
      </c>
      <c r="C92" s="6">
        <v>48492.0</v>
      </c>
      <c r="D92" s="6">
        <v>34355.0</v>
      </c>
      <c r="E92" s="6">
        <v>39805.0</v>
      </c>
      <c r="F92" s="6">
        <v>41387.0</v>
      </c>
      <c r="G92" s="6">
        <v>40069.0</v>
      </c>
      <c r="H92" s="6">
        <v>34654.0</v>
      </c>
      <c r="I92" s="6">
        <v>47289.0</v>
      </c>
      <c r="J92" s="6">
        <v>44485.0</v>
      </c>
      <c r="K92" s="6">
        <v>38380.0</v>
      </c>
      <c r="L92" s="6">
        <v>36442.0</v>
      </c>
      <c r="M92" s="6">
        <v>36389.0</v>
      </c>
      <c r="N92" s="6">
        <v>49153.0</v>
      </c>
      <c r="O92" s="6">
        <f t="shared" si="36"/>
        <v>490900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2"/>
      <c r="B93" s="5" t="s">
        <v>14</v>
      </c>
      <c r="C93" s="8">
        <f t="shared" ref="C93:E93" si="37">SUM(C91:C92)</f>
        <v>107451</v>
      </c>
      <c r="D93" s="8">
        <f t="shared" si="37"/>
        <v>76944</v>
      </c>
      <c r="E93" s="8">
        <f t="shared" si="37"/>
        <v>85187</v>
      </c>
      <c r="F93" s="8">
        <v>85389.0</v>
      </c>
      <c r="G93" s="8">
        <f t="shared" ref="G93:N93" si="38">SUM(G91:G92)</f>
        <v>90306</v>
      </c>
      <c r="H93" s="8">
        <f t="shared" si="38"/>
        <v>75087</v>
      </c>
      <c r="I93" s="8">
        <f t="shared" si="38"/>
        <v>106628</v>
      </c>
      <c r="J93" s="8">
        <f t="shared" si="38"/>
        <v>94114</v>
      </c>
      <c r="K93" s="8">
        <f t="shared" si="38"/>
        <v>85864</v>
      </c>
      <c r="L93" s="8">
        <f t="shared" si="38"/>
        <v>80035</v>
      </c>
      <c r="M93" s="8">
        <f t="shared" si="38"/>
        <v>80987</v>
      </c>
      <c r="N93" s="8">
        <f t="shared" si="38"/>
        <v>105648</v>
      </c>
      <c r="O93" s="8">
        <f t="shared" si="36"/>
        <v>1073640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2" t="s">
        <v>0</v>
      </c>
      <c r="B96" s="3" t="s">
        <v>24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5"/>
      <c r="B97" s="5" t="s">
        <v>25</v>
      </c>
      <c r="C97" s="6">
        <v>3608.0</v>
      </c>
      <c r="D97" s="6">
        <v>2913.0</v>
      </c>
      <c r="E97" s="6">
        <v>3075.0</v>
      </c>
      <c r="F97" s="6">
        <v>2956.0</v>
      </c>
      <c r="G97" s="6">
        <v>3024.0</v>
      </c>
      <c r="H97" s="6">
        <v>2636.0</v>
      </c>
      <c r="I97" s="6">
        <v>2767.0</v>
      </c>
      <c r="J97" s="6">
        <v>2683.0</v>
      </c>
      <c r="K97" s="6">
        <v>2544.0</v>
      </c>
      <c r="L97" s="6">
        <v>2752.0</v>
      </c>
      <c r="M97" s="6">
        <v>2639.0</v>
      </c>
      <c r="N97" s="6">
        <v>3051.0</v>
      </c>
      <c r="O97" s="6">
        <f t="shared" ref="O97:O99" si="39">SUM(C97:N97)</f>
        <v>34648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2"/>
      <c r="B98" s="5" t="s">
        <v>26</v>
      </c>
      <c r="C98" s="6">
        <v>2907.0</v>
      </c>
      <c r="D98" s="6">
        <v>2444.0</v>
      </c>
      <c r="E98" s="6">
        <v>2604.0</v>
      </c>
      <c r="F98" s="6">
        <v>2556.0</v>
      </c>
      <c r="G98" s="6">
        <v>2609.0</v>
      </c>
      <c r="H98" s="6">
        <v>2516.0</v>
      </c>
      <c r="I98" s="6">
        <v>2636.0</v>
      </c>
      <c r="J98" s="6">
        <v>2553.0</v>
      </c>
      <c r="K98" s="6">
        <v>2517.0</v>
      </c>
      <c r="L98" s="6">
        <v>2656.0</v>
      </c>
      <c r="M98" s="6">
        <v>2465.0</v>
      </c>
      <c r="N98" s="6">
        <v>2966.0</v>
      </c>
      <c r="O98" s="6">
        <f t="shared" si="39"/>
        <v>31429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2"/>
      <c r="B99" s="5" t="s">
        <v>14</v>
      </c>
      <c r="C99" s="8">
        <f t="shared" ref="C99:N99" si="40">SUM(C97:C98)</f>
        <v>6515</v>
      </c>
      <c r="D99" s="8">
        <f t="shared" si="40"/>
        <v>5357</v>
      </c>
      <c r="E99" s="8">
        <f t="shared" si="40"/>
        <v>5679</v>
      </c>
      <c r="F99" s="8">
        <f t="shared" si="40"/>
        <v>5512</v>
      </c>
      <c r="G99" s="8">
        <f t="shared" si="40"/>
        <v>5633</v>
      </c>
      <c r="H99" s="8">
        <f t="shared" si="40"/>
        <v>5152</v>
      </c>
      <c r="I99" s="8">
        <f t="shared" si="40"/>
        <v>5403</v>
      </c>
      <c r="J99" s="8">
        <f t="shared" si="40"/>
        <v>5236</v>
      </c>
      <c r="K99" s="8">
        <f t="shared" si="40"/>
        <v>5061</v>
      </c>
      <c r="L99" s="8">
        <f t="shared" si="40"/>
        <v>5408</v>
      </c>
      <c r="M99" s="8">
        <f t="shared" si="40"/>
        <v>5104</v>
      </c>
      <c r="N99" s="8">
        <f t="shared" si="40"/>
        <v>6017</v>
      </c>
      <c r="O99" s="8">
        <f t="shared" si="39"/>
        <v>66077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2">
        <v>2009.0</v>
      </c>
      <c r="B100" s="3" t="s">
        <v>17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5"/>
      <c r="B101" s="5" t="s">
        <v>18</v>
      </c>
      <c r="C101" s="6">
        <v>60973.0</v>
      </c>
      <c r="D101" s="6">
        <v>42062.0</v>
      </c>
      <c r="E101" s="6">
        <v>42701.0</v>
      </c>
      <c r="F101" s="6">
        <v>45185.0</v>
      </c>
      <c r="G101" s="6">
        <v>45361.0</v>
      </c>
      <c r="H101" s="6">
        <v>44042.0</v>
      </c>
      <c r="I101" s="6">
        <v>52133.0</v>
      </c>
      <c r="J101" s="6">
        <v>44616.0</v>
      </c>
      <c r="K101" s="6">
        <v>46269.0</v>
      </c>
      <c r="L101" s="6">
        <v>47877.0</v>
      </c>
      <c r="M101" s="6">
        <v>47176.0</v>
      </c>
      <c r="N101" s="6">
        <v>61326.0</v>
      </c>
      <c r="O101" s="6">
        <f t="shared" ref="O101:O103" si="41">SUM(C101:N101)</f>
        <v>579721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2"/>
      <c r="B102" s="5" t="s">
        <v>19</v>
      </c>
      <c r="C102" s="6">
        <v>49271.0</v>
      </c>
      <c r="D102" s="6">
        <v>35294.0</v>
      </c>
      <c r="E102" s="6">
        <v>35839.0</v>
      </c>
      <c r="F102" s="6">
        <v>36454.0</v>
      </c>
      <c r="G102" s="6">
        <v>35092.0</v>
      </c>
      <c r="H102" s="6">
        <v>34800.0</v>
      </c>
      <c r="I102" s="6">
        <v>40439.0</v>
      </c>
      <c r="J102" s="6">
        <v>33482.0</v>
      </c>
      <c r="K102" s="6">
        <v>35924.0</v>
      </c>
      <c r="L102" s="6">
        <v>39095.0</v>
      </c>
      <c r="M102" s="6">
        <v>36941.0</v>
      </c>
      <c r="N102" s="6">
        <v>52523.0</v>
      </c>
      <c r="O102" s="6">
        <f t="shared" si="41"/>
        <v>465154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2"/>
      <c r="B103" s="5" t="s">
        <v>14</v>
      </c>
      <c r="C103" s="8">
        <f t="shared" ref="C103:N103" si="42">SUM(C101:C102)</f>
        <v>110244</v>
      </c>
      <c r="D103" s="8">
        <f t="shared" si="42"/>
        <v>77356</v>
      </c>
      <c r="E103" s="8">
        <f t="shared" si="42"/>
        <v>78540</v>
      </c>
      <c r="F103" s="8">
        <f t="shared" si="42"/>
        <v>81639</v>
      </c>
      <c r="G103" s="8">
        <f t="shared" si="42"/>
        <v>80453</v>
      </c>
      <c r="H103" s="8">
        <f t="shared" si="42"/>
        <v>78842</v>
      </c>
      <c r="I103" s="8">
        <f t="shared" si="42"/>
        <v>92572</v>
      </c>
      <c r="J103" s="8">
        <f t="shared" si="42"/>
        <v>78098</v>
      </c>
      <c r="K103" s="8">
        <f t="shared" si="42"/>
        <v>82193</v>
      </c>
      <c r="L103" s="8">
        <f t="shared" si="42"/>
        <v>86972</v>
      </c>
      <c r="M103" s="8">
        <f t="shared" si="42"/>
        <v>84117</v>
      </c>
      <c r="N103" s="8">
        <f t="shared" si="42"/>
        <v>113849</v>
      </c>
      <c r="O103" s="8">
        <f t="shared" si="41"/>
        <v>1044875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2" t="s">
        <v>0</v>
      </c>
      <c r="B111" s="3" t="s">
        <v>24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  <c r="M111" s="2" t="s">
        <v>12</v>
      </c>
      <c r="N111" s="2" t="s">
        <v>13</v>
      </c>
      <c r="O111" s="2" t="s">
        <v>14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5"/>
      <c r="B112" s="5" t="s">
        <v>25</v>
      </c>
      <c r="C112" s="6">
        <v>3043.0</v>
      </c>
      <c r="D112" s="6">
        <v>2404.0</v>
      </c>
      <c r="E112" s="6">
        <v>2606.0</v>
      </c>
      <c r="F112" s="6">
        <v>2582.0</v>
      </c>
      <c r="G112" s="6">
        <v>2617.0</v>
      </c>
      <c r="H112" s="6">
        <v>2535.0</v>
      </c>
      <c r="I112" s="6">
        <v>2701.0</v>
      </c>
      <c r="J112" s="6">
        <v>2669.0</v>
      </c>
      <c r="K112" s="6">
        <v>2587.0</v>
      </c>
      <c r="L112" s="6">
        <v>2670.0</v>
      </c>
      <c r="M112" s="6">
        <v>2617.0</v>
      </c>
      <c r="N112" s="6">
        <v>3132.0</v>
      </c>
      <c r="O112" s="6">
        <f t="shared" ref="O112:O114" si="43">SUM(C112:N112)</f>
        <v>32163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2"/>
      <c r="B113" s="5" t="s">
        <v>26</v>
      </c>
      <c r="C113" s="6">
        <v>2950.0</v>
      </c>
      <c r="D113" s="6">
        <v>2447.0</v>
      </c>
      <c r="E113" s="6">
        <v>2562.0</v>
      </c>
      <c r="F113" s="6">
        <v>2577.0</v>
      </c>
      <c r="G113" s="6">
        <v>2603.0</v>
      </c>
      <c r="H113" s="6">
        <v>2502.0</v>
      </c>
      <c r="I113" s="6">
        <v>2705.0</v>
      </c>
      <c r="J113" s="6">
        <v>2713.0</v>
      </c>
      <c r="K113" s="6">
        <v>2610.0</v>
      </c>
      <c r="L113" s="6">
        <v>2666.0</v>
      </c>
      <c r="M113" s="6">
        <v>2582.0</v>
      </c>
      <c r="N113" s="6">
        <v>3094.0</v>
      </c>
      <c r="O113" s="6">
        <f t="shared" si="43"/>
        <v>32011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2"/>
      <c r="B114" s="5" t="s">
        <v>14</v>
      </c>
      <c r="C114" s="8">
        <f t="shared" ref="C114:N114" si="44">SUM(C112:C113)</f>
        <v>5993</v>
      </c>
      <c r="D114" s="8">
        <f t="shared" si="44"/>
        <v>4851</v>
      </c>
      <c r="E114" s="8">
        <f t="shared" si="44"/>
        <v>5168</v>
      </c>
      <c r="F114" s="8">
        <f t="shared" si="44"/>
        <v>5159</v>
      </c>
      <c r="G114" s="8">
        <f t="shared" si="44"/>
        <v>5220</v>
      </c>
      <c r="H114" s="8">
        <f t="shared" si="44"/>
        <v>5037</v>
      </c>
      <c r="I114" s="8">
        <f t="shared" si="44"/>
        <v>5406</v>
      </c>
      <c r="J114" s="8">
        <f t="shared" si="44"/>
        <v>5382</v>
      </c>
      <c r="K114" s="8">
        <f t="shared" si="44"/>
        <v>5197</v>
      </c>
      <c r="L114" s="8">
        <f t="shared" si="44"/>
        <v>5336</v>
      </c>
      <c r="M114" s="8">
        <f t="shared" si="44"/>
        <v>5199</v>
      </c>
      <c r="N114" s="8">
        <f t="shared" si="44"/>
        <v>6226</v>
      </c>
      <c r="O114" s="8">
        <f t="shared" si="43"/>
        <v>64174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2">
        <v>2010.0</v>
      </c>
      <c r="B115" s="3" t="s">
        <v>17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5"/>
      <c r="B116" s="5" t="s">
        <v>18</v>
      </c>
      <c r="C116" s="6">
        <v>64996.0</v>
      </c>
      <c r="D116" s="6">
        <v>45666.0</v>
      </c>
      <c r="E116" s="6">
        <v>48168.0</v>
      </c>
      <c r="F116" s="6">
        <v>49439.0</v>
      </c>
      <c r="G116" s="6">
        <v>47820.0</v>
      </c>
      <c r="H116" s="6">
        <v>43855.0</v>
      </c>
      <c r="I116" s="6">
        <v>52772.0</v>
      </c>
      <c r="J116" s="6">
        <v>50119.0</v>
      </c>
      <c r="K116" s="6">
        <v>47844.0</v>
      </c>
      <c r="L116" s="6">
        <v>49177.0</v>
      </c>
      <c r="M116" s="6">
        <v>49733.0</v>
      </c>
      <c r="N116" s="6">
        <v>60204.0</v>
      </c>
      <c r="O116" s="6">
        <f t="shared" ref="O116:O118" si="45">SUM(C116:N116)</f>
        <v>609793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2"/>
      <c r="B117" s="5" t="s">
        <v>19</v>
      </c>
      <c r="C117" s="6">
        <v>54490.0</v>
      </c>
      <c r="D117" s="6">
        <v>40746.0</v>
      </c>
      <c r="E117" s="6">
        <v>38756.0</v>
      </c>
      <c r="F117" s="6">
        <v>40270.0</v>
      </c>
      <c r="G117" s="6">
        <v>38230.0</v>
      </c>
      <c r="H117" s="6">
        <v>36065.0</v>
      </c>
      <c r="I117" s="6">
        <v>43688.0</v>
      </c>
      <c r="J117" s="6">
        <v>40765.0</v>
      </c>
      <c r="K117" s="6">
        <v>38431.0</v>
      </c>
      <c r="L117" s="6">
        <v>40963.0</v>
      </c>
      <c r="M117" s="6">
        <v>38944.0</v>
      </c>
      <c r="N117" s="6">
        <v>51457.0</v>
      </c>
      <c r="O117" s="6">
        <f t="shared" si="45"/>
        <v>502805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2"/>
      <c r="B118" s="5" t="s">
        <v>14</v>
      </c>
      <c r="C118" s="8">
        <f t="shared" ref="C118:N118" si="46">SUM(C116:C117)</f>
        <v>119486</v>
      </c>
      <c r="D118" s="8">
        <f t="shared" si="46"/>
        <v>86412</v>
      </c>
      <c r="E118" s="8">
        <f t="shared" si="46"/>
        <v>86924</v>
      </c>
      <c r="F118" s="8">
        <f t="shared" si="46"/>
        <v>89709</v>
      </c>
      <c r="G118" s="8">
        <f t="shared" si="46"/>
        <v>86050</v>
      </c>
      <c r="H118" s="8">
        <f t="shared" si="46"/>
        <v>79920</v>
      </c>
      <c r="I118" s="8">
        <f t="shared" si="46"/>
        <v>96460</v>
      </c>
      <c r="J118" s="8">
        <f t="shared" si="46"/>
        <v>90884</v>
      </c>
      <c r="K118" s="8">
        <f t="shared" si="46"/>
        <v>86275</v>
      </c>
      <c r="L118" s="8">
        <f t="shared" si="46"/>
        <v>90140</v>
      </c>
      <c r="M118" s="8">
        <f t="shared" si="46"/>
        <v>88677</v>
      </c>
      <c r="N118" s="8">
        <f t="shared" si="46"/>
        <v>111661</v>
      </c>
      <c r="O118" s="8">
        <f t="shared" si="45"/>
        <v>1112598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2" t="s">
        <v>0</v>
      </c>
      <c r="B121" s="3" t="s">
        <v>24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5"/>
      <c r="B122" s="5" t="s">
        <v>25</v>
      </c>
      <c r="C122" s="6">
        <v>3001.0</v>
      </c>
      <c r="D122" s="6">
        <v>2577.0</v>
      </c>
      <c r="E122" s="6">
        <v>2831.0</v>
      </c>
      <c r="F122" s="6">
        <v>2872.0</v>
      </c>
      <c r="G122" s="6">
        <v>2855.0</v>
      </c>
      <c r="H122" s="6">
        <v>2737.0</v>
      </c>
      <c r="I122" s="6">
        <v>2919.0</v>
      </c>
      <c r="J122" s="6">
        <v>2760.0</v>
      </c>
      <c r="K122" s="6">
        <v>2692.0</v>
      </c>
      <c r="L122" s="6">
        <v>2786.0</v>
      </c>
      <c r="M122" s="6">
        <v>2661.0</v>
      </c>
      <c r="N122" s="6">
        <v>3105.0</v>
      </c>
      <c r="O122" s="6">
        <f t="shared" ref="O122:O124" si="47">SUM(C122:N122)</f>
        <v>33796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2"/>
      <c r="B123" s="5" t="s">
        <v>26</v>
      </c>
      <c r="C123" s="6">
        <v>2953.0</v>
      </c>
      <c r="D123" s="6">
        <v>2519.0</v>
      </c>
      <c r="E123" s="6">
        <v>2768.0</v>
      </c>
      <c r="F123" s="6">
        <v>2789.0</v>
      </c>
      <c r="G123" s="6">
        <v>2732.0</v>
      </c>
      <c r="H123" s="6">
        <v>2649.0</v>
      </c>
      <c r="I123" s="6">
        <v>2820.0</v>
      </c>
      <c r="J123" s="6">
        <v>2709.0</v>
      </c>
      <c r="K123" s="6">
        <v>2620.0</v>
      </c>
      <c r="L123" s="6">
        <v>2714.0</v>
      </c>
      <c r="M123" s="6">
        <v>2627.0</v>
      </c>
      <c r="N123" s="6">
        <v>3065.0</v>
      </c>
      <c r="O123" s="6">
        <f t="shared" si="47"/>
        <v>32965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2"/>
      <c r="B124" s="5" t="s">
        <v>14</v>
      </c>
      <c r="C124" s="8">
        <f t="shared" ref="C124:N124" si="48">SUM(C122:C123)</f>
        <v>5954</v>
      </c>
      <c r="D124" s="8">
        <f t="shared" si="48"/>
        <v>5096</v>
      </c>
      <c r="E124" s="8">
        <f t="shared" si="48"/>
        <v>5599</v>
      </c>
      <c r="F124" s="8">
        <f t="shared" si="48"/>
        <v>5661</v>
      </c>
      <c r="G124" s="8">
        <f t="shared" si="48"/>
        <v>5587</v>
      </c>
      <c r="H124" s="8">
        <f t="shared" si="48"/>
        <v>5386</v>
      </c>
      <c r="I124" s="8">
        <f t="shared" si="48"/>
        <v>5739</v>
      </c>
      <c r="J124" s="8">
        <f t="shared" si="48"/>
        <v>5469</v>
      </c>
      <c r="K124" s="8">
        <f t="shared" si="48"/>
        <v>5312</v>
      </c>
      <c r="L124" s="8">
        <f t="shared" si="48"/>
        <v>5500</v>
      </c>
      <c r="M124" s="8">
        <f t="shared" si="48"/>
        <v>5288</v>
      </c>
      <c r="N124" s="8">
        <f t="shared" si="48"/>
        <v>6170</v>
      </c>
      <c r="O124" s="8">
        <f t="shared" si="47"/>
        <v>66761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2">
        <v>2011.0</v>
      </c>
      <c r="B125" s="3" t="s">
        <v>17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5"/>
      <c r="B126" s="5" t="s">
        <v>18</v>
      </c>
      <c r="C126" s="6">
        <v>63711.0</v>
      </c>
      <c r="D126" s="6">
        <v>45805.0</v>
      </c>
      <c r="E126" s="6">
        <v>49467.0</v>
      </c>
      <c r="F126" s="6">
        <v>53237.0</v>
      </c>
      <c r="G126" s="6">
        <v>55000.0</v>
      </c>
      <c r="H126" s="6">
        <v>54566.0</v>
      </c>
      <c r="I126" s="6">
        <v>65131.0</v>
      </c>
      <c r="J126" s="6">
        <v>53610.0</v>
      </c>
      <c r="K126" s="6">
        <v>47725.0</v>
      </c>
      <c r="L126" s="6">
        <v>51711.0</v>
      </c>
      <c r="M126" s="6">
        <v>53016.0</v>
      </c>
      <c r="N126" s="6">
        <v>65456.0</v>
      </c>
      <c r="O126" s="6">
        <f t="shared" ref="O126:O128" si="49">SUM(C126:N126)</f>
        <v>658435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2"/>
      <c r="B127" s="5" t="s">
        <v>19</v>
      </c>
      <c r="C127" s="6">
        <v>49417.0</v>
      </c>
      <c r="D127" s="6">
        <v>35896.0</v>
      </c>
      <c r="E127" s="6">
        <v>39773.0</v>
      </c>
      <c r="F127" s="6">
        <v>41783.0</v>
      </c>
      <c r="G127" s="6">
        <v>39470.0</v>
      </c>
      <c r="H127" s="6">
        <v>40125.0</v>
      </c>
      <c r="I127" s="6">
        <v>48298.0</v>
      </c>
      <c r="J127" s="6">
        <v>39024.0</v>
      </c>
      <c r="K127" s="6">
        <v>37171.0</v>
      </c>
      <c r="L127" s="6">
        <v>39537.0</v>
      </c>
      <c r="M127" s="6">
        <v>40149.0</v>
      </c>
      <c r="N127" s="6">
        <v>52126.0</v>
      </c>
      <c r="O127" s="6">
        <f t="shared" si="49"/>
        <v>502769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2"/>
      <c r="B128" s="5" t="s">
        <v>14</v>
      </c>
      <c r="C128" s="8">
        <f t="shared" ref="C128:N128" si="50">SUM(C126:C127)</f>
        <v>113128</v>
      </c>
      <c r="D128" s="8">
        <f t="shared" si="50"/>
        <v>81701</v>
      </c>
      <c r="E128" s="8">
        <f t="shared" si="50"/>
        <v>89240</v>
      </c>
      <c r="F128" s="8">
        <f t="shared" si="50"/>
        <v>95020</v>
      </c>
      <c r="G128" s="8">
        <f t="shared" si="50"/>
        <v>94470</v>
      </c>
      <c r="H128" s="8">
        <f t="shared" si="50"/>
        <v>94691</v>
      </c>
      <c r="I128" s="8">
        <f t="shared" si="50"/>
        <v>113429</v>
      </c>
      <c r="J128" s="8">
        <f t="shared" si="50"/>
        <v>92634</v>
      </c>
      <c r="K128" s="8">
        <f t="shared" si="50"/>
        <v>84896</v>
      </c>
      <c r="L128" s="8">
        <f t="shared" si="50"/>
        <v>91248</v>
      </c>
      <c r="M128" s="8">
        <f t="shared" si="50"/>
        <v>93165</v>
      </c>
      <c r="N128" s="8">
        <f t="shared" si="50"/>
        <v>117582</v>
      </c>
      <c r="O128" s="8">
        <f t="shared" si="49"/>
        <v>1161204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2" t="s">
        <v>0</v>
      </c>
      <c r="B131" s="3" t="s">
        <v>24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5"/>
      <c r="B132" s="5" t="s">
        <v>25</v>
      </c>
      <c r="C132" s="6">
        <v>3098.0</v>
      </c>
      <c r="D132" s="6">
        <v>2573.0</v>
      </c>
      <c r="E132" s="6">
        <v>2771.0</v>
      </c>
      <c r="F132" s="6">
        <v>2798.0</v>
      </c>
      <c r="G132" s="6">
        <v>2749.0</v>
      </c>
      <c r="H132" s="6">
        <v>2487.0</v>
      </c>
      <c r="I132" s="6">
        <v>2798.0</v>
      </c>
      <c r="J132" s="6">
        <v>2681.0</v>
      </c>
      <c r="K132" s="6">
        <v>2661.0</v>
      </c>
      <c r="L132" s="6">
        <v>2741.0</v>
      </c>
      <c r="M132" s="6">
        <v>2649.0</v>
      </c>
      <c r="N132" s="6">
        <v>3030.0</v>
      </c>
      <c r="O132" s="6">
        <f t="shared" ref="O132:O134" si="51">SUM(C132:N132)</f>
        <v>33036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2"/>
      <c r="B133" s="5" t="s">
        <v>26</v>
      </c>
      <c r="C133" s="6">
        <v>2973.0</v>
      </c>
      <c r="D133" s="6">
        <v>2624.0</v>
      </c>
      <c r="E133" s="6">
        <v>2715.0</v>
      </c>
      <c r="F133" s="6">
        <v>2645.0</v>
      </c>
      <c r="G133" s="6">
        <v>2681.0</v>
      </c>
      <c r="H133" s="6">
        <v>2418.0</v>
      </c>
      <c r="I133" s="6">
        <v>2758.0</v>
      </c>
      <c r="J133" s="6">
        <v>2623.0</v>
      </c>
      <c r="K133" s="6">
        <v>2590.0</v>
      </c>
      <c r="L133" s="6">
        <v>2676.0</v>
      </c>
      <c r="M133" s="6">
        <v>2603.0</v>
      </c>
      <c r="N133" s="6">
        <v>3040.0</v>
      </c>
      <c r="O133" s="6">
        <f t="shared" si="51"/>
        <v>32346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2"/>
      <c r="B134" s="5" t="s">
        <v>14</v>
      </c>
      <c r="C134" s="8">
        <f t="shared" ref="C134:N134" si="52">SUM(C132:C133)</f>
        <v>6071</v>
      </c>
      <c r="D134" s="8">
        <f t="shared" si="52"/>
        <v>5197</v>
      </c>
      <c r="E134" s="8">
        <f t="shared" si="52"/>
        <v>5486</v>
      </c>
      <c r="F134" s="8">
        <f t="shared" si="52"/>
        <v>5443</v>
      </c>
      <c r="G134" s="8">
        <f t="shared" si="52"/>
        <v>5430</v>
      </c>
      <c r="H134" s="8">
        <f t="shared" si="52"/>
        <v>4905</v>
      </c>
      <c r="I134" s="8">
        <f t="shared" si="52"/>
        <v>5556</v>
      </c>
      <c r="J134" s="8">
        <f t="shared" si="52"/>
        <v>5304</v>
      </c>
      <c r="K134" s="8">
        <f t="shared" si="52"/>
        <v>5251</v>
      </c>
      <c r="L134" s="8">
        <f t="shared" si="52"/>
        <v>5417</v>
      </c>
      <c r="M134" s="8">
        <f t="shared" si="52"/>
        <v>5252</v>
      </c>
      <c r="N134" s="8">
        <f t="shared" si="52"/>
        <v>6070</v>
      </c>
      <c r="O134" s="8">
        <f t="shared" si="51"/>
        <v>65382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2">
        <v>2012.0</v>
      </c>
      <c r="B135" s="3" t="s">
        <v>17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  <c r="O135" s="2" t="s">
        <v>14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5"/>
      <c r="B136" s="5" t="s">
        <v>18</v>
      </c>
      <c r="C136" s="6">
        <v>68480.0</v>
      </c>
      <c r="D136" s="6">
        <v>50039.0</v>
      </c>
      <c r="E136" s="6">
        <v>51008.0</v>
      </c>
      <c r="F136" s="6">
        <v>51388.0</v>
      </c>
      <c r="G136" s="6">
        <v>48604.0</v>
      </c>
      <c r="H136" s="6">
        <v>46426.0</v>
      </c>
      <c r="I136" s="6">
        <v>53116.0</v>
      </c>
      <c r="J136" s="6">
        <v>41236.0</v>
      </c>
      <c r="K136" s="6">
        <v>44656.0</v>
      </c>
      <c r="L136" s="6">
        <v>46018.0</v>
      </c>
      <c r="M136" s="6">
        <v>46562.0</v>
      </c>
      <c r="N136" s="6">
        <v>58483.0</v>
      </c>
      <c r="O136" s="6">
        <f t="shared" ref="O136:O138" si="53">SUM(C136:N136)</f>
        <v>606016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2"/>
      <c r="B137" s="5" t="s">
        <v>19</v>
      </c>
      <c r="C137" s="6">
        <v>49774.0</v>
      </c>
      <c r="D137" s="6">
        <v>38772.0</v>
      </c>
      <c r="E137" s="6">
        <v>39547.0</v>
      </c>
      <c r="F137" s="6">
        <v>41089.0</v>
      </c>
      <c r="G137" s="6">
        <v>38020.0</v>
      </c>
      <c r="H137" s="6">
        <v>37488.0</v>
      </c>
      <c r="I137" s="6">
        <v>43273.0</v>
      </c>
      <c r="J137" s="6">
        <v>34449.0</v>
      </c>
      <c r="K137" s="6">
        <v>36341.0</v>
      </c>
      <c r="L137" s="6">
        <v>39122.0</v>
      </c>
      <c r="M137" s="6">
        <v>39259.0</v>
      </c>
      <c r="N137" s="6">
        <v>51067.0</v>
      </c>
      <c r="O137" s="6">
        <f t="shared" si="53"/>
        <v>488201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2"/>
      <c r="B138" s="5" t="s">
        <v>14</v>
      </c>
      <c r="C138" s="8">
        <f t="shared" ref="C138:N138" si="54">SUM(C136:C137)</f>
        <v>118254</v>
      </c>
      <c r="D138" s="8">
        <f t="shared" si="54"/>
        <v>88811</v>
      </c>
      <c r="E138" s="8">
        <f t="shared" si="54"/>
        <v>90555</v>
      </c>
      <c r="F138" s="8">
        <f t="shared" si="54"/>
        <v>92477</v>
      </c>
      <c r="G138" s="8">
        <f t="shared" si="54"/>
        <v>86624</v>
      </c>
      <c r="H138" s="8">
        <f t="shared" si="54"/>
        <v>83914</v>
      </c>
      <c r="I138" s="8">
        <f t="shared" si="54"/>
        <v>96389</v>
      </c>
      <c r="J138" s="8">
        <f t="shared" si="54"/>
        <v>75685</v>
      </c>
      <c r="K138" s="8">
        <f t="shared" si="54"/>
        <v>80997</v>
      </c>
      <c r="L138" s="8">
        <f t="shared" si="54"/>
        <v>85140</v>
      </c>
      <c r="M138" s="8">
        <f t="shared" si="54"/>
        <v>85821</v>
      </c>
      <c r="N138" s="8">
        <f t="shared" si="54"/>
        <v>109550</v>
      </c>
      <c r="O138" s="8">
        <f t="shared" si="53"/>
        <v>1094217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2" t="s">
        <v>0</v>
      </c>
      <c r="B146" s="3" t="s">
        <v>24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2" t="s">
        <v>14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5"/>
      <c r="B147" s="5" t="s">
        <v>25</v>
      </c>
      <c r="C147" s="6">
        <v>3019.0</v>
      </c>
      <c r="D147" s="6">
        <v>2515.0</v>
      </c>
      <c r="E147" s="6">
        <v>2754.0</v>
      </c>
      <c r="F147" s="6">
        <v>2542.0</v>
      </c>
      <c r="G147" s="6">
        <v>2664.0</v>
      </c>
      <c r="H147" s="6">
        <v>2551.0</v>
      </c>
      <c r="I147" s="6">
        <v>2712.0</v>
      </c>
      <c r="J147" s="6">
        <v>2593.0</v>
      </c>
      <c r="K147" s="6">
        <v>2515.0</v>
      </c>
      <c r="L147" s="6">
        <v>2547.0</v>
      </c>
      <c r="M147" s="6">
        <v>2503.0</v>
      </c>
      <c r="N147" s="6">
        <v>2893.0</v>
      </c>
      <c r="O147" s="6">
        <f t="shared" ref="O147:O149" si="55">SUM(C147:N147)</f>
        <v>31808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2"/>
      <c r="B148" s="5" t="s">
        <v>26</v>
      </c>
      <c r="C148" s="6">
        <v>2896.0</v>
      </c>
      <c r="D148" s="6">
        <v>2448.0</v>
      </c>
      <c r="E148" s="6">
        <v>2664.0</v>
      </c>
      <c r="F148" s="6">
        <v>2542.0</v>
      </c>
      <c r="G148" s="6">
        <v>2590.0</v>
      </c>
      <c r="H148" s="6">
        <v>2428.0</v>
      </c>
      <c r="I148" s="6">
        <v>2683.0</v>
      </c>
      <c r="J148" s="6">
        <v>2516.0</v>
      </c>
      <c r="K148" s="6">
        <v>2494.0</v>
      </c>
      <c r="L148" s="6">
        <v>2521.0</v>
      </c>
      <c r="M148" s="6">
        <v>2530.0</v>
      </c>
      <c r="N148" s="6">
        <v>2938.0</v>
      </c>
      <c r="O148" s="6">
        <f t="shared" si="55"/>
        <v>31250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2"/>
      <c r="B149" s="5" t="s">
        <v>14</v>
      </c>
      <c r="C149" s="8">
        <f t="shared" ref="C149:N149" si="56">SUM(C147:C148)</f>
        <v>5915</v>
      </c>
      <c r="D149" s="8">
        <f t="shared" si="56"/>
        <v>4963</v>
      </c>
      <c r="E149" s="8">
        <f t="shared" si="56"/>
        <v>5418</v>
      </c>
      <c r="F149" s="8">
        <f t="shared" si="56"/>
        <v>5084</v>
      </c>
      <c r="G149" s="8">
        <f t="shared" si="56"/>
        <v>5254</v>
      </c>
      <c r="H149" s="8">
        <f t="shared" si="56"/>
        <v>4979</v>
      </c>
      <c r="I149" s="8">
        <f t="shared" si="56"/>
        <v>5395</v>
      </c>
      <c r="J149" s="8">
        <f t="shared" si="56"/>
        <v>5109</v>
      </c>
      <c r="K149" s="8">
        <f t="shared" si="56"/>
        <v>5009</v>
      </c>
      <c r="L149" s="8">
        <f t="shared" si="56"/>
        <v>5068</v>
      </c>
      <c r="M149" s="8">
        <f t="shared" si="56"/>
        <v>5033</v>
      </c>
      <c r="N149" s="8">
        <f t="shared" si="56"/>
        <v>5831</v>
      </c>
      <c r="O149" s="8">
        <f t="shared" si="55"/>
        <v>63058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2">
        <v>2013.0</v>
      </c>
      <c r="B150" s="3" t="s">
        <v>17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  <c r="L150" s="2" t="s">
        <v>11</v>
      </c>
      <c r="M150" s="2" t="s">
        <v>12</v>
      </c>
      <c r="N150" s="2" t="s">
        <v>13</v>
      </c>
      <c r="O150" s="2" t="s">
        <v>14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5"/>
      <c r="B151" s="5" t="s">
        <v>18</v>
      </c>
      <c r="C151" s="6">
        <v>60436.0</v>
      </c>
      <c r="D151" s="6">
        <v>42645.0</v>
      </c>
      <c r="E151" s="6">
        <v>45953.0</v>
      </c>
      <c r="F151" s="6">
        <v>40613.0</v>
      </c>
      <c r="G151" s="6">
        <v>43463.0</v>
      </c>
      <c r="H151" s="6">
        <v>39979.0</v>
      </c>
      <c r="I151" s="6">
        <v>50133.0</v>
      </c>
      <c r="J151" s="6">
        <v>43036.0</v>
      </c>
      <c r="K151" s="6">
        <v>40200.0</v>
      </c>
      <c r="L151" s="6">
        <v>41384.0</v>
      </c>
      <c r="M151" s="6">
        <v>41658.0</v>
      </c>
      <c r="N151" s="6">
        <v>53440.0</v>
      </c>
      <c r="O151" s="6">
        <f t="shared" ref="O151:O153" si="57">SUM(C151:N151)</f>
        <v>542940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2"/>
      <c r="B152" s="5" t="s">
        <v>19</v>
      </c>
      <c r="C152" s="6">
        <v>46757.0</v>
      </c>
      <c r="D152" s="6">
        <v>35920.0</v>
      </c>
      <c r="E152" s="6">
        <v>37733.0</v>
      </c>
      <c r="F152" s="6">
        <v>35482.0</v>
      </c>
      <c r="G152" s="6">
        <v>37487.0</v>
      </c>
      <c r="H152" s="6">
        <v>33646.0</v>
      </c>
      <c r="I152" s="6">
        <v>42111.0</v>
      </c>
      <c r="J152" s="6">
        <v>36458.0</v>
      </c>
      <c r="K152" s="6">
        <v>33439.0</v>
      </c>
      <c r="L152" s="6">
        <v>35442.0</v>
      </c>
      <c r="M152" s="6">
        <v>36314.0</v>
      </c>
      <c r="N152" s="6">
        <v>48061.0</v>
      </c>
      <c r="O152" s="6">
        <f t="shared" si="57"/>
        <v>458850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2"/>
      <c r="B153" s="5" t="s">
        <v>14</v>
      </c>
      <c r="C153" s="8">
        <f t="shared" ref="C153:N153" si="58">SUM(C151:C152)</f>
        <v>107193</v>
      </c>
      <c r="D153" s="8">
        <f t="shared" si="58"/>
        <v>78565</v>
      </c>
      <c r="E153" s="8">
        <f t="shared" si="58"/>
        <v>83686</v>
      </c>
      <c r="F153" s="8">
        <f t="shared" si="58"/>
        <v>76095</v>
      </c>
      <c r="G153" s="8">
        <f t="shared" si="58"/>
        <v>80950</v>
      </c>
      <c r="H153" s="8">
        <f t="shared" si="58"/>
        <v>73625</v>
      </c>
      <c r="I153" s="8">
        <f t="shared" si="58"/>
        <v>92244</v>
      </c>
      <c r="J153" s="8">
        <f t="shared" si="58"/>
        <v>79494</v>
      </c>
      <c r="K153" s="8">
        <f t="shared" si="58"/>
        <v>73639</v>
      </c>
      <c r="L153" s="8">
        <f t="shared" si="58"/>
        <v>76826</v>
      </c>
      <c r="M153" s="8">
        <f t="shared" si="58"/>
        <v>77972</v>
      </c>
      <c r="N153" s="8">
        <f t="shared" si="58"/>
        <v>101501</v>
      </c>
      <c r="O153" s="8">
        <f t="shared" si="57"/>
        <v>1001790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2" t="s">
        <v>0</v>
      </c>
      <c r="B156" s="3" t="s">
        <v>24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5"/>
      <c r="B157" s="5" t="s">
        <v>25</v>
      </c>
      <c r="C157" s="6">
        <v>2848.0</v>
      </c>
      <c r="D157" s="6">
        <v>2305.0</v>
      </c>
      <c r="E157" s="6">
        <v>2526.0</v>
      </c>
      <c r="F157" s="6">
        <v>2536.0</v>
      </c>
      <c r="G157" s="6">
        <v>2471.0</v>
      </c>
      <c r="H157" s="6">
        <v>2351.0</v>
      </c>
      <c r="I157" s="6">
        <v>2518.0</v>
      </c>
      <c r="J157" s="6">
        <v>2469.0</v>
      </c>
      <c r="K157" s="6">
        <v>2334.0</v>
      </c>
      <c r="L157" s="6">
        <v>2418.0</v>
      </c>
      <c r="M157" s="6">
        <v>2331.0</v>
      </c>
      <c r="N157" s="6">
        <v>2766.0</v>
      </c>
      <c r="O157" s="6">
        <f t="shared" ref="O157:O159" si="59">SUM(C157:N157)</f>
        <v>29873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2"/>
      <c r="B158" s="5" t="s">
        <v>26</v>
      </c>
      <c r="C158" s="6">
        <v>2827.0</v>
      </c>
      <c r="D158" s="6">
        <v>2310.0</v>
      </c>
      <c r="E158" s="6">
        <v>2514.0</v>
      </c>
      <c r="F158" s="6">
        <v>2490.0</v>
      </c>
      <c r="G158" s="6">
        <v>2433.0</v>
      </c>
      <c r="H158" s="6">
        <v>2249.0</v>
      </c>
      <c r="I158" s="6">
        <v>2437.0</v>
      </c>
      <c r="J158" s="6">
        <v>2378.0</v>
      </c>
      <c r="K158" s="6">
        <v>2232.0</v>
      </c>
      <c r="L158" s="6">
        <v>2300.0</v>
      </c>
      <c r="M158" s="6">
        <v>2227.0</v>
      </c>
      <c r="N158" s="6">
        <v>2714.0</v>
      </c>
      <c r="O158" s="6">
        <f t="shared" si="59"/>
        <v>29111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2"/>
      <c r="B159" s="5" t="s">
        <v>14</v>
      </c>
      <c r="C159" s="8">
        <f t="shared" ref="C159:N159" si="60">SUM(C157:C158)</f>
        <v>5675</v>
      </c>
      <c r="D159" s="8">
        <f t="shared" si="60"/>
        <v>4615</v>
      </c>
      <c r="E159" s="8">
        <f t="shared" si="60"/>
        <v>5040</v>
      </c>
      <c r="F159" s="8">
        <f t="shared" si="60"/>
        <v>5026</v>
      </c>
      <c r="G159" s="8">
        <f t="shared" si="60"/>
        <v>4904</v>
      </c>
      <c r="H159" s="8">
        <f t="shared" si="60"/>
        <v>4600</v>
      </c>
      <c r="I159" s="8">
        <f t="shared" si="60"/>
        <v>4955</v>
      </c>
      <c r="J159" s="8">
        <f t="shared" si="60"/>
        <v>4847</v>
      </c>
      <c r="K159" s="8">
        <f t="shared" si="60"/>
        <v>4566</v>
      </c>
      <c r="L159" s="8">
        <f t="shared" si="60"/>
        <v>4718</v>
      </c>
      <c r="M159" s="8">
        <f t="shared" si="60"/>
        <v>4558</v>
      </c>
      <c r="N159" s="8">
        <f t="shared" si="60"/>
        <v>5480</v>
      </c>
      <c r="O159" s="8">
        <f t="shared" si="59"/>
        <v>58984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2">
        <v>2014.0</v>
      </c>
      <c r="B160" s="3" t="s">
        <v>17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2" t="s">
        <v>7</v>
      </c>
      <c r="I160" s="2" t="s">
        <v>8</v>
      </c>
      <c r="J160" s="2" t="s">
        <v>9</v>
      </c>
      <c r="K160" s="2" t="s">
        <v>10</v>
      </c>
      <c r="L160" s="2" t="s">
        <v>11</v>
      </c>
      <c r="M160" s="2" t="s">
        <v>12</v>
      </c>
      <c r="N160" s="2" t="s">
        <v>13</v>
      </c>
      <c r="O160" s="2" t="s">
        <v>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5"/>
      <c r="B161" s="5" t="s">
        <v>18</v>
      </c>
      <c r="C161" s="6">
        <v>54126.0</v>
      </c>
      <c r="D161" s="6">
        <v>38199.0</v>
      </c>
      <c r="E161" s="6">
        <v>39772.0</v>
      </c>
      <c r="F161" s="6">
        <v>42486.0</v>
      </c>
      <c r="G161" s="6">
        <v>37836.0</v>
      </c>
      <c r="H161" s="6">
        <v>38712.0</v>
      </c>
      <c r="I161" s="6">
        <v>43786.0</v>
      </c>
      <c r="J161" s="6">
        <v>39863.0</v>
      </c>
      <c r="K161" s="6">
        <v>35180.0</v>
      </c>
      <c r="L161" s="6">
        <v>37493.0</v>
      </c>
      <c r="M161" s="6">
        <v>37095.0</v>
      </c>
      <c r="N161" s="6">
        <v>48344.0</v>
      </c>
      <c r="O161" s="6">
        <f t="shared" ref="O161:O163" si="61">SUM(C161:N161)</f>
        <v>492892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2"/>
      <c r="B162" s="5" t="s">
        <v>19</v>
      </c>
      <c r="C162" s="6">
        <v>45564.0</v>
      </c>
      <c r="D162" s="6">
        <v>31990.0</v>
      </c>
      <c r="E162" s="6">
        <v>35663.0</v>
      </c>
      <c r="F162" s="6">
        <v>36519.0</v>
      </c>
      <c r="G162" s="6">
        <v>34319.0</v>
      </c>
      <c r="H162" s="6">
        <v>33137.0</v>
      </c>
      <c r="I162" s="6">
        <v>38382.0</v>
      </c>
      <c r="J162" s="6">
        <v>32990.0</v>
      </c>
      <c r="K162" s="6">
        <v>31148.0</v>
      </c>
      <c r="L162" s="6">
        <v>31960.0</v>
      </c>
      <c r="M162" s="6">
        <v>31023.0</v>
      </c>
      <c r="N162" s="6">
        <v>44389.0</v>
      </c>
      <c r="O162" s="6">
        <f t="shared" si="61"/>
        <v>427084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2"/>
      <c r="B163" s="5" t="s">
        <v>14</v>
      </c>
      <c r="C163" s="8">
        <f t="shared" ref="C163:N163" si="62">SUM(C161:C162)</f>
        <v>99690</v>
      </c>
      <c r="D163" s="8">
        <f t="shared" si="62"/>
        <v>70189</v>
      </c>
      <c r="E163" s="8">
        <f t="shared" si="62"/>
        <v>75435</v>
      </c>
      <c r="F163" s="8">
        <f t="shared" si="62"/>
        <v>79005</v>
      </c>
      <c r="G163" s="8">
        <f t="shared" si="62"/>
        <v>72155</v>
      </c>
      <c r="H163" s="8">
        <f t="shared" si="62"/>
        <v>71849</v>
      </c>
      <c r="I163" s="8">
        <f t="shared" si="62"/>
        <v>82168</v>
      </c>
      <c r="J163" s="8">
        <f t="shared" si="62"/>
        <v>72853</v>
      </c>
      <c r="K163" s="8">
        <f t="shared" si="62"/>
        <v>66328</v>
      </c>
      <c r="L163" s="8">
        <f t="shared" si="62"/>
        <v>69453</v>
      </c>
      <c r="M163" s="8">
        <f t="shared" si="62"/>
        <v>68118</v>
      </c>
      <c r="N163" s="8">
        <f t="shared" si="62"/>
        <v>92733</v>
      </c>
      <c r="O163" s="8">
        <f t="shared" si="61"/>
        <v>919976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2" t="s">
        <v>0</v>
      </c>
      <c r="B166" s="3" t="s">
        <v>24</v>
      </c>
      <c r="C166" s="2" t="s">
        <v>2</v>
      </c>
      <c r="D166" s="2" t="s">
        <v>3</v>
      </c>
      <c r="E166" s="2" t="s">
        <v>4</v>
      </c>
      <c r="F166" s="2" t="s">
        <v>5</v>
      </c>
      <c r="G166" s="2" t="s">
        <v>6</v>
      </c>
      <c r="H166" s="2" t="s">
        <v>7</v>
      </c>
      <c r="I166" s="2" t="s">
        <v>8</v>
      </c>
      <c r="J166" s="2" t="s">
        <v>9</v>
      </c>
      <c r="K166" s="2" t="s">
        <v>10</v>
      </c>
      <c r="L166" s="2" t="s">
        <v>11</v>
      </c>
      <c r="M166" s="2" t="s">
        <v>12</v>
      </c>
      <c r="N166" s="2" t="s">
        <v>13</v>
      </c>
      <c r="O166" s="2" t="s">
        <v>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5"/>
      <c r="B167" s="5" t="s">
        <v>25</v>
      </c>
      <c r="C167" s="6">
        <v>2683.0</v>
      </c>
      <c r="D167" s="6">
        <v>2179.0</v>
      </c>
      <c r="E167" s="6">
        <v>2543.0</v>
      </c>
      <c r="F167" s="6">
        <v>2376.0</v>
      </c>
      <c r="G167" s="6">
        <v>2353.0</v>
      </c>
      <c r="H167" s="6">
        <v>2362.0</v>
      </c>
      <c r="I167" s="6">
        <v>2734.0</v>
      </c>
      <c r="J167" s="6">
        <v>2438.0</v>
      </c>
      <c r="K167" s="6">
        <v>2356.0</v>
      </c>
      <c r="L167" s="6">
        <v>2617.0</v>
      </c>
      <c r="M167" s="6">
        <v>2482.0</v>
      </c>
      <c r="N167" s="6">
        <v>2968.0</v>
      </c>
      <c r="O167" s="6">
        <f t="shared" ref="O167:O169" si="63">SUM(C167:N167)</f>
        <v>30091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2"/>
      <c r="B168" s="5" t="s">
        <v>26</v>
      </c>
      <c r="C168" s="6">
        <v>2569.0</v>
      </c>
      <c r="D168" s="6">
        <v>2120.0</v>
      </c>
      <c r="E168" s="6">
        <v>2268.0</v>
      </c>
      <c r="F168" s="6">
        <v>2303.0</v>
      </c>
      <c r="G168" s="6">
        <v>2294.0</v>
      </c>
      <c r="H168" s="6">
        <v>2286.0</v>
      </c>
      <c r="I168" s="6">
        <v>2227.0</v>
      </c>
      <c r="J168" s="6">
        <v>2445.0</v>
      </c>
      <c r="K168" s="6">
        <v>2369.0</v>
      </c>
      <c r="L168" s="6">
        <v>2124.0</v>
      </c>
      <c r="M168" s="6">
        <v>2088.0</v>
      </c>
      <c r="N168" s="6">
        <v>2473.0</v>
      </c>
      <c r="O168" s="6">
        <f t="shared" si="63"/>
        <v>27566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2"/>
      <c r="B169" s="5" t="s">
        <v>14</v>
      </c>
      <c r="C169" s="8">
        <f t="shared" ref="C169:N169" si="64">SUM(C167:C168)</f>
        <v>5252</v>
      </c>
      <c r="D169" s="8">
        <f t="shared" si="64"/>
        <v>4299</v>
      </c>
      <c r="E169" s="8">
        <f t="shared" si="64"/>
        <v>4811</v>
      </c>
      <c r="F169" s="8">
        <f t="shared" si="64"/>
        <v>4679</v>
      </c>
      <c r="G169" s="8">
        <f t="shared" si="64"/>
        <v>4647</v>
      </c>
      <c r="H169" s="8">
        <f t="shared" si="64"/>
        <v>4648</v>
      </c>
      <c r="I169" s="8">
        <f t="shared" si="64"/>
        <v>4961</v>
      </c>
      <c r="J169" s="8">
        <f t="shared" si="64"/>
        <v>4883</v>
      </c>
      <c r="K169" s="8">
        <f t="shared" si="64"/>
        <v>4725</v>
      </c>
      <c r="L169" s="8">
        <f t="shared" si="64"/>
        <v>4741</v>
      </c>
      <c r="M169" s="8">
        <f t="shared" si="64"/>
        <v>4570</v>
      </c>
      <c r="N169" s="8">
        <f t="shared" si="64"/>
        <v>5441</v>
      </c>
      <c r="O169" s="8">
        <f t="shared" si="63"/>
        <v>57657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2">
        <v>2015.0</v>
      </c>
      <c r="B170" s="3" t="s">
        <v>17</v>
      </c>
      <c r="C170" s="2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H170" s="2" t="s">
        <v>7</v>
      </c>
      <c r="I170" s="2" t="s">
        <v>8</v>
      </c>
      <c r="J170" s="2" t="s">
        <v>9</v>
      </c>
      <c r="K170" s="2" t="s">
        <v>10</v>
      </c>
      <c r="L170" s="2" t="s">
        <v>11</v>
      </c>
      <c r="M170" s="2" t="s">
        <v>12</v>
      </c>
      <c r="N170" s="2" t="s">
        <v>13</v>
      </c>
      <c r="O170" s="2" t="s">
        <v>14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5"/>
      <c r="B171" s="5" t="s">
        <v>18</v>
      </c>
      <c r="C171" s="6">
        <v>50242.0</v>
      </c>
      <c r="D171" s="6">
        <v>34496.0</v>
      </c>
      <c r="E171" s="6">
        <v>33119.0</v>
      </c>
      <c r="F171" s="6">
        <v>33862.0</v>
      </c>
      <c r="G171" s="6">
        <v>33174.0</v>
      </c>
      <c r="H171" s="6">
        <v>31451.0</v>
      </c>
      <c r="I171" s="6">
        <v>35913.0</v>
      </c>
      <c r="J171" s="6">
        <v>32000.0</v>
      </c>
      <c r="K171" s="6">
        <v>30046.0</v>
      </c>
      <c r="L171" s="6">
        <v>31775.0</v>
      </c>
      <c r="M171" s="6">
        <v>30894.0</v>
      </c>
      <c r="N171" s="6">
        <v>45309.0</v>
      </c>
      <c r="O171" s="6">
        <f t="shared" ref="O171:O173" si="65">SUM(C171:N171)</f>
        <v>422281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2"/>
      <c r="B172" s="5" t="s">
        <v>19</v>
      </c>
      <c r="C172" s="6">
        <v>41157.0</v>
      </c>
      <c r="D172" s="6">
        <v>30409.0</v>
      </c>
      <c r="E172" s="6">
        <v>29437.0</v>
      </c>
      <c r="F172" s="6">
        <v>30862.0</v>
      </c>
      <c r="G172" s="6">
        <v>31531.0</v>
      </c>
      <c r="H172" s="6">
        <v>29458.0</v>
      </c>
      <c r="I172" s="6">
        <v>31335.0</v>
      </c>
      <c r="J172" s="6">
        <v>29162.0</v>
      </c>
      <c r="K172" s="6">
        <v>28754.0</v>
      </c>
      <c r="L172" s="6">
        <v>27748.0</v>
      </c>
      <c r="M172" s="6">
        <v>27142.0</v>
      </c>
      <c r="N172" s="6">
        <v>38581.0</v>
      </c>
      <c r="O172" s="6">
        <f t="shared" si="65"/>
        <v>375576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2"/>
      <c r="B173" s="5" t="s">
        <v>14</v>
      </c>
      <c r="C173" s="8">
        <f t="shared" ref="C173:N173" si="66">SUM(C171:C172)</f>
        <v>91399</v>
      </c>
      <c r="D173" s="8">
        <f t="shared" si="66"/>
        <v>64905</v>
      </c>
      <c r="E173" s="8">
        <f t="shared" si="66"/>
        <v>62556</v>
      </c>
      <c r="F173" s="8">
        <f t="shared" si="66"/>
        <v>64724</v>
      </c>
      <c r="G173" s="8">
        <f t="shared" si="66"/>
        <v>64705</v>
      </c>
      <c r="H173" s="8">
        <f t="shared" si="66"/>
        <v>60909</v>
      </c>
      <c r="I173" s="8">
        <f t="shared" si="66"/>
        <v>67248</v>
      </c>
      <c r="J173" s="8">
        <f t="shared" si="66"/>
        <v>61162</v>
      </c>
      <c r="K173" s="8">
        <f t="shared" si="66"/>
        <v>58800</v>
      </c>
      <c r="L173" s="8">
        <f t="shared" si="66"/>
        <v>59523</v>
      </c>
      <c r="M173" s="8">
        <f t="shared" si="66"/>
        <v>58036</v>
      </c>
      <c r="N173" s="8">
        <f t="shared" si="66"/>
        <v>83890</v>
      </c>
      <c r="O173" s="8">
        <f t="shared" si="65"/>
        <v>797857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2" t="s">
        <v>0</v>
      </c>
      <c r="B181" s="3" t="s">
        <v>24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5"/>
      <c r="B182" s="5" t="s">
        <v>25</v>
      </c>
      <c r="C182" s="6">
        <v>3055.0</v>
      </c>
      <c r="D182" s="6">
        <v>2601.0</v>
      </c>
      <c r="E182" s="6">
        <v>2820.0</v>
      </c>
      <c r="F182" s="6">
        <v>2733.0</v>
      </c>
      <c r="G182" s="6">
        <v>2757.0</v>
      </c>
      <c r="H182" s="6">
        <v>2615.0</v>
      </c>
      <c r="I182" s="6">
        <v>2753.0</v>
      </c>
      <c r="J182" s="6">
        <v>2624.0</v>
      </c>
      <c r="K182" s="6">
        <v>2491.0</v>
      </c>
      <c r="L182" s="6">
        <v>2569.0</v>
      </c>
      <c r="M182" s="6">
        <v>2533.0</v>
      </c>
      <c r="N182" s="6">
        <v>2836.0</v>
      </c>
      <c r="O182" s="6">
        <f t="shared" ref="O182:O184" si="67">SUM(C182:N182)</f>
        <v>32387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2"/>
      <c r="B183" s="5" t="s">
        <v>26</v>
      </c>
      <c r="C183" s="6">
        <v>2984.0</v>
      </c>
      <c r="D183" s="6">
        <v>2065.0</v>
      </c>
      <c r="E183" s="6">
        <v>2335.0</v>
      </c>
      <c r="F183" s="6">
        <v>2452.0</v>
      </c>
      <c r="G183" s="6">
        <v>2707.0</v>
      </c>
      <c r="H183" s="6">
        <v>2674.0</v>
      </c>
      <c r="I183" s="6">
        <v>2729.0</v>
      </c>
      <c r="J183" s="6">
        <v>1345.0</v>
      </c>
      <c r="K183" s="6">
        <v>2514.0</v>
      </c>
      <c r="L183" s="6">
        <v>2653.0</v>
      </c>
      <c r="M183" s="6">
        <v>2634.0</v>
      </c>
      <c r="N183" s="6">
        <v>2835.0</v>
      </c>
      <c r="O183" s="6">
        <f t="shared" si="67"/>
        <v>29927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2"/>
      <c r="B184" s="5" t="s">
        <v>14</v>
      </c>
      <c r="C184" s="8">
        <f t="shared" ref="C184:N184" si="68">SUM(C182:C183)</f>
        <v>6039</v>
      </c>
      <c r="D184" s="8">
        <f t="shared" si="68"/>
        <v>4666</v>
      </c>
      <c r="E184" s="8">
        <f t="shared" si="68"/>
        <v>5155</v>
      </c>
      <c r="F184" s="8">
        <f t="shared" si="68"/>
        <v>5185</v>
      </c>
      <c r="G184" s="8">
        <f t="shared" si="68"/>
        <v>5464</v>
      </c>
      <c r="H184" s="8">
        <f t="shared" si="68"/>
        <v>5289</v>
      </c>
      <c r="I184" s="8">
        <f t="shared" si="68"/>
        <v>5482</v>
      </c>
      <c r="J184" s="8">
        <f t="shared" si="68"/>
        <v>3969</v>
      </c>
      <c r="K184" s="8">
        <f t="shared" si="68"/>
        <v>5005</v>
      </c>
      <c r="L184" s="8">
        <f t="shared" si="68"/>
        <v>5222</v>
      </c>
      <c r="M184" s="8">
        <f t="shared" si="68"/>
        <v>5167</v>
      </c>
      <c r="N184" s="8">
        <f t="shared" si="68"/>
        <v>5671</v>
      </c>
      <c r="O184" s="8">
        <f t="shared" si="67"/>
        <v>62314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2">
        <v>2016.0</v>
      </c>
      <c r="B185" s="3" t="s">
        <v>17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5"/>
      <c r="B186" s="5" t="s">
        <v>18</v>
      </c>
      <c r="C186" s="6">
        <v>50189.0</v>
      </c>
      <c r="D186" s="6">
        <v>35119.0</v>
      </c>
      <c r="E186" s="6">
        <v>36646.0</v>
      </c>
      <c r="F186" s="6">
        <v>34411.0</v>
      </c>
      <c r="G186" s="6">
        <v>41482.0</v>
      </c>
      <c r="H186" s="6">
        <v>39356.0</v>
      </c>
      <c r="I186" s="6">
        <v>46934.0</v>
      </c>
      <c r="J186" s="6">
        <v>17250.0</v>
      </c>
      <c r="K186" s="6">
        <v>35566.0</v>
      </c>
      <c r="L186" s="6">
        <v>37587.0</v>
      </c>
      <c r="M186" s="6">
        <v>36628.0</v>
      </c>
      <c r="N186" s="6">
        <v>48917.0</v>
      </c>
      <c r="O186" s="6">
        <f t="shared" ref="O186:O188" si="69">SUM(C186:N186)</f>
        <v>460085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2"/>
      <c r="B187" s="5" t="s">
        <v>19</v>
      </c>
      <c r="C187" s="6">
        <v>37955.0</v>
      </c>
      <c r="D187" s="6">
        <v>29941.0</v>
      </c>
      <c r="E187" s="6">
        <v>34285.0</v>
      </c>
      <c r="F187" s="6">
        <v>35814.0</v>
      </c>
      <c r="G187" s="6">
        <v>44699.0</v>
      </c>
      <c r="H187" s="6">
        <v>42333.0</v>
      </c>
      <c r="I187" s="6">
        <v>49652.0</v>
      </c>
      <c r="J187" s="6">
        <v>18850.0</v>
      </c>
      <c r="K187" s="6">
        <v>37720.0</v>
      </c>
      <c r="L187" s="6">
        <v>40210.0</v>
      </c>
      <c r="M187" s="6">
        <v>39214.0</v>
      </c>
      <c r="N187" s="6">
        <v>49740.0</v>
      </c>
      <c r="O187" s="6">
        <f t="shared" si="69"/>
        <v>460413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2"/>
      <c r="B188" s="5" t="s">
        <v>14</v>
      </c>
      <c r="C188" s="8">
        <f t="shared" ref="C188:N188" si="70">SUM(C186:C187)</f>
        <v>88144</v>
      </c>
      <c r="D188" s="8">
        <f t="shared" si="70"/>
        <v>65060</v>
      </c>
      <c r="E188" s="8">
        <f t="shared" si="70"/>
        <v>70931</v>
      </c>
      <c r="F188" s="8">
        <f t="shared" si="70"/>
        <v>70225</v>
      </c>
      <c r="G188" s="8">
        <f t="shared" si="70"/>
        <v>86181</v>
      </c>
      <c r="H188" s="8">
        <f t="shared" si="70"/>
        <v>81689</v>
      </c>
      <c r="I188" s="8">
        <f t="shared" si="70"/>
        <v>96586</v>
      </c>
      <c r="J188" s="8">
        <f t="shared" si="70"/>
        <v>36100</v>
      </c>
      <c r="K188" s="8">
        <f t="shared" si="70"/>
        <v>73286</v>
      </c>
      <c r="L188" s="8">
        <f t="shared" si="70"/>
        <v>77797</v>
      </c>
      <c r="M188" s="8">
        <f t="shared" si="70"/>
        <v>75842</v>
      </c>
      <c r="N188" s="8">
        <f t="shared" si="70"/>
        <v>98657</v>
      </c>
      <c r="O188" s="8">
        <f t="shared" si="69"/>
        <v>920498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2" t="s">
        <v>0</v>
      </c>
      <c r="B191" s="3" t="s">
        <v>24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  <c r="I191" s="2" t="s">
        <v>8</v>
      </c>
      <c r="J191" s="2" t="s">
        <v>9</v>
      </c>
      <c r="K191" s="2" t="s">
        <v>10</v>
      </c>
      <c r="L191" s="2" t="s">
        <v>11</v>
      </c>
      <c r="M191" s="2" t="s">
        <v>12</v>
      </c>
      <c r="N191" s="2" t="s">
        <v>13</v>
      </c>
      <c r="O191" s="2" t="s">
        <v>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5"/>
      <c r="B192" s="5" t="s">
        <v>25</v>
      </c>
      <c r="C192" s="6">
        <v>1738.0</v>
      </c>
      <c r="D192" s="6">
        <v>1428.0</v>
      </c>
      <c r="E192" s="6">
        <v>1622.0</v>
      </c>
      <c r="F192" s="6">
        <v>1608.0</v>
      </c>
      <c r="G192" s="6">
        <v>1650.0</v>
      </c>
      <c r="H192" s="6">
        <v>1521.0</v>
      </c>
      <c r="I192" s="6">
        <v>1625.0</v>
      </c>
      <c r="J192" s="6">
        <v>1459.0</v>
      </c>
      <c r="K192" s="6">
        <v>1537.0</v>
      </c>
      <c r="L192" s="6">
        <v>1566.0</v>
      </c>
      <c r="M192" s="6">
        <v>1483.0</v>
      </c>
      <c r="N192" s="6">
        <v>1881.0</v>
      </c>
      <c r="O192" s="6">
        <f t="shared" ref="O192:O194" si="71">SUM(C192:N192)</f>
        <v>19118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2"/>
      <c r="B193" s="5" t="s">
        <v>26</v>
      </c>
      <c r="C193" s="6">
        <v>3073.0</v>
      </c>
      <c r="D193" s="6">
        <v>2492.0</v>
      </c>
      <c r="E193" s="6">
        <v>2624.0</v>
      </c>
      <c r="F193" s="6">
        <v>2535.0</v>
      </c>
      <c r="G193" s="6">
        <v>2632.0</v>
      </c>
      <c r="H193" s="6">
        <v>2460.0</v>
      </c>
      <c r="I193" s="6">
        <v>2582.0</v>
      </c>
      <c r="J193" s="6">
        <v>2511.0</v>
      </c>
      <c r="K193" s="6">
        <v>2314.0</v>
      </c>
      <c r="L193" s="6">
        <v>2419.0</v>
      </c>
      <c r="M193" s="6">
        <v>2444.0</v>
      </c>
      <c r="N193" s="6">
        <v>2880.0</v>
      </c>
      <c r="O193" s="6">
        <f t="shared" si="71"/>
        <v>30966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2"/>
      <c r="B194" s="5" t="s">
        <v>14</v>
      </c>
      <c r="C194" s="8">
        <f t="shared" ref="C194:N194" si="72">SUM(C192:C193)</f>
        <v>4811</v>
      </c>
      <c r="D194" s="8">
        <f t="shared" si="72"/>
        <v>3920</v>
      </c>
      <c r="E194" s="8">
        <f t="shared" si="72"/>
        <v>4246</v>
      </c>
      <c r="F194" s="8">
        <f t="shared" si="72"/>
        <v>4143</v>
      </c>
      <c r="G194" s="8">
        <f t="shared" si="72"/>
        <v>4282</v>
      </c>
      <c r="H194" s="8">
        <f t="shared" si="72"/>
        <v>3981</v>
      </c>
      <c r="I194" s="8">
        <f t="shared" si="72"/>
        <v>4207</v>
      </c>
      <c r="J194" s="8">
        <f t="shared" si="72"/>
        <v>3970</v>
      </c>
      <c r="K194" s="8">
        <f t="shared" si="72"/>
        <v>3851</v>
      </c>
      <c r="L194" s="8">
        <f t="shared" si="72"/>
        <v>3985</v>
      </c>
      <c r="M194" s="8">
        <f t="shared" si="72"/>
        <v>3927</v>
      </c>
      <c r="N194" s="8">
        <f t="shared" si="72"/>
        <v>4761</v>
      </c>
      <c r="O194" s="8">
        <f t="shared" si="71"/>
        <v>50084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2">
        <v>2017.0</v>
      </c>
      <c r="B195" s="3" t="s">
        <v>17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8</v>
      </c>
      <c r="J195" s="2" t="s">
        <v>9</v>
      </c>
      <c r="K195" s="2" t="s">
        <v>10</v>
      </c>
      <c r="L195" s="2" t="s">
        <v>11</v>
      </c>
      <c r="M195" s="2" t="s">
        <v>12</v>
      </c>
      <c r="N195" s="2" t="s">
        <v>13</v>
      </c>
      <c r="O195" s="2" t="s">
        <v>14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5"/>
      <c r="B196" s="5" t="s">
        <v>18</v>
      </c>
      <c r="C196" s="6">
        <v>53451.0</v>
      </c>
      <c r="D196" s="6">
        <v>39474.0</v>
      </c>
      <c r="E196" s="6">
        <v>38605.0</v>
      </c>
      <c r="F196" s="6">
        <v>40239.0</v>
      </c>
      <c r="G196" s="6">
        <v>41872.0</v>
      </c>
      <c r="H196" s="6">
        <v>38106.0</v>
      </c>
      <c r="I196" s="6">
        <v>45191.0</v>
      </c>
      <c r="J196" s="6">
        <v>35880.0</v>
      </c>
      <c r="K196" s="6">
        <v>36511.0</v>
      </c>
      <c r="L196" s="6">
        <v>38225.0</v>
      </c>
      <c r="M196" s="6">
        <v>36725.0</v>
      </c>
      <c r="N196" s="6">
        <v>50746.0</v>
      </c>
      <c r="O196" s="6">
        <f t="shared" ref="O196:O198" si="73">SUM(C196:N196)</f>
        <v>495025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2"/>
      <c r="B197" s="5" t="s">
        <v>19</v>
      </c>
      <c r="C197" s="6">
        <v>56406.0</v>
      </c>
      <c r="D197" s="6">
        <v>41386.0</v>
      </c>
      <c r="E197" s="6">
        <v>41324.0</v>
      </c>
      <c r="F197" s="6">
        <v>41100.0</v>
      </c>
      <c r="G197" s="6">
        <v>40127.0</v>
      </c>
      <c r="H197" s="6">
        <v>37145.0</v>
      </c>
      <c r="I197" s="6">
        <v>44487.0</v>
      </c>
      <c r="J197" s="6">
        <v>36807.0</v>
      </c>
      <c r="K197" s="6">
        <v>34854.0</v>
      </c>
      <c r="L197" s="6">
        <v>38015.0</v>
      </c>
      <c r="M197" s="6">
        <v>36859.0</v>
      </c>
      <c r="N197" s="6">
        <v>50230.0</v>
      </c>
      <c r="O197" s="6">
        <f t="shared" si="73"/>
        <v>498740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2"/>
      <c r="B198" s="5" t="s">
        <v>14</v>
      </c>
      <c r="C198" s="8">
        <f t="shared" ref="C198:N198" si="74">SUM(C196:C197)</f>
        <v>109857</v>
      </c>
      <c r="D198" s="8">
        <f t="shared" si="74"/>
        <v>80860</v>
      </c>
      <c r="E198" s="8">
        <f t="shared" si="74"/>
        <v>79929</v>
      </c>
      <c r="F198" s="8">
        <f t="shared" si="74"/>
        <v>81339</v>
      </c>
      <c r="G198" s="8">
        <f t="shared" si="74"/>
        <v>81999</v>
      </c>
      <c r="H198" s="8">
        <f t="shared" si="74"/>
        <v>75251</v>
      </c>
      <c r="I198" s="8">
        <f t="shared" si="74"/>
        <v>89678</v>
      </c>
      <c r="J198" s="8">
        <f t="shared" si="74"/>
        <v>72687</v>
      </c>
      <c r="K198" s="8">
        <f t="shared" si="74"/>
        <v>71365</v>
      </c>
      <c r="L198" s="8">
        <f t="shared" si="74"/>
        <v>76240</v>
      </c>
      <c r="M198" s="8">
        <f t="shared" si="74"/>
        <v>73584</v>
      </c>
      <c r="N198" s="8">
        <f t="shared" si="74"/>
        <v>100976</v>
      </c>
      <c r="O198" s="8">
        <f t="shared" si="73"/>
        <v>993765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2" t="s">
        <v>0</v>
      </c>
      <c r="B201" s="3" t="s">
        <v>24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5"/>
      <c r="B202" s="5" t="s">
        <v>25</v>
      </c>
      <c r="C202" s="6">
        <v>2869.0</v>
      </c>
      <c r="D202" s="6">
        <v>2444.0</v>
      </c>
      <c r="E202" s="6">
        <v>1574.0</v>
      </c>
      <c r="F202" s="6">
        <v>1464.0</v>
      </c>
      <c r="G202" s="6">
        <v>1467.0</v>
      </c>
      <c r="H202" s="6">
        <v>1430.0</v>
      </c>
      <c r="I202" s="6">
        <v>1600.0</v>
      </c>
      <c r="J202" s="6">
        <v>2508.0</v>
      </c>
      <c r="K202" s="6">
        <v>2398.0</v>
      </c>
      <c r="L202" s="6">
        <v>2645.0</v>
      </c>
      <c r="M202" s="6">
        <v>2781.0</v>
      </c>
      <c r="N202" s="6">
        <v>2857.0</v>
      </c>
      <c r="O202" s="6">
        <f t="shared" ref="O202:O204" si="75">SUM(C202:N202)</f>
        <v>26037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2"/>
      <c r="B203" s="5" t="s">
        <v>26</v>
      </c>
      <c r="C203" s="6">
        <v>2902.0</v>
      </c>
      <c r="D203" s="6">
        <v>2408.0</v>
      </c>
      <c r="E203" s="6">
        <v>2500.0</v>
      </c>
      <c r="F203" s="6">
        <v>2390.0</v>
      </c>
      <c r="G203" s="6">
        <v>2357.0</v>
      </c>
      <c r="H203" s="6">
        <v>2261.0</v>
      </c>
      <c r="I203" s="6">
        <v>2444.0</v>
      </c>
      <c r="J203" s="6">
        <v>2363.0</v>
      </c>
      <c r="K203" s="6">
        <v>2277.0</v>
      </c>
      <c r="L203" s="6">
        <v>2380.0</v>
      </c>
      <c r="M203" s="6">
        <v>2344.0</v>
      </c>
      <c r="N203" s="6">
        <v>2843.0</v>
      </c>
      <c r="O203" s="6">
        <f t="shared" si="75"/>
        <v>29469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2"/>
      <c r="B204" s="5" t="s">
        <v>14</v>
      </c>
      <c r="C204" s="8">
        <f t="shared" ref="C204:N204" si="76">SUM(C202:C203)</f>
        <v>5771</v>
      </c>
      <c r="D204" s="8">
        <f t="shared" si="76"/>
        <v>4852</v>
      </c>
      <c r="E204" s="8">
        <f t="shared" si="76"/>
        <v>4074</v>
      </c>
      <c r="F204" s="8">
        <f t="shared" si="76"/>
        <v>3854</v>
      </c>
      <c r="G204" s="8">
        <f t="shared" si="76"/>
        <v>3824</v>
      </c>
      <c r="H204" s="8">
        <f t="shared" si="76"/>
        <v>3691</v>
      </c>
      <c r="I204" s="8">
        <f t="shared" si="76"/>
        <v>4044</v>
      </c>
      <c r="J204" s="8">
        <f t="shared" si="76"/>
        <v>4871</v>
      </c>
      <c r="K204" s="8">
        <f t="shared" si="76"/>
        <v>4675</v>
      </c>
      <c r="L204" s="8">
        <f t="shared" si="76"/>
        <v>5025</v>
      </c>
      <c r="M204" s="8">
        <f t="shared" si="76"/>
        <v>5125</v>
      </c>
      <c r="N204" s="8">
        <f t="shared" si="76"/>
        <v>5700</v>
      </c>
      <c r="O204" s="8">
        <f t="shared" si="75"/>
        <v>55506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2">
        <v>2018.0</v>
      </c>
      <c r="B205" s="3" t="s">
        <v>17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14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5"/>
      <c r="B206" s="5" t="s">
        <v>18</v>
      </c>
      <c r="C206" s="6">
        <v>55369.0</v>
      </c>
      <c r="D206" s="6">
        <v>39342.0</v>
      </c>
      <c r="E206" s="6">
        <v>40737.0</v>
      </c>
      <c r="F206" s="6">
        <v>37014.0</v>
      </c>
      <c r="G206" s="6">
        <v>34952.0</v>
      </c>
      <c r="H206" s="6">
        <v>31890.0</v>
      </c>
      <c r="I206" s="6">
        <v>42644.0</v>
      </c>
      <c r="J206" s="6">
        <v>33596.0</v>
      </c>
      <c r="K206" s="6">
        <v>34761.0</v>
      </c>
      <c r="L206" s="6">
        <v>36779.0</v>
      </c>
      <c r="M206" s="6">
        <v>38608.0</v>
      </c>
      <c r="N206" s="6">
        <v>51518.0</v>
      </c>
      <c r="O206" s="6">
        <f t="shared" ref="O206:O208" si="77">SUM(C206:N206)</f>
        <v>477210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2"/>
      <c r="B207" s="5" t="s">
        <v>19</v>
      </c>
      <c r="C207" s="6">
        <v>50639.0</v>
      </c>
      <c r="D207" s="6">
        <v>41990.0</v>
      </c>
      <c r="E207" s="6">
        <v>40899.0</v>
      </c>
      <c r="F207" s="6">
        <v>37133.0</v>
      </c>
      <c r="G207" s="6">
        <v>34782.0</v>
      </c>
      <c r="H207" s="6">
        <v>31184.0</v>
      </c>
      <c r="I207" s="6">
        <v>41696.0</v>
      </c>
      <c r="J207" s="6">
        <v>33759.0</v>
      </c>
      <c r="K207" s="6">
        <v>34497.0</v>
      </c>
      <c r="L207" s="6">
        <v>35798.0</v>
      </c>
      <c r="M207" s="6">
        <v>37387.0</v>
      </c>
      <c r="N207" s="6">
        <v>48452.0</v>
      </c>
      <c r="O207" s="6">
        <f t="shared" si="77"/>
        <v>468216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2"/>
      <c r="B208" s="5" t="s">
        <v>14</v>
      </c>
      <c r="C208" s="8">
        <f t="shared" ref="C208:N208" si="78">SUM(C206:C207)</f>
        <v>106008</v>
      </c>
      <c r="D208" s="8">
        <f t="shared" si="78"/>
        <v>81332</v>
      </c>
      <c r="E208" s="8">
        <f t="shared" si="78"/>
        <v>81636</v>
      </c>
      <c r="F208" s="8">
        <f t="shared" si="78"/>
        <v>74147</v>
      </c>
      <c r="G208" s="8">
        <f t="shared" si="78"/>
        <v>69734</v>
      </c>
      <c r="H208" s="8">
        <f t="shared" si="78"/>
        <v>63074</v>
      </c>
      <c r="I208" s="8">
        <f t="shared" si="78"/>
        <v>84340</v>
      </c>
      <c r="J208" s="8">
        <f t="shared" si="78"/>
        <v>67355</v>
      </c>
      <c r="K208" s="8">
        <f t="shared" si="78"/>
        <v>69258</v>
      </c>
      <c r="L208" s="8">
        <f t="shared" si="78"/>
        <v>72577</v>
      </c>
      <c r="M208" s="8">
        <f t="shared" si="78"/>
        <v>75995</v>
      </c>
      <c r="N208" s="8">
        <f t="shared" si="78"/>
        <v>99970</v>
      </c>
      <c r="O208" s="8">
        <f t="shared" si="77"/>
        <v>945426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2" t="s">
        <v>0</v>
      </c>
      <c r="B216" s="3" t="s">
        <v>24</v>
      </c>
      <c r="C216" s="2" t="s">
        <v>2</v>
      </c>
      <c r="D216" s="2" t="s">
        <v>3</v>
      </c>
      <c r="E216" s="2" t="s">
        <v>4</v>
      </c>
      <c r="F216" s="2" t="s">
        <v>5</v>
      </c>
      <c r="G216" s="2" t="s">
        <v>6</v>
      </c>
      <c r="H216" s="2" t="s">
        <v>7</v>
      </c>
      <c r="I216" s="2" t="s">
        <v>8</v>
      </c>
      <c r="J216" s="2" t="s">
        <v>9</v>
      </c>
      <c r="K216" s="2" t="s">
        <v>10</v>
      </c>
      <c r="L216" s="2" t="s">
        <v>11</v>
      </c>
      <c r="M216" s="2" t="s">
        <v>12</v>
      </c>
      <c r="N216" s="2" t="s">
        <v>13</v>
      </c>
      <c r="O216" s="2" t="s">
        <v>14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5"/>
      <c r="B217" s="5" t="s">
        <v>25</v>
      </c>
      <c r="C217" s="6">
        <v>2819.0</v>
      </c>
      <c r="D217" s="6">
        <v>2284.0</v>
      </c>
      <c r="E217" s="6">
        <v>2544.0</v>
      </c>
      <c r="F217" s="6">
        <v>2553.0</v>
      </c>
      <c r="G217" s="6">
        <v>2563.0</v>
      </c>
      <c r="H217" s="6">
        <v>2467.0</v>
      </c>
      <c r="I217" s="6">
        <v>2641.0</v>
      </c>
      <c r="J217" s="6">
        <v>2577.0</v>
      </c>
      <c r="K217" s="6">
        <v>2473.0</v>
      </c>
      <c r="L217" s="6">
        <v>2566.0</v>
      </c>
      <c r="M217" s="6">
        <v>2497.0</v>
      </c>
      <c r="N217" s="6">
        <v>2887.0</v>
      </c>
      <c r="O217" s="6">
        <f t="shared" ref="O217:O219" si="79">SUM(C217:N217)</f>
        <v>30871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2"/>
      <c r="B218" s="5" t="s">
        <v>26</v>
      </c>
      <c r="C218" s="6">
        <v>2758.0</v>
      </c>
      <c r="D218" s="6">
        <v>2203.0</v>
      </c>
      <c r="E218" s="6">
        <v>2433.0</v>
      </c>
      <c r="F218" s="6">
        <v>2353.0</v>
      </c>
      <c r="G218" s="6">
        <v>2375.0</v>
      </c>
      <c r="H218" s="6">
        <v>2356.0</v>
      </c>
      <c r="I218" s="6">
        <v>2502.0</v>
      </c>
      <c r="J218" s="6">
        <v>2439.0</v>
      </c>
      <c r="K218" s="6">
        <v>2313.0</v>
      </c>
      <c r="L218" s="6">
        <v>2428.0</v>
      </c>
      <c r="M218" s="6">
        <v>2359.0</v>
      </c>
      <c r="N218" s="6">
        <v>2759.0</v>
      </c>
      <c r="O218" s="6">
        <f t="shared" si="79"/>
        <v>29278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2"/>
      <c r="B219" s="5" t="s">
        <v>14</v>
      </c>
      <c r="C219" s="8">
        <f t="shared" ref="C219:N219" si="80">SUM(C217:C218)</f>
        <v>5577</v>
      </c>
      <c r="D219" s="8">
        <f t="shared" si="80"/>
        <v>4487</v>
      </c>
      <c r="E219" s="8">
        <f t="shared" si="80"/>
        <v>4977</v>
      </c>
      <c r="F219" s="8">
        <f t="shared" si="80"/>
        <v>4906</v>
      </c>
      <c r="G219" s="8">
        <f t="shared" si="80"/>
        <v>4938</v>
      </c>
      <c r="H219" s="8">
        <f t="shared" si="80"/>
        <v>4823</v>
      </c>
      <c r="I219" s="8">
        <f t="shared" si="80"/>
        <v>5143</v>
      </c>
      <c r="J219" s="8">
        <f t="shared" si="80"/>
        <v>5016</v>
      </c>
      <c r="K219" s="8">
        <f t="shared" si="80"/>
        <v>4786</v>
      </c>
      <c r="L219" s="8">
        <f t="shared" si="80"/>
        <v>4994</v>
      </c>
      <c r="M219" s="8">
        <f t="shared" si="80"/>
        <v>4856</v>
      </c>
      <c r="N219" s="8">
        <f t="shared" si="80"/>
        <v>5646</v>
      </c>
      <c r="O219" s="8">
        <f t="shared" si="79"/>
        <v>60149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2">
        <v>2019.0</v>
      </c>
      <c r="B220" s="3" t="s">
        <v>17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2" t="s">
        <v>7</v>
      </c>
      <c r="I220" s="2" t="s">
        <v>8</v>
      </c>
      <c r="J220" s="2" t="s">
        <v>9</v>
      </c>
      <c r="K220" s="2" t="s">
        <v>10</v>
      </c>
      <c r="L220" s="2" t="s">
        <v>11</v>
      </c>
      <c r="M220" s="2" t="s">
        <v>12</v>
      </c>
      <c r="N220" s="2" t="s">
        <v>13</v>
      </c>
      <c r="O220" s="2" t="s">
        <v>14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5"/>
      <c r="B221" s="5" t="s">
        <v>18</v>
      </c>
      <c r="C221" s="6">
        <v>51382.0</v>
      </c>
      <c r="D221" s="6">
        <v>38358.0</v>
      </c>
      <c r="E221" s="6">
        <v>37249.0</v>
      </c>
      <c r="F221" s="6">
        <v>38655.0</v>
      </c>
      <c r="G221" s="6">
        <v>35908.0</v>
      </c>
      <c r="H221" s="6">
        <v>36954.0</v>
      </c>
      <c r="I221" s="6">
        <v>45330.0</v>
      </c>
      <c r="J221" s="6">
        <v>34764.0</v>
      </c>
      <c r="K221" s="6">
        <v>33938.0</v>
      </c>
      <c r="L221" s="6">
        <v>36011.0</v>
      </c>
      <c r="M221" s="6">
        <v>38477.0</v>
      </c>
      <c r="N221" s="6">
        <v>55259.0</v>
      </c>
      <c r="O221" s="6">
        <f t="shared" ref="O221:O223" si="81">SUM(C221:N221)</f>
        <v>482285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2"/>
      <c r="B222" s="5" t="s">
        <v>19</v>
      </c>
      <c r="C222" s="6">
        <v>48169.0</v>
      </c>
      <c r="D222" s="6">
        <v>37629.0</v>
      </c>
      <c r="E222" s="6">
        <v>37698.0</v>
      </c>
      <c r="F222" s="6">
        <v>37670.0</v>
      </c>
      <c r="G222" s="6">
        <v>34373.0</v>
      </c>
      <c r="H222" s="6">
        <v>33966.0</v>
      </c>
      <c r="I222" s="6">
        <v>41655.0</v>
      </c>
      <c r="J222" s="6">
        <v>35506.0</v>
      </c>
      <c r="K222" s="6">
        <v>32964.0</v>
      </c>
      <c r="L222" s="6">
        <v>34652.0</v>
      </c>
      <c r="M222" s="6">
        <v>36109.0</v>
      </c>
      <c r="N222" s="6">
        <v>50138.0</v>
      </c>
      <c r="O222" s="6">
        <f t="shared" si="81"/>
        <v>460529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2"/>
      <c r="B223" s="5" t="s">
        <v>14</v>
      </c>
      <c r="C223" s="8">
        <f t="shared" ref="C223:N223" si="82">SUM(C221:C222)</f>
        <v>99551</v>
      </c>
      <c r="D223" s="8">
        <f t="shared" si="82"/>
        <v>75987</v>
      </c>
      <c r="E223" s="8">
        <f t="shared" si="82"/>
        <v>74947</v>
      </c>
      <c r="F223" s="8">
        <f t="shared" si="82"/>
        <v>76325</v>
      </c>
      <c r="G223" s="8">
        <f t="shared" si="82"/>
        <v>70281</v>
      </c>
      <c r="H223" s="8">
        <f t="shared" si="82"/>
        <v>70920</v>
      </c>
      <c r="I223" s="8">
        <f t="shared" si="82"/>
        <v>86985</v>
      </c>
      <c r="J223" s="8">
        <f t="shared" si="82"/>
        <v>70270</v>
      </c>
      <c r="K223" s="8">
        <f t="shared" si="82"/>
        <v>66902</v>
      </c>
      <c r="L223" s="8">
        <f t="shared" si="82"/>
        <v>70663</v>
      </c>
      <c r="M223" s="8">
        <f t="shared" si="82"/>
        <v>74586</v>
      </c>
      <c r="N223" s="8">
        <f t="shared" si="82"/>
        <v>105397</v>
      </c>
      <c r="O223" s="8">
        <f t="shared" si="81"/>
        <v>942814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2" t="s">
        <v>0</v>
      </c>
      <c r="B226" s="3" t="s">
        <v>24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  <c r="M226" s="2" t="s">
        <v>12</v>
      </c>
      <c r="N226" s="2" t="s">
        <v>13</v>
      </c>
      <c r="O226" s="2" t="s">
        <v>14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5"/>
      <c r="B227" s="5" t="s">
        <v>25</v>
      </c>
      <c r="C227" s="6">
        <v>2855.0</v>
      </c>
      <c r="D227" s="6">
        <v>2552.0</v>
      </c>
      <c r="E227" s="6">
        <v>1571.0</v>
      </c>
      <c r="F227" s="6">
        <v>135.0</v>
      </c>
      <c r="G227" s="6">
        <v>630.0</v>
      </c>
      <c r="H227" s="6">
        <v>671.0</v>
      </c>
      <c r="I227" s="6">
        <v>673.0</v>
      </c>
      <c r="J227" s="6">
        <v>866.0</v>
      </c>
      <c r="K227" s="6">
        <v>1045.0</v>
      </c>
      <c r="L227" s="6">
        <v>1247.0</v>
      </c>
      <c r="M227" s="6">
        <v>1487.0</v>
      </c>
      <c r="N227" s="6">
        <v>1832.0</v>
      </c>
      <c r="O227" s="6">
        <f t="shared" ref="O227:O229" si="83">SUM(C227:N227)</f>
        <v>15564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2"/>
      <c r="B228" s="5" t="s">
        <v>26</v>
      </c>
      <c r="C228" s="6">
        <v>2853.0</v>
      </c>
      <c r="D228" s="6">
        <v>2363.0</v>
      </c>
      <c r="E228" s="6">
        <v>1480.0</v>
      </c>
      <c r="F228" s="6">
        <v>112.0</v>
      </c>
      <c r="G228" s="6">
        <v>579.0</v>
      </c>
      <c r="H228" s="6">
        <v>620.0</v>
      </c>
      <c r="I228" s="6">
        <v>611.0</v>
      </c>
      <c r="J228" s="6">
        <v>802.0</v>
      </c>
      <c r="K228" s="6">
        <v>1002.0</v>
      </c>
      <c r="L228" s="6">
        <v>1218.0</v>
      </c>
      <c r="M228" s="6">
        <v>1410.0</v>
      </c>
      <c r="N228" s="6">
        <v>1793.0</v>
      </c>
      <c r="O228" s="6">
        <f t="shared" si="83"/>
        <v>14843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2"/>
      <c r="B229" s="5" t="s">
        <v>14</v>
      </c>
      <c r="C229" s="8">
        <f t="shared" ref="C229:N229" si="84">SUM(C227:C228)</f>
        <v>5708</v>
      </c>
      <c r="D229" s="8">
        <f t="shared" si="84"/>
        <v>4915</v>
      </c>
      <c r="E229" s="8">
        <f t="shared" si="84"/>
        <v>3051</v>
      </c>
      <c r="F229" s="8">
        <f t="shared" si="84"/>
        <v>247</v>
      </c>
      <c r="G229" s="8">
        <f t="shared" si="84"/>
        <v>1209</v>
      </c>
      <c r="H229" s="8">
        <f t="shared" si="84"/>
        <v>1291</v>
      </c>
      <c r="I229" s="8">
        <f t="shared" si="84"/>
        <v>1284</v>
      </c>
      <c r="J229" s="8">
        <f t="shared" si="84"/>
        <v>1668</v>
      </c>
      <c r="K229" s="8">
        <f t="shared" si="84"/>
        <v>2047</v>
      </c>
      <c r="L229" s="8">
        <f t="shared" si="84"/>
        <v>2465</v>
      </c>
      <c r="M229" s="8">
        <f t="shared" si="84"/>
        <v>2897</v>
      </c>
      <c r="N229" s="8">
        <f t="shared" si="84"/>
        <v>3625</v>
      </c>
      <c r="O229" s="8">
        <f t="shared" si="83"/>
        <v>30407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2">
        <v>2020.0</v>
      </c>
      <c r="B230" s="3" t="s">
        <v>17</v>
      </c>
      <c r="C230" s="2" t="s">
        <v>2</v>
      </c>
      <c r="D230" s="2" t="s">
        <v>3</v>
      </c>
      <c r="E230" s="2" t="s">
        <v>4</v>
      </c>
      <c r="F230" s="2" t="s">
        <v>5</v>
      </c>
      <c r="G230" s="2" t="s">
        <v>6</v>
      </c>
      <c r="H230" s="2" t="s">
        <v>7</v>
      </c>
      <c r="I230" s="2" t="s">
        <v>8</v>
      </c>
      <c r="J230" s="2" t="s">
        <v>9</v>
      </c>
      <c r="K230" s="2" t="s">
        <v>10</v>
      </c>
      <c r="L230" s="2" t="s">
        <v>11</v>
      </c>
      <c r="M230" s="2" t="s">
        <v>12</v>
      </c>
      <c r="N230" s="2" t="s">
        <v>13</v>
      </c>
      <c r="O230" s="2" t="s">
        <v>14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5"/>
      <c r="B231" s="5" t="s">
        <v>18</v>
      </c>
      <c r="C231" s="6">
        <v>52937.0</v>
      </c>
      <c r="D231" s="6">
        <v>35068.0</v>
      </c>
      <c r="E231" s="6">
        <v>24374.0</v>
      </c>
      <c r="F231" s="6">
        <v>1535.0</v>
      </c>
      <c r="G231" s="6">
        <v>6013.0</v>
      </c>
      <c r="H231" s="6">
        <v>6381.0</v>
      </c>
      <c r="I231" s="6">
        <v>5976.0</v>
      </c>
      <c r="J231" s="6">
        <v>8808.0</v>
      </c>
      <c r="K231" s="6">
        <v>11537.0</v>
      </c>
      <c r="L231" s="6">
        <v>16320.0</v>
      </c>
      <c r="M231" s="6">
        <v>20013.0</v>
      </c>
      <c r="N231" s="6">
        <v>25773.0</v>
      </c>
      <c r="O231" s="6">
        <f t="shared" ref="O231:O232" si="85">SUM(C231:N231)</f>
        <v>214735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2"/>
      <c r="B232" s="5" t="s">
        <v>19</v>
      </c>
      <c r="C232" s="6">
        <v>49650.0</v>
      </c>
      <c r="D232" s="6">
        <v>40282.0</v>
      </c>
      <c r="E232" s="6">
        <v>20960.0</v>
      </c>
      <c r="F232" s="6">
        <v>818.0</v>
      </c>
      <c r="G232" s="6">
        <v>4873.0</v>
      </c>
      <c r="H232" s="6">
        <v>5759.0</v>
      </c>
      <c r="I232" s="6">
        <v>4954.0</v>
      </c>
      <c r="J232" s="6">
        <v>7918.0</v>
      </c>
      <c r="K232" s="6">
        <v>10777.0</v>
      </c>
      <c r="L232" s="6">
        <v>14645.0</v>
      </c>
      <c r="M232" s="6">
        <v>18963.0</v>
      </c>
      <c r="N232" s="6">
        <v>24964.0</v>
      </c>
      <c r="O232" s="6">
        <f t="shared" si="85"/>
        <v>204563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2"/>
      <c r="B233" s="5" t="s">
        <v>14</v>
      </c>
      <c r="C233" s="8">
        <f t="shared" ref="C233:K233" si="86">SUM(C231:C232)</f>
        <v>102587</v>
      </c>
      <c r="D233" s="8">
        <f t="shared" si="86"/>
        <v>75350</v>
      </c>
      <c r="E233" s="8">
        <f t="shared" si="86"/>
        <v>45334</v>
      </c>
      <c r="F233" s="8">
        <f t="shared" si="86"/>
        <v>2353</v>
      </c>
      <c r="G233" s="8">
        <f t="shared" si="86"/>
        <v>10886</v>
      </c>
      <c r="H233" s="8">
        <f t="shared" si="86"/>
        <v>12140</v>
      </c>
      <c r="I233" s="8">
        <f t="shared" si="86"/>
        <v>10930</v>
      </c>
      <c r="J233" s="8">
        <f t="shared" si="86"/>
        <v>16726</v>
      </c>
      <c r="K233" s="8">
        <f t="shared" si="86"/>
        <v>22314</v>
      </c>
      <c r="L233" s="8">
        <f>SUM(L227:L232)</f>
        <v>35895</v>
      </c>
      <c r="M233" s="8">
        <f t="shared" ref="M233:O233" si="87">SUM(M231:M232)</f>
        <v>38976</v>
      </c>
      <c r="N233" s="8">
        <f t="shared" si="87"/>
        <v>50737</v>
      </c>
      <c r="O233" s="8">
        <f t="shared" si="87"/>
        <v>419298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61"/>
      <c r="K235" s="1"/>
      <c r="L235" s="61"/>
      <c r="M235" s="61"/>
      <c r="N235" s="6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61"/>
      <c r="J236" s="1"/>
      <c r="K236" s="6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2" t="s">
        <v>0</v>
      </c>
      <c r="B239" s="3" t="s">
        <v>24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  <c r="N239" s="2" t="s">
        <v>13</v>
      </c>
      <c r="O239" s="2" t="s">
        <v>14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5"/>
      <c r="B240" s="5" t="s">
        <v>25</v>
      </c>
      <c r="C240" s="59">
        <v>1920.0</v>
      </c>
      <c r="D240" s="6">
        <v>1658.0</v>
      </c>
      <c r="E240" s="6">
        <v>1405.0</v>
      </c>
      <c r="F240" s="6">
        <v>1311.0</v>
      </c>
      <c r="G240" s="6">
        <v>1487.0</v>
      </c>
      <c r="H240" s="6">
        <v>1510.0</v>
      </c>
      <c r="I240" s="6">
        <v>1584.0</v>
      </c>
      <c r="J240" s="6"/>
      <c r="K240" s="6"/>
      <c r="L240" s="6"/>
      <c r="M240" s="6"/>
      <c r="N240" s="6"/>
      <c r="O240" s="6">
        <f t="shared" ref="O240:O242" si="88">SUM(C240:N240)</f>
        <v>10875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2"/>
      <c r="B241" s="5" t="s">
        <v>26</v>
      </c>
      <c r="C241" s="60">
        <v>1861.0</v>
      </c>
      <c r="D241" s="6">
        <v>1624.0</v>
      </c>
      <c r="E241" s="6">
        <v>1356.0</v>
      </c>
      <c r="F241" s="6">
        <v>1275.0</v>
      </c>
      <c r="G241" s="6">
        <v>1461.0</v>
      </c>
      <c r="H241" s="6">
        <v>1423.0</v>
      </c>
      <c r="I241" s="6">
        <v>1553.0</v>
      </c>
      <c r="J241" s="6"/>
      <c r="K241" s="6"/>
      <c r="L241" s="6"/>
      <c r="M241" s="6"/>
      <c r="N241" s="6"/>
      <c r="O241" s="6">
        <f t="shared" si="88"/>
        <v>10553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2"/>
      <c r="B242" s="5" t="s">
        <v>14</v>
      </c>
      <c r="C242" s="8">
        <f t="shared" ref="C242:N242" si="89">SUM(C240:C241)</f>
        <v>3781</v>
      </c>
      <c r="D242" s="8">
        <f t="shared" si="89"/>
        <v>3282</v>
      </c>
      <c r="E242" s="8">
        <f t="shared" si="89"/>
        <v>2761</v>
      </c>
      <c r="F242" s="8">
        <f t="shared" si="89"/>
        <v>2586</v>
      </c>
      <c r="G242" s="8">
        <f t="shared" si="89"/>
        <v>2948</v>
      </c>
      <c r="H242" s="8">
        <f t="shared" si="89"/>
        <v>2933</v>
      </c>
      <c r="I242" s="8">
        <f t="shared" si="89"/>
        <v>3137</v>
      </c>
      <c r="J242" s="8">
        <f t="shared" si="89"/>
        <v>0</v>
      </c>
      <c r="K242" s="8">
        <f t="shared" si="89"/>
        <v>0</v>
      </c>
      <c r="L242" s="8">
        <f t="shared" si="89"/>
        <v>0</v>
      </c>
      <c r="M242" s="8">
        <f t="shared" si="89"/>
        <v>0</v>
      </c>
      <c r="N242" s="8">
        <f t="shared" si="89"/>
        <v>0</v>
      </c>
      <c r="O242" s="8">
        <f t="shared" si="88"/>
        <v>21428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2"/>
      <c r="B243" s="70" t="s">
        <v>27</v>
      </c>
      <c r="C243" s="71">
        <f>C242/31</f>
        <v>121.9677419</v>
      </c>
      <c r="D243" s="71">
        <f>D242/28</f>
        <v>117.2142857</v>
      </c>
      <c r="E243" s="71">
        <f>E242/31</f>
        <v>89.06451613</v>
      </c>
      <c r="F243" s="72">
        <f>F242/30</f>
        <v>86.2</v>
      </c>
      <c r="G243" s="72">
        <f>G242/31</f>
        <v>95.09677419</v>
      </c>
      <c r="H243" s="72">
        <f>H242/30</f>
        <v>97.76666667</v>
      </c>
      <c r="I243" s="72">
        <f t="shared" ref="I243:J243" si="90">I242/31</f>
        <v>101.1935484</v>
      </c>
      <c r="J243" s="72">
        <f t="shared" si="90"/>
        <v>0</v>
      </c>
      <c r="K243" s="72">
        <f>K242/30</f>
        <v>0</v>
      </c>
      <c r="L243" s="72">
        <f>L242/31</f>
        <v>0</v>
      </c>
      <c r="M243" s="72">
        <f>M242/30</f>
        <v>0</v>
      </c>
      <c r="N243" s="72">
        <f>N242/31</f>
        <v>0</v>
      </c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2"/>
      <c r="B244" s="73" t="s">
        <v>23</v>
      </c>
      <c r="C244" s="74">
        <f>C242/N229-1</f>
        <v>0.04303448276</v>
      </c>
      <c r="D244" s="74">
        <f t="shared" ref="D244:N244" si="91">D242/C242-1</f>
        <v>-0.1319756678</v>
      </c>
      <c r="E244" s="74">
        <f t="shared" si="91"/>
        <v>-0.1587446679</v>
      </c>
      <c r="F244" s="74">
        <f t="shared" si="91"/>
        <v>-0.06338283231</v>
      </c>
      <c r="G244" s="74">
        <f t="shared" si="91"/>
        <v>0.1399845321</v>
      </c>
      <c r="H244" s="74">
        <f t="shared" si="91"/>
        <v>-0.005088195387</v>
      </c>
      <c r="I244" s="74">
        <f t="shared" si="91"/>
        <v>0.06955335834</v>
      </c>
      <c r="J244" s="74">
        <f t="shared" si="91"/>
        <v>-1</v>
      </c>
      <c r="K244" s="74" t="str">
        <f t="shared" si="91"/>
        <v>#DIV/0!</v>
      </c>
      <c r="L244" s="74" t="str">
        <f t="shared" si="91"/>
        <v>#DIV/0!</v>
      </c>
      <c r="M244" s="74" t="str">
        <f t="shared" si="91"/>
        <v>#DIV/0!</v>
      </c>
      <c r="N244" s="74" t="str">
        <f t="shared" si="91"/>
        <v>#DIV/0!</v>
      </c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2">
        <v>2021.0</v>
      </c>
      <c r="B245" s="3" t="s">
        <v>17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  <c r="I245" s="2" t="s">
        <v>8</v>
      </c>
      <c r="J245" s="2" t="s">
        <v>9</v>
      </c>
      <c r="K245" s="2" t="s">
        <v>10</v>
      </c>
      <c r="L245" s="2" t="s">
        <v>11</v>
      </c>
      <c r="M245" s="2" t="s">
        <v>12</v>
      </c>
      <c r="N245" s="2" t="s">
        <v>13</v>
      </c>
      <c r="O245" s="2" t="s">
        <v>14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5"/>
      <c r="B246" s="5" t="s">
        <v>18</v>
      </c>
      <c r="C246" s="59">
        <v>25072.0</v>
      </c>
      <c r="D246" s="6">
        <v>21340.0</v>
      </c>
      <c r="E246" s="6">
        <v>16026.0</v>
      </c>
      <c r="F246" s="6">
        <v>17048.0</v>
      </c>
      <c r="G246" s="6">
        <v>22053.0</v>
      </c>
      <c r="H246" s="6">
        <v>21870.0</v>
      </c>
      <c r="I246" s="6">
        <v>26897.0</v>
      </c>
      <c r="J246" s="6"/>
      <c r="K246" s="6"/>
      <c r="L246" s="6"/>
      <c r="M246" s="6"/>
      <c r="N246" s="6"/>
      <c r="O246" s="6">
        <f t="shared" ref="O246:O247" si="92">SUM(C246:N246)</f>
        <v>150306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2"/>
      <c r="B247" s="5" t="s">
        <v>19</v>
      </c>
      <c r="C247" s="60">
        <v>24807.0</v>
      </c>
      <c r="D247" s="6">
        <v>21669.0</v>
      </c>
      <c r="E247" s="6">
        <v>15116.0</v>
      </c>
      <c r="F247" s="6">
        <v>16154.0</v>
      </c>
      <c r="G247" s="6">
        <v>20072.0</v>
      </c>
      <c r="H247" s="6">
        <v>19970.0</v>
      </c>
      <c r="I247" s="6">
        <v>23356.0</v>
      </c>
      <c r="J247" s="6"/>
      <c r="K247" s="6"/>
      <c r="L247" s="6"/>
      <c r="M247" s="6"/>
      <c r="N247" s="6"/>
      <c r="O247" s="6">
        <f t="shared" si="92"/>
        <v>141144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2"/>
      <c r="B248" s="5" t="s">
        <v>14</v>
      </c>
      <c r="C248" s="8">
        <f t="shared" ref="C248:K248" si="93">SUM(C246:C247)</f>
        <v>49879</v>
      </c>
      <c r="D248" s="8">
        <f t="shared" si="93"/>
        <v>43009</v>
      </c>
      <c r="E248" s="8">
        <f t="shared" si="93"/>
        <v>31142</v>
      </c>
      <c r="F248" s="8">
        <f t="shared" si="93"/>
        <v>33202</v>
      </c>
      <c r="G248" s="8">
        <f t="shared" si="93"/>
        <v>42125</v>
      </c>
      <c r="H248" s="8">
        <f t="shared" si="93"/>
        <v>41840</v>
      </c>
      <c r="I248" s="8">
        <f t="shared" si="93"/>
        <v>50253</v>
      </c>
      <c r="J248" s="8">
        <f t="shared" si="93"/>
        <v>0</v>
      </c>
      <c r="K248" s="8">
        <f t="shared" si="93"/>
        <v>0</v>
      </c>
      <c r="L248" s="8" t="str">
        <f>SUM(L240:L247)</f>
        <v>#DIV/0!</v>
      </c>
      <c r="M248" s="8">
        <f t="shared" ref="M248:O248" si="94">SUM(M246:M247)</f>
        <v>0</v>
      </c>
      <c r="N248" s="8">
        <f t="shared" si="94"/>
        <v>0</v>
      </c>
      <c r="O248" s="8">
        <f t="shared" si="94"/>
        <v>291450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7.14"/>
    <col customWidth="1" min="3" max="3" width="8.14"/>
    <col customWidth="1" min="4" max="4" width="8.57"/>
    <col customWidth="1" min="5" max="5" width="8.29"/>
    <col customWidth="1" min="6" max="12" width="8.71"/>
    <col customWidth="1" min="13" max="13" width="9.0"/>
    <col customWidth="1" min="14" max="14" width="9.43"/>
    <col customWidth="1" min="15" max="15" width="11.14"/>
    <col customWidth="1" min="16" max="16" width="9.14"/>
    <col customWidth="1" min="17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0</v>
      </c>
      <c r="B7" s="2" t="s">
        <v>28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/>
      <c r="B8" s="5" t="s">
        <v>29</v>
      </c>
      <c r="C8" s="75">
        <v>63103.0</v>
      </c>
      <c r="D8" s="75">
        <v>30790.0</v>
      </c>
      <c r="E8" s="75">
        <v>29692.0</v>
      </c>
      <c r="F8" s="75">
        <v>27563.0</v>
      </c>
      <c r="G8" s="75">
        <v>16155.0</v>
      </c>
      <c r="H8" s="75">
        <v>17035.0</v>
      </c>
      <c r="I8" s="75">
        <v>37359.0</v>
      </c>
      <c r="J8" s="75">
        <v>24473.0</v>
      </c>
      <c r="K8" s="76">
        <v>29229.0</v>
      </c>
      <c r="L8" s="75">
        <v>36623.0</v>
      </c>
      <c r="M8" s="75">
        <v>37397.0</v>
      </c>
      <c r="N8" s="75">
        <v>43852.0</v>
      </c>
      <c r="O8" s="75">
        <f t="shared" ref="O8:O10" si="1">SUM(C8:N8)</f>
        <v>393271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>
        <v>2000.0</v>
      </c>
      <c r="B9" s="5" t="s">
        <v>30</v>
      </c>
      <c r="C9" s="75">
        <v>41910.0</v>
      </c>
      <c r="D9" s="75">
        <v>38338.0</v>
      </c>
      <c r="E9" s="75">
        <v>26754.0</v>
      </c>
      <c r="F9" s="75">
        <v>36296.0</v>
      </c>
      <c r="G9" s="75">
        <v>19172.0</v>
      </c>
      <c r="H9" s="75">
        <v>18559.0</v>
      </c>
      <c r="I9" s="75">
        <v>43788.0</v>
      </c>
      <c r="J9" s="75">
        <v>32162.0</v>
      </c>
      <c r="K9" s="75">
        <v>30779.0</v>
      </c>
      <c r="L9" s="75">
        <v>36460.0</v>
      </c>
      <c r="M9" s="75">
        <v>34824.0</v>
      </c>
      <c r="N9" s="75">
        <v>14844.0</v>
      </c>
      <c r="O9" s="75">
        <f t="shared" si="1"/>
        <v>373886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/>
      <c r="B10" s="5" t="s">
        <v>14</v>
      </c>
      <c r="C10" s="8">
        <f t="shared" ref="C10:N10" si="2">SUM(C8:C9)</f>
        <v>105013</v>
      </c>
      <c r="D10" s="8">
        <f t="shared" si="2"/>
        <v>69128</v>
      </c>
      <c r="E10" s="8">
        <f t="shared" si="2"/>
        <v>56446</v>
      </c>
      <c r="F10" s="8">
        <f t="shared" si="2"/>
        <v>63859</v>
      </c>
      <c r="G10" s="8">
        <f t="shared" si="2"/>
        <v>35327</v>
      </c>
      <c r="H10" s="8">
        <f t="shared" si="2"/>
        <v>35594</v>
      </c>
      <c r="I10" s="8">
        <f t="shared" si="2"/>
        <v>81147</v>
      </c>
      <c r="J10" s="8">
        <f t="shared" si="2"/>
        <v>56635</v>
      </c>
      <c r="K10" s="8">
        <f t="shared" si="2"/>
        <v>60008</v>
      </c>
      <c r="L10" s="8">
        <f t="shared" si="2"/>
        <v>73083</v>
      </c>
      <c r="M10" s="8">
        <f t="shared" si="2"/>
        <v>72221</v>
      </c>
      <c r="N10" s="8">
        <f t="shared" si="2"/>
        <v>58696</v>
      </c>
      <c r="O10" s="77">
        <f t="shared" si="1"/>
        <v>767157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 t="s">
        <v>0</v>
      </c>
      <c r="B13" s="2" t="s">
        <v>28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/>
      <c r="B14" s="5" t="s">
        <v>29</v>
      </c>
      <c r="C14" s="75">
        <v>82469.0</v>
      </c>
      <c r="D14" s="75">
        <v>39717.0</v>
      </c>
      <c r="E14" s="75">
        <v>22887.0</v>
      </c>
      <c r="F14" s="75">
        <v>26492.0</v>
      </c>
      <c r="G14" s="75">
        <v>16145.0</v>
      </c>
      <c r="H14" s="75">
        <v>18171.0</v>
      </c>
      <c r="I14" s="75">
        <v>41105.0</v>
      </c>
      <c r="J14" s="75">
        <v>21071.0</v>
      </c>
      <c r="K14" s="76">
        <v>23004.0</v>
      </c>
      <c r="L14" s="75">
        <v>28652.0</v>
      </c>
      <c r="M14" s="75">
        <v>32393.0</v>
      </c>
      <c r="N14" s="75">
        <v>37646.0</v>
      </c>
      <c r="O14" s="75">
        <f t="shared" ref="O14:O16" si="3">SUM(C14:N14)</f>
        <v>389752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>
        <v>2001.0</v>
      </c>
      <c r="B15" s="5" t="s">
        <v>30</v>
      </c>
      <c r="C15" s="75">
        <v>14444.0</v>
      </c>
      <c r="D15" s="75">
        <v>32499.0</v>
      </c>
      <c r="E15" s="75">
        <v>22917.0</v>
      </c>
      <c r="F15" s="75">
        <v>32414.0</v>
      </c>
      <c r="G15" s="75">
        <v>19754.0</v>
      </c>
      <c r="H15" s="75">
        <v>16974.0</v>
      </c>
      <c r="I15" s="75">
        <v>44216.0</v>
      </c>
      <c r="J15" s="75">
        <v>38491.0</v>
      </c>
      <c r="K15" s="75">
        <v>33545.0</v>
      </c>
      <c r="L15" s="75">
        <v>35891.0</v>
      </c>
      <c r="M15" s="75">
        <v>30765.0</v>
      </c>
      <c r="N15" s="75">
        <v>24113.0</v>
      </c>
      <c r="O15" s="75">
        <f t="shared" si="3"/>
        <v>346023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/>
      <c r="B16" s="5" t="s">
        <v>14</v>
      </c>
      <c r="C16" s="8">
        <f t="shared" ref="C16:D16" si="4">SUM(C14:C15)</f>
        <v>96913</v>
      </c>
      <c r="D16" s="8">
        <f t="shared" si="4"/>
        <v>72216</v>
      </c>
      <c r="E16" s="8">
        <v>45804.0</v>
      </c>
      <c r="F16" s="8">
        <v>58906.0</v>
      </c>
      <c r="G16" s="8">
        <v>35899.0</v>
      </c>
      <c r="H16" s="8">
        <v>35145.0</v>
      </c>
      <c r="I16" s="8">
        <v>85321.0</v>
      </c>
      <c r="J16" s="8">
        <v>59562.0</v>
      </c>
      <c r="K16" s="8">
        <v>56549.0</v>
      </c>
      <c r="L16" s="8">
        <v>64543.0</v>
      </c>
      <c r="M16" s="8">
        <v>63158.0</v>
      </c>
      <c r="N16" s="8">
        <v>61759.0</v>
      </c>
      <c r="O16" s="8">
        <f t="shared" si="3"/>
        <v>735775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0</v>
      </c>
      <c r="B19" s="2" t="s">
        <v>28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5"/>
      <c r="B20" s="5" t="s">
        <v>29</v>
      </c>
      <c r="C20" s="75">
        <v>50801.0</v>
      </c>
      <c r="D20" s="75">
        <v>29926.0</v>
      </c>
      <c r="E20" s="75">
        <v>24051.0</v>
      </c>
      <c r="F20" s="75">
        <v>17883.0</v>
      </c>
      <c r="G20" s="75">
        <v>20341.0</v>
      </c>
      <c r="H20" s="75">
        <v>15508.0</v>
      </c>
      <c r="I20" s="75">
        <v>32104.0</v>
      </c>
      <c r="J20" s="75">
        <v>21050.0</v>
      </c>
      <c r="K20" s="76">
        <v>24635.0</v>
      </c>
      <c r="L20" s="75">
        <v>23415.0</v>
      </c>
      <c r="M20" s="75">
        <v>37714.0</v>
      </c>
      <c r="N20" s="75">
        <v>40537.0</v>
      </c>
      <c r="O20" s="75">
        <f t="shared" ref="O20:O22" si="5">SUM(C20:N20)</f>
        <v>337965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>
        <v>2002.0</v>
      </c>
      <c r="B21" s="5" t="s">
        <v>30</v>
      </c>
      <c r="C21" s="75">
        <v>25764.0</v>
      </c>
      <c r="D21" s="75">
        <v>27380.0</v>
      </c>
      <c r="E21" s="75">
        <v>33120.0</v>
      </c>
      <c r="F21" s="75">
        <v>17852.0</v>
      </c>
      <c r="G21" s="75">
        <v>15911.0</v>
      </c>
      <c r="H21" s="75">
        <v>13659.0</v>
      </c>
      <c r="I21" s="75">
        <v>36378.0</v>
      </c>
      <c r="J21" s="75">
        <v>29189.0</v>
      </c>
      <c r="K21" s="75">
        <v>26987.0</v>
      </c>
      <c r="L21" s="75">
        <v>32209.0</v>
      </c>
      <c r="M21" s="75">
        <v>27952.0</v>
      </c>
      <c r="N21" s="75">
        <v>21466.0</v>
      </c>
      <c r="O21" s="75">
        <f t="shared" si="5"/>
        <v>307867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/>
      <c r="B22" s="5" t="s">
        <v>14</v>
      </c>
      <c r="C22" s="8">
        <f t="shared" ref="C22:N22" si="6">SUM(C20:C21)</f>
        <v>76565</v>
      </c>
      <c r="D22" s="8">
        <f t="shared" si="6"/>
        <v>57306</v>
      </c>
      <c r="E22" s="8">
        <f t="shared" si="6"/>
        <v>57171</v>
      </c>
      <c r="F22" s="8">
        <f t="shared" si="6"/>
        <v>35735</v>
      </c>
      <c r="G22" s="8">
        <f t="shared" si="6"/>
        <v>36252</v>
      </c>
      <c r="H22" s="8">
        <f t="shared" si="6"/>
        <v>29167</v>
      </c>
      <c r="I22" s="8">
        <f t="shared" si="6"/>
        <v>68482</v>
      </c>
      <c r="J22" s="8">
        <f t="shared" si="6"/>
        <v>50239</v>
      </c>
      <c r="K22" s="8">
        <f t="shared" si="6"/>
        <v>51622</v>
      </c>
      <c r="L22" s="8">
        <f t="shared" si="6"/>
        <v>55624</v>
      </c>
      <c r="M22" s="8">
        <f t="shared" si="6"/>
        <v>65666</v>
      </c>
      <c r="N22" s="8">
        <f t="shared" si="6"/>
        <v>62003</v>
      </c>
      <c r="O22" s="8">
        <f t="shared" si="5"/>
        <v>645832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 t="s">
        <v>0</v>
      </c>
      <c r="B25" s="2" t="s">
        <v>28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5"/>
      <c r="B26" s="5" t="s">
        <v>29</v>
      </c>
      <c r="C26" s="75">
        <v>41304.0</v>
      </c>
      <c r="D26" s="75">
        <v>18299.0</v>
      </c>
      <c r="E26" s="75">
        <v>19591.0</v>
      </c>
      <c r="F26" s="75">
        <v>19442.0</v>
      </c>
      <c r="G26" s="75">
        <v>16217.0</v>
      </c>
      <c r="H26" s="75">
        <v>18234.0</v>
      </c>
      <c r="I26" s="75">
        <v>32024.0</v>
      </c>
      <c r="J26" s="75">
        <v>18286.0</v>
      </c>
      <c r="K26" s="76">
        <v>19252.0</v>
      </c>
      <c r="L26" s="75">
        <v>26695.0</v>
      </c>
      <c r="M26" s="75">
        <v>26322.0</v>
      </c>
      <c r="N26" s="75">
        <v>39464.0</v>
      </c>
      <c r="O26" s="75">
        <f t="shared" ref="O26:O28" si="7">SUM(C26:N26)</f>
        <v>295130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>
        <v>2003.0</v>
      </c>
      <c r="B27" s="5" t="s">
        <v>30</v>
      </c>
      <c r="C27" s="75">
        <v>40354.0</v>
      </c>
      <c r="D27" s="75">
        <v>40805.0</v>
      </c>
      <c r="E27" s="75">
        <v>33570.0</v>
      </c>
      <c r="F27" s="75">
        <f>56031-19442</f>
        <v>36589</v>
      </c>
      <c r="G27" s="75">
        <v>24188.0</v>
      </c>
      <c r="H27" s="75">
        <v>21004.0</v>
      </c>
      <c r="I27" s="75">
        <v>57729.0</v>
      </c>
      <c r="J27" s="75">
        <f>63881-18286</f>
        <v>45595</v>
      </c>
      <c r="K27" s="75">
        <f>59897-19252</f>
        <v>40645</v>
      </c>
      <c r="L27" s="75">
        <f>74861-26695</f>
        <v>48166</v>
      </c>
      <c r="M27" s="75">
        <v>46190.0</v>
      </c>
      <c r="N27" s="75">
        <v>34744.0</v>
      </c>
      <c r="O27" s="75">
        <f t="shared" si="7"/>
        <v>469579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/>
      <c r="B28" s="5" t="s">
        <v>14</v>
      </c>
      <c r="C28" s="8">
        <f t="shared" ref="C28:N28" si="8">SUM(C26:C27)</f>
        <v>81658</v>
      </c>
      <c r="D28" s="8">
        <f t="shared" si="8"/>
        <v>59104</v>
      </c>
      <c r="E28" s="8">
        <f t="shared" si="8"/>
        <v>53161</v>
      </c>
      <c r="F28" s="8">
        <f t="shared" si="8"/>
        <v>56031</v>
      </c>
      <c r="G28" s="8">
        <f t="shared" si="8"/>
        <v>40405</v>
      </c>
      <c r="H28" s="8">
        <f t="shared" si="8"/>
        <v>39238</v>
      </c>
      <c r="I28" s="8">
        <f t="shared" si="8"/>
        <v>89753</v>
      </c>
      <c r="J28" s="8">
        <f t="shared" si="8"/>
        <v>63881</v>
      </c>
      <c r="K28" s="8">
        <f t="shared" si="8"/>
        <v>59897</v>
      </c>
      <c r="L28" s="8">
        <f t="shared" si="8"/>
        <v>74861</v>
      </c>
      <c r="M28" s="8">
        <f t="shared" si="8"/>
        <v>72512</v>
      </c>
      <c r="N28" s="8">
        <f t="shared" si="8"/>
        <v>74208</v>
      </c>
      <c r="O28" s="8">
        <f t="shared" si="7"/>
        <v>764709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78"/>
      <c r="C29" s="78"/>
      <c r="D29" s="78"/>
      <c r="E29" s="1"/>
      <c r="F29" s="7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78"/>
      <c r="E30" s="78"/>
      <c r="F30" s="7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 t="s">
        <v>0</v>
      </c>
      <c r="B31" s="2" t="s">
        <v>28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5"/>
      <c r="B32" s="5" t="s">
        <v>29</v>
      </c>
      <c r="C32" s="75">
        <v>61609.0</v>
      </c>
      <c r="D32" s="75">
        <v>31471.0</v>
      </c>
      <c r="E32" s="75">
        <v>17848.0</v>
      </c>
      <c r="F32" s="75">
        <v>23868.0</v>
      </c>
      <c r="G32" s="75">
        <v>18041.0</v>
      </c>
      <c r="H32" s="75">
        <v>19372.0</v>
      </c>
      <c r="I32" s="75">
        <v>38701.0</v>
      </c>
      <c r="J32" s="75">
        <v>24012.0</v>
      </c>
      <c r="K32" s="76">
        <v>34008.0</v>
      </c>
      <c r="L32" s="75">
        <v>40233.0</v>
      </c>
      <c r="M32" s="75">
        <v>44365.0</v>
      </c>
      <c r="N32" s="75">
        <v>52319.0</v>
      </c>
      <c r="O32" s="75">
        <f t="shared" ref="O32:O34" si="9">SUM(C32:N32)</f>
        <v>405847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>
        <v>2004.0</v>
      </c>
      <c r="B33" s="5" t="s">
        <v>30</v>
      </c>
      <c r="C33" s="75">
        <v>54306.0</v>
      </c>
      <c r="D33" s="75">
        <v>50468.0</v>
      </c>
      <c r="E33" s="75">
        <v>48345.0</v>
      </c>
      <c r="F33" s="75">
        <v>48104.0</v>
      </c>
      <c r="G33" s="75">
        <v>31027.0</v>
      </c>
      <c r="H33" s="75">
        <v>25660.0</v>
      </c>
      <c r="I33" s="75">
        <f>102745-38701</f>
        <v>64044</v>
      </c>
      <c r="J33" s="75">
        <v>50435.0</v>
      </c>
      <c r="K33" s="75">
        <v>44392.0</v>
      </c>
      <c r="L33" s="75">
        <v>58961.0</v>
      </c>
      <c r="M33" s="75">
        <v>55792.0</v>
      </c>
      <c r="N33" s="75">
        <v>43556.0</v>
      </c>
      <c r="O33" s="75">
        <f t="shared" si="9"/>
        <v>575090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"/>
      <c r="B34" s="5" t="s">
        <v>14</v>
      </c>
      <c r="C34" s="8">
        <f t="shared" ref="C34:N34" si="10">SUM(C32:C33)</f>
        <v>115915</v>
      </c>
      <c r="D34" s="8">
        <f t="shared" si="10"/>
        <v>81939</v>
      </c>
      <c r="E34" s="8">
        <f t="shared" si="10"/>
        <v>66193</v>
      </c>
      <c r="F34" s="8">
        <f t="shared" si="10"/>
        <v>71972</v>
      </c>
      <c r="G34" s="8">
        <f t="shared" si="10"/>
        <v>49068</v>
      </c>
      <c r="H34" s="8">
        <f t="shared" si="10"/>
        <v>45032</v>
      </c>
      <c r="I34" s="8">
        <f t="shared" si="10"/>
        <v>102745</v>
      </c>
      <c r="J34" s="8">
        <f t="shared" si="10"/>
        <v>74447</v>
      </c>
      <c r="K34" s="8">
        <f t="shared" si="10"/>
        <v>78400</v>
      </c>
      <c r="L34" s="8">
        <f t="shared" si="10"/>
        <v>99194</v>
      </c>
      <c r="M34" s="8">
        <f t="shared" si="10"/>
        <v>100157</v>
      </c>
      <c r="N34" s="8">
        <f t="shared" si="10"/>
        <v>95875</v>
      </c>
      <c r="O34" s="8">
        <f t="shared" si="9"/>
        <v>980937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 t="s">
        <v>0</v>
      </c>
      <c r="B37" s="2" t="s">
        <v>28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5"/>
      <c r="B38" s="5" t="s">
        <v>29</v>
      </c>
      <c r="C38" s="6">
        <v>80853.0</v>
      </c>
      <c r="D38" s="6">
        <v>35013.0</v>
      </c>
      <c r="E38" s="6">
        <v>22937.0</v>
      </c>
      <c r="F38" s="6">
        <v>22942.0</v>
      </c>
      <c r="G38" s="75">
        <v>25450.0</v>
      </c>
      <c r="H38" s="75">
        <v>19026.0</v>
      </c>
      <c r="I38" s="75">
        <v>45081.0</v>
      </c>
      <c r="J38" s="75">
        <v>24861.0</v>
      </c>
      <c r="K38" s="76">
        <v>27934.0</v>
      </c>
      <c r="L38" s="75">
        <v>39397.0</v>
      </c>
      <c r="M38" s="75">
        <v>45617.0</v>
      </c>
      <c r="N38" s="75">
        <v>55551.0</v>
      </c>
      <c r="O38" s="75">
        <f t="shared" ref="O38:O40" si="11">SUM(C38:N38)</f>
        <v>444662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">
        <v>2005.0</v>
      </c>
      <c r="B39" s="5" t="s">
        <v>30</v>
      </c>
      <c r="C39" s="6">
        <v>64069.0</v>
      </c>
      <c r="D39" s="6">
        <v>59865.0</v>
      </c>
      <c r="E39" s="6">
        <v>61061.0</v>
      </c>
      <c r="F39" s="6">
        <v>39225.0</v>
      </c>
      <c r="G39" s="75">
        <v>33227.0</v>
      </c>
      <c r="H39" s="75">
        <v>29308.0</v>
      </c>
      <c r="I39" s="75">
        <v>66941.0</v>
      </c>
      <c r="J39" s="75">
        <v>54306.0</v>
      </c>
      <c r="K39" s="75">
        <v>52253.0</v>
      </c>
      <c r="L39" s="75">
        <v>68282.0</v>
      </c>
      <c r="M39" s="75">
        <v>62376.0</v>
      </c>
      <c r="N39" s="75">
        <v>48664.0</v>
      </c>
      <c r="O39" s="75">
        <f t="shared" si="11"/>
        <v>639577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/>
      <c r="B40" s="5" t="s">
        <v>14</v>
      </c>
      <c r="C40" s="8">
        <f t="shared" ref="C40:H40" si="12">SUM(C38:C39)</f>
        <v>144922</v>
      </c>
      <c r="D40" s="8">
        <f t="shared" si="12"/>
        <v>94878</v>
      </c>
      <c r="E40" s="8">
        <f t="shared" si="12"/>
        <v>83998</v>
      </c>
      <c r="F40" s="8">
        <f t="shared" si="12"/>
        <v>62167</v>
      </c>
      <c r="G40" s="8">
        <f t="shared" si="12"/>
        <v>58677</v>
      </c>
      <c r="H40" s="8">
        <f t="shared" si="12"/>
        <v>48334</v>
      </c>
      <c r="I40" s="8">
        <v>112022.0</v>
      </c>
      <c r="J40" s="8">
        <v>79167.0</v>
      </c>
      <c r="K40" s="8">
        <v>80187.0</v>
      </c>
      <c r="L40" s="8">
        <v>107679.0</v>
      </c>
      <c r="M40" s="8">
        <v>107993.0</v>
      </c>
      <c r="N40" s="8">
        <v>104215.0</v>
      </c>
      <c r="O40" s="8">
        <f t="shared" si="11"/>
        <v>1084239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 t="s">
        <v>0</v>
      </c>
      <c r="B47" s="2" t="s">
        <v>28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5"/>
      <c r="B48" s="5" t="s">
        <v>29</v>
      </c>
      <c r="C48" s="6">
        <v>63760.0</v>
      </c>
      <c r="D48" s="6">
        <v>33655.0</v>
      </c>
      <c r="E48" s="6">
        <v>18709.0</v>
      </c>
      <c r="F48" s="6">
        <v>33297.0</v>
      </c>
      <c r="G48" s="6">
        <v>19437.0</v>
      </c>
      <c r="H48" s="6">
        <v>19696.0</v>
      </c>
      <c r="I48" s="6">
        <v>34942.0</v>
      </c>
      <c r="J48" s="6">
        <v>17210.0</v>
      </c>
      <c r="K48" s="6">
        <v>25354.0</v>
      </c>
      <c r="L48" s="6">
        <v>31214.0</v>
      </c>
      <c r="M48" s="6">
        <v>37026.0</v>
      </c>
      <c r="N48" s="6">
        <v>52186.0</v>
      </c>
      <c r="O48" s="75">
        <f t="shared" ref="O48:O49" si="13">SUM(C48:N48)</f>
        <v>386486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>
        <v>2006.0</v>
      </c>
      <c r="B49" s="5" t="s">
        <v>30</v>
      </c>
      <c r="C49" s="6">
        <v>65613.0</v>
      </c>
      <c r="D49" s="6">
        <v>57272.0</v>
      </c>
      <c r="E49" s="6">
        <v>56066.0</v>
      </c>
      <c r="F49" s="6">
        <v>54755.0</v>
      </c>
      <c r="G49" s="6">
        <v>36417.0</v>
      </c>
      <c r="H49" s="6">
        <v>25000.0</v>
      </c>
      <c r="I49" s="6">
        <v>51460.0</v>
      </c>
      <c r="J49" s="6">
        <v>42349.0</v>
      </c>
      <c r="K49" s="6">
        <v>35736.0</v>
      </c>
      <c r="L49" s="6">
        <v>49794.0</v>
      </c>
      <c r="M49" s="6">
        <v>51730.0</v>
      </c>
      <c r="N49" s="6">
        <v>41361.0</v>
      </c>
      <c r="O49" s="75">
        <f t="shared" si="13"/>
        <v>567553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2"/>
      <c r="B50" s="5" t="s">
        <v>14</v>
      </c>
      <c r="C50" s="8">
        <f>SUM(C48:C49)</f>
        <v>129373</v>
      </c>
      <c r="D50" s="8">
        <v>90927.0</v>
      </c>
      <c r="E50" s="8">
        <v>74775.0</v>
      </c>
      <c r="F50" s="8">
        <v>88052.0</v>
      </c>
      <c r="G50" s="8">
        <v>55854.0</v>
      </c>
      <c r="H50" s="8">
        <v>44696.0</v>
      </c>
      <c r="I50" s="8">
        <v>86402.0</v>
      </c>
      <c r="J50" s="8">
        <v>59559.0</v>
      </c>
      <c r="K50" s="8">
        <f>SUM(K48:K49)</f>
        <v>61090</v>
      </c>
      <c r="L50" s="8">
        <v>81008.0</v>
      </c>
      <c r="M50" s="8">
        <f t="shared" ref="M50:O50" si="14">SUM(M48:M49)</f>
        <v>88756</v>
      </c>
      <c r="N50" s="8">
        <f t="shared" si="14"/>
        <v>93547</v>
      </c>
      <c r="O50" s="79">
        <f t="shared" si="14"/>
        <v>954039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2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8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78"/>
      <c r="C52" s="1"/>
      <c r="D52" s="78"/>
      <c r="E52" s="1"/>
      <c r="F52" s="78"/>
      <c r="G52" s="1"/>
      <c r="H52" s="1"/>
      <c r="I52" s="7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2" t="s">
        <v>0</v>
      </c>
      <c r="B53" s="2" t="s">
        <v>28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5"/>
      <c r="B54" s="5" t="s">
        <v>29</v>
      </c>
      <c r="C54" s="6">
        <v>67816.0</v>
      </c>
      <c r="D54" s="6">
        <v>34148.0</v>
      </c>
      <c r="E54" s="6">
        <v>19112.0</v>
      </c>
      <c r="F54" s="6">
        <v>28477.0</v>
      </c>
      <c r="G54" s="6">
        <v>20222.0</v>
      </c>
      <c r="H54" s="6">
        <v>24740.0</v>
      </c>
      <c r="I54" s="6">
        <v>46211.0</v>
      </c>
      <c r="J54" s="6">
        <v>19292.0</v>
      </c>
      <c r="K54" s="6">
        <v>36988.0</v>
      </c>
      <c r="L54" s="6">
        <v>40352.0</v>
      </c>
      <c r="M54" s="6">
        <v>52452.0</v>
      </c>
      <c r="N54" s="6">
        <v>64854.0</v>
      </c>
      <c r="O54" s="75">
        <f t="shared" ref="O54:O56" si="15">SUM(C54:N54)</f>
        <v>454664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>
        <v>2007.0</v>
      </c>
      <c r="B55" s="5" t="s">
        <v>30</v>
      </c>
      <c r="C55" s="6">
        <f>128718-67816</f>
        <v>60902</v>
      </c>
      <c r="D55" s="6">
        <f>88868-34148</f>
        <v>54720</v>
      </c>
      <c r="E55" s="6">
        <v>46388.0</v>
      </c>
      <c r="F55" s="6">
        <v>48346.0</v>
      </c>
      <c r="G55" s="6">
        <v>32168.0</v>
      </c>
      <c r="H55" s="6">
        <v>26371.0</v>
      </c>
      <c r="I55" s="6">
        <v>61821.0</v>
      </c>
      <c r="J55" s="6">
        <v>51378.0</v>
      </c>
      <c r="K55" s="6">
        <v>48673.0</v>
      </c>
      <c r="L55" s="6">
        <v>59649.0</v>
      </c>
      <c r="M55" s="6">
        <v>60568.0</v>
      </c>
      <c r="N55" s="6">
        <v>49785.0</v>
      </c>
      <c r="O55" s="75">
        <f t="shared" si="15"/>
        <v>600769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2"/>
      <c r="B56" s="5" t="s">
        <v>14</v>
      </c>
      <c r="C56" s="8">
        <f t="shared" ref="C56:L56" si="16">SUM(C54:C55)</f>
        <v>128718</v>
      </c>
      <c r="D56" s="8">
        <f t="shared" si="16"/>
        <v>88868</v>
      </c>
      <c r="E56" s="8">
        <f t="shared" si="16"/>
        <v>65500</v>
      </c>
      <c r="F56" s="8">
        <f t="shared" si="16"/>
        <v>76823</v>
      </c>
      <c r="G56" s="8">
        <f t="shared" si="16"/>
        <v>52390</v>
      </c>
      <c r="H56" s="8">
        <f t="shared" si="16"/>
        <v>51111</v>
      </c>
      <c r="I56" s="8">
        <f t="shared" si="16"/>
        <v>108032</v>
      </c>
      <c r="J56" s="8">
        <f t="shared" si="16"/>
        <v>70670</v>
      </c>
      <c r="K56" s="8">
        <f t="shared" si="16"/>
        <v>85661</v>
      </c>
      <c r="L56" s="8">
        <f t="shared" si="16"/>
        <v>100001</v>
      </c>
      <c r="M56" s="8">
        <v>113020.0</v>
      </c>
      <c r="N56" s="8">
        <v>114639.0</v>
      </c>
      <c r="O56" s="79">
        <f t="shared" si="15"/>
        <v>1055433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2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8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2" t="s">
        <v>0</v>
      </c>
      <c r="B59" s="2" t="s">
        <v>28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5"/>
      <c r="B60" s="5" t="s">
        <v>29</v>
      </c>
      <c r="C60" s="6">
        <v>75687.0</v>
      </c>
      <c r="D60" s="6">
        <v>40934.0</v>
      </c>
      <c r="E60" s="6">
        <v>29776.0</v>
      </c>
      <c r="F60" s="6">
        <v>28920.0</v>
      </c>
      <c r="G60" s="6">
        <v>39035.0</v>
      </c>
      <c r="H60" s="6">
        <v>19983.0</v>
      </c>
      <c r="I60" s="6">
        <v>64919.0</v>
      </c>
      <c r="J60" s="6">
        <v>32249.0</v>
      </c>
      <c r="K60" s="6">
        <v>34811.0</v>
      </c>
      <c r="L60" s="6">
        <v>40439.0</v>
      </c>
      <c r="M60" s="6">
        <v>52088.0</v>
      </c>
      <c r="N60" s="6">
        <v>78215.0</v>
      </c>
      <c r="O60" s="75">
        <f t="shared" ref="O60:O62" si="17">SUM(C60:N60)</f>
        <v>537056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>
        <v>2008.0</v>
      </c>
      <c r="B61" s="5" t="s">
        <v>30</v>
      </c>
      <c r="C61" s="6">
        <v>71879.0</v>
      </c>
      <c r="D61" s="6">
        <v>64195.0</v>
      </c>
      <c r="E61" s="6">
        <v>57545.0</v>
      </c>
      <c r="F61" s="6">
        <v>34607.0</v>
      </c>
      <c r="G61" s="6">
        <v>31592.0</v>
      </c>
      <c r="H61" s="6">
        <v>25964.0</v>
      </c>
      <c r="I61" s="6">
        <f>I62-I60</f>
        <v>53800</v>
      </c>
      <c r="J61" s="6">
        <v>59732.0</v>
      </c>
      <c r="K61" s="6">
        <v>49618.0</v>
      </c>
      <c r="L61" s="6">
        <f>101629-40439</f>
        <v>61190</v>
      </c>
      <c r="M61" s="6">
        <v>59510.0</v>
      </c>
      <c r="N61" s="6">
        <f>125573-78215</f>
        <v>47358</v>
      </c>
      <c r="O61" s="75">
        <f t="shared" si="17"/>
        <v>616990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2"/>
      <c r="B62" s="5" t="s">
        <v>14</v>
      </c>
      <c r="C62" s="8">
        <f t="shared" ref="C62:E62" si="18">SUM(C60:C61)</f>
        <v>147566</v>
      </c>
      <c r="D62" s="8">
        <f t="shared" si="18"/>
        <v>105129</v>
      </c>
      <c r="E62" s="8">
        <f t="shared" si="18"/>
        <v>87321</v>
      </c>
      <c r="F62" s="8">
        <v>63527.0</v>
      </c>
      <c r="G62" s="8">
        <f>SUM(G60:G61)</f>
        <v>70627</v>
      </c>
      <c r="H62" s="8">
        <v>45947.0</v>
      </c>
      <c r="I62" s="8">
        <v>118719.0</v>
      </c>
      <c r="J62" s="8">
        <v>91981.0</v>
      </c>
      <c r="K62" s="8">
        <v>84429.0</v>
      </c>
      <c r="L62" s="8">
        <v>101629.0</v>
      </c>
      <c r="M62" s="8">
        <v>111598.0</v>
      </c>
      <c r="N62" s="8">
        <f>SUM(N60:N61)</f>
        <v>125573</v>
      </c>
      <c r="O62" s="79">
        <f t="shared" si="17"/>
        <v>1154046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8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2" t="s">
        <v>0</v>
      </c>
      <c r="B65" s="2" t="s">
        <v>28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5"/>
      <c r="B66" s="5" t="s">
        <v>29</v>
      </c>
      <c r="C66" s="6">
        <v>93380.0</v>
      </c>
      <c r="D66" s="6">
        <v>43399.0</v>
      </c>
      <c r="E66" s="6">
        <v>24045.0</v>
      </c>
      <c r="F66" s="6">
        <v>37733.0</v>
      </c>
      <c r="G66" s="6">
        <v>27212.0</v>
      </c>
      <c r="H66" s="6">
        <v>26760.0</v>
      </c>
      <c r="I66" s="6">
        <v>32845.0</v>
      </c>
      <c r="J66" s="6">
        <v>18659.0</v>
      </c>
      <c r="K66" s="6">
        <v>30873.0</v>
      </c>
      <c r="L66" s="6">
        <v>54358.0</v>
      </c>
      <c r="M66" s="6">
        <v>59691.0</v>
      </c>
      <c r="N66" s="6">
        <v>74070.0</v>
      </c>
      <c r="O66" s="6">
        <f t="shared" ref="O66:O68" si="21">SUM(C66:N66)</f>
        <v>523025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2">
        <v>2009.0</v>
      </c>
      <c r="B67" s="5" t="s">
        <v>30</v>
      </c>
      <c r="C67" s="6">
        <f>157087-93380</f>
        <v>63707</v>
      </c>
      <c r="D67" s="6">
        <f>97486-43399</f>
        <v>54087</v>
      </c>
      <c r="E67" s="6">
        <v>46934.0</v>
      </c>
      <c r="F67" s="6">
        <f t="shared" ref="F67:K67" si="19">F68-F66</f>
        <v>47784</v>
      </c>
      <c r="G67" s="6">
        <f t="shared" si="19"/>
        <v>26073</v>
      </c>
      <c r="H67" s="6">
        <f t="shared" si="19"/>
        <v>21893</v>
      </c>
      <c r="I67" s="6">
        <f t="shared" si="19"/>
        <v>44028</v>
      </c>
      <c r="J67" s="6">
        <f t="shared" si="19"/>
        <v>38867</v>
      </c>
      <c r="K67" s="6">
        <f t="shared" si="19"/>
        <v>45209</v>
      </c>
      <c r="L67" s="6">
        <v>57293.0</v>
      </c>
      <c r="M67" s="6">
        <f t="shared" ref="M67:N67" si="20">M68-M66</f>
        <v>55006</v>
      </c>
      <c r="N67" s="6">
        <f t="shared" si="20"/>
        <v>46166</v>
      </c>
      <c r="O67" s="6">
        <f t="shared" si="21"/>
        <v>547047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2"/>
      <c r="B68" s="5" t="s">
        <v>14</v>
      </c>
      <c r="C68" s="8">
        <f t="shared" ref="C68:E68" si="22">SUM(C66:C67)</f>
        <v>157087</v>
      </c>
      <c r="D68" s="8">
        <f t="shared" si="22"/>
        <v>97486</v>
      </c>
      <c r="E68" s="8">
        <f t="shared" si="22"/>
        <v>70979</v>
      </c>
      <c r="F68" s="8">
        <v>85517.0</v>
      </c>
      <c r="G68" s="8">
        <v>53285.0</v>
      </c>
      <c r="H68" s="8">
        <v>48653.0</v>
      </c>
      <c r="I68" s="8">
        <v>76873.0</v>
      </c>
      <c r="J68" s="8">
        <v>57526.0</v>
      </c>
      <c r="K68" s="8">
        <v>76082.0</v>
      </c>
      <c r="L68" s="8">
        <f>SUM(L66:L67)</f>
        <v>111651</v>
      </c>
      <c r="M68" s="8">
        <v>114697.0</v>
      </c>
      <c r="N68" s="8">
        <v>120236.0</v>
      </c>
      <c r="O68" s="79">
        <f t="shared" si="21"/>
        <v>1070072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8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2" t="s">
        <v>0</v>
      </c>
      <c r="B71" s="2" t="s">
        <v>28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5"/>
      <c r="B72" s="5" t="s">
        <v>29</v>
      </c>
      <c r="C72" s="6">
        <v>98057.0</v>
      </c>
      <c r="D72" s="6">
        <v>48769.0</v>
      </c>
      <c r="E72" s="6">
        <v>29851.0</v>
      </c>
      <c r="F72" s="6">
        <v>38645.0</v>
      </c>
      <c r="G72" s="6">
        <v>33265.0</v>
      </c>
      <c r="H72" s="6">
        <v>34878.0</v>
      </c>
      <c r="I72" s="6">
        <v>62666.0</v>
      </c>
      <c r="J72" s="6">
        <v>36281.0</v>
      </c>
      <c r="K72" s="6">
        <v>52553.0</v>
      </c>
      <c r="L72" s="6">
        <v>63300.0</v>
      </c>
      <c r="M72" s="6">
        <v>66384.0</v>
      </c>
      <c r="N72" s="6">
        <v>82212.0</v>
      </c>
      <c r="O72" s="6">
        <f t="shared" ref="O72:O74" si="24">SUM(C72:N72)</f>
        <v>646861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2">
        <v>2010.0</v>
      </c>
      <c r="B73" s="5" t="s">
        <v>30</v>
      </c>
      <c r="C73" s="6">
        <f t="shared" ref="C73:I73" si="23">C74-C72</f>
        <v>63067</v>
      </c>
      <c r="D73" s="6">
        <f t="shared" si="23"/>
        <v>55076</v>
      </c>
      <c r="E73" s="6">
        <f t="shared" si="23"/>
        <v>49703</v>
      </c>
      <c r="F73" s="6">
        <f t="shared" si="23"/>
        <v>45823</v>
      </c>
      <c r="G73" s="6">
        <f t="shared" si="23"/>
        <v>41044</v>
      </c>
      <c r="H73" s="6">
        <f t="shared" si="23"/>
        <v>31460</v>
      </c>
      <c r="I73" s="6">
        <f t="shared" si="23"/>
        <v>66721</v>
      </c>
      <c r="J73" s="6">
        <f>87592-J72</f>
        <v>51311</v>
      </c>
      <c r="K73" s="6">
        <f>103511-52553</f>
        <v>50958</v>
      </c>
      <c r="L73" s="6">
        <f>124187-63300</f>
        <v>60887</v>
      </c>
      <c r="M73" s="6">
        <f>123608-66384</f>
        <v>57224</v>
      </c>
      <c r="N73" s="6">
        <f>127842-82212</f>
        <v>45630</v>
      </c>
      <c r="O73" s="6">
        <f t="shared" si="24"/>
        <v>618904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2"/>
      <c r="B74" s="5" t="s">
        <v>14</v>
      </c>
      <c r="C74" s="8">
        <v>161124.0</v>
      </c>
      <c r="D74" s="8">
        <v>103845.0</v>
      </c>
      <c r="E74" s="8">
        <v>79554.0</v>
      </c>
      <c r="F74" s="8">
        <v>84468.0</v>
      </c>
      <c r="G74" s="8">
        <v>74309.0</v>
      </c>
      <c r="H74" s="8">
        <v>66338.0</v>
      </c>
      <c r="I74" s="8">
        <v>129387.0</v>
      </c>
      <c r="J74" s="8">
        <v>87592.0</v>
      </c>
      <c r="K74" s="8">
        <f t="shared" ref="K74:M74" si="25">SUM(K72:K73)</f>
        <v>103511</v>
      </c>
      <c r="L74" s="8">
        <f t="shared" si="25"/>
        <v>124187</v>
      </c>
      <c r="M74" s="8">
        <f t="shared" si="25"/>
        <v>123608</v>
      </c>
      <c r="N74" s="8">
        <v>127842.0</v>
      </c>
      <c r="O74" s="8">
        <f t="shared" si="24"/>
        <v>1265765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2" t="s">
        <v>0</v>
      </c>
      <c r="B77" s="2" t="s">
        <v>28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5"/>
      <c r="B78" s="5" t="s">
        <v>29</v>
      </c>
      <c r="C78" s="6">
        <v>117900.0</v>
      </c>
      <c r="D78" s="6">
        <v>45451.0</v>
      </c>
      <c r="E78" s="6">
        <v>58187.0</v>
      </c>
      <c r="F78" s="6">
        <v>59466.0</v>
      </c>
      <c r="G78" s="6">
        <v>40714.0</v>
      </c>
      <c r="H78" s="6">
        <v>42214.0</v>
      </c>
      <c r="I78" s="6">
        <v>68486.0</v>
      </c>
      <c r="J78" s="6">
        <v>37803.0</v>
      </c>
      <c r="K78" s="6">
        <v>53038.0</v>
      </c>
      <c r="L78" s="6">
        <v>64221.0</v>
      </c>
      <c r="M78" s="6">
        <f>69760</f>
        <v>69760</v>
      </c>
      <c r="N78" s="6">
        <f>94113</f>
        <v>94113</v>
      </c>
      <c r="O78" s="6">
        <f t="shared" ref="O78:O80" si="26">SUM(C78:N78)</f>
        <v>751353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2">
        <v>2011.0</v>
      </c>
      <c r="B79" s="5" t="s">
        <v>30</v>
      </c>
      <c r="C79" s="6">
        <f>182554-117900</f>
        <v>64654</v>
      </c>
      <c r="D79" s="6">
        <f>103009-45451</f>
        <v>57558</v>
      </c>
      <c r="E79" s="6">
        <f>119944-58187</f>
        <v>61757</v>
      </c>
      <c r="F79" s="6">
        <f>111164-59466</f>
        <v>51698</v>
      </c>
      <c r="G79" s="6">
        <f>77687-40714</f>
        <v>36973</v>
      </c>
      <c r="H79" s="6">
        <f>74348-42214</f>
        <v>32134</v>
      </c>
      <c r="I79" s="6">
        <f>132004-68486</f>
        <v>63518</v>
      </c>
      <c r="J79" s="6">
        <f>85165-37803</f>
        <v>47362</v>
      </c>
      <c r="K79" s="6">
        <f>105569-53038</f>
        <v>52531</v>
      </c>
      <c r="L79" s="6">
        <f>123429-64221</f>
        <v>59208</v>
      </c>
      <c r="M79" s="6">
        <f>132087-69760</f>
        <v>62327</v>
      </c>
      <c r="N79" s="6">
        <f>147227-94113</f>
        <v>53114</v>
      </c>
      <c r="O79" s="6">
        <f t="shared" si="26"/>
        <v>642834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2"/>
      <c r="B80" s="5" t="s">
        <v>14</v>
      </c>
      <c r="C80" s="8">
        <f t="shared" ref="C80:G80" si="27">SUM(C78:C79)</f>
        <v>182554</v>
      </c>
      <c r="D80" s="8">
        <f t="shared" si="27"/>
        <v>103009</v>
      </c>
      <c r="E80" s="8">
        <f t="shared" si="27"/>
        <v>119944</v>
      </c>
      <c r="F80" s="8">
        <f t="shared" si="27"/>
        <v>111164</v>
      </c>
      <c r="G80" s="8">
        <f t="shared" si="27"/>
        <v>77687</v>
      </c>
      <c r="H80" s="8">
        <v>74348.0</v>
      </c>
      <c r="I80" s="8">
        <v>132004.0</v>
      </c>
      <c r="J80" s="8">
        <v>85165.0</v>
      </c>
      <c r="K80" s="8">
        <v>105569.0</v>
      </c>
      <c r="L80" s="8">
        <f t="shared" ref="L80:N80" si="28">SUM(L78:L79)</f>
        <v>123429</v>
      </c>
      <c r="M80" s="8">
        <f t="shared" si="28"/>
        <v>132087</v>
      </c>
      <c r="N80" s="8">
        <f t="shared" si="28"/>
        <v>147227</v>
      </c>
      <c r="O80" s="8">
        <f t="shared" si="26"/>
        <v>1394187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78"/>
      <c r="J81" s="1"/>
      <c r="K81" s="78"/>
      <c r="L81" s="78"/>
      <c r="M81" s="78"/>
      <c r="N81" s="7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3"/>
      <c r="B84" s="13"/>
      <c r="C84" s="15"/>
      <c r="D84" s="15"/>
      <c r="E84" s="15"/>
      <c r="F84" s="15"/>
      <c r="G84" s="15"/>
      <c r="H84" s="15"/>
      <c r="I84" s="15"/>
      <c r="J84" s="78"/>
      <c r="K84" s="15"/>
      <c r="L84" s="15"/>
      <c r="M84" s="15"/>
      <c r="N84" s="15"/>
      <c r="O84" s="7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2"/>
      <c r="B85" s="13"/>
      <c r="C85" s="15"/>
      <c r="D85" s="15"/>
      <c r="E85" s="15"/>
      <c r="F85" s="15"/>
      <c r="G85" s="15"/>
      <c r="H85" s="15"/>
      <c r="I85" s="15"/>
      <c r="J85" s="78"/>
      <c r="K85" s="15"/>
      <c r="L85" s="15"/>
      <c r="M85" s="15"/>
      <c r="N85" s="15"/>
      <c r="O85" s="7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2"/>
      <c r="B86" s="13"/>
      <c r="C86" s="14"/>
      <c r="D86" s="14"/>
      <c r="E86" s="14"/>
      <c r="F86" s="14"/>
      <c r="G86" s="14"/>
      <c r="H86" s="14"/>
      <c r="I86" s="14"/>
      <c r="J86" s="80"/>
      <c r="K86" s="14"/>
      <c r="L86" s="14"/>
      <c r="M86" s="14"/>
      <c r="N86" s="14"/>
      <c r="O86" s="80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2" t="s">
        <v>0</v>
      </c>
      <c r="B87" s="2" t="s">
        <v>31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9</v>
      </c>
      <c r="K87" s="2" t="s">
        <v>10</v>
      </c>
      <c r="L87" s="2" t="s">
        <v>11</v>
      </c>
      <c r="M87" s="2" t="s">
        <v>12</v>
      </c>
      <c r="N87" s="2" t="s">
        <v>13</v>
      </c>
      <c r="O87" s="2" t="s">
        <v>14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5"/>
      <c r="B88" s="5" t="s">
        <v>29</v>
      </c>
      <c r="C88" s="6">
        <v>123739.0</v>
      </c>
      <c r="D88" s="6">
        <v>60018.0</v>
      </c>
      <c r="E88" s="6">
        <v>45748.0</v>
      </c>
      <c r="F88" s="6">
        <v>56894.0</v>
      </c>
      <c r="G88" s="6">
        <v>39676.0</v>
      </c>
      <c r="H88" s="6">
        <v>48023.0</v>
      </c>
      <c r="I88" s="6">
        <v>85821.0</v>
      </c>
      <c r="J88" s="6">
        <v>43993.0</v>
      </c>
      <c r="K88" s="6">
        <v>71103.0</v>
      </c>
      <c r="L88" s="6">
        <v>74788.0</v>
      </c>
      <c r="M88" s="6">
        <v>83367.0</v>
      </c>
      <c r="N88" s="6">
        <v>101639.0</v>
      </c>
      <c r="O88" s="6">
        <f t="shared" ref="O88:O90" si="29">SUM(C88:N88)</f>
        <v>834809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2">
        <v>2012.0</v>
      </c>
      <c r="B89" s="5" t="s">
        <v>30</v>
      </c>
      <c r="C89" s="6">
        <f>198521-123739</f>
        <v>74782</v>
      </c>
      <c r="D89" s="6">
        <f>125469-60018</f>
        <v>65451</v>
      </c>
      <c r="E89" s="6">
        <f>100540-45748</f>
        <v>54792</v>
      </c>
      <c r="F89" s="6">
        <f>120495-56894</f>
        <v>63601</v>
      </c>
      <c r="G89" s="6">
        <f>81315-39676</f>
        <v>41639</v>
      </c>
      <c r="H89" s="6">
        <f>84191-48023</f>
        <v>36168</v>
      </c>
      <c r="I89" s="6">
        <f>159855-85821</f>
        <v>74034</v>
      </c>
      <c r="J89" s="6">
        <f>97397-43993</f>
        <v>53404</v>
      </c>
      <c r="K89" s="6">
        <f>130408-71103</f>
        <v>59305</v>
      </c>
      <c r="L89" s="6">
        <v>65981.0</v>
      </c>
      <c r="M89" s="6">
        <v>62085.0</v>
      </c>
      <c r="N89" s="6">
        <f>150970-101639</f>
        <v>49331</v>
      </c>
      <c r="O89" s="6">
        <f t="shared" si="29"/>
        <v>700573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2"/>
      <c r="B90" s="5" t="s">
        <v>14</v>
      </c>
      <c r="C90" s="8">
        <f t="shared" ref="C90:N90" si="30">SUM(C88:C89)</f>
        <v>198521</v>
      </c>
      <c r="D90" s="8">
        <f t="shared" si="30"/>
        <v>125469</v>
      </c>
      <c r="E90" s="8">
        <f t="shared" si="30"/>
        <v>100540</v>
      </c>
      <c r="F90" s="8">
        <f t="shared" si="30"/>
        <v>120495</v>
      </c>
      <c r="G90" s="8">
        <f t="shared" si="30"/>
        <v>81315</v>
      </c>
      <c r="H90" s="8">
        <f t="shared" si="30"/>
        <v>84191</v>
      </c>
      <c r="I90" s="8">
        <f t="shared" si="30"/>
        <v>159855</v>
      </c>
      <c r="J90" s="8">
        <f t="shared" si="30"/>
        <v>97397</v>
      </c>
      <c r="K90" s="8">
        <f t="shared" si="30"/>
        <v>130408</v>
      </c>
      <c r="L90" s="8">
        <f t="shared" si="30"/>
        <v>140769</v>
      </c>
      <c r="M90" s="8">
        <f t="shared" si="30"/>
        <v>145452</v>
      </c>
      <c r="N90" s="8">
        <f t="shared" si="30"/>
        <v>150970</v>
      </c>
      <c r="O90" s="8">
        <f t="shared" si="29"/>
        <v>1535382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2"/>
      <c r="B91" s="13"/>
      <c r="C91" s="15"/>
      <c r="D91" s="15"/>
      <c r="E91" s="15"/>
      <c r="F91" s="15"/>
      <c r="G91" s="15"/>
      <c r="H91" s="15"/>
      <c r="I91" s="15"/>
      <c r="J91" s="78"/>
      <c r="K91" s="15"/>
      <c r="L91" s="15"/>
      <c r="M91" s="15"/>
      <c r="N91" s="15"/>
      <c r="O91" s="7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2" t="s">
        <v>0</v>
      </c>
      <c r="B92" s="2" t="s">
        <v>31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K92" s="2" t="s">
        <v>10</v>
      </c>
      <c r="L92" s="2" t="s">
        <v>11</v>
      </c>
      <c r="M92" s="2" t="s">
        <v>12</v>
      </c>
      <c r="N92" s="2" t="s">
        <v>13</v>
      </c>
      <c r="O92" s="2" t="s">
        <v>14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5"/>
      <c r="B93" s="5" t="s">
        <v>29</v>
      </c>
      <c r="C93" s="6">
        <v>116946.0</v>
      </c>
      <c r="D93" s="6">
        <v>58561.0</v>
      </c>
      <c r="E93" s="6">
        <v>55009.0</v>
      </c>
      <c r="F93" s="6">
        <v>50095.0</v>
      </c>
      <c r="G93" s="6">
        <v>54178.0</v>
      </c>
      <c r="H93" s="6">
        <v>41784.0</v>
      </c>
      <c r="I93" s="6">
        <v>86127.0</v>
      </c>
      <c r="J93" s="6">
        <v>53441.0</v>
      </c>
      <c r="K93" s="6">
        <v>61893.0</v>
      </c>
      <c r="L93" s="6">
        <v>72379.0</v>
      </c>
      <c r="M93" s="6">
        <v>90390.0</v>
      </c>
      <c r="N93" s="6">
        <v>115654.0</v>
      </c>
      <c r="O93" s="6">
        <f t="shared" ref="O93:O95" si="31">SUM(C93:N93)</f>
        <v>856457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2">
        <v>2013.0</v>
      </c>
      <c r="B94" s="5" t="s">
        <v>30</v>
      </c>
      <c r="C94" s="6">
        <f>184784-116946</f>
        <v>67838</v>
      </c>
      <c r="D94" s="6">
        <f>119132-58561</f>
        <v>60571</v>
      </c>
      <c r="E94" s="6">
        <f>126641-55009</f>
        <v>71632</v>
      </c>
      <c r="F94" s="6">
        <f>97937-50095</f>
        <v>47842</v>
      </c>
      <c r="G94" s="6">
        <f>91977-54178</f>
        <v>37799</v>
      </c>
      <c r="H94" s="6">
        <f>82690-41784</f>
        <v>40906</v>
      </c>
      <c r="I94" s="6">
        <f>156882-86127</f>
        <v>70755</v>
      </c>
      <c r="J94" s="6">
        <f>100905-53441</f>
        <v>47464</v>
      </c>
      <c r="K94" s="6">
        <f>112510-61893</f>
        <v>50617</v>
      </c>
      <c r="L94" s="6">
        <f>131811-72379</f>
        <v>59432</v>
      </c>
      <c r="M94" s="6">
        <f>151527-90390</f>
        <v>61137</v>
      </c>
      <c r="N94" s="6">
        <f>162080-115654</f>
        <v>46426</v>
      </c>
      <c r="O94" s="6">
        <f t="shared" si="31"/>
        <v>662419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2"/>
      <c r="B95" s="5" t="s">
        <v>14</v>
      </c>
      <c r="C95" s="8">
        <f t="shared" ref="C95:H95" si="32">SUM(C93:C94)</f>
        <v>184784</v>
      </c>
      <c r="D95" s="8">
        <f t="shared" si="32"/>
        <v>119132</v>
      </c>
      <c r="E95" s="8">
        <f t="shared" si="32"/>
        <v>126641</v>
      </c>
      <c r="F95" s="8">
        <f t="shared" si="32"/>
        <v>97937</v>
      </c>
      <c r="G95" s="8">
        <f t="shared" si="32"/>
        <v>91977</v>
      </c>
      <c r="H95" s="8">
        <f t="shared" si="32"/>
        <v>82690</v>
      </c>
      <c r="I95" s="8">
        <v>156882.0</v>
      </c>
      <c r="J95" s="8">
        <f t="shared" ref="J95:N95" si="33">SUM(J93:J94)</f>
        <v>100905</v>
      </c>
      <c r="K95" s="8">
        <f t="shared" si="33"/>
        <v>112510</v>
      </c>
      <c r="L95" s="8">
        <f t="shared" si="33"/>
        <v>131811</v>
      </c>
      <c r="M95" s="8">
        <f t="shared" si="33"/>
        <v>151527</v>
      </c>
      <c r="N95" s="8">
        <f t="shared" si="33"/>
        <v>162080</v>
      </c>
      <c r="O95" s="8">
        <f t="shared" si="31"/>
        <v>1518876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2" t="s">
        <v>0</v>
      </c>
      <c r="B97" s="2" t="s">
        <v>31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5"/>
      <c r="B98" s="5" t="s">
        <v>29</v>
      </c>
      <c r="C98" s="6">
        <v>136376.0</v>
      </c>
      <c r="D98" s="6">
        <v>49033.0</v>
      </c>
      <c r="E98" s="6">
        <v>69947.0</v>
      </c>
      <c r="F98" s="6">
        <v>72266.0</v>
      </c>
      <c r="G98" s="6">
        <v>55807.0</v>
      </c>
      <c r="H98" s="6">
        <v>42768.0</v>
      </c>
      <c r="I98" s="6">
        <v>74617.0</v>
      </c>
      <c r="J98" s="6">
        <v>59226.0</v>
      </c>
      <c r="K98" s="6">
        <v>64327.0</v>
      </c>
      <c r="L98" s="6">
        <v>77749.0</v>
      </c>
      <c r="M98" s="6">
        <v>88039.0</v>
      </c>
      <c r="N98" s="6">
        <v>114152.0</v>
      </c>
      <c r="O98" s="6">
        <f t="shared" ref="O98:O100" si="34">SUM(C98:N98)</f>
        <v>904307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2">
        <v>2014.0</v>
      </c>
      <c r="B99" s="5" t="s">
        <v>30</v>
      </c>
      <c r="C99" s="6">
        <f>200835-136376</f>
        <v>64459</v>
      </c>
      <c r="D99" s="6">
        <f>103872-49033</f>
        <v>54839</v>
      </c>
      <c r="E99" s="6">
        <f>126652-69947</f>
        <v>56705</v>
      </c>
      <c r="F99" s="6">
        <f>123793-72266</f>
        <v>51527</v>
      </c>
      <c r="G99" s="6">
        <f>96990-55807</f>
        <v>41183</v>
      </c>
      <c r="H99" s="6">
        <f>89011-42768</f>
        <v>46243</v>
      </c>
      <c r="I99" s="6">
        <f>136631-74617</f>
        <v>62014</v>
      </c>
      <c r="J99" s="6">
        <f>107522-59226</f>
        <v>48296</v>
      </c>
      <c r="K99" s="6">
        <f>114176-64327</f>
        <v>49849</v>
      </c>
      <c r="L99" s="6">
        <f>138997-77749</f>
        <v>61248</v>
      </c>
      <c r="M99" s="6">
        <f>149373-88039</f>
        <v>61334</v>
      </c>
      <c r="N99" s="6">
        <f>162755-114152</f>
        <v>48603</v>
      </c>
      <c r="O99" s="6">
        <f t="shared" si="34"/>
        <v>646300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2"/>
      <c r="B100" s="5" t="s">
        <v>14</v>
      </c>
      <c r="C100" s="8">
        <f t="shared" ref="C100:N100" si="35">SUM(C98:C99)</f>
        <v>200835</v>
      </c>
      <c r="D100" s="8">
        <f t="shared" si="35"/>
        <v>103872</v>
      </c>
      <c r="E100" s="8">
        <f t="shared" si="35"/>
        <v>126652</v>
      </c>
      <c r="F100" s="8">
        <f t="shared" si="35"/>
        <v>123793</v>
      </c>
      <c r="G100" s="8">
        <f t="shared" si="35"/>
        <v>96990</v>
      </c>
      <c r="H100" s="8">
        <f t="shared" si="35"/>
        <v>89011</v>
      </c>
      <c r="I100" s="8">
        <f t="shared" si="35"/>
        <v>136631</v>
      </c>
      <c r="J100" s="8">
        <f t="shared" si="35"/>
        <v>107522</v>
      </c>
      <c r="K100" s="8">
        <f t="shared" si="35"/>
        <v>114176</v>
      </c>
      <c r="L100" s="8">
        <f t="shared" si="35"/>
        <v>138997</v>
      </c>
      <c r="M100" s="8">
        <f t="shared" si="35"/>
        <v>149373</v>
      </c>
      <c r="N100" s="8">
        <f t="shared" si="35"/>
        <v>162755</v>
      </c>
      <c r="O100" s="8">
        <f t="shared" si="34"/>
        <v>1550607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2" t="s">
        <v>0</v>
      </c>
      <c r="B103" s="2" t="s">
        <v>31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2" t="s">
        <v>12</v>
      </c>
      <c r="N103" s="2" t="s">
        <v>13</v>
      </c>
      <c r="O103" s="2" t="s">
        <v>14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5"/>
      <c r="B104" s="5" t="s">
        <v>29</v>
      </c>
      <c r="C104" s="6">
        <v>147467.0</v>
      </c>
      <c r="D104" s="6">
        <v>67662.0</v>
      </c>
      <c r="E104" s="6">
        <v>49528.0</v>
      </c>
      <c r="F104" s="6">
        <v>62023.0</v>
      </c>
      <c r="G104" s="6">
        <v>55197.0</v>
      </c>
      <c r="H104" s="6">
        <v>50741.0</v>
      </c>
      <c r="I104" s="6">
        <v>90814.0</v>
      </c>
      <c r="J104" s="6">
        <v>61022.0</v>
      </c>
      <c r="K104" s="6">
        <v>71219.0</v>
      </c>
      <c r="L104" s="6">
        <v>91731.0</v>
      </c>
      <c r="M104" s="6">
        <v>70926.0</v>
      </c>
      <c r="N104" s="6">
        <v>98665.0</v>
      </c>
      <c r="O104" s="6">
        <f t="shared" ref="O104:O106" si="36">SUM(C104:N104)</f>
        <v>916995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2">
        <v>2015.0</v>
      </c>
      <c r="B105" s="5" t="s">
        <v>30</v>
      </c>
      <c r="C105" s="6">
        <f>211627-147467</f>
        <v>64160</v>
      </c>
      <c r="D105" s="6">
        <f>128338-67662</f>
        <v>60676</v>
      </c>
      <c r="E105" s="6">
        <f>110095-49528</f>
        <v>60567</v>
      </c>
      <c r="F105" s="6">
        <f>116552-62023</f>
        <v>54529</v>
      </c>
      <c r="G105" s="6">
        <f>100121-55197</f>
        <v>44924</v>
      </c>
      <c r="H105" s="6">
        <f>89102-50741</f>
        <v>38361</v>
      </c>
      <c r="I105" s="6">
        <f>175638-90814</f>
        <v>84824</v>
      </c>
      <c r="J105" s="6">
        <f>122722-61022</f>
        <v>61700</v>
      </c>
      <c r="K105" s="6">
        <f>134374-71219</f>
        <v>63155</v>
      </c>
      <c r="L105" s="6">
        <f>159882-91731</f>
        <v>68151</v>
      </c>
      <c r="M105" s="6">
        <f>138350-70926</f>
        <v>67424</v>
      </c>
      <c r="N105" s="6">
        <f>155292-98665</f>
        <v>56627</v>
      </c>
      <c r="O105" s="6">
        <f t="shared" si="36"/>
        <v>725098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2"/>
      <c r="B106" s="5" t="s">
        <v>14</v>
      </c>
      <c r="C106" s="8">
        <f t="shared" ref="C106:N106" si="37">SUM(C104:C105)</f>
        <v>211627</v>
      </c>
      <c r="D106" s="8">
        <f t="shared" si="37"/>
        <v>128338</v>
      </c>
      <c r="E106" s="8">
        <f t="shared" si="37"/>
        <v>110095</v>
      </c>
      <c r="F106" s="8">
        <f t="shared" si="37"/>
        <v>116552</v>
      </c>
      <c r="G106" s="8">
        <f t="shared" si="37"/>
        <v>100121</v>
      </c>
      <c r="H106" s="8">
        <f t="shared" si="37"/>
        <v>89102</v>
      </c>
      <c r="I106" s="8">
        <f t="shared" si="37"/>
        <v>175638</v>
      </c>
      <c r="J106" s="8">
        <f t="shared" si="37"/>
        <v>122722</v>
      </c>
      <c r="K106" s="8">
        <f t="shared" si="37"/>
        <v>134374</v>
      </c>
      <c r="L106" s="8">
        <f t="shared" si="37"/>
        <v>159882</v>
      </c>
      <c r="M106" s="8">
        <f t="shared" si="37"/>
        <v>138350</v>
      </c>
      <c r="N106" s="8">
        <f t="shared" si="37"/>
        <v>155292</v>
      </c>
      <c r="O106" s="8">
        <f t="shared" si="36"/>
        <v>1642093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7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2" t="s">
        <v>0</v>
      </c>
      <c r="B109" s="2" t="s">
        <v>31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5"/>
      <c r="B110" s="5" t="s">
        <v>29</v>
      </c>
      <c r="C110" s="6">
        <v>119731.0</v>
      </c>
      <c r="D110" s="6">
        <v>57179.0</v>
      </c>
      <c r="E110" s="6">
        <v>46092.0</v>
      </c>
      <c r="F110" s="6">
        <v>53585.0</v>
      </c>
      <c r="G110" s="6">
        <v>47920.0</v>
      </c>
      <c r="H110" s="6">
        <v>36360.0</v>
      </c>
      <c r="I110" s="6">
        <f>88682</f>
        <v>88682</v>
      </c>
      <c r="J110" s="6">
        <v>47741.0</v>
      </c>
      <c r="K110" s="6">
        <v>65840.0</v>
      </c>
      <c r="L110" s="6">
        <f>71287</f>
        <v>71287</v>
      </c>
      <c r="M110" s="6">
        <v>81455.0</v>
      </c>
      <c r="N110" s="6">
        <v>103620.0</v>
      </c>
      <c r="O110" s="6">
        <f t="shared" ref="O110:O112" si="38">SUM(C110:N110)</f>
        <v>819492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2">
        <v>2016.0</v>
      </c>
      <c r="B111" s="5" t="s">
        <v>30</v>
      </c>
      <c r="C111" s="6">
        <f>201076-119731</f>
        <v>81345</v>
      </c>
      <c r="D111" s="6">
        <f>126639-57179</f>
        <v>69460</v>
      </c>
      <c r="E111" s="6">
        <f>108186-46092</f>
        <v>62094</v>
      </c>
      <c r="F111" s="6">
        <f>94323-53585</f>
        <v>40738</v>
      </c>
      <c r="G111" s="6">
        <f>83551-47920</f>
        <v>35631</v>
      </c>
      <c r="H111" s="6">
        <f>75427-36360</f>
        <v>39067</v>
      </c>
      <c r="I111" s="6">
        <f>179678-88682</f>
        <v>90996</v>
      </c>
      <c r="J111" s="6">
        <f>109733-47741</f>
        <v>61992</v>
      </c>
      <c r="K111" s="6">
        <f>132733-65840</f>
        <v>66893</v>
      </c>
      <c r="L111" s="6">
        <f>145556-71287</f>
        <v>74269</v>
      </c>
      <c r="M111" s="6">
        <f>144802-81455</f>
        <v>63347</v>
      </c>
      <c r="N111" s="6">
        <f>159088-103620</f>
        <v>55468</v>
      </c>
      <c r="O111" s="6">
        <f t="shared" si="38"/>
        <v>741300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2"/>
      <c r="B112" s="5" t="s">
        <v>14</v>
      </c>
      <c r="C112" s="8">
        <f t="shared" ref="C112:N112" si="39">SUM(C110:C111)</f>
        <v>201076</v>
      </c>
      <c r="D112" s="8">
        <f t="shared" si="39"/>
        <v>126639</v>
      </c>
      <c r="E112" s="8">
        <f t="shared" si="39"/>
        <v>108186</v>
      </c>
      <c r="F112" s="8">
        <f t="shared" si="39"/>
        <v>94323</v>
      </c>
      <c r="G112" s="8">
        <f t="shared" si="39"/>
        <v>83551</v>
      </c>
      <c r="H112" s="8">
        <f t="shared" si="39"/>
        <v>75427</v>
      </c>
      <c r="I112" s="8">
        <f t="shared" si="39"/>
        <v>179678</v>
      </c>
      <c r="J112" s="8">
        <f t="shared" si="39"/>
        <v>109733</v>
      </c>
      <c r="K112" s="8">
        <f t="shared" si="39"/>
        <v>132733</v>
      </c>
      <c r="L112" s="8">
        <f t="shared" si="39"/>
        <v>145556</v>
      </c>
      <c r="M112" s="8">
        <f t="shared" si="39"/>
        <v>144802</v>
      </c>
      <c r="N112" s="8">
        <f t="shared" si="39"/>
        <v>159088</v>
      </c>
      <c r="O112" s="8">
        <f t="shared" si="38"/>
        <v>1560792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2" t="s">
        <v>0</v>
      </c>
      <c r="B115" s="2" t="s">
        <v>31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5"/>
      <c r="B116" s="5" t="s">
        <v>29</v>
      </c>
      <c r="C116" s="6">
        <v>131834.0</v>
      </c>
      <c r="D116" s="6">
        <v>62970.0</v>
      </c>
      <c r="E116" s="6">
        <v>52035.0</v>
      </c>
      <c r="F116" s="6">
        <v>74165.0</v>
      </c>
      <c r="G116" s="6">
        <v>47607.0</v>
      </c>
      <c r="H116" s="6">
        <v>64273.0</v>
      </c>
      <c r="I116" s="6">
        <v>114661.0</v>
      </c>
      <c r="J116" s="6">
        <v>57871.0</v>
      </c>
      <c r="K116" s="6">
        <v>88812.0</v>
      </c>
      <c r="L116" s="6">
        <v>86861.0</v>
      </c>
      <c r="M116" s="6">
        <v>93578.0</v>
      </c>
      <c r="N116" s="6">
        <v>117371.0</v>
      </c>
      <c r="O116" s="6">
        <f t="shared" ref="O116:O117" si="41">SUM(C116:N116)</f>
        <v>992038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2">
        <v>2017.0</v>
      </c>
      <c r="B117" s="5" t="s">
        <v>30</v>
      </c>
      <c r="C117" s="6">
        <f t="shared" ref="C117:N117" si="40">C118-C116</f>
        <v>84631</v>
      </c>
      <c r="D117" s="6">
        <f t="shared" si="40"/>
        <v>72866</v>
      </c>
      <c r="E117" s="6">
        <f t="shared" si="40"/>
        <v>63268</v>
      </c>
      <c r="F117" s="6">
        <f t="shared" si="40"/>
        <v>63439</v>
      </c>
      <c r="G117" s="6">
        <f t="shared" si="40"/>
        <v>44089</v>
      </c>
      <c r="H117" s="6">
        <f t="shared" si="40"/>
        <v>37387</v>
      </c>
      <c r="I117" s="6">
        <f t="shared" si="40"/>
        <v>97517</v>
      </c>
      <c r="J117" s="6">
        <f t="shared" si="40"/>
        <v>64595</v>
      </c>
      <c r="K117" s="6">
        <f t="shared" si="40"/>
        <v>69650</v>
      </c>
      <c r="L117" s="6">
        <f t="shared" si="40"/>
        <v>72826</v>
      </c>
      <c r="M117" s="6">
        <f t="shared" si="40"/>
        <v>69611</v>
      </c>
      <c r="N117" s="6">
        <f t="shared" si="40"/>
        <v>57005</v>
      </c>
      <c r="O117" s="6">
        <f t="shared" si="41"/>
        <v>796884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2"/>
      <c r="B118" s="5" t="s">
        <v>14</v>
      </c>
      <c r="C118" s="8">
        <v>216465.0</v>
      </c>
      <c r="D118" s="8">
        <v>135836.0</v>
      </c>
      <c r="E118" s="8">
        <v>115303.0</v>
      </c>
      <c r="F118" s="8">
        <v>137604.0</v>
      </c>
      <c r="G118" s="8">
        <v>91696.0</v>
      </c>
      <c r="H118" s="8">
        <v>101660.0</v>
      </c>
      <c r="I118" s="8">
        <v>212178.0</v>
      </c>
      <c r="J118" s="8">
        <v>122466.0</v>
      </c>
      <c r="K118" s="8">
        <v>158462.0</v>
      </c>
      <c r="L118" s="8">
        <v>159687.0</v>
      </c>
      <c r="M118" s="8">
        <v>163189.0</v>
      </c>
      <c r="N118" s="8">
        <v>174376.0</v>
      </c>
      <c r="O118" s="8">
        <f>SUM(O116:O117)</f>
        <v>1788922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2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2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2" t="s">
        <v>0</v>
      </c>
      <c r="B125" s="2" t="s">
        <v>31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5"/>
      <c r="B126" s="5" t="s">
        <v>29</v>
      </c>
      <c r="C126" s="6">
        <f>142680</f>
        <v>142680</v>
      </c>
      <c r="D126" s="6">
        <v>69962.0</v>
      </c>
      <c r="E126" s="6">
        <v>60497.0</v>
      </c>
      <c r="F126" s="6">
        <v>69283.0</v>
      </c>
      <c r="G126" s="6">
        <v>54847.0</v>
      </c>
      <c r="H126" s="6">
        <v>47487.0</v>
      </c>
      <c r="I126" s="6">
        <v>112139.0</v>
      </c>
      <c r="J126" s="6">
        <v>56792.0</v>
      </c>
      <c r="K126" s="6">
        <v>85369.0</v>
      </c>
      <c r="L126" s="6">
        <v>83617.0</v>
      </c>
      <c r="M126" s="6">
        <v>114234.0</v>
      </c>
      <c r="N126" s="6">
        <v>128720.0</v>
      </c>
      <c r="O126" s="6">
        <f t="shared" ref="O126:O127" si="42">SUM(C126:N126)</f>
        <v>1025627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2">
        <v>2018.0</v>
      </c>
      <c r="B127" s="5" t="s">
        <v>30</v>
      </c>
      <c r="C127" s="6">
        <v>90822.0</v>
      </c>
      <c r="D127" s="6">
        <v>81507.0</v>
      </c>
      <c r="E127" s="6">
        <v>80873.0</v>
      </c>
      <c r="F127" s="6">
        <v>60592.0</v>
      </c>
      <c r="G127" s="6">
        <v>48675.0</v>
      </c>
      <c r="H127" s="6">
        <f>90151-47487</f>
        <v>42664</v>
      </c>
      <c r="I127" s="6">
        <v>101558.0</v>
      </c>
      <c r="J127" s="6">
        <v>69253.0</v>
      </c>
      <c r="K127" s="6">
        <v>73120.0</v>
      </c>
      <c r="L127" s="6">
        <v>79210.0</v>
      </c>
      <c r="M127" s="6">
        <v>74033.0</v>
      </c>
      <c r="N127" s="6">
        <v>64092.0</v>
      </c>
      <c r="O127" s="6">
        <f t="shared" si="42"/>
        <v>866399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2"/>
      <c r="B128" s="5" t="s">
        <v>14</v>
      </c>
      <c r="C128" s="8">
        <f t="shared" ref="C128:O128" si="43">SUM(C126:C127)</f>
        <v>233502</v>
      </c>
      <c r="D128" s="8">
        <f t="shared" si="43"/>
        <v>151469</v>
      </c>
      <c r="E128" s="8">
        <f t="shared" si="43"/>
        <v>141370</v>
      </c>
      <c r="F128" s="8">
        <f t="shared" si="43"/>
        <v>129875</v>
      </c>
      <c r="G128" s="8">
        <f t="shared" si="43"/>
        <v>103522</v>
      </c>
      <c r="H128" s="8">
        <f t="shared" si="43"/>
        <v>90151</v>
      </c>
      <c r="I128" s="8">
        <f t="shared" si="43"/>
        <v>213697</v>
      </c>
      <c r="J128" s="8">
        <f t="shared" si="43"/>
        <v>126045</v>
      </c>
      <c r="K128" s="8">
        <f t="shared" si="43"/>
        <v>158489</v>
      </c>
      <c r="L128" s="8">
        <f t="shared" si="43"/>
        <v>162827</v>
      </c>
      <c r="M128" s="8">
        <f t="shared" si="43"/>
        <v>188267</v>
      </c>
      <c r="N128" s="8">
        <f t="shared" si="43"/>
        <v>192812</v>
      </c>
      <c r="O128" s="8">
        <f t="shared" si="43"/>
        <v>1892026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2" t="s">
        <v>0</v>
      </c>
      <c r="B131" s="2" t="s">
        <v>31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5"/>
      <c r="B132" s="5" t="s">
        <v>29</v>
      </c>
      <c r="C132" s="6">
        <v>148473.0</v>
      </c>
      <c r="D132" s="6">
        <v>54361.0</v>
      </c>
      <c r="E132" s="6">
        <v>80071.0</v>
      </c>
      <c r="F132" s="6">
        <v>65792.0</v>
      </c>
      <c r="G132" s="6">
        <v>49489.0</v>
      </c>
      <c r="H132" s="6">
        <v>66560.0</v>
      </c>
      <c r="I132" s="6">
        <v>113716.0</v>
      </c>
      <c r="J132" s="6">
        <v>66571.0</v>
      </c>
      <c r="K132" s="6">
        <v>82599.0</v>
      </c>
      <c r="L132" s="6">
        <v>97958.0</v>
      </c>
      <c r="M132" s="6">
        <v>113713.0</v>
      </c>
      <c r="N132" s="6">
        <v>134541.0</v>
      </c>
      <c r="O132" s="6">
        <f t="shared" ref="O132:O133" si="44">SUM(C132:N132)</f>
        <v>1073844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2">
        <v>2019.0</v>
      </c>
      <c r="B133" s="5" t="s">
        <v>30</v>
      </c>
      <c r="C133" s="6">
        <v>90162.0</v>
      </c>
      <c r="D133" s="6">
        <v>80113.0</v>
      </c>
      <c r="E133" s="6">
        <v>78013.0</v>
      </c>
      <c r="F133" s="6">
        <v>79401.0</v>
      </c>
      <c r="G133" s="6">
        <v>58689.0</v>
      </c>
      <c r="H133" s="6">
        <v>56973.0</v>
      </c>
      <c r="I133" s="6">
        <v>111872.0</v>
      </c>
      <c r="J133" s="6">
        <v>79562.0</v>
      </c>
      <c r="K133" s="6">
        <v>77942.0</v>
      </c>
      <c r="L133" s="6">
        <v>81682.0</v>
      </c>
      <c r="M133" s="6">
        <v>82972.0</v>
      </c>
      <c r="N133" s="6">
        <v>69133.0</v>
      </c>
      <c r="O133" s="6">
        <f t="shared" si="44"/>
        <v>946514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2"/>
      <c r="B134" s="5" t="s">
        <v>14</v>
      </c>
      <c r="C134" s="8">
        <f t="shared" ref="C134:O134" si="45">SUM(C132:C133)</f>
        <v>238635</v>
      </c>
      <c r="D134" s="8">
        <f t="shared" si="45"/>
        <v>134474</v>
      </c>
      <c r="E134" s="8">
        <f t="shared" si="45"/>
        <v>158084</v>
      </c>
      <c r="F134" s="8">
        <f t="shared" si="45"/>
        <v>145193</v>
      </c>
      <c r="G134" s="8">
        <f t="shared" si="45"/>
        <v>108178</v>
      </c>
      <c r="H134" s="8">
        <f t="shared" si="45"/>
        <v>123533</v>
      </c>
      <c r="I134" s="8">
        <f t="shared" si="45"/>
        <v>225588</v>
      </c>
      <c r="J134" s="8">
        <f t="shared" si="45"/>
        <v>146133</v>
      </c>
      <c r="K134" s="8">
        <f t="shared" si="45"/>
        <v>160541</v>
      </c>
      <c r="L134" s="8">
        <f t="shared" si="45"/>
        <v>179640</v>
      </c>
      <c r="M134" s="8">
        <f t="shared" si="45"/>
        <v>196685</v>
      </c>
      <c r="N134" s="8">
        <f t="shared" si="45"/>
        <v>203674</v>
      </c>
      <c r="O134" s="8">
        <f t="shared" si="45"/>
        <v>2020358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2" t="s">
        <v>0</v>
      </c>
      <c r="B137" s="2" t="s">
        <v>31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13</v>
      </c>
      <c r="O137" s="2" t="s">
        <v>14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5"/>
      <c r="B138" s="5" t="s">
        <v>29</v>
      </c>
      <c r="C138" s="6">
        <v>158619.0</v>
      </c>
      <c r="D138" s="6">
        <v>72418.0</v>
      </c>
      <c r="E138" s="6">
        <v>31257.0</v>
      </c>
      <c r="F138" s="6">
        <v>0.0</v>
      </c>
      <c r="G138" s="6">
        <v>0.0</v>
      </c>
      <c r="H138" s="6">
        <v>3883.0</v>
      </c>
      <c r="I138" s="6">
        <v>0.0</v>
      </c>
      <c r="J138" s="6">
        <v>9656.0</v>
      </c>
      <c r="K138" s="6">
        <v>25738.0</v>
      </c>
      <c r="L138" s="6">
        <v>42293.0</v>
      </c>
      <c r="M138" s="6">
        <v>45894.0</v>
      </c>
      <c r="N138" s="6">
        <v>57103.0</v>
      </c>
      <c r="O138" s="6">
        <f t="shared" ref="O138:O139" si="46">SUM(C138:N138)</f>
        <v>446861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2">
        <v>2020.0</v>
      </c>
      <c r="B139" s="5" t="s">
        <v>30</v>
      </c>
      <c r="C139" s="6">
        <v>87315.0</v>
      </c>
      <c r="D139" s="6">
        <f>155771-D138</f>
        <v>83353</v>
      </c>
      <c r="E139" s="6">
        <f>66875-E138</f>
        <v>35618</v>
      </c>
      <c r="F139" s="6">
        <v>0.0</v>
      </c>
      <c r="G139" s="6">
        <v>0.0</v>
      </c>
      <c r="H139" s="6">
        <f>3926-H138</f>
        <v>43</v>
      </c>
      <c r="I139" s="6">
        <v>0.0</v>
      </c>
      <c r="J139" s="6">
        <v>99.0</v>
      </c>
      <c r="K139" s="6">
        <v>296.0</v>
      </c>
      <c r="L139" s="6">
        <v>613.0</v>
      </c>
      <c r="M139" s="6">
        <v>1477.0</v>
      </c>
      <c r="N139" s="6">
        <v>2692.0</v>
      </c>
      <c r="O139" s="6">
        <f t="shared" si="46"/>
        <v>211506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2"/>
      <c r="B140" s="5" t="s">
        <v>14</v>
      </c>
      <c r="C140" s="8">
        <f t="shared" ref="C140:O140" si="47">SUM(C138:C139)</f>
        <v>245934</v>
      </c>
      <c r="D140" s="8">
        <f t="shared" si="47"/>
        <v>155771</v>
      </c>
      <c r="E140" s="8">
        <f t="shared" si="47"/>
        <v>66875</v>
      </c>
      <c r="F140" s="8">
        <f t="shared" si="47"/>
        <v>0</v>
      </c>
      <c r="G140" s="8">
        <f t="shared" si="47"/>
        <v>0</v>
      </c>
      <c r="H140" s="8">
        <f t="shared" si="47"/>
        <v>3926</v>
      </c>
      <c r="I140" s="8">
        <f t="shared" si="47"/>
        <v>0</v>
      </c>
      <c r="J140" s="8">
        <f t="shared" si="47"/>
        <v>9755</v>
      </c>
      <c r="K140" s="8">
        <f t="shared" si="47"/>
        <v>26034</v>
      </c>
      <c r="L140" s="8">
        <f t="shared" si="47"/>
        <v>42906</v>
      </c>
      <c r="M140" s="8">
        <f t="shared" si="47"/>
        <v>47371</v>
      </c>
      <c r="N140" s="8">
        <f t="shared" si="47"/>
        <v>59795</v>
      </c>
      <c r="O140" s="8">
        <f t="shared" si="47"/>
        <v>658367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2" t="s">
        <v>0</v>
      </c>
      <c r="B143" s="2" t="s">
        <v>31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  <c r="I143" s="2" t="s">
        <v>8</v>
      </c>
      <c r="J143" s="2" t="s">
        <v>9</v>
      </c>
      <c r="K143" s="2" t="s">
        <v>10</v>
      </c>
      <c r="L143" s="2" t="s">
        <v>11</v>
      </c>
      <c r="M143" s="2" t="s">
        <v>12</v>
      </c>
      <c r="N143" s="2" t="s">
        <v>13</v>
      </c>
      <c r="O143" s="2" t="s">
        <v>14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5"/>
      <c r="B144" s="5" t="s">
        <v>29</v>
      </c>
      <c r="C144" s="6">
        <v>69252.0</v>
      </c>
      <c r="D144" s="6">
        <v>41164.0</v>
      </c>
      <c r="E144" s="6">
        <v>14194.0</v>
      </c>
      <c r="F144" s="6">
        <v>19202.0</v>
      </c>
      <c r="G144" s="6">
        <v>23377.0</v>
      </c>
      <c r="H144" s="6">
        <v>26739.0</v>
      </c>
      <c r="I144" s="6">
        <v>54481.0</v>
      </c>
      <c r="J144" s="6"/>
      <c r="K144" s="6"/>
      <c r="L144" s="6"/>
      <c r="M144" s="6"/>
      <c r="N144" s="6"/>
      <c r="O144" s="6">
        <f t="shared" ref="O144:O145" si="48">SUM(C144:N144)</f>
        <v>248409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2">
        <v>2021.0</v>
      </c>
      <c r="B145" s="5" t="s">
        <v>30</v>
      </c>
      <c r="C145" s="6">
        <v>5886.0</v>
      </c>
      <c r="D145" s="6">
        <v>4526.0</v>
      </c>
      <c r="E145" s="6">
        <v>949.0</v>
      </c>
      <c r="F145" s="6">
        <v>816.0</v>
      </c>
      <c r="G145" s="6">
        <v>1255.0</v>
      </c>
      <c r="H145" s="6">
        <v>1000.0</v>
      </c>
      <c r="I145" s="6">
        <v>2338.0</v>
      </c>
      <c r="J145" s="6"/>
      <c r="K145" s="6"/>
      <c r="L145" s="6"/>
      <c r="M145" s="6"/>
      <c r="N145" s="6"/>
      <c r="O145" s="6">
        <f t="shared" si="48"/>
        <v>16770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2"/>
      <c r="B146" s="5" t="s">
        <v>14</v>
      </c>
      <c r="C146" s="8">
        <f t="shared" ref="C146:O146" si="49">SUM(C144:C145)</f>
        <v>75138</v>
      </c>
      <c r="D146" s="8">
        <f t="shared" si="49"/>
        <v>45690</v>
      </c>
      <c r="E146" s="8">
        <f t="shared" si="49"/>
        <v>15143</v>
      </c>
      <c r="F146" s="8">
        <f t="shared" si="49"/>
        <v>20018</v>
      </c>
      <c r="G146" s="8">
        <f t="shared" si="49"/>
        <v>24632</v>
      </c>
      <c r="H146" s="8">
        <f t="shared" si="49"/>
        <v>27739</v>
      </c>
      <c r="I146" s="8">
        <f t="shared" si="49"/>
        <v>56819</v>
      </c>
      <c r="J146" s="8">
        <f t="shared" si="49"/>
        <v>0</v>
      </c>
      <c r="K146" s="8">
        <f t="shared" si="49"/>
        <v>0</v>
      </c>
      <c r="L146" s="8">
        <f t="shared" si="49"/>
        <v>0</v>
      </c>
      <c r="M146" s="8">
        <f t="shared" si="49"/>
        <v>0</v>
      </c>
      <c r="N146" s="8">
        <f t="shared" si="49"/>
        <v>0</v>
      </c>
      <c r="O146" s="8">
        <f t="shared" si="49"/>
        <v>265179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57"/>
    <col customWidth="1" min="3" max="3" width="16.0"/>
    <col customWidth="1" min="4" max="15" width="7.71"/>
    <col customWidth="1" min="16" max="16" width="8.14"/>
    <col customWidth="1" min="17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" t="s">
        <v>0</v>
      </c>
      <c r="C6" s="2" t="s">
        <v>28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32</v>
      </c>
      <c r="M6" s="2" t="s">
        <v>11</v>
      </c>
      <c r="N6" s="2" t="s">
        <v>12</v>
      </c>
      <c r="O6" s="2" t="s">
        <v>13</v>
      </c>
      <c r="P6" s="2" t="s">
        <v>14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5"/>
      <c r="C7" s="5" t="s">
        <v>29</v>
      </c>
      <c r="D7" s="75">
        <v>23665.0</v>
      </c>
      <c r="E7" s="75">
        <v>8856.0</v>
      </c>
      <c r="F7" s="75">
        <v>6698.0</v>
      </c>
      <c r="G7" s="75">
        <v>9260.0</v>
      </c>
      <c r="H7" s="75">
        <v>6329.0</v>
      </c>
      <c r="I7" s="75">
        <v>7422.0</v>
      </c>
      <c r="J7" s="75">
        <v>14136.0</v>
      </c>
      <c r="K7" s="75">
        <v>7696.0</v>
      </c>
      <c r="L7" s="76">
        <v>13315.0</v>
      </c>
      <c r="M7" s="75">
        <v>13440.0</v>
      </c>
      <c r="N7" s="75">
        <v>17271.0</v>
      </c>
      <c r="O7" s="75">
        <v>16400.0</v>
      </c>
      <c r="P7" s="75">
        <f t="shared" ref="P7:P8" si="1">SUM(D7:O7)</f>
        <v>144488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">
        <v>2000.0</v>
      </c>
      <c r="C8" s="5" t="s">
        <v>30</v>
      </c>
      <c r="D8" s="75">
        <v>21318.0</v>
      </c>
      <c r="E8" s="75">
        <v>20588.0</v>
      </c>
      <c r="F8" s="75">
        <v>14318.0</v>
      </c>
      <c r="G8" s="75">
        <v>19736.0</v>
      </c>
      <c r="H8" s="75">
        <v>12084.0</v>
      </c>
      <c r="I8" s="75">
        <v>11247.0</v>
      </c>
      <c r="J8" s="75">
        <v>30914.0</v>
      </c>
      <c r="K8" s="75">
        <v>19478.0</v>
      </c>
      <c r="L8" s="75">
        <v>20928.0</v>
      </c>
      <c r="M8" s="75">
        <v>24205.0</v>
      </c>
      <c r="N8" s="75">
        <v>19118.0</v>
      </c>
      <c r="O8" s="75">
        <v>12149.0</v>
      </c>
      <c r="P8" s="75">
        <f t="shared" si="1"/>
        <v>226083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5" t="s">
        <v>14</v>
      </c>
      <c r="D9" s="8">
        <f t="shared" ref="D9:P9" si="2">SUM(D7:D8)</f>
        <v>44983</v>
      </c>
      <c r="E9" s="8">
        <f t="shared" si="2"/>
        <v>29444</v>
      </c>
      <c r="F9" s="8">
        <f t="shared" si="2"/>
        <v>21016</v>
      </c>
      <c r="G9" s="8">
        <f t="shared" si="2"/>
        <v>28996</v>
      </c>
      <c r="H9" s="8">
        <f t="shared" si="2"/>
        <v>18413</v>
      </c>
      <c r="I9" s="8">
        <f t="shared" si="2"/>
        <v>18669</v>
      </c>
      <c r="J9" s="8">
        <f t="shared" si="2"/>
        <v>45050</v>
      </c>
      <c r="K9" s="8">
        <f t="shared" si="2"/>
        <v>27174</v>
      </c>
      <c r="L9" s="8">
        <f t="shared" si="2"/>
        <v>34243</v>
      </c>
      <c r="M9" s="8">
        <f t="shared" si="2"/>
        <v>37645</v>
      </c>
      <c r="N9" s="8">
        <f t="shared" si="2"/>
        <v>36389</v>
      </c>
      <c r="O9" s="8">
        <f t="shared" si="2"/>
        <v>28549</v>
      </c>
      <c r="P9" s="8">
        <f t="shared" si="2"/>
        <v>370571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8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" t="s">
        <v>0</v>
      </c>
      <c r="C12" s="2" t="s">
        <v>28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34</v>
      </c>
      <c r="M12" s="2" t="s">
        <v>11</v>
      </c>
      <c r="N12" s="2" t="s">
        <v>12</v>
      </c>
      <c r="O12" s="2" t="s">
        <v>13</v>
      </c>
      <c r="P12" s="2" t="s">
        <v>14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5"/>
      <c r="C13" s="5" t="s">
        <v>29</v>
      </c>
      <c r="D13" s="75">
        <v>30244.0</v>
      </c>
      <c r="E13" s="75">
        <v>8998.0</v>
      </c>
      <c r="F13" s="75">
        <v>6479.0</v>
      </c>
      <c r="G13" s="75">
        <v>8466.0</v>
      </c>
      <c r="H13" s="75">
        <v>5616.0</v>
      </c>
      <c r="I13" s="75">
        <v>8504.0</v>
      </c>
      <c r="J13" s="75">
        <v>17605.0</v>
      </c>
      <c r="K13" s="75">
        <v>8969.0</v>
      </c>
      <c r="L13" s="76">
        <v>5650.0</v>
      </c>
      <c r="M13" s="75">
        <v>13606.0</v>
      </c>
      <c r="N13" s="75">
        <v>17042.0</v>
      </c>
      <c r="O13" s="75">
        <v>11313.0</v>
      </c>
      <c r="P13" s="75">
        <f t="shared" ref="P13:P14" si="3">SUM(D13:O13)</f>
        <v>142492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2">
        <v>2001.0</v>
      </c>
      <c r="C14" s="5" t="s">
        <v>30</v>
      </c>
      <c r="D14" s="75">
        <v>26153.0</v>
      </c>
      <c r="E14" s="75">
        <v>17994.0</v>
      </c>
      <c r="F14" s="75">
        <v>14177.0</v>
      </c>
      <c r="G14" s="75">
        <v>17627.0</v>
      </c>
      <c r="H14" s="75">
        <v>11960.0</v>
      </c>
      <c r="I14" s="75">
        <v>10816.0</v>
      </c>
      <c r="J14" s="75">
        <v>29084.0</v>
      </c>
      <c r="K14" s="75">
        <v>21839.0</v>
      </c>
      <c r="L14" s="75">
        <v>5099.0</v>
      </c>
      <c r="M14" s="75">
        <v>18971.0</v>
      </c>
      <c r="N14" s="75">
        <v>14214.0</v>
      </c>
      <c r="O14" s="75">
        <v>9041.0</v>
      </c>
      <c r="P14" s="75">
        <f t="shared" si="3"/>
        <v>196975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"/>
      <c r="C15" s="5" t="s">
        <v>14</v>
      </c>
      <c r="D15" s="8">
        <f t="shared" ref="D15:P15" si="4">SUM(D13:D14)</f>
        <v>56397</v>
      </c>
      <c r="E15" s="8">
        <f t="shared" si="4"/>
        <v>26992</v>
      </c>
      <c r="F15" s="8">
        <f t="shared" si="4"/>
        <v>20656</v>
      </c>
      <c r="G15" s="8">
        <f t="shared" si="4"/>
        <v>26093</v>
      </c>
      <c r="H15" s="8">
        <f t="shared" si="4"/>
        <v>17576</v>
      </c>
      <c r="I15" s="8">
        <f t="shared" si="4"/>
        <v>19320</v>
      </c>
      <c r="J15" s="8">
        <f t="shared" si="4"/>
        <v>46689</v>
      </c>
      <c r="K15" s="8">
        <f t="shared" si="4"/>
        <v>30808</v>
      </c>
      <c r="L15" s="8">
        <f t="shared" si="4"/>
        <v>10749</v>
      </c>
      <c r="M15" s="8">
        <f t="shared" si="4"/>
        <v>32577</v>
      </c>
      <c r="N15" s="8">
        <f t="shared" si="4"/>
        <v>31256</v>
      </c>
      <c r="O15" s="8">
        <f t="shared" si="4"/>
        <v>20354</v>
      </c>
      <c r="P15" s="8">
        <f t="shared" si="4"/>
        <v>339467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 t="s">
        <v>35</v>
      </c>
      <c r="C17" s="78"/>
      <c r="D17" s="1"/>
      <c r="E17" s="78"/>
      <c r="F17" s="1"/>
      <c r="G17" s="7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78"/>
      <c r="D18" s="1"/>
      <c r="E18" s="78"/>
      <c r="F18" s="1"/>
      <c r="G18" s="7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 t="s">
        <v>0</v>
      </c>
      <c r="C19" s="2" t="s">
        <v>28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5"/>
      <c r="C20" s="5" t="s">
        <v>29</v>
      </c>
      <c r="D20" s="75">
        <v>21345.0</v>
      </c>
      <c r="E20" s="75">
        <v>9680.0</v>
      </c>
      <c r="F20" s="75">
        <v>7415.0</v>
      </c>
      <c r="G20" s="75">
        <v>6905.0</v>
      </c>
      <c r="H20" s="75">
        <v>9640.0</v>
      </c>
      <c r="I20" s="75">
        <v>9026.0</v>
      </c>
      <c r="J20" s="75">
        <v>17122.0</v>
      </c>
      <c r="K20" s="75">
        <v>8823.0</v>
      </c>
      <c r="L20" s="76">
        <v>10153.0</v>
      </c>
      <c r="M20" s="75">
        <v>12210.0</v>
      </c>
      <c r="N20" s="75">
        <v>16940.0</v>
      </c>
      <c r="O20" s="75">
        <v>16655.0</v>
      </c>
      <c r="P20" s="75">
        <f t="shared" ref="P20:P21" si="5">SUM(D20:O20)</f>
        <v>145914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>
        <v>2002.0</v>
      </c>
      <c r="C21" s="5" t="s">
        <v>30</v>
      </c>
      <c r="D21" s="75">
        <v>13582.0</v>
      </c>
      <c r="E21" s="75">
        <v>12962.0</v>
      </c>
      <c r="F21" s="75">
        <v>16093.0</v>
      </c>
      <c r="G21" s="75">
        <v>9154.0</v>
      </c>
      <c r="H21" s="75">
        <v>7552.0</v>
      </c>
      <c r="I21" s="75">
        <v>6617.0</v>
      </c>
      <c r="J21" s="75">
        <v>24071.0</v>
      </c>
      <c r="K21" s="75">
        <v>16368.0</v>
      </c>
      <c r="L21" s="75">
        <v>15987.0</v>
      </c>
      <c r="M21" s="75">
        <v>17084.0</v>
      </c>
      <c r="N21" s="75">
        <v>13252.0</v>
      </c>
      <c r="O21" s="75">
        <v>9171.0</v>
      </c>
      <c r="P21" s="75">
        <f t="shared" si="5"/>
        <v>161893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5" t="s">
        <v>14</v>
      </c>
      <c r="D22" s="8">
        <f t="shared" ref="D22:I22" si="6">SUM(D20:D21)</f>
        <v>34927</v>
      </c>
      <c r="E22" s="8">
        <f t="shared" si="6"/>
        <v>22642</v>
      </c>
      <c r="F22" s="8">
        <f t="shared" si="6"/>
        <v>23508</v>
      </c>
      <c r="G22" s="8">
        <f t="shared" si="6"/>
        <v>16059</v>
      </c>
      <c r="H22" s="8">
        <f t="shared" si="6"/>
        <v>17192</v>
      </c>
      <c r="I22" s="8">
        <f t="shared" si="6"/>
        <v>15643</v>
      </c>
      <c r="J22" s="8">
        <v>41193.0</v>
      </c>
      <c r="K22" s="8">
        <f t="shared" ref="K22:N22" si="7">SUM(K20:K21)</f>
        <v>25191</v>
      </c>
      <c r="L22" s="8">
        <f t="shared" si="7"/>
        <v>26140</v>
      </c>
      <c r="M22" s="8">
        <f t="shared" si="7"/>
        <v>29294</v>
      </c>
      <c r="N22" s="8">
        <f t="shared" si="7"/>
        <v>30192</v>
      </c>
      <c r="O22" s="8">
        <v>25826.0</v>
      </c>
      <c r="P22" s="8">
        <f>SUM(P20:P21)</f>
        <v>307807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 t="s">
        <v>33</v>
      </c>
      <c r="C23" s="1"/>
      <c r="D23" s="1"/>
      <c r="E23" s="78"/>
      <c r="F23" s="1"/>
      <c r="G23" s="7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78"/>
      <c r="D24" s="78"/>
      <c r="E24" s="78"/>
      <c r="F24" s="1"/>
      <c r="G24" s="7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 t="s">
        <v>0</v>
      </c>
      <c r="C25" s="2" t="s">
        <v>28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5"/>
      <c r="C26" s="5" t="s">
        <v>29</v>
      </c>
      <c r="D26" s="75">
        <v>25387.0</v>
      </c>
      <c r="E26" s="75">
        <v>8673.0</v>
      </c>
      <c r="F26" s="75">
        <v>7461.0</v>
      </c>
      <c r="G26" s="75">
        <v>11982.0</v>
      </c>
      <c r="H26" s="75">
        <v>7203.0</v>
      </c>
      <c r="I26" s="75">
        <v>8288.0</v>
      </c>
      <c r="J26" s="75">
        <v>17241.0</v>
      </c>
      <c r="K26" s="75">
        <v>8442.0</v>
      </c>
      <c r="L26" s="76">
        <v>10045.0</v>
      </c>
      <c r="M26" s="75">
        <v>15871.0</v>
      </c>
      <c r="N26" s="75">
        <v>14096.0</v>
      </c>
      <c r="O26" s="75">
        <v>18815.0</v>
      </c>
      <c r="P26" s="75">
        <f t="shared" ref="P26:P27" si="8">SUM(D26:O26)</f>
        <v>153504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>
        <v>2003.0</v>
      </c>
      <c r="C27" s="5" t="s">
        <v>30</v>
      </c>
      <c r="D27" s="75">
        <v>17351.0</v>
      </c>
      <c r="E27" s="75">
        <v>18396.0</v>
      </c>
      <c r="F27" s="75">
        <v>13183.0</v>
      </c>
      <c r="G27" s="75">
        <f>30380-11982</f>
        <v>18398</v>
      </c>
      <c r="H27" s="75">
        <v>11026.0</v>
      </c>
      <c r="I27" s="75">
        <v>11042.0</v>
      </c>
      <c r="J27" s="75">
        <v>34451.0</v>
      </c>
      <c r="K27" s="75">
        <v>23367.0</v>
      </c>
      <c r="L27" s="75">
        <v>22850.0</v>
      </c>
      <c r="M27" s="75">
        <v>24336.0</v>
      </c>
      <c r="N27" s="75">
        <f>32370-14096</f>
        <v>18274</v>
      </c>
      <c r="O27" s="75">
        <v>12172.0</v>
      </c>
      <c r="P27" s="75">
        <f t="shared" si="8"/>
        <v>224846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5" t="s">
        <v>14</v>
      </c>
      <c r="D28" s="8">
        <f>SUM(D26:D27)</f>
        <v>42738</v>
      </c>
      <c r="E28" s="8">
        <v>27069.0</v>
      </c>
      <c r="F28" s="8">
        <f t="shared" ref="F28:P28" si="9">SUM(F26:F27)</f>
        <v>20644</v>
      </c>
      <c r="G28" s="8">
        <f t="shared" si="9"/>
        <v>30380</v>
      </c>
      <c r="H28" s="8">
        <f t="shared" si="9"/>
        <v>18229</v>
      </c>
      <c r="I28" s="8">
        <f t="shared" si="9"/>
        <v>19330</v>
      </c>
      <c r="J28" s="8">
        <f t="shared" si="9"/>
        <v>51692</v>
      </c>
      <c r="K28" s="8">
        <f t="shared" si="9"/>
        <v>31809</v>
      </c>
      <c r="L28" s="8">
        <f t="shared" si="9"/>
        <v>32895</v>
      </c>
      <c r="M28" s="8">
        <f t="shared" si="9"/>
        <v>40207</v>
      </c>
      <c r="N28" s="8">
        <f t="shared" si="9"/>
        <v>32370</v>
      </c>
      <c r="O28" s="8">
        <f t="shared" si="9"/>
        <v>30987</v>
      </c>
      <c r="P28" s="8">
        <f t="shared" si="9"/>
        <v>378350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 t="s">
        <v>0</v>
      </c>
      <c r="C31" s="2" t="s">
        <v>28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5"/>
      <c r="C32" s="5" t="s">
        <v>29</v>
      </c>
      <c r="D32" s="75">
        <v>29426.0</v>
      </c>
      <c r="E32" s="75">
        <v>12378.0</v>
      </c>
      <c r="F32" s="75">
        <v>7086.0</v>
      </c>
      <c r="G32" s="75">
        <v>11349.0</v>
      </c>
      <c r="H32" s="75">
        <v>8094.0</v>
      </c>
      <c r="I32" s="75">
        <v>11249.0</v>
      </c>
      <c r="J32" s="75">
        <v>23721.0</v>
      </c>
      <c r="K32" s="75">
        <v>13339.0</v>
      </c>
      <c r="L32" s="76">
        <v>16804.0</v>
      </c>
      <c r="M32" s="75">
        <v>18570.0</v>
      </c>
      <c r="N32" s="75">
        <v>23190.0</v>
      </c>
      <c r="O32" s="75">
        <v>23088.0</v>
      </c>
      <c r="P32" s="75">
        <f t="shared" ref="P32:P33" si="10">SUM(D32:O32)</f>
        <v>198294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>
        <v>2004.0</v>
      </c>
      <c r="C33" s="5" t="s">
        <v>30</v>
      </c>
      <c r="D33" s="75">
        <v>21439.0</v>
      </c>
      <c r="E33" s="75">
        <v>20736.0</v>
      </c>
      <c r="F33" s="75">
        <v>17924.0</v>
      </c>
      <c r="G33" s="75">
        <f>32950-11349</f>
        <v>21601</v>
      </c>
      <c r="H33" s="75">
        <v>13278.0</v>
      </c>
      <c r="I33" s="75">
        <f>24339-11249</f>
        <v>13090</v>
      </c>
      <c r="J33" s="75">
        <f>59496-23721</f>
        <v>35775</v>
      </c>
      <c r="K33" s="75">
        <f>37168-13339</f>
        <v>23829</v>
      </c>
      <c r="L33" s="75">
        <v>24137.0</v>
      </c>
      <c r="M33" s="75">
        <v>25751.0</v>
      </c>
      <c r="N33" s="75">
        <v>21569.0</v>
      </c>
      <c r="O33" s="75">
        <v>15272.0</v>
      </c>
      <c r="P33" s="75">
        <f t="shared" si="10"/>
        <v>254401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5" t="s">
        <v>14</v>
      </c>
      <c r="D34" s="8">
        <f t="shared" ref="D34:P34" si="11">SUM(D32:D33)</f>
        <v>50865</v>
      </c>
      <c r="E34" s="8">
        <f t="shared" si="11"/>
        <v>33114</v>
      </c>
      <c r="F34" s="8">
        <f t="shared" si="11"/>
        <v>25010</v>
      </c>
      <c r="G34" s="8">
        <f t="shared" si="11"/>
        <v>32950</v>
      </c>
      <c r="H34" s="8">
        <f t="shared" si="11"/>
        <v>21372</v>
      </c>
      <c r="I34" s="8">
        <f t="shared" si="11"/>
        <v>24339</v>
      </c>
      <c r="J34" s="8">
        <f t="shared" si="11"/>
        <v>59496</v>
      </c>
      <c r="K34" s="8">
        <f t="shared" si="11"/>
        <v>37168</v>
      </c>
      <c r="L34" s="8">
        <f t="shared" si="11"/>
        <v>40941</v>
      </c>
      <c r="M34" s="8">
        <f t="shared" si="11"/>
        <v>44321</v>
      </c>
      <c r="N34" s="8">
        <f t="shared" si="11"/>
        <v>44759</v>
      </c>
      <c r="O34" s="8">
        <f t="shared" si="11"/>
        <v>38360</v>
      </c>
      <c r="P34" s="8">
        <f t="shared" si="11"/>
        <v>452695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 t="s">
        <v>0</v>
      </c>
      <c r="C37" s="2" t="s">
        <v>28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13</v>
      </c>
      <c r="P37" s="2" t="s">
        <v>14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5"/>
      <c r="C38" s="5" t="s">
        <v>29</v>
      </c>
      <c r="D38" s="10">
        <v>38840.0</v>
      </c>
      <c r="E38" s="75">
        <v>16312.0</v>
      </c>
      <c r="F38" s="75">
        <v>10722.0</v>
      </c>
      <c r="G38" s="75">
        <v>11182.0</v>
      </c>
      <c r="H38" s="75">
        <v>9781.0</v>
      </c>
      <c r="I38" s="75">
        <v>9497.0</v>
      </c>
      <c r="J38" s="75">
        <v>24270.0</v>
      </c>
      <c r="K38" s="75">
        <v>13007.0</v>
      </c>
      <c r="L38" s="76">
        <v>15304.0</v>
      </c>
      <c r="M38" s="6">
        <v>19458.0</v>
      </c>
      <c r="N38" s="75">
        <v>23778.0</v>
      </c>
      <c r="O38" s="6">
        <v>16555.0</v>
      </c>
      <c r="P38" s="75">
        <f t="shared" ref="P38:P40" si="12">SUM(D38:O38)</f>
        <v>208706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>
        <v>2005.0</v>
      </c>
      <c r="C39" s="5" t="s">
        <v>30</v>
      </c>
      <c r="D39" s="10">
        <v>25625.0</v>
      </c>
      <c r="E39" s="75">
        <v>22489.0</v>
      </c>
      <c r="F39" s="75">
        <v>23007.0</v>
      </c>
      <c r="G39" s="75">
        <v>16788.0</v>
      </c>
      <c r="H39" s="75">
        <v>11556.0</v>
      </c>
      <c r="I39" s="75">
        <v>15444.0</v>
      </c>
      <c r="J39" s="75">
        <v>36791.0</v>
      </c>
      <c r="K39" s="75">
        <v>26445.0</v>
      </c>
      <c r="L39" s="75">
        <v>25921.0</v>
      </c>
      <c r="M39" s="6">
        <v>29505.0</v>
      </c>
      <c r="N39" s="75">
        <v>25225.0</v>
      </c>
      <c r="O39" s="6">
        <v>24815.0</v>
      </c>
      <c r="P39" s="75">
        <f t="shared" si="12"/>
        <v>283611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5" t="s">
        <v>14</v>
      </c>
      <c r="D40" s="8">
        <f t="shared" ref="D40:O40" si="13">SUM(D38:D39)</f>
        <v>64465</v>
      </c>
      <c r="E40" s="8">
        <f t="shared" si="13"/>
        <v>38801</v>
      </c>
      <c r="F40" s="8">
        <f t="shared" si="13"/>
        <v>33729</v>
      </c>
      <c r="G40" s="8">
        <f t="shared" si="13"/>
        <v>27970</v>
      </c>
      <c r="H40" s="8">
        <f t="shared" si="13"/>
        <v>21337</v>
      </c>
      <c r="I40" s="8">
        <f t="shared" si="13"/>
        <v>24941</v>
      </c>
      <c r="J40" s="8">
        <f t="shared" si="13"/>
        <v>61061</v>
      </c>
      <c r="K40" s="8">
        <f t="shared" si="13"/>
        <v>39452</v>
      </c>
      <c r="L40" s="8">
        <f t="shared" si="13"/>
        <v>41225</v>
      </c>
      <c r="M40" s="8">
        <f t="shared" si="13"/>
        <v>48963</v>
      </c>
      <c r="N40" s="8">
        <f t="shared" si="13"/>
        <v>49003</v>
      </c>
      <c r="O40" s="8">
        <f t="shared" si="13"/>
        <v>41370</v>
      </c>
      <c r="P40" s="75">
        <f t="shared" si="12"/>
        <v>492317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83" t="s">
        <v>33</v>
      </c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 t="s">
        <v>0</v>
      </c>
      <c r="C49" s="2" t="s">
        <v>28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5"/>
      <c r="C50" s="5" t="s">
        <v>29</v>
      </c>
      <c r="D50" s="6">
        <v>30112.0</v>
      </c>
      <c r="E50" s="6">
        <v>12995.0</v>
      </c>
      <c r="F50" s="6">
        <v>9189.0</v>
      </c>
      <c r="G50" s="6">
        <v>15033.0</v>
      </c>
      <c r="H50" s="6">
        <v>8769.0</v>
      </c>
      <c r="I50" s="6">
        <v>10267.0</v>
      </c>
      <c r="J50" s="6">
        <v>18164.0</v>
      </c>
      <c r="K50" s="6">
        <v>8729.0</v>
      </c>
      <c r="L50" s="6">
        <v>13779.0</v>
      </c>
      <c r="M50" s="6">
        <v>15763.0</v>
      </c>
      <c r="N50" s="6">
        <v>20714.0</v>
      </c>
      <c r="O50" s="6">
        <v>20047.0</v>
      </c>
      <c r="P50" s="75">
        <f t="shared" ref="P50:P52" si="14">SUM(D50:O50)</f>
        <v>183561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>
        <v>2006.0</v>
      </c>
      <c r="C51" s="5" t="s">
        <v>30</v>
      </c>
      <c r="D51" s="6">
        <v>26892.0</v>
      </c>
      <c r="E51" s="6">
        <v>22391.0</v>
      </c>
      <c r="F51" s="6">
        <v>21843.0</v>
      </c>
      <c r="G51" s="6">
        <v>22934.0</v>
      </c>
      <c r="H51" s="6">
        <v>16822.0</v>
      </c>
      <c r="I51" s="6">
        <v>12066.0</v>
      </c>
      <c r="J51" s="6">
        <v>27674.0</v>
      </c>
      <c r="K51" s="6">
        <v>21595.0</v>
      </c>
      <c r="L51" s="6">
        <v>17134.0</v>
      </c>
      <c r="M51" s="6">
        <v>19795.0</v>
      </c>
      <c r="N51" s="6">
        <v>17413.0</v>
      </c>
      <c r="O51" s="6">
        <v>12301.0</v>
      </c>
      <c r="P51" s="75">
        <f t="shared" si="14"/>
        <v>238860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5" t="s">
        <v>14</v>
      </c>
      <c r="D52" s="8">
        <f>SUM(D50:D51)</f>
        <v>57004</v>
      </c>
      <c r="E52" s="8">
        <v>35386.0</v>
      </c>
      <c r="F52" s="8">
        <v>31032.0</v>
      </c>
      <c r="G52" s="8">
        <v>37967.0</v>
      </c>
      <c r="H52" s="8">
        <v>25591.0</v>
      </c>
      <c r="I52" s="8">
        <v>22333.0</v>
      </c>
      <c r="J52" s="8">
        <v>45838.0</v>
      </c>
      <c r="K52" s="8">
        <f t="shared" ref="K52:L52" si="15">SUM(K50:K51)</f>
        <v>30324</v>
      </c>
      <c r="L52" s="8">
        <f t="shared" si="15"/>
        <v>30913</v>
      </c>
      <c r="M52" s="8">
        <v>35558.0</v>
      </c>
      <c r="N52" s="8">
        <f t="shared" ref="N52:O52" si="16">SUM(N50:N51)</f>
        <v>38127</v>
      </c>
      <c r="O52" s="8">
        <f t="shared" si="16"/>
        <v>32348</v>
      </c>
      <c r="P52" s="77">
        <f t="shared" si="14"/>
        <v>422421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83"/>
      <c r="B53" s="83" t="s">
        <v>33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 t="s">
        <v>0</v>
      </c>
      <c r="C55" s="2" t="s">
        <v>28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2" t="s">
        <v>7</v>
      </c>
      <c r="J55" s="2" t="s">
        <v>8</v>
      </c>
      <c r="K55" s="2" t="s">
        <v>9</v>
      </c>
      <c r="L55" s="2" t="s">
        <v>10</v>
      </c>
      <c r="M55" s="2" t="s">
        <v>11</v>
      </c>
      <c r="N55" s="2" t="s">
        <v>12</v>
      </c>
      <c r="O55" s="2" t="s">
        <v>13</v>
      </c>
      <c r="P55" s="2" t="s">
        <v>14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5"/>
      <c r="C56" s="5" t="s">
        <v>29</v>
      </c>
      <c r="D56" s="6">
        <v>32225.0</v>
      </c>
      <c r="E56" s="6">
        <v>15927.0</v>
      </c>
      <c r="F56" s="6">
        <v>8217.0</v>
      </c>
      <c r="G56" s="6">
        <v>11102.0</v>
      </c>
      <c r="H56" s="6">
        <v>9962.0</v>
      </c>
      <c r="I56" s="6">
        <v>9088.0</v>
      </c>
      <c r="J56" s="6">
        <v>19172.0</v>
      </c>
      <c r="K56" s="6">
        <v>9597.0</v>
      </c>
      <c r="L56" s="6">
        <v>14926.0</v>
      </c>
      <c r="M56" s="6">
        <v>18953.0</v>
      </c>
      <c r="N56" s="6">
        <v>22114.0</v>
      </c>
      <c r="O56" s="6">
        <v>19870.0</v>
      </c>
      <c r="P56" s="75">
        <f t="shared" ref="P56:P57" si="18">SUM(D56:O56)</f>
        <v>191153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>
        <v>2007.0</v>
      </c>
      <c r="C57" s="5" t="s">
        <v>30</v>
      </c>
      <c r="D57" s="6">
        <f>56703-32225</f>
        <v>24478</v>
      </c>
      <c r="E57" s="6">
        <f>37300-15927</f>
        <v>21373</v>
      </c>
      <c r="F57" s="6">
        <v>17484.0</v>
      </c>
      <c r="G57" s="6">
        <v>20319.0</v>
      </c>
      <c r="H57" s="6">
        <v>13759.0</v>
      </c>
      <c r="I57" s="6">
        <f>14377-9088</f>
        <v>5289</v>
      </c>
      <c r="J57" s="6">
        <f t="shared" ref="J57:O57" si="17">J58-J56</f>
        <v>12124</v>
      </c>
      <c r="K57" s="6">
        <f t="shared" si="17"/>
        <v>10233</v>
      </c>
      <c r="L57" s="6">
        <f t="shared" si="17"/>
        <v>9444</v>
      </c>
      <c r="M57" s="6">
        <f t="shared" si="17"/>
        <v>9907</v>
      </c>
      <c r="N57" s="6">
        <f t="shared" si="17"/>
        <v>10163</v>
      </c>
      <c r="O57" s="6">
        <f t="shared" si="17"/>
        <v>8441</v>
      </c>
      <c r="P57" s="75">
        <f t="shared" si="18"/>
        <v>163014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5" t="s">
        <v>14</v>
      </c>
      <c r="D58" s="8">
        <v>56703.0</v>
      </c>
      <c r="E58" s="8">
        <v>37300.0</v>
      </c>
      <c r="F58" s="8">
        <f t="shared" ref="F58:G58" si="19">SUM(F56:F57)</f>
        <v>25701</v>
      </c>
      <c r="G58" s="8">
        <f t="shared" si="19"/>
        <v>31421</v>
      </c>
      <c r="H58" s="8">
        <v>23721.0</v>
      </c>
      <c r="I58" s="8">
        <f>SUM(I56:I57)</f>
        <v>14377</v>
      </c>
      <c r="J58" s="8">
        <v>31296.0</v>
      </c>
      <c r="K58" s="8">
        <v>19830.0</v>
      </c>
      <c r="L58" s="8">
        <v>24370.0</v>
      </c>
      <c r="M58" s="8">
        <v>28860.0</v>
      </c>
      <c r="N58" s="8">
        <v>32277.0</v>
      </c>
      <c r="O58" s="8">
        <v>28311.0</v>
      </c>
      <c r="P58" s="77">
        <f>SUM(P56:P57)</f>
        <v>354167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83"/>
      <c r="B59" s="83" t="s">
        <v>33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 t="s">
        <v>0</v>
      </c>
      <c r="C61" s="2" t="s">
        <v>28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8</v>
      </c>
      <c r="K61" s="2" t="s">
        <v>9</v>
      </c>
      <c r="L61" s="2" t="s">
        <v>10</v>
      </c>
      <c r="M61" s="2" t="s">
        <v>11</v>
      </c>
      <c r="N61" s="2" t="s">
        <v>12</v>
      </c>
      <c r="O61" s="2" t="s">
        <v>13</v>
      </c>
      <c r="P61" s="2" t="s">
        <v>14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5"/>
      <c r="C62" s="5" t="s">
        <v>29</v>
      </c>
      <c r="D62" s="6">
        <v>26236.0</v>
      </c>
      <c r="E62" s="6">
        <v>14538.0</v>
      </c>
      <c r="F62" s="6">
        <v>9845.0</v>
      </c>
      <c r="G62" s="6">
        <v>12432.0</v>
      </c>
      <c r="H62" s="6">
        <v>18800.0</v>
      </c>
      <c r="I62" s="6">
        <v>9698.0</v>
      </c>
      <c r="J62" s="6">
        <v>26961.0</v>
      </c>
      <c r="K62" s="6">
        <v>13278.0</v>
      </c>
      <c r="L62" s="6">
        <v>15521.0</v>
      </c>
      <c r="M62" s="6">
        <v>18873.0</v>
      </c>
      <c r="N62" s="6">
        <v>24098.0</v>
      </c>
      <c r="O62" s="6">
        <v>26255.0</v>
      </c>
      <c r="P62" s="75">
        <f t="shared" ref="P62:P64" si="20">SUM(D62:O62)</f>
        <v>216535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>
        <v>2008.0</v>
      </c>
      <c r="C63" s="5" t="s">
        <v>30</v>
      </c>
      <c r="D63" s="6">
        <v>11146.0</v>
      </c>
      <c r="E63" s="6">
        <v>10323.0</v>
      </c>
      <c r="F63" s="6">
        <f>19641-9845</f>
        <v>9796</v>
      </c>
      <c r="G63" s="6">
        <f>18680-12432</f>
        <v>6248</v>
      </c>
      <c r="H63" s="6">
        <f>24662-18800</f>
        <v>5862</v>
      </c>
      <c r="I63" s="6">
        <f>14264-9698</f>
        <v>4566</v>
      </c>
      <c r="J63" s="6">
        <f>35336-26961</f>
        <v>8375</v>
      </c>
      <c r="K63" s="6">
        <f>22538-13278</f>
        <v>9260</v>
      </c>
      <c r="L63" s="6">
        <f>22720-15521</f>
        <v>7199</v>
      </c>
      <c r="M63" s="6">
        <f>27004-18873</f>
        <v>8131</v>
      </c>
      <c r="N63" s="6">
        <f>31736-24098</f>
        <v>7638</v>
      </c>
      <c r="O63" s="6">
        <f>32928-26255</f>
        <v>6673</v>
      </c>
      <c r="P63" s="75">
        <f t="shared" si="20"/>
        <v>95217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5" t="s">
        <v>14</v>
      </c>
      <c r="D64" s="8">
        <f t="shared" ref="D64:O64" si="21">SUM(D62:D63)</f>
        <v>37382</v>
      </c>
      <c r="E64" s="8">
        <f t="shared" si="21"/>
        <v>24861</v>
      </c>
      <c r="F64" s="8">
        <f t="shared" si="21"/>
        <v>19641</v>
      </c>
      <c r="G64" s="8">
        <f t="shared" si="21"/>
        <v>18680</v>
      </c>
      <c r="H64" s="8">
        <f t="shared" si="21"/>
        <v>24662</v>
      </c>
      <c r="I64" s="8">
        <f t="shared" si="21"/>
        <v>14264</v>
      </c>
      <c r="J64" s="8">
        <f t="shared" si="21"/>
        <v>35336</v>
      </c>
      <c r="K64" s="8">
        <f t="shared" si="21"/>
        <v>22538</v>
      </c>
      <c r="L64" s="8">
        <f t="shared" si="21"/>
        <v>22720</v>
      </c>
      <c r="M64" s="8">
        <f t="shared" si="21"/>
        <v>27004</v>
      </c>
      <c r="N64" s="8">
        <f t="shared" si="21"/>
        <v>31736</v>
      </c>
      <c r="O64" s="8">
        <f t="shared" si="21"/>
        <v>32928</v>
      </c>
      <c r="P64" s="77">
        <f t="shared" si="20"/>
        <v>311752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83"/>
      <c r="B65" s="83" t="s">
        <v>33</v>
      </c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 t="s">
        <v>0</v>
      </c>
      <c r="C67" s="2" t="s">
        <v>28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12</v>
      </c>
      <c r="O67" s="2" t="s">
        <v>13</v>
      </c>
      <c r="P67" s="2" t="s">
        <v>14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5"/>
      <c r="C68" s="5" t="s">
        <v>29</v>
      </c>
      <c r="D68" s="6">
        <v>38488.0</v>
      </c>
      <c r="E68" s="6">
        <v>15992.0</v>
      </c>
      <c r="F68" s="6">
        <v>9304.0</v>
      </c>
      <c r="G68" s="6">
        <v>15705.0</v>
      </c>
      <c r="H68" s="6">
        <v>13200.0</v>
      </c>
      <c r="I68" s="6">
        <v>12683.0</v>
      </c>
      <c r="J68" s="6">
        <v>16309.0</v>
      </c>
      <c r="K68" s="6">
        <v>6974.0</v>
      </c>
      <c r="L68" s="6">
        <v>12658.0</v>
      </c>
      <c r="M68" s="6">
        <v>22782.0</v>
      </c>
      <c r="N68" s="6">
        <v>27610.0</v>
      </c>
      <c r="O68" s="6">
        <v>28104.0</v>
      </c>
      <c r="P68" s="75">
        <f t="shared" ref="P68:P70" si="22">SUM(D68:O68)</f>
        <v>219809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>
        <v>2009.0</v>
      </c>
      <c r="C69" s="5" t="s">
        <v>30</v>
      </c>
      <c r="D69" s="6">
        <f>46815-38503</f>
        <v>8312</v>
      </c>
      <c r="E69" s="6">
        <f>23774-15992</f>
        <v>7782</v>
      </c>
      <c r="F69" s="6">
        <f>16592-9304</f>
        <v>7288</v>
      </c>
      <c r="G69" s="6">
        <f>22197-15705</f>
        <v>6492</v>
      </c>
      <c r="H69" s="6">
        <v>4008.0</v>
      </c>
      <c r="I69" s="6">
        <v>3199.0</v>
      </c>
      <c r="J69" s="6">
        <v>7784.0</v>
      </c>
      <c r="K69" s="6">
        <v>6762.0</v>
      </c>
      <c r="L69" s="6">
        <v>6509.0</v>
      </c>
      <c r="M69" s="6">
        <f>29683-M68</f>
        <v>6901</v>
      </c>
      <c r="N69" s="6">
        <f>34995-N68</f>
        <v>7385</v>
      </c>
      <c r="O69" s="6">
        <v>6348.0</v>
      </c>
      <c r="P69" s="75">
        <f t="shared" si="22"/>
        <v>78770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5" t="s">
        <v>14</v>
      </c>
      <c r="D70" s="8">
        <f t="shared" ref="D70:O70" si="23">SUM(D68:D69)</f>
        <v>46800</v>
      </c>
      <c r="E70" s="8">
        <f t="shared" si="23"/>
        <v>23774</v>
      </c>
      <c r="F70" s="8">
        <f t="shared" si="23"/>
        <v>16592</v>
      </c>
      <c r="G70" s="8">
        <f t="shared" si="23"/>
        <v>22197</v>
      </c>
      <c r="H70" s="8">
        <f t="shared" si="23"/>
        <v>17208</v>
      </c>
      <c r="I70" s="8">
        <f t="shared" si="23"/>
        <v>15882</v>
      </c>
      <c r="J70" s="8">
        <f t="shared" si="23"/>
        <v>24093</v>
      </c>
      <c r="K70" s="8">
        <f t="shared" si="23"/>
        <v>13736</v>
      </c>
      <c r="L70" s="8">
        <f t="shared" si="23"/>
        <v>19167</v>
      </c>
      <c r="M70" s="8">
        <f t="shared" si="23"/>
        <v>29683</v>
      </c>
      <c r="N70" s="8">
        <f t="shared" si="23"/>
        <v>34995</v>
      </c>
      <c r="O70" s="8">
        <f t="shared" si="23"/>
        <v>34452</v>
      </c>
      <c r="P70" s="77">
        <f t="shared" si="22"/>
        <v>298579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>
      <c r="A71" s="1"/>
      <c r="B71" s="83" t="s">
        <v>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 t="s">
        <v>0</v>
      </c>
      <c r="C74" s="2" t="s">
        <v>28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6</v>
      </c>
      <c r="I74" s="2" t="s">
        <v>7</v>
      </c>
      <c r="J74" s="2" t="s">
        <v>8</v>
      </c>
      <c r="K74" s="2" t="s">
        <v>9</v>
      </c>
      <c r="L74" s="2" t="s">
        <v>10</v>
      </c>
      <c r="M74" s="2" t="s">
        <v>11</v>
      </c>
      <c r="N74" s="2" t="s">
        <v>12</v>
      </c>
      <c r="O74" s="2" t="s">
        <v>13</v>
      </c>
      <c r="P74" s="2" t="s">
        <v>14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5"/>
      <c r="C75" s="5" t="s">
        <v>29</v>
      </c>
      <c r="D75" s="6">
        <v>42492.0</v>
      </c>
      <c r="E75" s="6">
        <v>19471.0</v>
      </c>
      <c r="F75" s="6">
        <v>12553.0</v>
      </c>
      <c r="G75" s="6">
        <v>16525.0</v>
      </c>
      <c r="H75" s="6">
        <v>14531.0</v>
      </c>
      <c r="I75" s="6">
        <v>15391.0</v>
      </c>
      <c r="J75" s="6">
        <v>28641.0</v>
      </c>
      <c r="K75" s="6">
        <v>14550.0</v>
      </c>
      <c r="L75" s="6">
        <v>23322.0</v>
      </c>
      <c r="M75" s="6">
        <v>26443.0</v>
      </c>
      <c r="N75" s="6">
        <v>29774.0</v>
      </c>
      <c r="O75" s="6">
        <v>28197.0</v>
      </c>
      <c r="P75" s="75">
        <f t="shared" ref="P75:P77" si="24">SUM(D75:O75)</f>
        <v>271890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>
        <v>2010.0</v>
      </c>
      <c r="C76" s="5" t="s">
        <v>30</v>
      </c>
      <c r="D76" s="6">
        <f>50823-D75</f>
        <v>8331</v>
      </c>
      <c r="E76" s="6">
        <f>27762-E75</f>
        <v>8291</v>
      </c>
      <c r="F76" s="6">
        <f>20120-F75</f>
        <v>7567</v>
      </c>
      <c r="G76" s="6">
        <f>22318-G75</f>
        <v>5793</v>
      </c>
      <c r="H76" s="6">
        <f>19805-H75</f>
        <v>5274</v>
      </c>
      <c r="I76" s="6">
        <f>19260-I75</f>
        <v>3869</v>
      </c>
      <c r="J76" s="6">
        <f>36798-J75</f>
        <v>8157</v>
      </c>
      <c r="K76" s="6">
        <f>22060-14550</f>
        <v>7510</v>
      </c>
      <c r="L76" s="6">
        <f>29632-23322</f>
        <v>6310</v>
      </c>
      <c r="M76" s="6">
        <f>33631-26443</f>
        <v>7188</v>
      </c>
      <c r="N76" s="6">
        <f>36717-29774</f>
        <v>6943</v>
      </c>
      <c r="O76" s="6">
        <f>34017-28197</f>
        <v>5820</v>
      </c>
      <c r="P76" s="75">
        <f t="shared" si="24"/>
        <v>81053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5" t="s">
        <v>14</v>
      </c>
      <c r="D77" s="8">
        <f t="shared" ref="D77:O77" si="25">SUM(D75:D76)</f>
        <v>50823</v>
      </c>
      <c r="E77" s="8">
        <f t="shared" si="25"/>
        <v>27762</v>
      </c>
      <c r="F77" s="8">
        <f t="shared" si="25"/>
        <v>20120</v>
      </c>
      <c r="G77" s="8">
        <f t="shared" si="25"/>
        <v>22318</v>
      </c>
      <c r="H77" s="8">
        <f t="shared" si="25"/>
        <v>19805</v>
      </c>
      <c r="I77" s="8">
        <f t="shared" si="25"/>
        <v>19260</v>
      </c>
      <c r="J77" s="8">
        <f t="shared" si="25"/>
        <v>36798</v>
      </c>
      <c r="K77" s="8">
        <f t="shared" si="25"/>
        <v>22060</v>
      </c>
      <c r="L77" s="8">
        <f t="shared" si="25"/>
        <v>29632</v>
      </c>
      <c r="M77" s="8">
        <f t="shared" si="25"/>
        <v>33631</v>
      </c>
      <c r="N77" s="8">
        <f t="shared" si="25"/>
        <v>36717</v>
      </c>
      <c r="O77" s="8">
        <f t="shared" si="25"/>
        <v>34017</v>
      </c>
      <c r="P77" s="77">
        <f t="shared" si="24"/>
        <v>352943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83" t="s">
        <v>33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 t="s">
        <v>0</v>
      </c>
      <c r="C80" s="2" t="s">
        <v>28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I80" s="2" t="s">
        <v>7</v>
      </c>
      <c r="J80" s="2" t="s">
        <v>8</v>
      </c>
      <c r="K80" s="2" t="s">
        <v>9</v>
      </c>
      <c r="L80" s="2" t="s">
        <v>10</v>
      </c>
      <c r="M80" s="2" t="s">
        <v>11</v>
      </c>
      <c r="N80" s="2" t="s">
        <v>12</v>
      </c>
      <c r="O80" s="2" t="s">
        <v>13</v>
      </c>
      <c r="P80" s="2" t="s">
        <v>14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5"/>
      <c r="C81" s="5" t="s">
        <v>29</v>
      </c>
      <c r="D81" s="6">
        <v>42194.0</v>
      </c>
      <c r="E81" s="6">
        <v>18484.0</v>
      </c>
      <c r="F81" s="6">
        <v>23369.0</v>
      </c>
      <c r="G81" s="6">
        <v>22380.0</v>
      </c>
      <c r="H81" s="6">
        <v>17158.0</v>
      </c>
      <c r="I81" s="6">
        <v>19223.0</v>
      </c>
      <c r="J81" s="6">
        <v>30094.0</v>
      </c>
      <c r="K81" s="6">
        <v>15739.0</v>
      </c>
      <c r="L81" s="6">
        <v>23847.0</v>
      </c>
      <c r="M81" s="6">
        <v>29013.0</v>
      </c>
      <c r="N81" s="6">
        <v>30602.0</v>
      </c>
      <c r="O81" s="6">
        <v>31825.0</v>
      </c>
      <c r="P81" s="75">
        <f t="shared" ref="P81:P83" si="27">SUM(D81:O81)</f>
        <v>303928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>
        <v>2011.0</v>
      </c>
      <c r="C82" s="5" t="s">
        <v>30</v>
      </c>
      <c r="D82" s="6">
        <f>49632-42194</f>
        <v>7438</v>
      </c>
      <c r="E82" s="6">
        <f>26098-18484</f>
        <v>7614</v>
      </c>
      <c r="F82" s="6">
        <f>32255-23369</f>
        <v>8886</v>
      </c>
      <c r="G82" s="6">
        <f>28800-22380</f>
        <v>6420</v>
      </c>
      <c r="H82" s="6">
        <f>22643-17158</f>
        <v>5485</v>
      </c>
      <c r="I82" s="6">
        <f t="shared" ref="I82:J82" si="26">I83-I81</f>
        <v>4471</v>
      </c>
      <c r="J82" s="6">
        <f t="shared" si="26"/>
        <v>7679</v>
      </c>
      <c r="K82" s="6">
        <f>22702-15739</f>
        <v>6963</v>
      </c>
      <c r="L82" s="6">
        <f>30809-23847</f>
        <v>6962</v>
      </c>
      <c r="M82" s="6">
        <f>35823-29013</f>
        <v>6810</v>
      </c>
      <c r="N82" s="6">
        <f>37663-30602</f>
        <v>7061</v>
      </c>
      <c r="O82" s="6">
        <f>37668-31825</f>
        <v>5843</v>
      </c>
      <c r="P82" s="75">
        <f t="shared" si="27"/>
        <v>81632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5" t="s">
        <v>14</v>
      </c>
      <c r="D83" s="8">
        <f t="shared" ref="D83:H83" si="28">SUM(D81:D82)</f>
        <v>49632</v>
      </c>
      <c r="E83" s="8">
        <f t="shared" si="28"/>
        <v>26098</v>
      </c>
      <c r="F83" s="8">
        <f t="shared" si="28"/>
        <v>32255</v>
      </c>
      <c r="G83" s="8">
        <f t="shared" si="28"/>
        <v>28800</v>
      </c>
      <c r="H83" s="8">
        <f t="shared" si="28"/>
        <v>22643</v>
      </c>
      <c r="I83" s="8">
        <v>23694.0</v>
      </c>
      <c r="J83" s="8">
        <v>37773.0</v>
      </c>
      <c r="K83" s="8">
        <f t="shared" ref="K83:O83" si="29">SUM(K81:K82)</f>
        <v>22702</v>
      </c>
      <c r="L83" s="8">
        <f t="shared" si="29"/>
        <v>30809</v>
      </c>
      <c r="M83" s="8">
        <f t="shared" si="29"/>
        <v>35823</v>
      </c>
      <c r="N83" s="8">
        <f t="shared" si="29"/>
        <v>37663</v>
      </c>
      <c r="O83" s="8">
        <f t="shared" si="29"/>
        <v>37668</v>
      </c>
      <c r="P83" s="77">
        <f t="shared" si="27"/>
        <v>385560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 t="s">
        <v>0</v>
      </c>
      <c r="C90" s="2" t="s">
        <v>28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  <c r="J90" s="2" t="s">
        <v>8</v>
      </c>
      <c r="K90" s="2" t="s">
        <v>9</v>
      </c>
      <c r="L90" s="2" t="s">
        <v>10</v>
      </c>
      <c r="M90" s="2" t="s">
        <v>11</v>
      </c>
      <c r="N90" s="2" t="s">
        <v>12</v>
      </c>
      <c r="O90" s="2" t="s">
        <v>13</v>
      </c>
      <c r="P90" s="2" t="s">
        <v>14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5"/>
      <c r="C91" s="5" t="s">
        <v>29</v>
      </c>
      <c r="D91" s="6">
        <v>50284.0</v>
      </c>
      <c r="E91" s="6">
        <v>27891.0</v>
      </c>
      <c r="F91" s="6">
        <v>25199.0</v>
      </c>
      <c r="G91" s="6">
        <v>31600.0</v>
      </c>
      <c r="H91" s="6">
        <v>24845.0</v>
      </c>
      <c r="I91" s="6">
        <v>31568.0</v>
      </c>
      <c r="J91" s="6">
        <v>46911.0</v>
      </c>
      <c r="K91" s="6">
        <v>29600.0</v>
      </c>
      <c r="L91" s="6">
        <v>41987.0</v>
      </c>
      <c r="M91" s="6">
        <v>41259.0</v>
      </c>
      <c r="N91" s="6">
        <v>50053.0</v>
      </c>
      <c r="O91" s="6">
        <v>44756.0</v>
      </c>
      <c r="P91" s="75">
        <f t="shared" ref="P91:P92" si="30">SUM(D91:O91)</f>
        <v>445953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>
        <v>2012.0</v>
      </c>
      <c r="C92" s="5" t="s">
        <v>30</v>
      </c>
      <c r="D92" s="6">
        <f>58341-50284</f>
        <v>8057</v>
      </c>
      <c r="E92" s="6">
        <v>8751.0</v>
      </c>
      <c r="F92" s="6">
        <v>6770.0</v>
      </c>
      <c r="G92" s="6">
        <v>7852.0</v>
      </c>
      <c r="H92" s="6">
        <v>5684.0</v>
      </c>
      <c r="I92" s="6">
        <v>4771.0</v>
      </c>
      <c r="J92" s="6">
        <v>8568.0</v>
      </c>
      <c r="K92" s="6">
        <v>7564.0</v>
      </c>
      <c r="L92" s="6">
        <v>5888.0</v>
      </c>
      <c r="M92" s="6">
        <v>6934.0</v>
      </c>
      <c r="N92" s="6">
        <v>7135.0</v>
      </c>
      <c r="O92" s="6">
        <f>50564-44756</f>
        <v>5808</v>
      </c>
      <c r="P92" s="75">
        <f t="shared" si="30"/>
        <v>83782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5" t="s">
        <v>14</v>
      </c>
      <c r="D93" s="8">
        <f>SUM(D91:D92)</f>
        <v>58341</v>
      </c>
      <c r="E93" s="8">
        <v>36642.0</v>
      </c>
      <c r="F93" s="8">
        <v>31969.0</v>
      </c>
      <c r="G93" s="8">
        <v>39452.0</v>
      </c>
      <c r="H93" s="8">
        <v>30529.0</v>
      </c>
      <c r="I93" s="8">
        <v>36339.0</v>
      </c>
      <c r="J93" s="8">
        <v>55479.0</v>
      </c>
      <c r="K93" s="8">
        <v>37164.0</v>
      </c>
      <c r="L93" s="8">
        <v>47875.0</v>
      </c>
      <c r="M93" s="8">
        <v>48193.0</v>
      </c>
      <c r="N93" s="8">
        <v>57188.0</v>
      </c>
      <c r="O93" s="8">
        <v>50564.0</v>
      </c>
      <c r="P93" s="77">
        <f>SUM(P91:P92)</f>
        <v>529735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 t="s">
        <v>0</v>
      </c>
      <c r="C96" s="2" t="s">
        <v>28</v>
      </c>
      <c r="D96" s="2" t="s">
        <v>2</v>
      </c>
      <c r="E96" s="2" t="s">
        <v>3</v>
      </c>
      <c r="F96" s="2" t="s">
        <v>4</v>
      </c>
      <c r="G96" s="2" t="s">
        <v>5</v>
      </c>
      <c r="H96" s="2" t="s">
        <v>6</v>
      </c>
      <c r="I96" s="2" t="s">
        <v>7</v>
      </c>
      <c r="J96" s="2" t="s">
        <v>8</v>
      </c>
      <c r="K96" s="2" t="s">
        <v>9</v>
      </c>
      <c r="L96" s="2" t="s">
        <v>10</v>
      </c>
      <c r="M96" s="2" t="s">
        <v>11</v>
      </c>
      <c r="N96" s="2" t="s">
        <v>12</v>
      </c>
      <c r="O96" s="2" t="s">
        <v>13</v>
      </c>
      <c r="P96" s="2" t="s">
        <v>14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5"/>
      <c r="C97" s="5" t="s">
        <v>29</v>
      </c>
      <c r="D97" s="6">
        <v>54177.0</v>
      </c>
      <c r="E97" s="6">
        <v>28030.0</v>
      </c>
      <c r="F97" s="6">
        <v>26361.0</v>
      </c>
      <c r="G97" s="6">
        <v>30964.0</v>
      </c>
      <c r="H97" s="6">
        <v>31126.0</v>
      </c>
      <c r="I97" s="6">
        <v>27214.0</v>
      </c>
      <c r="J97" s="6">
        <v>71440.0</v>
      </c>
      <c r="K97" s="6">
        <v>45983.0</v>
      </c>
      <c r="L97" s="6">
        <v>52137.0</v>
      </c>
      <c r="M97" s="6">
        <v>66241.0</v>
      </c>
      <c r="N97" s="6">
        <v>62710.0</v>
      </c>
      <c r="O97" s="6">
        <v>49771.0</v>
      </c>
      <c r="P97" s="6">
        <f t="shared" ref="P97:P99" si="32">SUM(D97:O97)</f>
        <v>546154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>
        <v>2013.0</v>
      </c>
      <c r="C98" s="5" t="s">
        <v>30</v>
      </c>
      <c r="D98" s="6">
        <f t="shared" ref="D98:O98" si="31">D99-D97</f>
        <v>7648</v>
      </c>
      <c r="E98" s="6">
        <f t="shared" si="31"/>
        <v>8170</v>
      </c>
      <c r="F98" s="6">
        <f t="shared" si="31"/>
        <v>7250</v>
      </c>
      <c r="G98" s="6">
        <f t="shared" si="31"/>
        <v>5188</v>
      </c>
      <c r="H98" s="6">
        <f t="shared" si="31"/>
        <v>4198</v>
      </c>
      <c r="I98" s="6">
        <f t="shared" si="31"/>
        <v>3971</v>
      </c>
      <c r="J98" s="6">
        <f t="shared" si="31"/>
        <v>11394</v>
      </c>
      <c r="K98" s="6">
        <f t="shared" si="31"/>
        <v>13070</v>
      </c>
      <c r="L98" s="6">
        <f t="shared" si="31"/>
        <v>10332</v>
      </c>
      <c r="M98" s="6">
        <f t="shared" si="31"/>
        <v>11003</v>
      </c>
      <c r="N98" s="6">
        <f t="shared" si="31"/>
        <v>9129</v>
      </c>
      <c r="O98" s="6">
        <f t="shared" si="31"/>
        <v>5058</v>
      </c>
      <c r="P98" s="6">
        <f t="shared" si="32"/>
        <v>96411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5" t="s">
        <v>14</v>
      </c>
      <c r="D99" s="8">
        <v>61825.0</v>
      </c>
      <c r="E99" s="8">
        <v>36200.0</v>
      </c>
      <c r="F99" s="8">
        <v>33611.0</v>
      </c>
      <c r="G99" s="8">
        <v>36152.0</v>
      </c>
      <c r="H99" s="8">
        <v>35324.0</v>
      </c>
      <c r="I99" s="8">
        <v>31185.0</v>
      </c>
      <c r="J99" s="8">
        <v>82834.0</v>
      </c>
      <c r="K99" s="8">
        <v>59053.0</v>
      </c>
      <c r="L99" s="8">
        <v>62469.0</v>
      </c>
      <c r="M99" s="8">
        <v>77244.0</v>
      </c>
      <c r="N99" s="8">
        <v>71839.0</v>
      </c>
      <c r="O99" s="8">
        <v>54829.0</v>
      </c>
      <c r="P99" s="8">
        <f t="shared" si="32"/>
        <v>642565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 t="s">
        <v>0</v>
      </c>
      <c r="C102" s="2" t="s">
        <v>28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 t="s">
        <v>10</v>
      </c>
      <c r="M102" s="2" t="s">
        <v>11</v>
      </c>
      <c r="N102" s="2" t="s">
        <v>12</v>
      </c>
      <c r="O102" s="2" t="s">
        <v>13</v>
      </c>
      <c r="P102" s="2" t="s">
        <v>14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5"/>
      <c r="C103" s="5" t="s">
        <v>29</v>
      </c>
      <c r="D103" s="6">
        <v>61018.0</v>
      </c>
      <c r="E103" s="6">
        <v>21490.0</v>
      </c>
      <c r="F103" s="6">
        <v>35904.0</v>
      </c>
      <c r="G103" s="6">
        <v>37694.0</v>
      </c>
      <c r="H103" s="6">
        <v>35877.0</v>
      </c>
      <c r="I103" s="6">
        <v>24602.0</v>
      </c>
      <c r="J103" s="6">
        <v>41168.0</v>
      </c>
      <c r="K103" s="6">
        <v>34032.0</v>
      </c>
      <c r="L103" s="6">
        <v>38939.0</v>
      </c>
      <c r="M103" s="6">
        <v>45945.0</v>
      </c>
      <c r="N103" s="6">
        <v>47887.0</v>
      </c>
      <c r="O103" s="6">
        <v>49797.0</v>
      </c>
      <c r="P103" s="6">
        <f>SUM(D103:O103)</f>
        <v>474353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>
        <v>2014.0</v>
      </c>
      <c r="C104" s="5" t="s">
        <v>30</v>
      </c>
      <c r="D104" s="6">
        <f t="shared" ref="D104:P104" si="33">D105-D103</f>
        <v>5570</v>
      </c>
      <c r="E104" s="6">
        <f t="shared" si="33"/>
        <v>6482</v>
      </c>
      <c r="F104" s="6">
        <f t="shared" si="33"/>
        <v>6936</v>
      </c>
      <c r="G104" s="6">
        <f t="shared" si="33"/>
        <v>5471</v>
      </c>
      <c r="H104" s="6">
        <f t="shared" si="33"/>
        <v>4722</v>
      </c>
      <c r="I104" s="6">
        <f t="shared" si="33"/>
        <v>5462</v>
      </c>
      <c r="J104" s="6">
        <f t="shared" si="33"/>
        <v>6614</v>
      </c>
      <c r="K104" s="6">
        <f t="shared" si="33"/>
        <v>5702</v>
      </c>
      <c r="L104" s="6">
        <f t="shared" si="33"/>
        <v>4552</v>
      </c>
      <c r="M104" s="6">
        <f t="shared" si="33"/>
        <v>6184</v>
      </c>
      <c r="N104" s="6">
        <f t="shared" si="33"/>
        <v>5715</v>
      </c>
      <c r="O104" s="6">
        <f t="shared" si="33"/>
        <v>4629</v>
      </c>
      <c r="P104" s="6">
        <f t="shared" si="33"/>
        <v>68039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5" t="s">
        <v>14</v>
      </c>
      <c r="D105" s="8">
        <v>66588.0</v>
      </c>
      <c r="E105" s="8">
        <v>27972.0</v>
      </c>
      <c r="F105" s="8">
        <v>42840.0</v>
      </c>
      <c r="G105" s="8">
        <v>43165.0</v>
      </c>
      <c r="H105" s="8">
        <v>40599.0</v>
      </c>
      <c r="I105" s="8">
        <v>30064.0</v>
      </c>
      <c r="J105" s="8">
        <v>47782.0</v>
      </c>
      <c r="K105" s="8">
        <v>39734.0</v>
      </c>
      <c r="L105" s="8">
        <v>43491.0</v>
      </c>
      <c r="M105" s="8">
        <v>52129.0</v>
      </c>
      <c r="N105" s="8">
        <v>53602.0</v>
      </c>
      <c r="O105" s="8">
        <v>54426.0</v>
      </c>
      <c r="P105" s="8">
        <f>SUM(D105:O105)</f>
        <v>542392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 t="s">
        <v>0</v>
      </c>
      <c r="C108" s="2" t="s">
        <v>28</v>
      </c>
      <c r="D108" s="2" t="s">
        <v>2</v>
      </c>
      <c r="E108" s="2" t="s">
        <v>3</v>
      </c>
      <c r="F108" s="2" t="s">
        <v>4</v>
      </c>
      <c r="G108" s="2" t="s">
        <v>5</v>
      </c>
      <c r="H108" s="2" t="s">
        <v>6</v>
      </c>
      <c r="I108" s="2" t="s">
        <v>7</v>
      </c>
      <c r="J108" s="2" t="s">
        <v>8</v>
      </c>
      <c r="K108" s="2" t="s">
        <v>9</v>
      </c>
      <c r="L108" s="2" t="s">
        <v>10</v>
      </c>
      <c r="M108" s="2" t="s">
        <v>11</v>
      </c>
      <c r="N108" s="2" t="s">
        <v>12</v>
      </c>
      <c r="O108" s="2" t="s">
        <v>13</v>
      </c>
      <c r="P108" s="2" t="s">
        <v>14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5"/>
      <c r="C109" s="5" t="s">
        <v>29</v>
      </c>
      <c r="D109" s="6">
        <v>73665.0</v>
      </c>
      <c r="E109" s="6">
        <v>36378.0</v>
      </c>
      <c r="F109" s="6">
        <v>25767.0</v>
      </c>
      <c r="G109" s="6">
        <v>35022.0</v>
      </c>
      <c r="H109" s="6">
        <v>33338.0</v>
      </c>
      <c r="I109" s="6">
        <v>29890.0</v>
      </c>
      <c r="J109" s="6">
        <v>63158.0</v>
      </c>
      <c r="K109" s="6">
        <v>37253.0</v>
      </c>
      <c r="L109" s="6">
        <v>27341.0</v>
      </c>
      <c r="M109" s="6">
        <v>33896.0</v>
      </c>
      <c r="N109" s="6">
        <v>51451.0</v>
      </c>
      <c r="O109" s="6">
        <v>58540.0</v>
      </c>
      <c r="P109" s="6">
        <f t="shared" ref="P109:P111" si="34">SUM(D109:O109)</f>
        <v>505699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>
        <v>2015.0</v>
      </c>
      <c r="C110" s="5" t="s">
        <v>30</v>
      </c>
      <c r="D110" s="6">
        <f>105787-D109</f>
        <v>32122</v>
      </c>
      <c r="E110" s="6">
        <f>60462-E109</f>
        <v>24084</v>
      </c>
      <c r="F110" s="6">
        <f>43076-F109</f>
        <v>17309</v>
      </c>
      <c r="G110" s="6">
        <f>58087-G109</f>
        <v>23065</v>
      </c>
      <c r="H110" s="6">
        <f>49855-H109</f>
        <v>16517</v>
      </c>
      <c r="I110" s="6">
        <f>49497-I109</f>
        <v>19607</v>
      </c>
      <c r="J110" s="6">
        <f>96177-J109</f>
        <v>33019</v>
      </c>
      <c r="K110" s="6">
        <f>68447-K109</f>
        <v>31194</v>
      </c>
      <c r="L110" s="6">
        <f>56069-L109</f>
        <v>28728</v>
      </c>
      <c r="M110" s="6">
        <f>68249-M109</f>
        <v>34353</v>
      </c>
      <c r="N110" s="6">
        <f>83283-N109</f>
        <v>31832</v>
      </c>
      <c r="O110" s="6">
        <f>83993-O109</f>
        <v>25453</v>
      </c>
      <c r="P110" s="6">
        <f t="shared" si="34"/>
        <v>317283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5" t="s">
        <v>14</v>
      </c>
      <c r="D111" s="8">
        <f t="shared" ref="D111:O111" si="35">SUM(D109:D110)</f>
        <v>105787</v>
      </c>
      <c r="E111" s="8">
        <f t="shared" si="35"/>
        <v>60462</v>
      </c>
      <c r="F111" s="8">
        <f t="shared" si="35"/>
        <v>43076</v>
      </c>
      <c r="G111" s="8">
        <f t="shared" si="35"/>
        <v>58087</v>
      </c>
      <c r="H111" s="8">
        <f t="shared" si="35"/>
        <v>49855</v>
      </c>
      <c r="I111" s="8">
        <f t="shared" si="35"/>
        <v>49497</v>
      </c>
      <c r="J111" s="8">
        <f t="shared" si="35"/>
        <v>96177</v>
      </c>
      <c r="K111" s="8">
        <f t="shared" si="35"/>
        <v>68447</v>
      </c>
      <c r="L111" s="8">
        <f t="shared" si="35"/>
        <v>56069</v>
      </c>
      <c r="M111" s="8">
        <f t="shared" si="35"/>
        <v>68249</v>
      </c>
      <c r="N111" s="8">
        <f t="shared" si="35"/>
        <v>83283</v>
      </c>
      <c r="O111" s="8">
        <f t="shared" si="35"/>
        <v>83993</v>
      </c>
      <c r="P111" s="8">
        <f t="shared" si="34"/>
        <v>822982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 t="s">
        <v>0</v>
      </c>
      <c r="C114" s="2" t="s">
        <v>28</v>
      </c>
      <c r="D114" s="2" t="s">
        <v>2</v>
      </c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7</v>
      </c>
      <c r="J114" s="2" t="s">
        <v>8</v>
      </c>
      <c r="K114" s="2" t="s">
        <v>9</v>
      </c>
      <c r="L114" s="2" t="s">
        <v>10</v>
      </c>
      <c r="M114" s="2" t="s">
        <v>11</v>
      </c>
      <c r="N114" s="2" t="s">
        <v>12</v>
      </c>
      <c r="O114" s="2" t="s">
        <v>13</v>
      </c>
      <c r="P114" s="2" t="s">
        <v>14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5"/>
      <c r="C115" s="5" t="s">
        <v>29</v>
      </c>
      <c r="D115" s="6">
        <v>75036.0</v>
      </c>
      <c r="E115" s="6">
        <v>35185.0</v>
      </c>
      <c r="F115" s="6">
        <v>29700.0</v>
      </c>
      <c r="G115" s="6">
        <v>33539.0</v>
      </c>
      <c r="H115" s="6">
        <v>33236.0</v>
      </c>
      <c r="I115" s="6">
        <v>28499.0</v>
      </c>
      <c r="J115" s="6">
        <v>54867.0</v>
      </c>
      <c r="K115" s="6">
        <v>33766.0</v>
      </c>
      <c r="L115" s="6">
        <v>43653.0</v>
      </c>
      <c r="M115" s="6">
        <v>46661.0</v>
      </c>
      <c r="N115" s="6">
        <v>50133.0</v>
      </c>
      <c r="O115" s="6">
        <v>53062.0</v>
      </c>
      <c r="P115" s="6">
        <f t="shared" ref="P115:P116" si="37">SUM(D115:O115)</f>
        <v>517337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>
        <v>2016.0</v>
      </c>
      <c r="C116" s="5" t="s">
        <v>30</v>
      </c>
      <c r="D116" s="6">
        <f t="shared" ref="D116:O116" si="36">D117-D115</f>
        <v>40242</v>
      </c>
      <c r="E116" s="6">
        <f t="shared" si="36"/>
        <v>28319</v>
      </c>
      <c r="F116" s="6">
        <f t="shared" si="36"/>
        <v>28519</v>
      </c>
      <c r="G116" s="6">
        <f t="shared" si="36"/>
        <v>18887</v>
      </c>
      <c r="H116" s="6">
        <f t="shared" si="36"/>
        <v>16738</v>
      </c>
      <c r="I116" s="6">
        <f t="shared" si="36"/>
        <v>24637</v>
      </c>
      <c r="J116" s="6">
        <f t="shared" si="36"/>
        <v>60891</v>
      </c>
      <c r="K116" s="6">
        <f t="shared" si="36"/>
        <v>35118</v>
      </c>
      <c r="L116" s="6">
        <f t="shared" si="36"/>
        <v>49943</v>
      </c>
      <c r="M116" s="6">
        <f t="shared" si="36"/>
        <v>61418</v>
      </c>
      <c r="N116" s="6">
        <f t="shared" si="36"/>
        <v>41639</v>
      </c>
      <c r="O116" s="6">
        <f t="shared" si="36"/>
        <v>26801</v>
      </c>
      <c r="P116" s="6">
        <f t="shared" si="37"/>
        <v>433152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5" t="s">
        <v>14</v>
      </c>
      <c r="D117" s="8">
        <v>115278.0</v>
      </c>
      <c r="E117" s="8">
        <v>63504.0</v>
      </c>
      <c r="F117" s="8">
        <v>58219.0</v>
      </c>
      <c r="G117" s="8">
        <v>52426.0</v>
      </c>
      <c r="H117" s="8">
        <v>49974.0</v>
      </c>
      <c r="I117" s="8">
        <v>53136.0</v>
      </c>
      <c r="J117" s="8">
        <v>115758.0</v>
      </c>
      <c r="K117" s="8">
        <v>68884.0</v>
      </c>
      <c r="L117" s="8">
        <v>93596.0</v>
      </c>
      <c r="M117" s="8">
        <v>108079.0</v>
      </c>
      <c r="N117" s="8">
        <v>91772.0</v>
      </c>
      <c r="O117" s="8">
        <v>79863.0</v>
      </c>
      <c r="P117" s="8">
        <f>SUM(P115:P116)</f>
        <v>950489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 t="s">
        <v>0</v>
      </c>
      <c r="C120" s="2" t="s">
        <v>28</v>
      </c>
      <c r="D120" s="2" t="s">
        <v>2</v>
      </c>
      <c r="E120" s="2" t="s">
        <v>3</v>
      </c>
      <c r="F120" s="2" t="s">
        <v>4</v>
      </c>
      <c r="G120" s="2" t="s">
        <v>5</v>
      </c>
      <c r="H120" s="2" t="s">
        <v>6</v>
      </c>
      <c r="I120" s="2" t="s">
        <v>7</v>
      </c>
      <c r="J120" s="2" t="s">
        <v>8</v>
      </c>
      <c r="K120" s="2" t="s">
        <v>9</v>
      </c>
      <c r="L120" s="2" t="s">
        <v>10</v>
      </c>
      <c r="M120" s="2" t="s">
        <v>11</v>
      </c>
      <c r="N120" s="2" t="s">
        <v>12</v>
      </c>
      <c r="O120" s="2" t="s">
        <v>13</v>
      </c>
      <c r="P120" s="2" t="s">
        <v>14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5"/>
      <c r="C121" s="5" t="s">
        <v>29</v>
      </c>
      <c r="D121" s="6">
        <v>74732.0</v>
      </c>
      <c r="E121" s="6">
        <v>35744.0</v>
      </c>
      <c r="F121" s="6">
        <v>30381.0</v>
      </c>
      <c r="G121" s="6">
        <v>40704.0</v>
      </c>
      <c r="H121" s="6">
        <v>33493.0</v>
      </c>
      <c r="I121" s="6">
        <v>38150.0</v>
      </c>
      <c r="J121" s="6">
        <v>72653.0</v>
      </c>
      <c r="K121" s="6">
        <v>36080.0</v>
      </c>
      <c r="L121" s="6">
        <v>49785.0</v>
      </c>
      <c r="M121" s="6">
        <v>53593.0</v>
      </c>
      <c r="N121" s="6">
        <v>56308.0</v>
      </c>
      <c r="O121" s="6">
        <v>63771.0</v>
      </c>
      <c r="P121" s="6">
        <f t="shared" ref="P121:P122" si="39">SUM(D121:O121)</f>
        <v>585394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>
        <v>2017.0</v>
      </c>
      <c r="C122" s="5" t="s">
        <v>30</v>
      </c>
      <c r="D122" s="6">
        <f t="shared" ref="D122:O122" si="38">D123-D121</f>
        <v>41110</v>
      </c>
      <c r="E122" s="6">
        <f t="shared" si="38"/>
        <v>24368</v>
      </c>
      <c r="F122" s="6">
        <f t="shared" si="38"/>
        <v>17437</v>
      </c>
      <c r="G122" s="6">
        <f t="shared" si="38"/>
        <v>26212</v>
      </c>
      <c r="H122" s="6">
        <f t="shared" si="38"/>
        <v>17940</v>
      </c>
      <c r="I122" s="6">
        <f t="shared" si="38"/>
        <v>21667</v>
      </c>
      <c r="J122" s="6">
        <f t="shared" si="38"/>
        <v>46457</v>
      </c>
      <c r="K122" s="6">
        <f t="shared" si="38"/>
        <v>34972</v>
      </c>
      <c r="L122" s="6">
        <f t="shared" si="38"/>
        <v>49817</v>
      </c>
      <c r="M122" s="6">
        <f t="shared" si="38"/>
        <v>43293</v>
      </c>
      <c r="N122" s="6">
        <f t="shared" si="38"/>
        <v>39239</v>
      </c>
      <c r="O122" s="6">
        <f t="shared" si="38"/>
        <v>32040</v>
      </c>
      <c r="P122" s="6">
        <f t="shared" si="39"/>
        <v>394552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5" t="s">
        <v>14</v>
      </c>
      <c r="D123" s="8">
        <v>115842.0</v>
      </c>
      <c r="E123" s="8">
        <v>60112.0</v>
      </c>
      <c r="F123" s="6">
        <v>47818.0</v>
      </c>
      <c r="G123" s="6">
        <v>66916.0</v>
      </c>
      <c r="H123" s="6">
        <v>51433.0</v>
      </c>
      <c r="I123" s="8">
        <v>59817.0</v>
      </c>
      <c r="J123" s="8">
        <v>119110.0</v>
      </c>
      <c r="K123" s="8">
        <v>71052.0</v>
      </c>
      <c r="L123" s="8">
        <v>99602.0</v>
      </c>
      <c r="M123" s="8">
        <v>96886.0</v>
      </c>
      <c r="N123" s="8">
        <v>95547.0</v>
      </c>
      <c r="O123" s="8">
        <v>95811.0</v>
      </c>
      <c r="P123" s="8">
        <f>SUM(P121:P122)</f>
        <v>979946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25"/>
      <c r="I126" s="1"/>
      <c r="J126" s="1"/>
      <c r="K126" s="1"/>
      <c r="L126" s="1"/>
      <c r="M126" s="1"/>
      <c r="N126" s="1"/>
      <c r="O126" s="1" t="s">
        <v>36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2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4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 t="s">
        <v>0</v>
      </c>
      <c r="C129" s="2" t="s">
        <v>28</v>
      </c>
      <c r="D129" s="2" t="s">
        <v>2</v>
      </c>
      <c r="E129" s="2" t="s">
        <v>3</v>
      </c>
      <c r="F129" s="2" t="s">
        <v>4</v>
      </c>
      <c r="G129" s="2" t="s">
        <v>5</v>
      </c>
      <c r="H129" s="2" t="s">
        <v>6</v>
      </c>
      <c r="I129" s="2" t="s">
        <v>7</v>
      </c>
      <c r="J129" s="2" t="s">
        <v>8</v>
      </c>
      <c r="K129" s="2" t="s">
        <v>9</v>
      </c>
      <c r="L129" s="2" t="s">
        <v>10</v>
      </c>
      <c r="M129" s="2" t="s">
        <v>11</v>
      </c>
      <c r="N129" s="2" t="s">
        <v>12</v>
      </c>
      <c r="O129" s="2" t="s">
        <v>13</v>
      </c>
      <c r="P129" s="2" t="s">
        <v>14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5"/>
      <c r="C130" s="5" t="s">
        <v>29</v>
      </c>
      <c r="D130" s="6">
        <v>85621.0</v>
      </c>
      <c r="E130" s="6">
        <v>39980.0</v>
      </c>
      <c r="F130" s="6">
        <v>35987.0</v>
      </c>
      <c r="G130" s="6">
        <v>40710.0</v>
      </c>
      <c r="H130" s="6">
        <v>39336.0</v>
      </c>
      <c r="I130" s="6">
        <v>35170.0</v>
      </c>
      <c r="J130" s="6">
        <v>75757.0</v>
      </c>
      <c r="K130" s="6">
        <v>39761.0</v>
      </c>
      <c r="L130" s="6">
        <v>55661.0</v>
      </c>
      <c r="M130" s="6">
        <v>54703.0</v>
      </c>
      <c r="N130" s="6">
        <v>69785.0</v>
      </c>
      <c r="O130" s="6">
        <v>76457.0</v>
      </c>
      <c r="P130" s="6">
        <f t="shared" ref="P130:P132" si="40">SUM(D130:O130)</f>
        <v>648928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>
        <v>2018.0</v>
      </c>
      <c r="C131" s="5" t="s">
        <v>30</v>
      </c>
      <c r="D131" s="6">
        <v>42153.0</v>
      </c>
      <c r="E131" s="6">
        <v>29924.0</v>
      </c>
      <c r="F131" s="6">
        <v>25593.0</v>
      </c>
      <c r="G131" s="6">
        <v>17652.0</v>
      </c>
      <c r="H131" s="6">
        <v>20905.0</v>
      </c>
      <c r="I131" s="6">
        <v>18394.0</v>
      </c>
      <c r="J131" s="6">
        <v>40360.0</v>
      </c>
      <c r="K131" s="6">
        <v>32236.0</v>
      </c>
      <c r="L131" s="6">
        <v>37155.0</v>
      </c>
      <c r="M131" s="6">
        <v>46696.0</v>
      </c>
      <c r="N131" s="6">
        <v>35292.0</v>
      </c>
      <c r="O131" s="6">
        <v>29379.0</v>
      </c>
      <c r="P131" s="6">
        <f t="shared" si="40"/>
        <v>375739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5" t="s">
        <v>14</v>
      </c>
      <c r="D132" s="8">
        <f t="shared" ref="D132:O132" si="41">SUM(D130:D131)</f>
        <v>127774</v>
      </c>
      <c r="E132" s="8">
        <f t="shared" si="41"/>
        <v>69904</v>
      </c>
      <c r="F132" s="8">
        <f t="shared" si="41"/>
        <v>61580</v>
      </c>
      <c r="G132" s="8">
        <f t="shared" si="41"/>
        <v>58362</v>
      </c>
      <c r="H132" s="8">
        <f t="shared" si="41"/>
        <v>60241</v>
      </c>
      <c r="I132" s="8">
        <f t="shared" si="41"/>
        <v>53564</v>
      </c>
      <c r="J132" s="8">
        <f t="shared" si="41"/>
        <v>116117</v>
      </c>
      <c r="K132" s="8">
        <f t="shared" si="41"/>
        <v>71997</v>
      </c>
      <c r="L132" s="8">
        <f t="shared" si="41"/>
        <v>92816</v>
      </c>
      <c r="M132" s="8">
        <f t="shared" si="41"/>
        <v>101399</v>
      </c>
      <c r="N132" s="8">
        <f t="shared" si="41"/>
        <v>105077</v>
      </c>
      <c r="O132" s="8">
        <f t="shared" si="41"/>
        <v>105836</v>
      </c>
      <c r="P132" s="84">
        <f t="shared" si="40"/>
        <v>1024667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 t="s">
        <v>0</v>
      </c>
      <c r="C135" s="2" t="s">
        <v>28</v>
      </c>
      <c r="D135" s="2" t="s">
        <v>2</v>
      </c>
      <c r="E135" s="2" t="s">
        <v>3</v>
      </c>
      <c r="F135" s="2" t="s">
        <v>4</v>
      </c>
      <c r="G135" s="2" t="s">
        <v>5</v>
      </c>
      <c r="H135" s="2" t="s">
        <v>6</v>
      </c>
      <c r="I135" s="2" t="s">
        <v>7</v>
      </c>
      <c r="J135" s="2" t="s">
        <v>8</v>
      </c>
      <c r="K135" s="2" t="s">
        <v>9</v>
      </c>
      <c r="L135" s="2" t="s">
        <v>10</v>
      </c>
      <c r="M135" s="2" t="s">
        <v>11</v>
      </c>
      <c r="N135" s="2" t="s">
        <v>12</v>
      </c>
      <c r="O135" s="2" t="s">
        <v>13</v>
      </c>
      <c r="P135" s="2" t="s">
        <v>14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5"/>
      <c r="C136" s="5" t="s">
        <v>29</v>
      </c>
      <c r="D136" s="6">
        <v>91276.0</v>
      </c>
      <c r="E136" s="6">
        <v>32913.0</v>
      </c>
      <c r="F136" s="6">
        <v>51009.0</v>
      </c>
      <c r="G136" s="6">
        <v>42845.0</v>
      </c>
      <c r="H136" s="6">
        <v>36046.0</v>
      </c>
      <c r="I136" s="6">
        <v>42979.0</v>
      </c>
      <c r="J136" s="6">
        <v>80133.0</v>
      </c>
      <c r="K136" s="6">
        <v>43631.0</v>
      </c>
      <c r="L136" s="6">
        <v>55028.0</v>
      </c>
      <c r="M136" s="6">
        <v>57787.0</v>
      </c>
      <c r="N136" s="6">
        <v>56978.0</v>
      </c>
      <c r="O136" s="6">
        <v>64942.0</v>
      </c>
      <c r="P136" s="6">
        <f t="shared" ref="P136:P138" si="42">SUM(D136:O136)</f>
        <v>655567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>
        <v>2019.0</v>
      </c>
      <c r="C137" s="5" t="s">
        <v>30</v>
      </c>
      <c r="D137" s="6">
        <v>37564.0</v>
      </c>
      <c r="E137" s="6">
        <v>22276.0</v>
      </c>
      <c r="F137" s="6">
        <v>17656.0</v>
      </c>
      <c r="G137" s="6">
        <v>22855.0</v>
      </c>
      <c r="H137" s="6">
        <v>19671.0</v>
      </c>
      <c r="I137" s="6">
        <v>28591.0</v>
      </c>
      <c r="J137" s="6">
        <v>37897.0</v>
      </c>
      <c r="K137" s="6">
        <v>32225.0</v>
      </c>
      <c r="L137" s="6">
        <v>33839.0</v>
      </c>
      <c r="M137" s="6">
        <v>48978.0</v>
      </c>
      <c r="N137" s="6">
        <v>37593.0</v>
      </c>
      <c r="O137" s="6">
        <v>27157.0</v>
      </c>
      <c r="P137" s="6">
        <f t="shared" si="42"/>
        <v>366302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5" t="s">
        <v>14</v>
      </c>
      <c r="D138" s="8">
        <f t="shared" ref="D138:O138" si="43">SUM(D136:D137)</f>
        <v>128840</v>
      </c>
      <c r="E138" s="8">
        <f t="shared" si="43"/>
        <v>55189</v>
      </c>
      <c r="F138" s="8">
        <f t="shared" si="43"/>
        <v>68665</v>
      </c>
      <c r="G138" s="8">
        <f t="shared" si="43"/>
        <v>65700</v>
      </c>
      <c r="H138" s="8">
        <f t="shared" si="43"/>
        <v>55717</v>
      </c>
      <c r="I138" s="8">
        <f t="shared" si="43"/>
        <v>71570</v>
      </c>
      <c r="J138" s="8">
        <f t="shared" si="43"/>
        <v>118030</v>
      </c>
      <c r="K138" s="8">
        <f t="shared" si="43"/>
        <v>75856</v>
      </c>
      <c r="L138" s="8">
        <f t="shared" si="43"/>
        <v>88867</v>
      </c>
      <c r="M138" s="8">
        <f t="shared" si="43"/>
        <v>106765</v>
      </c>
      <c r="N138" s="8">
        <f t="shared" si="43"/>
        <v>94571</v>
      </c>
      <c r="O138" s="8">
        <f t="shared" si="43"/>
        <v>92099</v>
      </c>
      <c r="P138" s="85">
        <f t="shared" si="42"/>
        <v>1021869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 t="s">
        <v>0</v>
      </c>
      <c r="C141" s="2" t="s">
        <v>28</v>
      </c>
      <c r="D141" s="2" t="s">
        <v>2</v>
      </c>
      <c r="E141" s="2" t="s">
        <v>3</v>
      </c>
      <c r="F141" s="2" t="s">
        <v>4</v>
      </c>
      <c r="G141" s="2" t="s">
        <v>5</v>
      </c>
      <c r="H141" s="2" t="s">
        <v>6</v>
      </c>
      <c r="I141" s="2" t="s">
        <v>7</v>
      </c>
      <c r="J141" s="2" t="s">
        <v>8</v>
      </c>
      <c r="K141" s="2" t="s">
        <v>9</v>
      </c>
      <c r="L141" s="2" t="s">
        <v>10</v>
      </c>
      <c r="M141" s="2" t="s">
        <v>11</v>
      </c>
      <c r="N141" s="2" t="s">
        <v>12</v>
      </c>
      <c r="O141" s="2" t="s">
        <v>13</v>
      </c>
      <c r="P141" s="2" t="s">
        <v>14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5"/>
      <c r="C142" s="5" t="s">
        <v>29</v>
      </c>
      <c r="D142" s="6">
        <v>91180.0</v>
      </c>
      <c r="E142" s="6">
        <v>42133.0</v>
      </c>
      <c r="F142" s="6">
        <v>19533.0</v>
      </c>
      <c r="G142" s="6">
        <v>0.0</v>
      </c>
      <c r="H142" s="6">
        <v>0.0</v>
      </c>
      <c r="I142" s="27">
        <v>917.0</v>
      </c>
      <c r="J142" s="6">
        <v>579.0</v>
      </c>
      <c r="K142" s="6">
        <v>2463.0</v>
      </c>
      <c r="L142" s="6">
        <v>9981.0</v>
      </c>
      <c r="M142" s="6">
        <v>16167.0</v>
      </c>
      <c r="N142" s="6">
        <v>20028.0</v>
      </c>
      <c r="O142" s="6">
        <v>24083.0</v>
      </c>
      <c r="P142" s="6">
        <f t="shared" ref="P142:P144" si="44">SUM(D142:O142)</f>
        <v>227064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>
        <v>2020.0</v>
      </c>
      <c r="C143" s="5" t="s">
        <v>30</v>
      </c>
      <c r="D143" s="6">
        <v>34248.0</v>
      </c>
      <c r="E143" s="6">
        <v>24856.0</v>
      </c>
      <c r="F143" s="6">
        <f>25153-F142</f>
        <v>5620</v>
      </c>
      <c r="G143" s="6">
        <v>0.0</v>
      </c>
      <c r="H143" s="6">
        <v>0.0</v>
      </c>
      <c r="I143" s="27">
        <f>I144-I142</f>
        <v>6</v>
      </c>
      <c r="J143" s="6">
        <v>0.0</v>
      </c>
      <c r="K143" s="6">
        <f>2486-K142</f>
        <v>23</v>
      </c>
      <c r="L143" s="6">
        <f>10038-L142</f>
        <v>57</v>
      </c>
      <c r="M143" s="6">
        <v>76.0</v>
      </c>
      <c r="N143" s="6">
        <v>857.0</v>
      </c>
      <c r="O143" s="6">
        <v>957.0</v>
      </c>
      <c r="P143" s="6">
        <f t="shared" si="44"/>
        <v>66700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5" t="s">
        <v>14</v>
      </c>
      <c r="D144" s="8">
        <f t="shared" ref="D144:H144" si="45">SUM(D142:D143)</f>
        <v>125428</v>
      </c>
      <c r="E144" s="8">
        <f t="shared" si="45"/>
        <v>66989</v>
      </c>
      <c r="F144" s="8">
        <f t="shared" si="45"/>
        <v>25153</v>
      </c>
      <c r="G144" s="8">
        <f t="shared" si="45"/>
        <v>0</v>
      </c>
      <c r="H144" s="8">
        <f t="shared" si="45"/>
        <v>0</v>
      </c>
      <c r="I144" s="8">
        <v>923.0</v>
      </c>
      <c r="J144" s="8">
        <f t="shared" ref="J144:O144" si="46">SUM(J142:J143)</f>
        <v>579</v>
      </c>
      <c r="K144" s="8">
        <f t="shared" si="46"/>
        <v>2486</v>
      </c>
      <c r="L144" s="8">
        <f t="shared" si="46"/>
        <v>10038</v>
      </c>
      <c r="M144" s="8">
        <f t="shared" si="46"/>
        <v>16243</v>
      </c>
      <c r="N144" s="8">
        <f t="shared" si="46"/>
        <v>20885</v>
      </c>
      <c r="O144" s="8">
        <f t="shared" si="46"/>
        <v>25040</v>
      </c>
      <c r="P144" s="85">
        <f t="shared" si="44"/>
        <v>293764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86" t="s">
        <v>0</v>
      </c>
      <c r="C147" s="87" t="s">
        <v>28</v>
      </c>
      <c r="D147" s="87" t="s">
        <v>2</v>
      </c>
      <c r="E147" s="87" t="s">
        <v>3</v>
      </c>
      <c r="F147" s="87" t="s">
        <v>4</v>
      </c>
      <c r="G147" s="87" t="s">
        <v>5</v>
      </c>
      <c r="H147" s="87" t="s">
        <v>6</v>
      </c>
      <c r="I147" s="87" t="s">
        <v>7</v>
      </c>
      <c r="J147" s="87" t="s">
        <v>8</v>
      </c>
      <c r="K147" s="87" t="s">
        <v>9</v>
      </c>
      <c r="L147" s="87" t="s">
        <v>10</v>
      </c>
      <c r="M147" s="87" t="s">
        <v>11</v>
      </c>
      <c r="N147" s="87" t="s">
        <v>12</v>
      </c>
      <c r="O147" s="87" t="s">
        <v>13</v>
      </c>
      <c r="P147" s="87" t="s">
        <v>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88"/>
      <c r="C148" s="89" t="s">
        <v>29</v>
      </c>
      <c r="D148" s="90">
        <v>32545.0</v>
      </c>
      <c r="E148" s="90">
        <v>19301.0</v>
      </c>
      <c r="F148" s="90">
        <v>7813.0</v>
      </c>
      <c r="G148" s="90">
        <v>8935.0</v>
      </c>
      <c r="H148" s="90">
        <v>12651.0</v>
      </c>
      <c r="I148" s="91">
        <v>13963.0</v>
      </c>
      <c r="J148" s="90"/>
      <c r="K148" s="90"/>
      <c r="L148" s="90"/>
      <c r="M148" s="90"/>
      <c r="N148" s="90"/>
      <c r="O148" s="90"/>
      <c r="P148" s="90">
        <f t="shared" ref="P148:P150" si="47">SUM(D148:O148)</f>
        <v>95208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92">
        <v>2021.0</v>
      </c>
      <c r="C149" s="89" t="s">
        <v>30</v>
      </c>
      <c r="D149" s="90">
        <v>2372.0</v>
      </c>
      <c r="E149" s="90">
        <v>2269.0</v>
      </c>
      <c r="F149" s="90">
        <v>1060.0</v>
      </c>
      <c r="G149" s="90">
        <v>558.0</v>
      </c>
      <c r="H149" s="90">
        <v>1097.0</v>
      </c>
      <c r="I149" s="91">
        <v>750.0</v>
      </c>
      <c r="J149" s="90"/>
      <c r="K149" s="90"/>
      <c r="L149" s="90"/>
      <c r="M149" s="90"/>
      <c r="N149" s="90"/>
      <c r="O149" s="90"/>
      <c r="P149" s="90">
        <f t="shared" si="47"/>
        <v>8106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92"/>
      <c r="C150" s="89" t="s">
        <v>14</v>
      </c>
      <c r="D150" s="93">
        <f t="shared" ref="D150:O150" si="48">SUM(D148:D149)</f>
        <v>34917</v>
      </c>
      <c r="E150" s="93">
        <f t="shared" si="48"/>
        <v>21570</v>
      </c>
      <c r="F150" s="93">
        <f t="shared" si="48"/>
        <v>8873</v>
      </c>
      <c r="G150" s="93">
        <f t="shared" si="48"/>
        <v>9493</v>
      </c>
      <c r="H150" s="93">
        <f t="shared" si="48"/>
        <v>13748</v>
      </c>
      <c r="I150" s="93">
        <f t="shared" si="48"/>
        <v>14713</v>
      </c>
      <c r="J150" s="93">
        <f t="shared" si="48"/>
        <v>0</v>
      </c>
      <c r="K150" s="93">
        <f t="shared" si="48"/>
        <v>0</v>
      </c>
      <c r="L150" s="93">
        <f t="shared" si="48"/>
        <v>0</v>
      </c>
      <c r="M150" s="93">
        <f t="shared" si="48"/>
        <v>0</v>
      </c>
      <c r="N150" s="93">
        <f t="shared" si="48"/>
        <v>0</v>
      </c>
      <c r="O150" s="93">
        <f t="shared" si="48"/>
        <v>0</v>
      </c>
      <c r="P150" s="94">
        <f t="shared" si="47"/>
        <v>103314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8.0"/>
    <col customWidth="1" min="7" max="7" width="10.14"/>
    <col customWidth="1" min="8" max="26" width="8.0"/>
  </cols>
  <sheetData>
    <row r="1" ht="15.75" customHeight="1">
      <c r="A1" s="2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15.75" customHeight="1">
      <c r="A2" s="25"/>
      <c r="O2" s="95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2.75" customHeigh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2.75" customHeight="1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2.75" customHeight="1">
      <c r="A7" s="2" t="s">
        <v>37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2.75" customHeight="1">
      <c r="A8" s="5" t="s">
        <v>38</v>
      </c>
      <c r="B8" s="6">
        <v>69709.0</v>
      </c>
      <c r="C8" s="97">
        <v>32673.0</v>
      </c>
      <c r="D8" s="97">
        <v>15152.0</v>
      </c>
      <c r="E8" s="6">
        <v>0.0</v>
      </c>
      <c r="F8" s="6">
        <v>0.0</v>
      </c>
      <c r="G8" s="98">
        <v>873.0</v>
      </c>
      <c r="H8" s="6">
        <v>0.0</v>
      </c>
      <c r="I8" s="6">
        <v>0.0</v>
      </c>
      <c r="J8" s="6">
        <v>11194.0</v>
      </c>
      <c r="K8" s="6">
        <v>20702.0</v>
      </c>
      <c r="L8" s="6">
        <v>22527.0</v>
      </c>
      <c r="M8" s="6">
        <v>24093.0</v>
      </c>
      <c r="N8" s="6">
        <f t="shared" ref="N8:N10" si="1">SUM(B8:M8)</f>
        <v>196923</v>
      </c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2.75" customHeight="1">
      <c r="A9" s="5" t="s">
        <v>39</v>
      </c>
      <c r="B9" s="6">
        <v>15028.0</v>
      </c>
      <c r="C9" s="97">
        <v>14046.0</v>
      </c>
      <c r="D9" s="97">
        <v>5455.0</v>
      </c>
      <c r="E9" s="6">
        <v>0.0</v>
      </c>
      <c r="F9" s="6">
        <v>0.0</v>
      </c>
      <c r="G9" s="98">
        <v>3.0</v>
      </c>
      <c r="H9" s="6">
        <v>0.0</v>
      </c>
      <c r="I9" s="6">
        <v>0.0</v>
      </c>
      <c r="J9" s="6">
        <v>5.0</v>
      </c>
      <c r="K9" s="6">
        <v>73.0</v>
      </c>
      <c r="L9" s="6">
        <v>274.0</v>
      </c>
      <c r="M9" s="6">
        <v>436.0</v>
      </c>
      <c r="N9" s="6">
        <f t="shared" si="1"/>
        <v>35320</v>
      </c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2.75" customHeight="1">
      <c r="A10" s="5" t="s">
        <v>30</v>
      </c>
      <c r="B10" s="6">
        <v>9296.0</v>
      </c>
      <c r="C10" s="97">
        <v>10781.0</v>
      </c>
      <c r="D10" s="97">
        <v>5229.0</v>
      </c>
      <c r="E10" s="6">
        <v>0.0</v>
      </c>
      <c r="F10" s="6">
        <v>0.0</v>
      </c>
      <c r="G10" s="98">
        <v>6.0</v>
      </c>
      <c r="H10" s="6">
        <v>0.0</v>
      </c>
      <c r="I10" s="6">
        <v>0.0</v>
      </c>
      <c r="J10" s="6">
        <v>86.0</v>
      </c>
      <c r="K10" s="6">
        <v>150.0</v>
      </c>
      <c r="L10" s="6">
        <v>253.0</v>
      </c>
      <c r="M10" s="6">
        <v>481.0</v>
      </c>
      <c r="N10" s="6">
        <f t="shared" si="1"/>
        <v>26282</v>
      </c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2.75" hidden="1" customHeight="1">
      <c r="A11" s="5" t="s">
        <v>40</v>
      </c>
      <c r="B11" s="6"/>
      <c r="C11" s="97"/>
      <c r="D11" s="97"/>
      <c r="E11" s="6">
        <v>0.0</v>
      </c>
      <c r="F11" s="6">
        <v>0.0</v>
      </c>
      <c r="G11" s="98"/>
      <c r="H11" s="6">
        <v>0.0</v>
      </c>
      <c r="I11" s="6">
        <v>0.0</v>
      </c>
      <c r="J11" s="6"/>
      <c r="K11" s="6"/>
      <c r="L11" s="6"/>
      <c r="M11" s="6"/>
      <c r="N11" s="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2.75" customHeight="1">
      <c r="A12" s="5" t="s">
        <v>41</v>
      </c>
      <c r="B12" s="6">
        <v>8970.0</v>
      </c>
      <c r="C12" s="97">
        <v>5566.0</v>
      </c>
      <c r="D12" s="97">
        <v>1962.0</v>
      </c>
      <c r="E12" s="6">
        <v>0.0</v>
      </c>
      <c r="F12" s="6">
        <v>0.0</v>
      </c>
      <c r="G12" s="98">
        <v>248.0</v>
      </c>
      <c r="H12" s="6">
        <v>0.0</v>
      </c>
      <c r="I12" s="6">
        <v>0.0</v>
      </c>
      <c r="J12" s="6">
        <v>2583.0</v>
      </c>
      <c r="K12" s="6">
        <v>4104.0</v>
      </c>
      <c r="L12" s="6">
        <v>3917.0</v>
      </c>
      <c r="M12" s="6">
        <v>4247.0</v>
      </c>
      <c r="N12" s="6">
        <f>SUM(B12:M12)</f>
        <v>31597</v>
      </c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2.75" customHeight="1">
      <c r="A13" s="5" t="s">
        <v>14</v>
      </c>
      <c r="B13" s="8">
        <f t="shared" ref="B13:N13" si="2">SUM(B8:B12)</f>
        <v>103003</v>
      </c>
      <c r="C13" s="8">
        <f t="shared" si="2"/>
        <v>63066</v>
      </c>
      <c r="D13" s="8">
        <f t="shared" si="2"/>
        <v>27798</v>
      </c>
      <c r="E13" s="8">
        <f t="shared" si="2"/>
        <v>0</v>
      </c>
      <c r="F13" s="8">
        <f t="shared" si="2"/>
        <v>0</v>
      </c>
      <c r="G13" s="8">
        <f t="shared" si="2"/>
        <v>1130</v>
      </c>
      <c r="H13" s="6">
        <f t="shared" si="2"/>
        <v>0</v>
      </c>
      <c r="I13" s="8">
        <f t="shared" si="2"/>
        <v>0</v>
      </c>
      <c r="J13" s="8">
        <f t="shared" si="2"/>
        <v>13868</v>
      </c>
      <c r="K13" s="8">
        <f t="shared" si="2"/>
        <v>25029</v>
      </c>
      <c r="L13" s="8">
        <f t="shared" si="2"/>
        <v>26971</v>
      </c>
      <c r="M13" s="8">
        <f t="shared" si="2"/>
        <v>29257</v>
      </c>
      <c r="N13" s="8">
        <f t="shared" si="2"/>
        <v>290122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2.75" customHeight="1">
      <c r="A14" s="99" t="s">
        <v>42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2.75" customHeight="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2.75" customHeight="1">
      <c r="A16" s="86" t="s">
        <v>43</v>
      </c>
      <c r="B16" s="87" t="s">
        <v>2</v>
      </c>
      <c r="C16" s="87" t="s">
        <v>3</v>
      </c>
      <c r="D16" s="87" t="s">
        <v>4</v>
      </c>
      <c r="E16" s="87" t="s">
        <v>5</v>
      </c>
      <c r="F16" s="87" t="s">
        <v>6</v>
      </c>
      <c r="G16" s="87" t="s">
        <v>7</v>
      </c>
      <c r="H16" s="87" t="s">
        <v>8</v>
      </c>
      <c r="I16" s="87" t="s">
        <v>9</v>
      </c>
      <c r="J16" s="87" t="s">
        <v>10</v>
      </c>
      <c r="K16" s="87" t="s">
        <v>11</v>
      </c>
      <c r="L16" s="87" t="s">
        <v>12</v>
      </c>
      <c r="M16" s="87" t="s">
        <v>13</v>
      </c>
      <c r="N16" s="87" t="s">
        <v>14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2.75" customHeight="1">
      <c r="A17" s="100" t="s">
        <v>38</v>
      </c>
      <c r="B17" s="90">
        <v>31540.0</v>
      </c>
      <c r="C17" s="91">
        <v>18793.0</v>
      </c>
      <c r="D17" s="91">
        <v>6477.0</v>
      </c>
      <c r="E17" s="90">
        <v>8567.0</v>
      </c>
      <c r="F17" s="90">
        <v>11208.0</v>
      </c>
      <c r="G17" s="91">
        <v>12636.0</v>
      </c>
      <c r="H17" s="90"/>
      <c r="I17" s="90"/>
      <c r="J17" s="90"/>
      <c r="K17" s="90"/>
      <c r="L17" s="90"/>
      <c r="M17" s="90"/>
      <c r="N17" s="90">
        <f t="shared" ref="N17:N19" si="3">SUM(B17:M17)</f>
        <v>89221</v>
      </c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2.75" customHeight="1">
      <c r="A18" s="100" t="s">
        <v>39</v>
      </c>
      <c r="B18" s="90">
        <v>1203.0</v>
      </c>
      <c r="C18" s="91">
        <v>876.0</v>
      </c>
      <c r="D18" s="91">
        <v>89.0</v>
      </c>
      <c r="E18" s="90">
        <v>90.0</v>
      </c>
      <c r="F18" s="90">
        <v>172.0</v>
      </c>
      <c r="G18" s="91">
        <v>101.0</v>
      </c>
      <c r="H18" s="90"/>
      <c r="I18" s="90"/>
      <c r="J18" s="90"/>
      <c r="K18" s="90"/>
      <c r="L18" s="90"/>
      <c r="M18" s="90"/>
      <c r="N18" s="90">
        <f t="shared" si="3"/>
        <v>2531</v>
      </c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2.75" customHeight="1">
      <c r="A19" s="100" t="s">
        <v>30</v>
      </c>
      <c r="B19" s="90">
        <v>657.0</v>
      </c>
      <c r="C19" s="91">
        <v>418.0</v>
      </c>
      <c r="D19" s="91">
        <v>275.0</v>
      </c>
      <c r="E19" s="90">
        <v>239.0</v>
      </c>
      <c r="F19" s="90">
        <v>61.0</v>
      </c>
      <c r="G19" s="91">
        <v>5.0</v>
      </c>
      <c r="H19" s="90"/>
      <c r="I19" s="90"/>
      <c r="J19" s="90"/>
      <c r="K19" s="90"/>
      <c r="L19" s="90"/>
      <c r="M19" s="90"/>
      <c r="N19" s="90">
        <f t="shared" si="3"/>
        <v>1655</v>
      </c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2.75" hidden="1" customHeight="1">
      <c r="A20" s="100" t="s">
        <v>40</v>
      </c>
      <c r="B20" s="90"/>
      <c r="C20" s="91"/>
      <c r="D20" s="91"/>
      <c r="E20" s="90"/>
      <c r="F20" s="90"/>
      <c r="G20" s="91"/>
      <c r="H20" s="90"/>
      <c r="I20" s="90"/>
      <c r="J20" s="90"/>
      <c r="K20" s="90"/>
      <c r="L20" s="90"/>
      <c r="M20" s="90"/>
      <c r="N20" s="90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2.75" customHeight="1">
      <c r="A21" s="100" t="s">
        <v>41</v>
      </c>
      <c r="B21" s="90">
        <v>5651.0</v>
      </c>
      <c r="C21" s="91">
        <v>3360.0</v>
      </c>
      <c r="D21" s="91">
        <v>998.0</v>
      </c>
      <c r="E21" s="90">
        <v>1456.0</v>
      </c>
      <c r="F21" s="90">
        <v>1889.0</v>
      </c>
      <c r="G21" s="91">
        <v>1864.0</v>
      </c>
      <c r="H21" s="90"/>
      <c r="I21" s="90"/>
      <c r="J21" s="90"/>
      <c r="K21" s="90"/>
      <c r="L21" s="90"/>
      <c r="M21" s="90"/>
      <c r="N21" s="90">
        <f>SUM(B21:M21)</f>
        <v>15218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2.75" customHeight="1">
      <c r="A22" s="100" t="s">
        <v>14</v>
      </c>
      <c r="B22" s="93">
        <f t="shared" ref="B22:N22" si="4">SUM(B17:B21)</f>
        <v>39051</v>
      </c>
      <c r="C22" s="93">
        <f t="shared" si="4"/>
        <v>23447</v>
      </c>
      <c r="D22" s="93">
        <f t="shared" si="4"/>
        <v>7839</v>
      </c>
      <c r="E22" s="93">
        <f t="shared" si="4"/>
        <v>10352</v>
      </c>
      <c r="F22" s="93">
        <f t="shared" si="4"/>
        <v>13330</v>
      </c>
      <c r="G22" s="93">
        <f t="shared" si="4"/>
        <v>14606</v>
      </c>
      <c r="H22" s="90">
        <f t="shared" si="4"/>
        <v>0</v>
      </c>
      <c r="I22" s="93">
        <f t="shared" si="4"/>
        <v>0</v>
      </c>
      <c r="J22" s="93">
        <f t="shared" si="4"/>
        <v>0</v>
      </c>
      <c r="K22" s="93">
        <f t="shared" si="4"/>
        <v>0</v>
      </c>
      <c r="L22" s="93">
        <f t="shared" si="4"/>
        <v>0</v>
      </c>
      <c r="M22" s="93">
        <f t="shared" si="4"/>
        <v>0</v>
      </c>
      <c r="N22" s="93">
        <f t="shared" si="4"/>
        <v>108625</v>
      </c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2.7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2.75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2.7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2.7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2.7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2.7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2.7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2.7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2.7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2.7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2.75" customHeigh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2.7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2.7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2.7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2.7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2.7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2.7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2.7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2.7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2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2.7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2.7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2.7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2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2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2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2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2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2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2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2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2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2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2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2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2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2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2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2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2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2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2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2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2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2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2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2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2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2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2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2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2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2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2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2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2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2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2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2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2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2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2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2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2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2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2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2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2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2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2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2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2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2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2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2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2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2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2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2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2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2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2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2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2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2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2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2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2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2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2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2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2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2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2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2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2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2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2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2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2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2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2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2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2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2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2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2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2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2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2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2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2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2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2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2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2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2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2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2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2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2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2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2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2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2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2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2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2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2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2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2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2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2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2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2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2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2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2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2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2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2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2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2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2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2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2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2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2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2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2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2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2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2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2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2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2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2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2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2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2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2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2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2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2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2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2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2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2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2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2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2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2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2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2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2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2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2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2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2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2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2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2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2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2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2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2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2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2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2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2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2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2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2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2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2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2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2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2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2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2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2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2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2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2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2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2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2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2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2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2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2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2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2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2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2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2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2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2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2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2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2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2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2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2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2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2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2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2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2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2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2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2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2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2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2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2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2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2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2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2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2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2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2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2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2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2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2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2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2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2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2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2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2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2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2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2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2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2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2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2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2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2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2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2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2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2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2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2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2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2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2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2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2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2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2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2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2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2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2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2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2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2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2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2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2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2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2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2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2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2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2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2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2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2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2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2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2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2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2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2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2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2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2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2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2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2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2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2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2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2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2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2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2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2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2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2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2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2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2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2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2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2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2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2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2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2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2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2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2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2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2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2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2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2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2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2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2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2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2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2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2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2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2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2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2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2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2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2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2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2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2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2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2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2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2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2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2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2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2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2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2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2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2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2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2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2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2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2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2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2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2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2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2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2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2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2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2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2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2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2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2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2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2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2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2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2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2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2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2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2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2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2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2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2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2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2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2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2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2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2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2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2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2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2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2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2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2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2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2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2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2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2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2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2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2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2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2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2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2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2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2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2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2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2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2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2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2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2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2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2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2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2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2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2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2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2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2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2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2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2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2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2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2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2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2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2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2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2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2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2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2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2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2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2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2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2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2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2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2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2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2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2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2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2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2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2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2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2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2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2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2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2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2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2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2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2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2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2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2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2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2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2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2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2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2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2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2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2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2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2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2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2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2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2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2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2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2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2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2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2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2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2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2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2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2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2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2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2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2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2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2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2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2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2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2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2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2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2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2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2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2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2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2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2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2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2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2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2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2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2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2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2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2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2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2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2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2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2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2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2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2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2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2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2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2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2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2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2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2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2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2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2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2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2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2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2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2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2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2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2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2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2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2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2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2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2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2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2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2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2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2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2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2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2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2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2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2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2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2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2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2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2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2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2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2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2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2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2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2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2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2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2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2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2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2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2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2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2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2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2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2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2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2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2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2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2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2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2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2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2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2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2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2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2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2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2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2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2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2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2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2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2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2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2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2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2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2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2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2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2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2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2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2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2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2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2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2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2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2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2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2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2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2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2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2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2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2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2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2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2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2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2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2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2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2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2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2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2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2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2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2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2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2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2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2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2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2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2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2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2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2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2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2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2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2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2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2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2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2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2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2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2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2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2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2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2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2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2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2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2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2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2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2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2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2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2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2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2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2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2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2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2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2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2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2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2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2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2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2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2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2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2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2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2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2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2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2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2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2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2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2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2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2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2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2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2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2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2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2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2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2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2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2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2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2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2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2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2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2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2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2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2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2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2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2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2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2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2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2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2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2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2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2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2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2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2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2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2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2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2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2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2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2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2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2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2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2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2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2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2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2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2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2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2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2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2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2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2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2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2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2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2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2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2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2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2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2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2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2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2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2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2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2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2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2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2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2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2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2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2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2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2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2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2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2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2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2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2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2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2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2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2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2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2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2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2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2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2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2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2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2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2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2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2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2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2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2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2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2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2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2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2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2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2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2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2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2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2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2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2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2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2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2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2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2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2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2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2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2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2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2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2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2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2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2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2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2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2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2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2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2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2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2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2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2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2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2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2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2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2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2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2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2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2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2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2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2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2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2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2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2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2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2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2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2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2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2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2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2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2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2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2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2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2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2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2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2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2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2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2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2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2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2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2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2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2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2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2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2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2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2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2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2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2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2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2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2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2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2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2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2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2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2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2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2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2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2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2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2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2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2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2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2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2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2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2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2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2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2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2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2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2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2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2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2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2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2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2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2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2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2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2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2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2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2.75" customHeight="1"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2.75" customHeight="1"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2.75" customHeight="1"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2.75" customHeight="1"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2.75" customHeight="1"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2.75" customHeight="1"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2.75" customHeight="1"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2.75" customHeight="1"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2.75" customHeight="1"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2.75" customHeight="1"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2.75" customHeight="1"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2.75" customHeight="1"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2.75" customHeight="1"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2.75" customHeight="1"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2.75" customHeight="1"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2.75" customHeight="1"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2.75" customHeight="1"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2.75" customHeight="1"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2.75" customHeight="1"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2.75" customHeight="1"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2.75" customHeight="1"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2.75" customHeight="1"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2.75" customHeight="1"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2.75" customHeight="1"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6" width="8.0"/>
    <col customWidth="1" min="7" max="7" width="10.14"/>
    <col customWidth="1" min="8" max="26" width="8.0"/>
  </cols>
  <sheetData>
    <row r="1" ht="15.75" customHeight="1">
      <c r="A1" s="2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15.75" customHeight="1">
      <c r="A2" s="25"/>
      <c r="O2" s="95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2.75" customHeight="1">
      <c r="A5" s="2" t="s">
        <v>44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2.75" customHeight="1">
      <c r="A6" s="5" t="s">
        <v>38</v>
      </c>
      <c r="B6" s="6">
        <f>12472+4131+2216+1915</f>
        <v>20734</v>
      </c>
      <c r="C6" s="101">
        <f>5779+1612+1127+528</f>
        <v>9046</v>
      </c>
      <c r="D6" s="101">
        <f>5573+1366+1643+345</f>
        <v>8927</v>
      </c>
      <c r="E6" s="6">
        <f>7373+1953+1682+691</f>
        <v>11699</v>
      </c>
      <c r="F6" s="6">
        <f>5404+1572+1559+325</f>
        <v>8860</v>
      </c>
      <c r="G6" s="6">
        <f>15633+2405+1804+872</f>
        <v>20714</v>
      </c>
      <c r="H6" s="6"/>
      <c r="I6" s="6">
        <f>8084+3291+2262+463</f>
        <v>14100</v>
      </c>
      <c r="J6" s="6">
        <f>12191+4211+3258+675</f>
        <v>20335</v>
      </c>
      <c r="K6" s="6">
        <f>10857+4817+3632+971</f>
        <v>20277</v>
      </c>
      <c r="L6" s="6">
        <f>11792+4569+4913+927</f>
        <v>22201</v>
      </c>
      <c r="M6" s="6">
        <f>15052+4737+2724+3354</f>
        <v>25867</v>
      </c>
      <c r="N6" s="6">
        <f t="shared" ref="N6:N10" si="1">SUM(B6:M6)</f>
        <v>182760</v>
      </c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2.75" customHeight="1">
      <c r="A7" s="5" t="s">
        <v>39</v>
      </c>
      <c r="B7" s="6">
        <f>937+126</f>
        <v>1063</v>
      </c>
      <c r="C7" s="101">
        <f>655+102</f>
        <v>757</v>
      </c>
      <c r="D7" s="101">
        <f>403+26</f>
        <v>429</v>
      </c>
      <c r="E7" s="6">
        <f>719+109</f>
        <v>828</v>
      </c>
      <c r="F7" s="6">
        <f>379+29</f>
        <v>408</v>
      </c>
      <c r="G7" s="6">
        <f>364+22</f>
        <v>386</v>
      </c>
      <c r="H7" s="6"/>
      <c r="I7" s="6">
        <f>621+73</f>
        <v>694</v>
      </c>
      <c r="J7" s="6">
        <f>633+83</f>
        <v>716</v>
      </c>
      <c r="K7" s="6">
        <f>574+51</f>
        <v>625</v>
      </c>
      <c r="L7" s="6">
        <f>437+10</f>
        <v>447</v>
      </c>
      <c r="M7" s="6">
        <f>464+35</f>
        <v>499</v>
      </c>
      <c r="N7" s="6">
        <f t="shared" si="1"/>
        <v>6852</v>
      </c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2.75" customHeight="1">
      <c r="A8" s="5" t="s">
        <v>30</v>
      </c>
      <c r="B8" s="6">
        <f>1105+34</f>
        <v>1139</v>
      </c>
      <c r="C8" s="101">
        <f>1145+56</f>
        <v>1201</v>
      </c>
      <c r="D8" s="101">
        <f>1076+29</f>
        <v>1105</v>
      </c>
      <c r="E8" s="6">
        <f>856+26</f>
        <v>882</v>
      </c>
      <c r="F8" s="6">
        <f>820+12</f>
        <v>832</v>
      </c>
      <c r="G8" s="6">
        <f>714+16</f>
        <v>730</v>
      </c>
      <c r="H8" s="6"/>
      <c r="I8" s="6">
        <f>1399+41</f>
        <v>1440</v>
      </c>
      <c r="J8" s="6">
        <f>1012+25</f>
        <v>1037</v>
      </c>
      <c r="K8" s="6">
        <f>1317+20</f>
        <v>1337</v>
      </c>
      <c r="L8" s="6">
        <f>1190+22</f>
        <v>1212</v>
      </c>
      <c r="M8" s="6">
        <f>1468+39</f>
        <v>1507</v>
      </c>
      <c r="N8" s="6">
        <f t="shared" si="1"/>
        <v>12422</v>
      </c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2.75" customHeight="1">
      <c r="A9" s="5" t="s">
        <v>40</v>
      </c>
      <c r="B9" s="6">
        <f>11715+860+1759</f>
        <v>14334</v>
      </c>
      <c r="C9" s="101">
        <f>3857+263+562</f>
        <v>4682</v>
      </c>
      <c r="D9" s="101">
        <f>3124+259+401</f>
        <v>3784</v>
      </c>
      <c r="E9" s="6">
        <f>3393+270+476</f>
        <v>4139</v>
      </c>
      <c r="F9" s="6">
        <f>2635+197+322</f>
        <v>3154</v>
      </c>
      <c r="G9" s="6">
        <f>3201+222+410</f>
        <v>3833</v>
      </c>
      <c r="H9" s="6"/>
      <c r="I9" s="6">
        <f>2839+260+337</f>
        <v>3436</v>
      </c>
      <c r="J9" s="6">
        <f>3930+291+579</f>
        <v>4800</v>
      </c>
      <c r="K9" s="6">
        <f>2928+255+382</f>
        <v>3565</v>
      </c>
      <c r="L9" s="6">
        <f>3986+285+550</f>
        <v>4821</v>
      </c>
      <c r="M9" s="6">
        <f>4458+390+620</f>
        <v>5468</v>
      </c>
      <c r="N9" s="6">
        <f t="shared" si="1"/>
        <v>56016</v>
      </c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2.75" customHeight="1">
      <c r="A10" s="5" t="s">
        <v>14</v>
      </c>
      <c r="B10" s="8">
        <f t="shared" ref="B10:M10" si="2">SUM(B6:B9)</f>
        <v>37270</v>
      </c>
      <c r="C10" s="8">
        <f t="shared" si="2"/>
        <v>15686</v>
      </c>
      <c r="D10" s="8">
        <f t="shared" si="2"/>
        <v>14245</v>
      </c>
      <c r="E10" s="8">
        <f t="shared" si="2"/>
        <v>17548</v>
      </c>
      <c r="F10" s="8">
        <f t="shared" si="2"/>
        <v>13254</v>
      </c>
      <c r="G10" s="8">
        <f t="shared" si="2"/>
        <v>25663</v>
      </c>
      <c r="H10" s="8">
        <f t="shared" si="2"/>
        <v>0</v>
      </c>
      <c r="I10" s="8">
        <f t="shared" si="2"/>
        <v>19670</v>
      </c>
      <c r="J10" s="8">
        <f t="shared" si="2"/>
        <v>26888</v>
      </c>
      <c r="K10" s="8">
        <f t="shared" si="2"/>
        <v>25804</v>
      </c>
      <c r="L10" s="8">
        <f t="shared" si="2"/>
        <v>28681</v>
      </c>
      <c r="M10" s="8">
        <f t="shared" si="2"/>
        <v>33341</v>
      </c>
      <c r="N10" s="8">
        <f t="shared" si="1"/>
        <v>258050</v>
      </c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2.7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2.75" customHeight="1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2.75" customHeight="1">
      <c r="A13" s="2" t="s">
        <v>45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2.75" customHeight="1">
      <c r="A14" s="5" t="s">
        <v>38</v>
      </c>
      <c r="B14" s="6">
        <f>21412+6727+3617+5659</f>
        <v>37415</v>
      </c>
      <c r="C14" s="101">
        <f>12431+3397+2349+2694</f>
        <v>20871</v>
      </c>
      <c r="D14" s="101">
        <f>10513+2093+2022+530</f>
        <v>15158</v>
      </c>
      <c r="E14" s="6">
        <v>17511.0</v>
      </c>
      <c r="F14" s="6">
        <f>9353+2947+2582+921</f>
        <v>15803</v>
      </c>
      <c r="G14" s="6">
        <f>14289+2912+1995+1244</f>
        <v>20440</v>
      </c>
      <c r="H14" s="6">
        <f>23002+9735+3514+4567</f>
        <v>40818</v>
      </c>
      <c r="I14" s="6">
        <v>20227.0</v>
      </c>
      <c r="J14" s="6">
        <v>24852.0</v>
      </c>
      <c r="K14" s="6">
        <v>25475.0</v>
      </c>
      <c r="L14" s="6">
        <v>31082.0</v>
      </c>
      <c r="M14" s="6">
        <v>33820.0</v>
      </c>
      <c r="N14" s="6">
        <f t="shared" ref="N14:N17" si="3">SUM(B14:M14)</f>
        <v>303472</v>
      </c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2.75" customHeight="1">
      <c r="A15" s="5" t="s">
        <v>39</v>
      </c>
      <c r="B15" s="6">
        <f>1160+158</f>
        <v>1318</v>
      </c>
      <c r="C15" s="101">
        <f>1386+199</f>
        <v>1585</v>
      </c>
      <c r="D15" s="101">
        <f>1069+125</f>
        <v>1194</v>
      </c>
      <c r="E15" s="6">
        <v>871.0</v>
      </c>
      <c r="F15" s="6">
        <f>714+52</f>
        <v>766</v>
      </c>
      <c r="G15" s="6">
        <f>729+37</f>
        <v>766</v>
      </c>
      <c r="H15" s="6">
        <f>2097+374</f>
        <v>2471</v>
      </c>
      <c r="I15" s="6">
        <v>890.0</v>
      </c>
      <c r="J15" s="6">
        <v>843.0</v>
      </c>
      <c r="K15" s="6">
        <v>741.0</v>
      </c>
      <c r="L15" s="6">
        <v>746.0</v>
      </c>
      <c r="M15" s="6">
        <v>1029.0</v>
      </c>
      <c r="N15" s="6">
        <f t="shared" si="3"/>
        <v>13220</v>
      </c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2.75" customHeight="1">
      <c r="A16" s="5" t="s">
        <v>30</v>
      </c>
      <c r="B16" s="6">
        <f>1534+64</f>
        <v>1598</v>
      </c>
      <c r="C16" s="101">
        <f>1807+55</f>
        <v>1862</v>
      </c>
      <c r="D16" s="101">
        <f>1503+44</f>
        <v>1547</v>
      </c>
      <c r="E16" s="6">
        <f>1429+27</f>
        <v>1456</v>
      </c>
      <c r="F16" s="6">
        <f>1182+32</f>
        <v>1214</v>
      </c>
      <c r="G16" s="6">
        <f>1102+6</f>
        <v>1108</v>
      </c>
      <c r="H16" s="6">
        <f>1459+81</f>
        <v>1540</v>
      </c>
      <c r="I16" s="6">
        <v>2037.0</v>
      </c>
      <c r="J16" s="6">
        <v>1694.0</v>
      </c>
      <c r="K16" s="6">
        <v>1890.0</v>
      </c>
      <c r="L16" s="6">
        <v>1931.0</v>
      </c>
      <c r="M16" s="6">
        <v>2205.0</v>
      </c>
      <c r="N16" s="6">
        <f t="shared" si="3"/>
        <v>20082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2.75" customHeight="1">
      <c r="A17" s="5" t="s">
        <v>40</v>
      </c>
      <c r="B17" s="6">
        <f>7189+559+1059</f>
        <v>8807</v>
      </c>
      <c r="C17" s="101">
        <f>9058+645+1199</f>
        <v>10902</v>
      </c>
      <c r="D17" s="101">
        <f>2427+229+318</f>
        <v>2974</v>
      </c>
      <c r="E17" s="6">
        <f>3411+265+539</f>
        <v>4215</v>
      </c>
      <c r="F17" s="6">
        <f>2948+216+333</f>
        <v>3497</v>
      </c>
      <c r="G17" s="6">
        <f>36+1998+110+201</f>
        <v>2345</v>
      </c>
      <c r="H17" s="6">
        <f>7695+455+1600</f>
        <v>9750</v>
      </c>
      <c r="I17" s="6">
        <v>4608.0</v>
      </c>
      <c r="J17" s="6">
        <v>4886.0</v>
      </c>
      <c r="K17" s="6">
        <v>5254.0</v>
      </c>
      <c r="L17" s="6">
        <v>6449.0</v>
      </c>
      <c r="M17" s="6">
        <v>7370.0</v>
      </c>
      <c r="N17" s="6">
        <f t="shared" si="3"/>
        <v>71057</v>
      </c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2.75" customHeight="1">
      <c r="A18" s="5" t="s">
        <v>46</v>
      </c>
      <c r="B18" s="6">
        <v>0.0</v>
      </c>
      <c r="C18" s="101">
        <v>944.0</v>
      </c>
      <c r="D18" s="101">
        <v>916.0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f>SUM(C18:M18)</f>
        <v>1860</v>
      </c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2.75" customHeight="1">
      <c r="A19" s="5" t="s">
        <v>14</v>
      </c>
      <c r="B19" s="8">
        <f>SUM(B14:B17)</f>
        <v>49138</v>
      </c>
      <c r="C19" s="8">
        <f t="shared" ref="C19:N19" si="4">SUM(C14:C18)</f>
        <v>36164</v>
      </c>
      <c r="D19" s="8">
        <f t="shared" si="4"/>
        <v>21789</v>
      </c>
      <c r="E19" s="8">
        <f t="shared" si="4"/>
        <v>24053</v>
      </c>
      <c r="F19" s="8">
        <f t="shared" si="4"/>
        <v>21280</v>
      </c>
      <c r="G19" s="8">
        <f t="shared" si="4"/>
        <v>24659</v>
      </c>
      <c r="H19" s="8">
        <f t="shared" si="4"/>
        <v>54579</v>
      </c>
      <c r="I19" s="8">
        <f t="shared" si="4"/>
        <v>27762</v>
      </c>
      <c r="J19" s="8">
        <f t="shared" si="4"/>
        <v>32275</v>
      </c>
      <c r="K19" s="8">
        <f t="shared" si="4"/>
        <v>33360</v>
      </c>
      <c r="L19" s="8">
        <f t="shared" si="4"/>
        <v>40208</v>
      </c>
      <c r="M19" s="8">
        <f t="shared" si="4"/>
        <v>44424</v>
      </c>
      <c r="N19" s="8">
        <f t="shared" si="4"/>
        <v>409691</v>
      </c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2.75" customHeight="1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2.75" customHeight="1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2.75" customHeight="1">
      <c r="A22" s="2" t="s">
        <v>47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2.75" customHeight="1">
      <c r="A23" s="5" t="s">
        <v>38</v>
      </c>
      <c r="B23" s="6">
        <v>50072.0</v>
      </c>
      <c r="C23" s="101">
        <v>16818.0</v>
      </c>
      <c r="D23" s="101">
        <v>28060.0</v>
      </c>
      <c r="E23" s="6">
        <v>22339.0</v>
      </c>
      <c r="F23" s="6">
        <v>18801.0</v>
      </c>
      <c r="G23" s="6">
        <v>25076.0</v>
      </c>
      <c r="H23" s="6">
        <v>44190.0</v>
      </c>
      <c r="I23" s="6">
        <v>23555.0</v>
      </c>
      <c r="J23" s="6">
        <v>25826.0</v>
      </c>
      <c r="K23" s="6">
        <v>32362.0</v>
      </c>
      <c r="L23" s="6">
        <v>32302.0</v>
      </c>
      <c r="M23" s="6">
        <v>37386.0</v>
      </c>
      <c r="N23" s="6">
        <f t="shared" ref="N23:N28" si="5">SUM(B23:M23)</f>
        <v>356787</v>
      </c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2.75" customHeight="1">
      <c r="A24" s="5" t="s">
        <v>39</v>
      </c>
      <c r="B24" s="6">
        <v>1782.0</v>
      </c>
      <c r="C24" s="101">
        <v>1306.0</v>
      </c>
      <c r="D24" s="101">
        <v>1173.0</v>
      </c>
      <c r="E24" s="6">
        <v>1534.0</v>
      </c>
      <c r="F24" s="6">
        <v>916.0</v>
      </c>
      <c r="G24" s="6">
        <v>1188.0</v>
      </c>
      <c r="H24" s="6">
        <v>2269.0</v>
      </c>
      <c r="I24" s="6">
        <v>1134.0</v>
      </c>
      <c r="J24" s="6">
        <v>1029.0</v>
      </c>
      <c r="K24" s="6">
        <v>716.0</v>
      </c>
      <c r="L24" s="6">
        <v>620.0</v>
      </c>
      <c r="M24" s="6">
        <v>637.0</v>
      </c>
      <c r="N24" s="6">
        <f t="shared" si="5"/>
        <v>14304</v>
      </c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2.75" customHeight="1">
      <c r="A25" s="5" t="s">
        <v>30</v>
      </c>
      <c r="B25" s="6">
        <v>2328.0</v>
      </c>
      <c r="C25" s="101">
        <v>2266.0</v>
      </c>
      <c r="D25" s="101">
        <v>2029.0</v>
      </c>
      <c r="E25" s="6">
        <v>2103.0</v>
      </c>
      <c r="F25" s="6">
        <v>1732.0</v>
      </c>
      <c r="G25" s="6">
        <v>1687.0</v>
      </c>
      <c r="H25" s="6">
        <v>2189.0</v>
      </c>
      <c r="I25" s="6">
        <v>2205.0</v>
      </c>
      <c r="J25" s="6">
        <v>1708.0</v>
      </c>
      <c r="K25" s="6">
        <v>1758.0</v>
      </c>
      <c r="L25" s="6">
        <v>1915.0</v>
      </c>
      <c r="M25" s="6">
        <v>2236.0</v>
      </c>
      <c r="N25" s="6">
        <f t="shared" si="5"/>
        <v>24156</v>
      </c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2.75" customHeight="1">
      <c r="A26" s="5" t="s">
        <v>40</v>
      </c>
      <c r="B26" s="6">
        <v>8595.0</v>
      </c>
      <c r="C26" s="101">
        <v>3437.0</v>
      </c>
      <c r="D26" s="101">
        <v>4467.0</v>
      </c>
      <c r="E26" s="6">
        <v>3249.0</v>
      </c>
      <c r="F26" s="6">
        <v>3083.0</v>
      </c>
      <c r="G26" s="6">
        <v>5374.0</v>
      </c>
      <c r="H26" s="6">
        <v>4545.0</v>
      </c>
      <c r="I26" s="6">
        <v>5209.0</v>
      </c>
      <c r="J26" s="6">
        <v>4678.0</v>
      </c>
      <c r="K26" s="6">
        <v>5017.0</v>
      </c>
      <c r="L26" s="6">
        <v>4450.0</v>
      </c>
      <c r="M26" s="6">
        <v>6095.0</v>
      </c>
      <c r="N26" s="6">
        <f t="shared" si="5"/>
        <v>58199</v>
      </c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2.75" customHeight="1">
      <c r="A27" s="5" t="s">
        <v>46</v>
      </c>
      <c r="B27" s="6">
        <v>0.0</v>
      </c>
      <c r="C27" s="101">
        <v>0.0</v>
      </c>
      <c r="D27" s="101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f t="shared" si="5"/>
        <v>0</v>
      </c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2.75" customHeight="1">
      <c r="A28" s="5" t="s">
        <v>14</v>
      </c>
      <c r="B28" s="8">
        <f t="shared" ref="B28:M28" si="6">SUM(B23:B27)</f>
        <v>62777</v>
      </c>
      <c r="C28" s="8">
        <f t="shared" si="6"/>
        <v>23827</v>
      </c>
      <c r="D28" s="8">
        <f t="shared" si="6"/>
        <v>35729</v>
      </c>
      <c r="E28" s="8">
        <f t="shared" si="6"/>
        <v>29225</v>
      </c>
      <c r="F28" s="8">
        <f t="shared" si="6"/>
        <v>24532</v>
      </c>
      <c r="G28" s="8">
        <f t="shared" si="6"/>
        <v>33325</v>
      </c>
      <c r="H28" s="8">
        <f t="shared" si="6"/>
        <v>53193</v>
      </c>
      <c r="I28" s="8">
        <f t="shared" si="6"/>
        <v>32103</v>
      </c>
      <c r="J28" s="8">
        <f t="shared" si="6"/>
        <v>33241</v>
      </c>
      <c r="K28" s="8">
        <f t="shared" si="6"/>
        <v>39853</v>
      </c>
      <c r="L28" s="8">
        <f t="shared" si="6"/>
        <v>39287</v>
      </c>
      <c r="M28" s="8">
        <f t="shared" si="6"/>
        <v>46354</v>
      </c>
      <c r="N28" s="8">
        <f t="shared" si="5"/>
        <v>453446</v>
      </c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2.7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2.7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2.75" customHeight="1">
      <c r="A31" s="2" t="s">
        <v>37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2.75" customHeight="1">
      <c r="A32" s="5" t="s">
        <v>38</v>
      </c>
      <c r="B32" s="6">
        <f>54178</f>
        <v>54178</v>
      </c>
      <c r="C32" s="97">
        <v>26230.0</v>
      </c>
      <c r="D32" s="97">
        <v>13289.0</v>
      </c>
      <c r="E32" s="6">
        <v>0.0</v>
      </c>
      <c r="F32" s="6">
        <v>0.0</v>
      </c>
      <c r="G32" s="98">
        <v>585.0</v>
      </c>
      <c r="H32" s="6">
        <v>0.0</v>
      </c>
      <c r="I32" s="6">
        <v>2084.0</v>
      </c>
      <c r="J32" s="6">
        <v>6658.0</v>
      </c>
      <c r="K32" s="6">
        <v>14458.0</v>
      </c>
      <c r="L32" s="6">
        <v>18211.0</v>
      </c>
      <c r="M32" s="6">
        <v>19456.0</v>
      </c>
      <c r="N32" s="6">
        <f t="shared" ref="N32:N36" si="7">SUM(B32:M32)</f>
        <v>155149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2.75" customHeight="1">
      <c r="A33" s="5" t="s">
        <v>39</v>
      </c>
      <c r="B33" s="6">
        <v>1251.0</v>
      </c>
      <c r="C33" s="97">
        <v>882.0</v>
      </c>
      <c r="D33" s="97">
        <v>236.0</v>
      </c>
      <c r="E33" s="6">
        <v>0.0</v>
      </c>
      <c r="F33" s="6">
        <v>0.0</v>
      </c>
      <c r="G33" s="98">
        <v>2.0</v>
      </c>
      <c r="H33" s="6">
        <v>0.0</v>
      </c>
      <c r="I33" s="6">
        <v>5.0</v>
      </c>
      <c r="J33" s="6">
        <v>4.0</v>
      </c>
      <c r="K33" s="6">
        <v>48.0</v>
      </c>
      <c r="L33" s="6">
        <v>142.0</v>
      </c>
      <c r="M33" s="6">
        <v>179.0</v>
      </c>
      <c r="N33" s="6">
        <f t="shared" si="7"/>
        <v>2749</v>
      </c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2.75" customHeight="1">
      <c r="A34" s="5" t="s">
        <v>30</v>
      </c>
      <c r="B34" s="6">
        <v>3241.0</v>
      </c>
      <c r="C34" s="97">
        <v>2975.0</v>
      </c>
      <c r="D34" s="97">
        <v>1327.0</v>
      </c>
      <c r="E34" s="6">
        <v>0.0</v>
      </c>
      <c r="F34" s="6">
        <v>0.0</v>
      </c>
      <c r="G34" s="98">
        <v>7.0</v>
      </c>
      <c r="H34" s="6">
        <v>0.0</v>
      </c>
      <c r="I34" s="6">
        <v>13.0</v>
      </c>
      <c r="J34" s="6">
        <v>66.0</v>
      </c>
      <c r="K34" s="6">
        <v>76.0</v>
      </c>
      <c r="L34" s="6">
        <v>165.0</v>
      </c>
      <c r="M34" s="6">
        <v>244.0</v>
      </c>
      <c r="N34" s="6">
        <f t="shared" si="7"/>
        <v>8114</v>
      </c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2.75" customHeight="1">
      <c r="A35" s="5" t="s">
        <v>48</v>
      </c>
      <c r="B35" s="6">
        <v>6450.0</v>
      </c>
      <c r="C35" s="97">
        <v>3837.0</v>
      </c>
      <c r="D35" s="97">
        <v>1929.0</v>
      </c>
      <c r="E35" s="6">
        <v>0.0</v>
      </c>
      <c r="F35" s="6">
        <v>0.0</v>
      </c>
      <c r="G35" s="98">
        <v>1086.0</v>
      </c>
      <c r="H35" s="6">
        <v>0.0</v>
      </c>
      <c r="I35" s="6">
        <v>2368.0</v>
      </c>
      <c r="J35" s="6">
        <v>3235.0</v>
      </c>
      <c r="K35" s="6">
        <v>3704.0</v>
      </c>
      <c r="L35" s="6">
        <v>3276.0</v>
      </c>
      <c r="M35" s="6">
        <v>3050.0</v>
      </c>
      <c r="N35" s="6">
        <f t="shared" si="7"/>
        <v>28935</v>
      </c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2.75" customHeight="1">
      <c r="A36" s="5" t="s">
        <v>14</v>
      </c>
      <c r="B36" s="8">
        <f t="shared" ref="B36:D36" si="8">SUM(B32:B35)</f>
        <v>65120</v>
      </c>
      <c r="C36" s="8">
        <f t="shared" si="8"/>
        <v>33924</v>
      </c>
      <c r="D36" s="8">
        <f t="shared" si="8"/>
        <v>16781</v>
      </c>
      <c r="E36" s="8">
        <v>0.0</v>
      </c>
      <c r="F36" s="8">
        <v>0.0</v>
      </c>
      <c r="G36" s="8">
        <f>SUM(G32:G35)</f>
        <v>1680</v>
      </c>
      <c r="H36" s="6">
        <v>0.0</v>
      </c>
      <c r="I36" s="8">
        <f t="shared" ref="I36:M36" si="9">SUM(I32:I35)</f>
        <v>4470</v>
      </c>
      <c r="J36" s="8">
        <f t="shared" si="9"/>
        <v>9963</v>
      </c>
      <c r="K36" s="8">
        <f t="shared" si="9"/>
        <v>18286</v>
      </c>
      <c r="L36" s="8">
        <f t="shared" si="9"/>
        <v>21794</v>
      </c>
      <c r="M36" s="8">
        <f t="shared" si="9"/>
        <v>22929</v>
      </c>
      <c r="N36" s="8">
        <f t="shared" si="7"/>
        <v>194947</v>
      </c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2.7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2.7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2.75" customHeight="1">
      <c r="A39" s="2" t="s">
        <v>43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2.75" customHeight="1">
      <c r="A40" s="5" t="s">
        <v>38</v>
      </c>
      <c r="B40" s="6">
        <v>24947.0</v>
      </c>
      <c r="C40" s="97">
        <v>14048.0</v>
      </c>
      <c r="D40" s="97">
        <v>5678.0</v>
      </c>
      <c r="E40" s="6">
        <v>6019.0</v>
      </c>
      <c r="F40" s="6">
        <v>8852.0</v>
      </c>
      <c r="G40" s="98">
        <v>11966.0</v>
      </c>
      <c r="H40" s="6"/>
      <c r="I40" s="6"/>
      <c r="J40" s="6"/>
      <c r="K40" s="6"/>
      <c r="L40" s="6"/>
      <c r="M40" s="6"/>
      <c r="N40" s="6">
        <f t="shared" ref="N40:N44" si="10">SUM(B40:M40)</f>
        <v>71510</v>
      </c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2.75" customHeight="1">
      <c r="A41" s="5" t="s">
        <v>39</v>
      </c>
      <c r="B41" s="6">
        <v>305.0</v>
      </c>
      <c r="C41" s="97">
        <v>288.0</v>
      </c>
      <c r="D41" s="97">
        <v>16.0</v>
      </c>
      <c r="E41" s="6">
        <v>32.0</v>
      </c>
      <c r="F41" s="6">
        <v>123.0</v>
      </c>
      <c r="G41" s="98">
        <v>34.0</v>
      </c>
      <c r="H41" s="6"/>
      <c r="I41" s="6"/>
      <c r="J41" s="6"/>
      <c r="K41" s="6"/>
      <c r="L41" s="6"/>
      <c r="M41" s="6"/>
      <c r="N41" s="6">
        <f t="shared" si="10"/>
        <v>798</v>
      </c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2.75" customHeight="1">
      <c r="A42" s="5" t="s">
        <v>30</v>
      </c>
      <c r="B42" s="6">
        <v>313.0</v>
      </c>
      <c r="C42" s="97">
        <v>170.0</v>
      </c>
      <c r="D42" s="97">
        <v>124.0</v>
      </c>
      <c r="E42" s="6">
        <v>136.0</v>
      </c>
      <c r="F42" s="6">
        <v>158.0</v>
      </c>
      <c r="G42" s="98">
        <v>124.0</v>
      </c>
      <c r="H42" s="6"/>
      <c r="I42" s="6"/>
      <c r="J42" s="6"/>
      <c r="K42" s="6"/>
      <c r="L42" s="6"/>
      <c r="M42" s="6"/>
      <c r="N42" s="6">
        <f t="shared" si="10"/>
        <v>1025</v>
      </c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2.75" customHeight="1">
      <c r="A43" s="5" t="s">
        <v>48</v>
      </c>
      <c r="B43" s="6">
        <v>4249.0</v>
      </c>
      <c r="C43" s="97">
        <v>3344.0</v>
      </c>
      <c r="D43" s="97">
        <v>981.0</v>
      </c>
      <c r="E43" s="6">
        <v>2672.0</v>
      </c>
      <c r="F43" s="6">
        <v>2198.0</v>
      </c>
      <c r="G43" s="98">
        <v>2371.0</v>
      </c>
      <c r="H43" s="6"/>
      <c r="I43" s="6"/>
      <c r="J43" s="6"/>
      <c r="K43" s="6"/>
      <c r="L43" s="6"/>
      <c r="M43" s="6"/>
      <c r="N43" s="6">
        <f t="shared" si="10"/>
        <v>15815</v>
      </c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2.75" customHeight="1">
      <c r="A44" s="5" t="s">
        <v>14</v>
      </c>
      <c r="B44" s="8">
        <f t="shared" ref="B44:G44" si="11">SUM(B40:B43)</f>
        <v>29814</v>
      </c>
      <c r="C44" s="8">
        <f t="shared" si="11"/>
        <v>17850</v>
      </c>
      <c r="D44" s="8">
        <f t="shared" si="11"/>
        <v>6799</v>
      </c>
      <c r="E44" s="8">
        <f t="shared" si="11"/>
        <v>8859</v>
      </c>
      <c r="F44" s="8">
        <f t="shared" si="11"/>
        <v>11331</v>
      </c>
      <c r="G44" s="8">
        <f t="shared" si="11"/>
        <v>14495</v>
      </c>
      <c r="H44" s="6">
        <v>0.0</v>
      </c>
      <c r="I44" s="8">
        <f t="shared" ref="I44:M44" si="12">SUM(I40:I43)</f>
        <v>0</v>
      </c>
      <c r="J44" s="8">
        <f t="shared" si="12"/>
        <v>0</v>
      </c>
      <c r="K44" s="8">
        <f t="shared" si="12"/>
        <v>0</v>
      </c>
      <c r="L44" s="8">
        <f t="shared" si="12"/>
        <v>0</v>
      </c>
      <c r="M44" s="8">
        <f t="shared" si="12"/>
        <v>0</v>
      </c>
      <c r="N44" s="8">
        <f t="shared" si="10"/>
        <v>89148</v>
      </c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2.7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2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2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2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2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2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2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2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2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2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2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2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2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2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2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2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2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2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2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2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2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2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2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2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2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2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2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2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2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2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2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2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2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2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2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2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2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2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2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2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2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2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2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2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2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2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2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2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2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2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2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2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2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2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2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2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2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2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2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2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2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2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2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2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2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2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2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2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2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2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2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2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2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2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2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2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2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2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2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2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2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2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2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2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2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2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2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2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2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2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2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2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2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2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2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2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2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2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2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2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2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2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2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2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2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2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2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2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2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2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2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2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2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2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2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2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2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2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2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2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2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2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2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2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2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2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2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2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2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2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2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2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2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2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2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2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2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2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2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2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2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2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2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2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2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2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2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2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2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2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2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2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2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2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2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2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2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2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2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2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2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2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2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2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2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2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2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2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2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2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2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2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2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2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2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2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2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2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2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2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2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2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2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2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2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2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2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2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2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2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2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2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2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2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2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2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2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2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2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2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2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2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2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2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2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2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2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2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2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2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2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2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2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2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2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2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2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2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2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2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2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2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2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2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2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2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2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2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2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2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2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2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2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2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2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2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2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2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2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2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2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2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2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2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2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2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2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2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2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2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2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2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2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2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2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2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2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2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2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2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2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2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2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2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2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2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2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2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2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2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2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2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2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2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2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2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2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2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2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2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2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2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2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2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2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2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2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2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2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2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2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2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2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2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2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2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2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2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2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2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2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2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2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2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2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2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2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2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2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2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2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2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2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2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2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2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2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2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2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2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2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2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2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2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2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2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2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2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2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2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2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2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2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2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2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2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2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2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2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2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2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2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2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2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2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2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2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2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2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2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2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2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2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2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2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2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2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2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2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2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2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2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2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2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2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2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2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2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2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2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2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2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2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2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2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2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2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2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2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2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2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2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2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2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2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2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2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2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2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2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2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2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2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2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2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2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2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2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2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2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2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2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2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2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2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2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2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2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2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2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2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2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2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2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2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2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2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2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2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2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2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2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2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2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2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2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2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2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2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2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2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2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2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2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2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2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2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2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2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2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2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2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2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2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2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2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2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2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2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2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2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2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2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2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2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2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2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2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2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2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2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2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2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2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2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2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2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2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2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2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2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2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2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2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2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2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2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2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2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2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2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2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2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2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2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2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2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2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2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2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2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2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2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2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2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2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2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2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2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2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2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2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2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2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2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2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2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2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2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2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2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2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2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2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2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2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2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2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2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2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2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2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2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2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2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2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2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2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2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2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2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2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2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2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2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2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2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2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2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2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2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2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2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2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2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2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2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2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2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2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2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2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2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2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2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2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2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2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2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2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2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2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2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2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2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2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2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2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2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2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2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2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2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2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2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2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2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2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2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2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2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2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2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2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2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2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2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2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2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2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2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2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2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2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2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2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2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2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2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2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2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2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2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2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2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2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2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2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2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2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2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2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2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2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2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2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2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2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2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2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2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2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2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2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2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2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2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2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2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2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2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2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2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2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2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2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2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2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2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2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2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2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2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2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2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2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2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2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2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2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2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2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2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2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2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2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2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2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2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2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2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2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2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2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2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2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2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2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2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2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2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2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2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2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2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2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2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2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2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2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2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2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2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2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2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2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2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2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2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2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2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2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2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2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2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2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2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2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2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2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2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2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2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2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2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2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2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2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2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2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2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2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2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2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2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2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2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2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2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2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2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2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2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2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2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2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2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2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2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2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2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2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2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2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2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2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2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2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2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2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2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2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2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2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2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2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2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2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2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2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2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2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2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2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2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2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2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2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2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2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2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2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2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2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2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2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2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2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2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2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2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2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2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2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2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2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2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2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2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2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2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2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2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2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2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2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2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2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2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2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2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2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2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2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2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2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2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2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2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2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2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2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2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2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2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2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2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2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2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2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2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2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2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2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2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2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2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2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2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2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2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2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2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2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2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2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2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2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2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2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2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2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2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2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2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2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2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2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2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2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2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2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2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2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2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2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2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2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2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2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2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2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2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2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2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2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2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2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2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2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2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2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2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2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2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2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2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2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2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2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2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2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2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2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2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2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2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2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2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2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2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2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2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2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2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2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2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2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2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2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2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2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2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2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2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2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2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2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2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2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2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2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2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2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2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2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2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2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2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2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2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2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2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2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2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2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2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2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2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2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2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2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2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2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2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2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2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2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2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2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2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2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2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2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2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2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2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2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2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2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2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2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2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2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2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2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2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2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2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2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2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2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2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2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2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4" max="4" width="15.29"/>
  </cols>
  <sheetData>
    <row r="2" ht="33.0" customHeight="1">
      <c r="B2" s="102" t="s">
        <v>49</v>
      </c>
      <c r="D2" s="103"/>
    </row>
    <row r="3">
      <c r="D3" s="103"/>
    </row>
    <row r="4">
      <c r="A4" s="104" t="s">
        <v>50</v>
      </c>
      <c r="B4" s="104" t="s">
        <v>51</v>
      </c>
      <c r="C4" s="104" t="s">
        <v>52</v>
      </c>
      <c r="D4" s="104" t="s">
        <v>53</v>
      </c>
      <c r="E4" s="104" t="s">
        <v>54</v>
      </c>
      <c r="F4" s="104" t="s">
        <v>55</v>
      </c>
      <c r="G4" s="104" t="s">
        <v>56</v>
      </c>
      <c r="H4" s="104" t="s">
        <v>57</v>
      </c>
      <c r="I4" s="104" t="s">
        <v>58</v>
      </c>
      <c r="J4" s="104" t="s">
        <v>59</v>
      </c>
      <c r="K4" s="104" t="s">
        <v>60</v>
      </c>
      <c r="L4" s="104" t="s">
        <v>61</v>
      </c>
      <c r="M4" s="104" t="s">
        <v>62</v>
      </c>
      <c r="N4" s="104" t="s">
        <v>63</v>
      </c>
    </row>
    <row r="5">
      <c r="A5" s="96" t="s">
        <v>64</v>
      </c>
      <c r="B5" s="105">
        <v>2.0</v>
      </c>
      <c r="C5" s="105">
        <v>0.0</v>
      </c>
      <c r="D5" s="105">
        <v>0.0</v>
      </c>
      <c r="E5" s="105">
        <v>0.0</v>
      </c>
      <c r="F5" s="105">
        <v>0.0</v>
      </c>
      <c r="G5" s="105">
        <v>0.0</v>
      </c>
      <c r="H5" s="105"/>
      <c r="I5" s="105"/>
      <c r="J5" s="105"/>
      <c r="K5" s="105"/>
      <c r="L5" s="105"/>
      <c r="M5" s="105"/>
      <c r="N5" s="106"/>
    </row>
    <row r="6">
      <c r="A6" s="106" t="s">
        <v>65</v>
      </c>
      <c r="B6" s="105">
        <v>0.0</v>
      </c>
      <c r="C6" s="105">
        <v>0.0</v>
      </c>
      <c r="D6" s="105">
        <v>0.0</v>
      </c>
      <c r="E6" s="107">
        <v>0.0</v>
      </c>
      <c r="F6" s="107">
        <v>0.0</v>
      </c>
      <c r="G6" s="105">
        <v>1.0</v>
      </c>
      <c r="H6" s="107"/>
      <c r="I6" s="107"/>
      <c r="J6" s="107"/>
      <c r="K6" s="107"/>
      <c r="L6" s="107"/>
      <c r="M6" s="107"/>
      <c r="N6" s="106"/>
    </row>
    <row r="7">
      <c r="A7" s="106" t="s">
        <v>66</v>
      </c>
      <c r="B7" s="105">
        <v>0.0</v>
      </c>
      <c r="C7" s="105">
        <v>0.0</v>
      </c>
      <c r="D7" s="105">
        <v>0.0</v>
      </c>
      <c r="E7" s="105">
        <v>1.0</v>
      </c>
      <c r="F7" s="105">
        <v>13.0</v>
      </c>
      <c r="G7" s="105">
        <v>2.0</v>
      </c>
      <c r="H7" s="105"/>
      <c r="I7" s="105"/>
      <c r="J7" s="105"/>
      <c r="K7" s="105"/>
      <c r="L7" s="105"/>
      <c r="M7" s="105"/>
      <c r="N7" s="106"/>
    </row>
    <row r="8">
      <c r="A8" s="106" t="s">
        <v>67</v>
      </c>
      <c r="B8" s="105">
        <v>15.0</v>
      </c>
      <c r="C8" s="105">
        <v>4.0</v>
      </c>
      <c r="D8" s="105">
        <v>5.0</v>
      </c>
      <c r="E8" s="107">
        <v>0.0</v>
      </c>
      <c r="F8" s="107">
        <v>6.0</v>
      </c>
      <c r="G8" s="105">
        <v>2.0</v>
      </c>
      <c r="H8" s="107"/>
      <c r="I8" s="107"/>
      <c r="J8" s="107"/>
      <c r="K8" s="107"/>
      <c r="L8" s="107"/>
      <c r="M8" s="107"/>
      <c r="N8" s="106"/>
    </row>
    <row r="9">
      <c r="A9" s="106" t="s">
        <v>68</v>
      </c>
      <c r="B9" s="105">
        <v>0.0</v>
      </c>
      <c r="C9" s="105">
        <v>0.0</v>
      </c>
      <c r="D9" s="105">
        <v>2.0</v>
      </c>
      <c r="E9" s="105">
        <v>0.0</v>
      </c>
      <c r="F9" s="105">
        <v>0.0</v>
      </c>
      <c r="G9" s="105">
        <v>0.0</v>
      </c>
      <c r="H9" s="105"/>
      <c r="I9" s="105"/>
      <c r="J9" s="105"/>
      <c r="K9" s="105"/>
      <c r="L9" s="105"/>
      <c r="M9" s="105"/>
      <c r="N9" s="106"/>
    </row>
    <row r="10">
      <c r="A10" s="106" t="s">
        <v>69</v>
      </c>
      <c r="B10" s="105">
        <v>0.0</v>
      </c>
      <c r="C10" s="105">
        <v>3.0</v>
      </c>
      <c r="D10" s="105">
        <v>0.0</v>
      </c>
      <c r="E10" s="107">
        <v>0.0</v>
      </c>
      <c r="F10" s="107">
        <v>0.0</v>
      </c>
      <c r="G10" s="105">
        <v>0.0</v>
      </c>
      <c r="H10" s="107"/>
      <c r="I10" s="107"/>
      <c r="J10" s="107"/>
      <c r="K10" s="107"/>
      <c r="L10" s="107"/>
      <c r="M10" s="107"/>
      <c r="N10" s="106"/>
    </row>
    <row r="11">
      <c r="A11" s="106" t="s">
        <v>70</v>
      </c>
      <c r="B11" s="105">
        <v>0.0</v>
      </c>
      <c r="C11" s="105">
        <v>0.0</v>
      </c>
      <c r="D11" s="105">
        <v>0.0</v>
      </c>
      <c r="E11" s="105">
        <v>0.0</v>
      </c>
      <c r="F11" s="105">
        <v>0.0</v>
      </c>
      <c r="G11" s="105">
        <v>0.0</v>
      </c>
      <c r="H11" s="105"/>
      <c r="I11" s="105"/>
      <c r="J11" s="105"/>
      <c r="K11" s="105"/>
      <c r="L11" s="105"/>
      <c r="M11" s="105"/>
      <c r="N11" s="106"/>
    </row>
    <row r="12">
      <c r="A12" s="106" t="s">
        <v>71</v>
      </c>
      <c r="B12" s="105">
        <v>0.0</v>
      </c>
      <c r="C12" s="105">
        <v>0.0</v>
      </c>
      <c r="D12" s="105">
        <v>0.0</v>
      </c>
      <c r="E12" s="107">
        <v>0.0</v>
      </c>
      <c r="F12" s="107">
        <v>0.0</v>
      </c>
      <c r="G12" s="105">
        <v>0.0</v>
      </c>
      <c r="H12" s="107"/>
      <c r="I12" s="107"/>
      <c r="J12" s="107"/>
      <c r="K12" s="107"/>
      <c r="L12" s="107"/>
      <c r="M12" s="107"/>
      <c r="N12" s="106"/>
    </row>
    <row r="13">
      <c r="A13" s="106" t="s">
        <v>72</v>
      </c>
      <c r="B13" s="105">
        <v>2.0</v>
      </c>
      <c r="C13" s="105">
        <v>0.0</v>
      </c>
      <c r="D13" s="105">
        <v>0.0</v>
      </c>
      <c r="E13" s="105">
        <v>0.0</v>
      </c>
      <c r="F13" s="105">
        <v>0.0</v>
      </c>
      <c r="G13" s="105">
        <v>0.0</v>
      </c>
      <c r="H13" s="105"/>
      <c r="I13" s="105"/>
      <c r="J13" s="105"/>
      <c r="K13" s="105"/>
      <c r="L13" s="105"/>
      <c r="M13" s="105"/>
      <c r="N13" s="106"/>
    </row>
    <row r="14">
      <c r="A14" s="106" t="s">
        <v>73</v>
      </c>
      <c r="B14" s="105">
        <v>0.0</v>
      </c>
      <c r="C14" s="105">
        <v>0.0</v>
      </c>
      <c r="D14" s="105">
        <v>0.0</v>
      </c>
      <c r="E14" s="107">
        <v>0.0</v>
      </c>
      <c r="F14" s="107">
        <v>0.0</v>
      </c>
      <c r="G14" s="105">
        <v>0.0</v>
      </c>
      <c r="H14" s="107"/>
      <c r="I14" s="107"/>
      <c r="J14" s="107"/>
      <c r="K14" s="107"/>
      <c r="L14" s="107"/>
      <c r="M14" s="107"/>
      <c r="N14" s="106"/>
    </row>
    <row r="15">
      <c r="A15" s="108" t="s">
        <v>74</v>
      </c>
      <c r="B15" s="109">
        <v>3.0</v>
      </c>
      <c r="C15" s="109">
        <v>0.0</v>
      </c>
      <c r="D15" s="109">
        <v>1.0</v>
      </c>
      <c r="E15" s="109">
        <v>4.0</v>
      </c>
      <c r="F15" s="109">
        <v>7.0</v>
      </c>
      <c r="G15" s="109">
        <v>1.0</v>
      </c>
      <c r="H15" s="109"/>
      <c r="I15" s="109"/>
      <c r="J15" s="109"/>
      <c r="K15" s="109"/>
      <c r="L15" s="109"/>
      <c r="M15" s="109"/>
      <c r="N15" s="108"/>
    </row>
    <row r="16">
      <c r="A16" s="106" t="s">
        <v>75</v>
      </c>
      <c r="B16" s="105">
        <v>0.0</v>
      </c>
      <c r="C16" s="105">
        <v>0.0</v>
      </c>
      <c r="D16" s="105">
        <v>0.0</v>
      </c>
      <c r="E16" s="107">
        <v>0.0</v>
      </c>
      <c r="F16" s="107">
        <v>0.0</v>
      </c>
      <c r="G16" s="105">
        <v>0.0</v>
      </c>
      <c r="H16" s="107"/>
      <c r="I16" s="107"/>
      <c r="J16" s="107"/>
      <c r="K16" s="107"/>
      <c r="L16" s="107"/>
      <c r="M16" s="107"/>
      <c r="N16" s="106"/>
    </row>
    <row r="17">
      <c r="A17" s="106" t="s">
        <v>76</v>
      </c>
      <c r="B17" s="105">
        <v>0.0</v>
      </c>
      <c r="C17" s="105">
        <v>0.0</v>
      </c>
      <c r="D17" s="105">
        <v>0.0</v>
      </c>
      <c r="E17" s="105">
        <v>0.0</v>
      </c>
      <c r="F17" s="105">
        <v>0.0</v>
      </c>
      <c r="G17" s="105">
        <v>0.0</v>
      </c>
      <c r="H17" s="105"/>
      <c r="I17" s="105"/>
      <c r="J17" s="105"/>
      <c r="K17" s="105"/>
      <c r="L17" s="105"/>
      <c r="M17" s="105"/>
      <c r="N17" s="106"/>
    </row>
    <row r="18">
      <c r="A18" s="106" t="s">
        <v>77</v>
      </c>
      <c r="B18" s="105">
        <v>1.0</v>
      </c>
      <c r="C18" s="105">
        <v>0.0</v>
      </c>
      <c r="D18" s="105">
        <v>0.0</v>
      </c>
      <c r="E18" s="107">
        <v>0.0</v>
      </c>
      <c r="F18" s="107">
        <v>0.0</v>
      </c>
      <c r="G18" s="105">
        <v>0.0</v>
      </c>
      <c r="H18" s="107"/>
      <c r="I18" s="107"/>
      <c r="J18" s="107"/>
      <c r="K18" s="107"/>
      <c r="L18" s="107"/>
      <c r="M18" s="107"/>
      <c r="N18" s="106"/>
    </row>
    <row r="19">
      <c r="A19" s="106" t="s">
        <v>78</v>
      </c>
      <c r="B19" s="105">
        <v>0.0</v>
      </c>
      <c r="C19" s="105">
        <v>0.0</v>
      </c>
      <c r="D19" s="105">
        <v>0.0</v>
      </c>
      <c r="E19" s="105">
        <v>1.0</v>
      </c>
      <c r="F19" s="105">
        <v>0.0</v>
      </c>
      <c r="G19" s="105">
        <v>0.0</v>
      </c>
      <c r="H19" s="105"/>
      <c r="I19" s="105"/>
      <c r="J19" s="105"/>
      <c r="K19" s="105"/>
      <c r="L19" s="105"/>
      <c r="M19" s="105"/>
      <c r="N19" s="106"/>
    </row>
    <row r="20">
      <c r="A20" s="106" t="s">
        <v>79</v>
      </c>
      <c r="B20" s="105">
        <v>0.0</v>
      </c>
      <c r="C20" s="105">
        <v>0.0</v>
      </c>
      <c r="D20" s="105">
        <v>0.0</v>
      </c>
      <c r="E20" s="107">
        <v>0.0</v>
      </c>
      <c r="F20" s="107">
        <v>0.0</v>
      </c>
      <c r="G20" s="105">
        <v>0.0</v>
      </c>
      <c r="H20" s="107"/>
      <c r="I20" s="107"/>
      <c r="J20" s="107"/>
      <c r="K20" s="107"/>
      <c r="L20" s="107"/>
      <c r="M20" s="107"/>
      <c r="N20" s="106"/>
    </row>
    <row r="21">
      <c r="A21" s="106" t="s">
        <v>80</v>
      </c>
      <c r="B21" s="105">
        <v>0.0</v>
      </c>
      <c r="C21" s="105">
        <v>0.0</v>
      </c>
      <c r="D21" s="105">
        <v>0.0</v>
      </c>
      <c r="E21" s="105">
        <v>0.0</v>
      </c>
      <c r="F21" s="105">
        <v>0.0</v>
      </c>
      <c r="G21" s="105">
        <v>0.0</v>
      </c>
      <c r="H21" s="105"/>
      <c r="I21" s="105"/>
      <c r="J21" s="105"/>
      <c r="K21" s="105"/>
      <c r="L21" s="105"/>
      <c r="M21" s="105"/>
      <c r="N21" s="106"/>
    </row>
    <row r="22">
      <c r="A22" s="106" t="s">
        <v>81</v>
      </c>
      <c r="B22" s="105">
        <v>0.0</v>
      </c>
      <c r="C22" s="105">
        <v>0.0</v>
      </c>
      <c r="D22" s="105">
        <v>0.0</v>
      </c>
      <c r="E22" s="107">
        <v>0.0</v>
      </c>
      <c r="F22" s="107">
        <v>0.0</v>
      </c>
      <c r="G22" s="105">
        <v>0.0</v>
      </c>
      <c r="H22" s="107"/>
      <c r="I22" s="107"/>
      <c r="J22" s="107"/>
      <c r="K22" s="107"/>
      <c r="L22" s="107"/>
      <c r="M22" s="107"/>
      <c r="N22" s="106"/>
    </row>
    <row r="23">
      <c r="A23" s="106" t="s">
        <v>82</v>
      </c>
      <c r="B23" s="105">
        <v>0.0</v>
      </c>
      <c r="C23" s="105">
        <v>0.0</v>
      </c>
      <c r="D23" s="105">
        <v>0.0</v>
      </c>
      <c r="E23" s="105">
        <v>0.0</v>
      </c>
      <c r="F23" s="105">
        <v>0.0</v>
      </c>
      <c r="G23" s="105">
        <v>0.0</v>
      </c>
      <c r="H23" s="105"/>
      <c r="I23" s="105"/>
      <c r="J23" s="105"/>
      <c r="K23" s="105"/>
      <c r="L23" s="105"/>
      <c r="M23" s="105"/>
      <c r="N23" s="106"/>
    </row>
    <row r="24">
      <c r="A24" s="106" t="s">
        <v>83</v>
      </c>
      <c r="B24" s="105">
        <v>3.0</v>
      </c>
      <c r="C24" s="105">
        <v>0.0</v>
      </c>
      <c r="D24" s="105">
        <v>0.0</v>
      </c>
      <c r="E24" s="107">
        <v>0.0</v>
      </c>
      <c r="F24" s="107">
        <v>2.0</v>
      </c>
      <c r="G24" s="105">
        <v>4.0</v>
      </c>
      <c r="H24" s="107"/>
      <c r="I24" s="107"/>
      <c r="J24" s="107"/>
      <c r="K24" s="107"/>
      <c r="L24" s="107"/>
      <c r="M24" s="107"/>
      <c r="N24" s="106"/>
    </row>
    <row r="25">
      <c r="A25" s="106" t="s">
        <v>84</v>
      </c>
      <c r="B25" s="105">
        <v>0.0</v>
      </c>
      <c r="C25" s="105">
        <v>0.0</v>
      </c>
      <c r="D25" s="105">
        <v>5.0</v>
      </c>
      <c r="E25" s="105">
        <v>4.0</v>
      </c>
      <c r="F25" s="105">
        <v>0.0</v>
      </c>
      <c r="G25" s="105">
        <v>0.0</v>
      </c>
      <c r="H25" s="105"/>
      <c r="I25" s="105"/>
      <c r="J25" s="105"/>
      <c r="K25" s="105"/>
      <c r="L25" s="105"/>
      <c r="M25" s="105"/>
      <c r="N25" s="106"/>
    </row>
    <row r="26">
      <c r="A26" s="106" t="s">
        <v>85</v>
      </c>
      <c r="B26" s="105">
        <v>2.0</v>
      </c>
      <c r="C26" s="105">
        <v>0.0</v>
      </c>
      <c r="D26" s="105">
        <v>0.0</v>
      </c>
      <c r="E26" s="107">
        <v>0.0</v>
      </c>
      <c r="F26" s="107">
        <v>0.0</v>
      </c>
      <c r="G26" s="105">
        <v>1.0</v>
      </c>
      <c r="H26" s="107"/>
      <c r="I26" s="107"/>
      <c r="J26" s="107"/>
      <c r="K26" s="107"/>
      <c r="L26" s="107"/>
      <c r="M26" s="107"/>
      <c r="N26" s="106"/>
    </row>
    <row r="27">
      <c r="A27" s="106" t="s">
        <v>86</v>
      </c>
      <c r="B27" s="105">
        <v>0.0</v>
      </c>
      <c r="C27" s="105">
        <v>0.0</v>
      </c>
      <c r="D27" s="105">
        <v>0.0</v>
      </c>
      <c r="E27" s="105">
        <v>0.0</v>
      </c>
      <c r="F27" s="105">
        <v>0.0</v>
      </c>
      <c r="G27" s="105">
        <v>0.0</v>
      </c>
      <c r="H27" s="105"/>
      <c r="I27" s="105"/>
      <c r="J27" s="105"/>
      <c r="K27" s="105"/>
      <c r="L27" s="105"/>
      <c r="M27" s="105"/>
      <c r="N27" s="106"/>
    </row>
    <row r="28">
      <c r="A28" s="106" t="s">
        <v>87</v>
      </c>
      <c r="B28" s="105">
        <v>0.0</v>
      </c>
      <c r="C28" s="105">
        <v>0.0</v>
      </c>
      <c r="D28" s="105">
        <v>0.0</v>
      </c>
      <c r="E28" s="107">
        <v>0.0</v>
      </c>
      <c r="F28" s="107">
        <v>0.0</v>
      </c>
      <c r="G28" s="105">
        <v>0.0</v>
      </c>
      <c r="H28" s="107"/>
      <c r="I28" s="107"/>
      <c r="J28" s="107"/>
      <c r="K28" s="107"/>
      <c r="L28" s="107"/>
      <c r="M28" s="107"/>
      <c r="N28" s="106"/>
    </row>
    <row r="29">
      <c r="A29" s="106" t="s">
        <v>88</v>
      </c>
      <c r="B29" s="105">
        <v>0.0</v>
      </c>
      <c r="C29" s="105">
        <v>0.0</v>
      </c>
      <c r="D29" s="105">
        <v>0.0</v>
      </c>
      <c r="E29" s="105">
        <v>0.0</v>
      </c>
      <c r="F29" s="105">
        <v>0.0</v>
      </c>
      <c r="G29" s="105">
        <v>0.0</v>
      </c>
      <c r="H29" s="105"/>
      <c r="I29" s="105"/>
      <c r="J29" s="105"/>
      <c r="K29" s="105"/>
      <c r="L29" s="105"/>
      <c r="M29" s="105"/>
      <c r="N29" s="106"/>
    </row>
    <row r="30">
      <c r="A30" s="106" t="s">
        <v>89</v>
      </c>
      <c r="B30" s="105">
        <v>6.0</v>
      </c>
      <c r="C30" s="105">
        <v>4.0</v>
      </c>
      <c r="D30" s="105">
        <v>2.0</v>
      </c>
      <c r="E30" s="107">
        <v>0.0</v>
      </c>
      <c r="F30" s="107">
        <v>0.0</v>
      </c>
      <c r="G30" s="105">
        <v>4.0</v>
      </c>
      <c r="H30" s="107"/>
      <c r="I30" s="107"/>
      <c r="J30" s="107"/>
      <c r="K30" s="107"/>
      <c r="L30" s="107"/>
      <c r="M30" s="107"/>
      <c r="N30" s="106"/>
    </row>
    <row r="31">
      <c r="A31" s="106" t="s">
        <v>90</v>
      </c>
      <c r="B31" s="105">
        <v>0.0</v>
      </c>
      <c r="C31" s="105">
        <v>0.0</v>
      </c>
      <c r="D31" s="105">
        <v>0.0</v>
      </c>
      <c r="E31" s="105">
        <v>0.0</v>
      </c>
      <c r="F31" s="105">
        <v>0.0</v>
      </c>
      <c r="G31" s="105">
        <v>0.0</v>
      </c>
      <c r="H31" s="105"/>
      <c r="I31" s="105"/>
      <c r="J31" s="105"/>
      <c r="K31" s="105"/>
      <c r="L31" s="105"/>
      <c r="M31" s="105"/>
      <c r="N31" s="106"/>
    </row>
    <row r="32">
      <c r="A32" s="106" t="s">
        <v>91</v>
      </c>
      <c r="B32" s="105">
        <v>0.0</v>
      </c>
      <c r="C32" s="105">
        <v>0.0</v>
      </c>
      <c r="D32" s="105">
        <v>0.0</v>
      </c>
      <c r="E32" s="107">
        <v>0.0</v>
      </c>
      <c r="F32" s="107">
        <v>0.0</v>
      </c>
      <c r="G32" s="105">
        <v>0.0</v>
      </c>
      <c r="H32" s="107"/>
      <c r="I32" s="107"/>
      <c r="J32" s="107"/>
      <c r="K32" s="107"/>
      <c r="L32" s="107"/>
      <c r="M32" s="107"/>
      <c r="N32" s="106"/>
    </row>
    <row r="33">
      <c r="A33" s="110" t="s">
        <v>92</v>
      </c>
      <c r="B33" s="111">
        <v>29196.0</v>
      </c>
      <c r="C33" s="111">
        <v>17392.0</v>
      </c>
      <c r="D33" s="111">
        <v>6659.0</v>
      </c>
      <c r="E33" s="112">
        <v>8691.0</v>
      </c>
      <c r="F33" s="112">
        <v>11081.0</v>
      </c>
      <c r="G33" s="111">
        <v>14337.0</v>
      </c>
      <c r="H33" s="112"/>
      <c r="I33" s="111"/>
      <c r="J33" s="111"/>
      <c r="K33" s="111"/>
      <c r="L33" s="111"/>
      <c r="M33" s="111"/>
      <c r="N33" s="110"/>
    </row>
    <row r="34">
      <c r="A34" s="106" t="s">
        <v>93</v>
      </c>
      <c r="B34" s="105">
        <v>0.0</v>
      </c>
      <c r="C34" s="105">
        <v>0.0</v>
      </c>
      <c r="D34" s="105">
        <v>0.0</v>
      </c>
      <c r="E34" s="107">
        <v>0.0</v>
      </c>
      <c r="F34" s="107">
        <v>0.0</v>
      </c>
      <c r="G34" s="105">
        <v>0.0</v>
      </c>
      <c r="H34" s="107"/>
      <c r="I34" s="107"/>
      <c r="J34" s="107"/>
      <c r="K34" s="107"/>
      <c r="L34" s="107"/>
      <c r="M34" s="107"/>
      <c r="N34" s="106"/>
    </row>
    <row r="35">
      <c r="A35" s="106" t="s">
        <v>94</v>
      </c>
      <c r="B35" s="105">
        <v>0.0</v>
      </c>
      <c r="C35" s="105"/>
      <c r="D35" s="105">
        <v>0.0</v>
      </c>
      <c r="E35" s="105">
        <v>0.0</v>
      </c>
      <c r="F35" s="105">
        <v>0.0</v>
      </c>
      <c r="G35" s="105">
        <v>2.0</v>
      </c>
      <c r="H35" s="105"/>
      <c r="I35" s="105"/>
      <c r="J35" s="105"/>
      <c r="K35" s="105"/>
      <c r="L35" s="105"/>
      <c r="M35" s="105"/>
      <c r="N35" s="106"/>
    </row>
    <row r="36">
      <c r="A36" s="106" t="s">
        <v>95</v>
      </c>
      <c r="B36" s="105">
        <v>0.0</v>
      </c>
      <c r="C36" s="105">
        <v>0.0</v>
      </c>
      <c r="D36" s="105">
        <v>0.0</v>
      </c>
      <c r="E36" s="107">
        <v>0.0</v>
      </c>
      <c r="F36" s="107">
        <v>0.0</v>
      </c>
      <c r="G36" s="105">
        <v>0.0</v>
      </c>
      <c r="H36" s="107"/>
      <c r="I36" s="107"/>
      <c r="J36" s="107"/>
      <c r="K36" s="107"/>
      <c r="L36" s="107"/>
      <c r="M36" s="107"/>
      <c r="N36" s="106"/>
    </row>
    <row r="37">
      <c r="A37" s="106" t="s">
        <v>96</v>
      </c>
      <c r="B37" s="105">
        <v>0.0</v>
      </c>
      <c r="C37" s="105">
        <v>0.0</v>
      </c>
      <c r="D37" s="105">
        <v>0.0</v>
      </c>
      <c r="E37" s="105">
        <v>0.0</v>
      </c>
      <c r="F37" s="105">
        <v>0.0</v>
      </c>
      <c r="G37" s="105">
        <v>0.0</v>
      </c>
      <c r="H37" s="105"/>
      <c r="I37" s="105"/>
      <c r="J37" s="105"/>
      <c r="K37" s="105"/>
      <c r="L37" s="105"/>
      <c r="M37" s="105"/>
      <c r="N37" s="106"/>
    </row>
    <row r="38">
      <c r="A38" s="106" t="s">
        <v>97</v>
      </c>
      <c r="B38" s="105">
        <v>0.0</v>
      </c>
      <c r="C38" s="105">
        <v>0.0</v>
      </c>
      <c r="D38" s="105">
        <v>0.0</v>
      </c>
      <c r="E38" s="107">
        <v>0.0</v>
      </c>
      <c r="F38" s="107">
        <v>0.0</v>
      </c>
      <c r="G38" s="105">
        <v>0.0</v>
      </c>
      <c r="H38" s="107"/>
      <c r="I38" s="107"/>
      <c r="J38" s="107"/>
      <c r="K38" s="107"/>
      <c r="L38" s="107"/>
      <c r="M38" s="107"/>
      <c r="N38" s="106"/>
    </row>
    <row r="39">
      <c r="A39" s="106" t="s">
        <v>98</v>
      </c>
      <c r="B39" s="105">
        <v>0.0</v>
      </c>
      <c r="C39" s="105">
        <v>0.0</v>
      </c>
      <c r="D39" s="105">
        <v>0.0</v>
      </c>
      <c r="E39" s="105">
        <v>0.0</v>
      </c>
      <c r="F39" s="105">
        <v>0.0</v>
      </c>
      <c r="G39" s="105">
        <v>0.0</v>
      </c>
      <c r="H39" s="105"/>
      <c r="I39" s="105"/>
      <c r="J39" s="105"/>
      <c r="K39" s="105"/>
      <c r="L39" s="105"/>
      <c r="M39" s="105"/>
      <c r="N39" s="106"/>
    </row>
    <row r="40">
      <c r="A40" s="106" t="s">
        <v>99</v>
      </c>
      <c r="B40" s="105">
        <v>0.0</v>
      </c>
      <c r="C40" s="105">
        <v>0.0</v>
      </c>
      <c r="D40" s="105">
        <v>0.0</v>
      </c>
      <c r="E40" s="107">
        <v>0.0</v>
      </c>
      <c r="F40" s="107">
        <v>0.0</v>
      </c>
      <c r="G40" s="105">
        <v>0.0</v>
      </c>
      <c r="H40" s="107"/>
      <c r="I40" s="107"/>
      <c r="J40" s="107"/>
      <c r="K40" s="107"/>
      <c r="L40" s="107"/>
      <c r="M40" s="107"/>
      <c r="N40" s="106"/>
    </row>
    <row r="41">
      <c r="A41" s="106" t="s">
        <v>100</v>
      </c>
      <c r="B41" s="105">
        <v>0.0</v>
      </c>
      <c r="C41" s="105">
        <v>0.0</v>
      </c>
      <c r="D41" s="105">
        <v>0.0</v>
      </c>
      <c r="E41" s="105">
        <v>0.0</v>
      </c>
      <c r="F41" s="105">
        <v>0.0</v>
      </c>
      <c r="G41" s="105">
        <v>0.0</v>
      </c>
      <c r="H41" s="105"/>
      <c r="I41" s="105"/>
      <c r="J41" s="105"/>
      <c r="K41" s="105"/>
      <c r="L41" s="105"/>
      <c r="M41" s="105"/>
      <c r="N41" s="106"/>
    </row>
    <row r="42">
      <c r="A42" s="106" t="s">
        <v>101</v>
      </c>
      <c r="B42" s="105">
        <v>0.0</v>
      </c>
      <c r="C42" s="105">
        <v>2.0</v>
      </c>
      <c r="D42" s="105">
        <v>2.0</v>
      </c>
      <c r="E42" s="107">
        <v>1.0</v>
      </c>
      <c r="F42" s="107">
        <v>0.0</v>
      </c>
      <c r="G42" s="105">
        <v>0.0</v>
      </c>
      <c r="H42" s="107"/>
      <c r="I42" s="107"/>
      <c r="J42" s="107"/>
      <c r="K42" s="107"/>
      <c r="L42" s="107"/>
      <c r="M42" s="107"/>
      <c r="N42" s="106"/>
    </row>
    <row r="43">
      <c r="A43" s="106" t="s">
        <v>102</v>
      </c>
      <c r="B43" s="105">
        <v>0.0</v>
      </c>
      <c r="C43" s="105">
        <v>0.0</v>
      </c>
      <c r="D43" s="105">
        <v>0.0</v>
      </c>
      <c r="E43" s="105">
        <v>0.0</v>
      </c>
      <c r="F43" s="105">
        <v>0.0</v>
      </c>
      <c r="G43" s="105">
        <v>0.0</v>
      </c>
      <c r="H43" s="105"/>
      <c r="I43" s="105"/>
      <c r="J43" s="105"/>
      <c r="K43" s="105"/>
      <c r="L43" s="105"/>
      <c r="M43" s="105"/>
      <c r="N43" s="106"/>
    </row>
    <row r="44">
      <c r="A44" s="106" t="s">
        <v>103</v>
      </c>
      <c r="B44" s="105">
        <v>0.0</v>
      </c>
      <c r="C44" s="105">
        <v>0.0</v>
      </c>
      <c r="D44" s="105">
        <v>0.0</v>
      </c>
      <c r="E44" s="107">
        <v>0.0</v>
      </c>
      <c r="F44" s="107">
        <v>0.0</v>
      </c>
      <c r="G44" s="105">
        <v>0.0</v>
      </c>
      <c r="H44" s="107"/>
      <c r="I44" s="107"/>
      <c r="J44" s="107"/>
      <c r="K44" s="107"/>
      <c r="L44" s="107"/>
      <c r="M44" s="107"/>
      <c r="N44" s="106"/>
    </row>
    <row r="45">
      <c r="A45" s="106" t="s">
        <v>104</v>
      </c>
      <c r="B45" s="105">
        <v>0.0</v>
      </c>
      <c r="C45" s="105">
        <v>0.0</v>
      </c>
      <c r="D45" s="105">
        <v>0.0</v>
      </c>
      <c r="E45" s="105">
        <v>0.0</v>
      </c>
      <c r="F45" s="105">
        <v>0.0</v>
      </c>
      <c r="G45" s="105">
        <v>0.0</v>
      </c>
      <c r="H45" s="105"/>
      <c r="I45" s="105"/>
      <c r="J45" s="105"/>
      <c r="K45" s="105"/>
      <c r="L45" s="105"/>
      <c r="M45" s="105"/>
      <c r="N45" s="106"/>
    </row>
    <row r="46">
      <c r="A46" s="106" t="s">
        <v>105</v>
      </c>
      <c r="B46" s="105">
        <v>9.0</v>
      </c>
      <c r="C46" s="105">
        <v>3.0</v>
      </c>
      <c r="D46" s="105">
        <v>12.0</v>
      </c>
      <c r="E46" s="107">
        <v>1.0</v>
      </c>
      <c r="F46" s="107">
        <v>4.0</v>
      </c>
      <c r="G46" s="105">
        <v>4.0</v>
      </c>
      <c r="H46" s="107"/>
      <c r="I46" s="107"/>
      <c r="J46" s="107"/>
      <c r="K46" s="107"/>
      <c r="L46" s="107"/>
      <c r="M46" s="107"/>
      <c r="N46" s="106"/>
    </row>
    <row r="47">
      <c r="A47" s="106" t="s">
        <v>106</v>
      </c>
      <c r="B47" s="105">
        <v>18.0</v>
      </c>
      <c r="C47" s="105">
        <v>1.0</v>
      </c>
      <c r="D47" s="105">
        <v>0.0</v>
      </c>
      <c r="E47" s="105">
        <v>4.0</v>
      </c>
      <c r="F47" s="105">
        <v>2.0</v>
      </c>
      <c r="G47" s="105">
        <v>11.0</v>
      </c>
      <c r="H47" s="105"/>
      <c r="I47" s="105"/>
      <c r="J47" s="105"/>
      <c r="K47" s="105"/>
      <c r="L47" s="105"/>
      <c r="M47" s="105"/>
      <c r="N47" s="106"/>
    </row>
    <row r="48">
      <c r="A48" s="106" t="s">
        <v>107</v>
      </c>
      <c r="B48" s="105">
        <v>0.0</v>
      </c>
      <c r="C48" s="105">
        <v>0.0</v>
      </c>
      <c r="D48" s="105">
        <v>0.0</v>
      </c>
      <c r="E48" s="107">
        <v>0.0</v>
      </c>
      <c r="F48" s="107">
        <v>0.0</v>
      </c>
      <c r="G48" s="105">
        <v>0.0</v>
      </c>
      <c r="H48" s="107"/>
      <c r="I48" s="107"/>
      <c r="J48" s="107"/>
      <c r="K48" s="107"/>
      <c r="L48" s="107"/>
      <c r="M48" s="107"/>
      <c r="N48" s="106"/>
    </row>
    <row r="49">
      <c r="A49" s="106" t="s">
        <v>108</v>
      </c>
      <c r="B49" s="105">
        <v>0.0</v>
      </c>
      <c r="C49" s="105">
        <v>0.0</v>
      </c>
      <c r="D49" s="105">
        <v>0.0</v>
      </c>
      <c r="E49" s="105">
        <v>0.0</v>
      </c>
      <c r="F49" s="105">
        <v>0.0</v>
      </c>
      <c r="G49" s="105">
        <v>0.0</v>
      </c>
      <c r="H49" s="105"/>
      <c r="I49" s="105"/>
      <c r="J49" s="105"/>
      <c r="K49" s="105"/>
      <c r="L49" s="105"/>
      <c r="M49" s="105"/>
      <c r="N49" s="106"/>
    </row>
    <row r="50">
      <c r="A50" s="106" t="s">
        <v>109</v>
      </c>
      <c r="B50" s="105">
        <v>34.0</v>
      </c>
      <c r="C50" s="105">
        <v>6.0</v>
      </c>
      <c r="D50" s="105">
        <v>6.0</v>
      </c>
      <c r="E50" s="107">
        <v>14.0</v>
      </c>
      <c r="F50" s="107">
        <v>20.0</v>
      </c>
      <c r="G50" s="107">
        <v>16.0</v>
      </c>
      <c r="I50" s="107"/>
      <c r="J50" s="107"/>
      <c r="K50" s="107"/>
      <c r="L50" s="107"/>
      <c r="M50" s="107"/>
      <c r="N50" s="106"/>
    </row>
    <row r="51">
      <c r="A51" s="106" t="s">
        <v>110</v>
      </c>
      <c r="B51" s="105">
        <v>0.0</v>
      </c>
      <c r="C51" s="105">
        <v>0.0</v>
      </c>
      <c r="D51" s="105">
        <v>0.0</v>
      </c>
      <c r="E51" s="105">
        <v>0.0</v>
      </c>
      <c r="F51" s="105">
        <v>0.0</v>
      </c>
      <c r="G51" s="105">
        <v>0.0</v>
      </c>
      <c r="H51" s="105"/>
      <c r="I51" s="105"/>
      <c r="J51" s="105"/>
      <c r="K51" s="105"/>
      <c r="L51" s="105"/>
      <c r="M51" s="105"/>
      <c r="N51" s="106"/>
    </row>
    <row r="52">
      <c r="A52" s="106" t="s">
        <v>111</v>
      </c>
      <c r="B52" s="105">
        <v>0.0</v>
      </c>
      <c r="C52" s="105">
        <v>0.0</v>
      </c>
      <c r="D52" s="105">
        <v>0.0</v>
      </c>
      <c r="E52" s="107">
        <v>0.0</v>
      </c>
      <c r="F52" s="107">
        <v>0.0</v>
      </c>
      <c r="G52" s="105">
        <v>0.0</v>
      </c>
      <c r="H52" s="107"/>
      <c r="I52" s="107"/>
      <c r="J52" s="107"/>
      <c r="K52" s="107"/>
      <c r="L52" s="107"/>
      <c r="M52" s="107"/>
      <c r="N52" s="106"/>
    </row>
    <row r="53">
      <c r="A53" s="106" t="s">
        <v>112</v>
      </c>
      <c r="B53" s="105">
        <v>0.0</v>
      </c>
      <c r="C53" s="105">
        <v>4.0</v>
      </c>
      <c r="D53" s="105">
        <v>0.0</v>
      </c>
      <c r="E53" s="105">
        <v>0.0</v>
      </c>
      <c r="F53" s="105">
        <v>0.0</v>
      </c>
      <c r="G53" s="105">
        <v>0.0</v>
      </c>
      <c r="H53" s="105"/>
      <c r="I53" s="105"/>
      <c r="J53" s="105"/>
      <c r="K53" s="105"/>
      <c r="L53" s="105"/>
      <c r="M53" s="105"/>
      <c r="N53" s="106"/>
    </row>
    <row r="54">
      <c r="A54" s="106" t="s">
        <v>113</v>
      </c>
      <c r="B54" s="105">
        <v>0.0</v>
      </c>
      <c r="C54" s="105">
        <v>4.0</v>
      </c>
      <c r="D54" s="105">
        <v>1.0</v>
      </c>
      <c r="E54" s="107">
        <v>3.0</v>
      </c>
      <c r="F54" s="107">
        <v>0.0</v>
      </c>
      <c r="G54" s="105">
        <v>0.0</v>
      </c>
      <c r="H54" s="107"/>
      <c r="I54" s="107"/>
      <c r="J54" s="107"/>
      <c r="K54" s="107"/>
      <c r="L54" s="107"/>
      <c r="M54" s="107"/>
      <c r="N54" s="106"/>
    </row>
    <row r="55">
      <c r="A55" s="106" t="s">
        <v>114</v>
      </c>
      <c r="B55" s="105">
        <v>0.0</v>
      </c>
      <c r="C55" s="105">
        <v>0.0</v>
      </c>
      <c r="D55" s="105">
        <v>0.0</v>
      </c>
      <c r="E55" s="105">
        <v>0.0</v>
      </c>
      <c r="F55" s="105">
        <v>0.0</v>
      </c>
      <c r="G55" s="105">
        <v>0.0</v>
      </c>
      <c r="H55" s="105"/>
      <c r="I55" s="105"/>
      <c r="J55" s="105"/>
      <c r="K55" s="105"/>
      <c r="L55" s="105"/>
      <c r="M55" s="105"/>
      <c r="N55" s="106"/>
    </row>
    <row r="56">
      <c r="A56" s="106" t="s">
        <v>115</v>
      </c>
      <c r="B56" s="105">
        <v>11.0</v>
      </c>
      <c r="C56" s="105">
        <v>0.0</v>
      </c>
      <c r="D56" s="105">
        <v>2.0</v>
      </c>
      <c r="E56" s="107">
        <v>1.0</v>
      </c>
      <c r="F56" s="107">
        <v>0.0</v>
      </c>
      <c r="G56" s="105">
        <v>0.0</v>
      </c>
      <c r="H56" s="107"/>
      <c r="I56" s="107"/>
      <c r="J56" s="107"/>
      <c r="K56" s="107"/>
      <c r="L56" s="107"/>
      <c r="M56" s="107"/>
      <c r="N56" s="106"/>
    </row>
    <row r="57">
      <c r="A57" s="106" t="s">
        <v>116</v>
      </c>
      <c r="B57" s="105">
        <v>0.0</v>
      </c>
      <c r="C57" s="105">
        <v>0.0</v>
      </c>
      <c r="D57" s="105">
        <v>0.0</v>
      </c>
      <c r="E57" s="105">
        <v>0.0</v>
      </c>
      <c r="F57" s="105">
        <v>0.0</v>
      </c>
      <c r="G57" s="105">
        <v>2.0</v>
      </c>
      <c r="H57" s="105"/>
      <c r="I57" s="105"/>
      <c r="J57" s="105"/>
      <c r="K57" s="105"/>
      <c r="L57" s="105"/>
      <c r="M57" s="105"/>
      <c r="N57" s="106"/>
    </row>
    <row r="58">
      <c r="A58" s="106" t="s">
        <v>117</v>
      </c>
      <c r="B58" s="105">
        <v>0.0</v>
      </c>
      <c r="C58" s="105">
        <v>2.0</v>
      </c>
      <c r="D58" s="105">
        <v>2.0</v>
      </c>
      <c r="E58" s="107">
        <v>0.0</v>
      </c>
      <c r="F58" s="107">
        <v>2.0</v>
      </c>
      <c r="G58" s="105">
        <v>0.0</v>
      </c>
      <c r="H58" s="107"/>
      <c r="I58" s="107"/>
      <c r="J58" s="107"/>
      <c r="K58" s="107"/>
      <c r="L58" s="107"/>
      <c r="M58" s="107"/>
      <c r="N58" s="106"/>
    </row>
    <row r="59">
      <c r="A59" s="106" t="s">
        <v>118</v>
      </c>
      <c r="B59" s="105">
        <v>0.0</v>
      </c>
      <c r="C59" s="105">
        <v>0.0</v>
      </c>
      <c r="D59" s="105">
        <v>0.0</v>
      </c>
      <c r="E59" s="105">
        <v>0.0</v>
      </c>
      <c r="F59" s="105">
        <v>0.0</v>
      </c>
      <c r="G59" s="105">
        <v>0.0</v>
      </c>
      <c r="H59" s="105"/>
      <c r="I59" s="105"/>
      <c r="J59" s="105"/>
      <c r="K59" s="105"/>
      <c r="L59" s="105"/>
      <c r="M59" s="105"/>
      <c r="N59" s="106"/>
    </row>
    <row r="60">
      <c r="A60" s="106" t="s">
        <v>119</v>
      </c>
      <c r="B60" s="105">
        <v>0.0</v>
      </c>
      <c r="C60" s="105">
        <v>0.0</v>
      </c>
      <c r="D60" s="105">
        <v>0.0</v>
      </c>
      <c r="E60" s="107">
        <v>0.0</v>
      </c>
      <c r="F60" s="107">
        <v>0.0</v>
      </c>
      <c r="G60" s="105">
        <v>0.0</v>
      </c>
      <c r="H60" s="107"/>
      <c r="I60" s="107"/>
      <c r="J60" s="107"/>
      <c r="K60" s="107"/>
      <c r="L60" s="107"/>
      <c r="M60" s="107"/>
      <c r="N60" s="106"/>
    </row>
    <row r="61">
      <c r="A61" s="106" t="s">
        <v>120</v>
      </c>
      <c r="B61" s="105">
        <v>0.0</v>
      </c>
      <c r="C61" s="105">
        <v>0.0</v>
      </c>
      <c r="D61" s="105">
        <v>0.0</v>
      </c>
      <c r="E61" s="105">
        <v>0.0</v>
      </c>
      <c r="F61" s="105">
        <v>0.0</v>
      </c>
      <c r="G61" s="105">
        <v>0.0</v>
      </c>
      <c r="H61" s="105"/>
      <c r="I61" s="105"/>
      <c r="J61" s="105"/>
      <c r="K61" s="105"/>
      <c r="L61" s="105"/>
      <c r="M61" s="105"/>
      <c r="N61" s="106"/>
    </row>
    <row r="62">
      <c r="A62" s="106" t="s">
        <v>121</v>
      </c>
      <c r="B62" s="105">
        <v>0.0</v>
      </c>
      <c r="C62" s="105">
        <v>0.0</v>
      </c>
      <c r="D62" s="105">
        <v>0.0</v>
      </c>
      <c r="E62" s="107">
        <v>0.0</v>
      </c>
      <c r="F62" s="107">
        <v>0.0</v>
      </c>
      <c r="G62" s="105">
        <v>0.0</v>
      </c>
      <c r="H62" s="107"/>
      <c r="I62" s="107"/>
      <c r="J62" s="107"/>
      <c r="K62" s="107"/>
      <c r="L62" s="107"/>
      <c r="M62" s="107"/>
      <c r="N62" s="106"/>
    </row>
    <row r="63">
      <c r="A63" s="106" t="s">
        <v>122</v>
      </c>
      <c r="B63" s="105">
        <v>0.0</v>
      </c>
      <c r="C63" s="105">
        <v>0.0</v>
      </c>
      <c r="D63" s="105">
        <v>0.0</v>
      </c>
      <c r="E63" s="105">
        <v>0.0</v>
      </c>
      <c r="F63" s="105">
        <v>0.0</v>
      </c>
      <c r="G63" s="105">
        <v>0.0</v>
      </c>
      <c r="H63" s="105"/>
      <c r="I63" s="105"/>
      <c r="J63" s="105"/>
      <c r="K63" s="105"/>
      <c r="L63" s="105"/>
      <c r="M63" s="105"/>
      <c r="N63" s="106"/>
    </row>
    <row r="64">
      <c r="A64" s="106" t="s">
        <v>123</v>
      </c>
      <c r="B64" s="105">
        <v>0.0</v>
      </c>
      <c r="C64" s="105">
        <v>0.0</v>
      </c>
      <c r="D64" s="105">
        <v>0.0</v>
      </c>
      <c r="E64" s="107">
        <v>0.0</v>
      </c>
      <c r="F64" s="107">
        <v>0.0</v>
      </c>
      <c r="G64" s="105">
        <v>0.0</v>
      </c>
      <c r="H64" s="107"/>
      <c r="I64" s="107"/>
      <c r="J64" s="107"/>
      <c r="K64" s="107"/>
      <c r="L64" s="107"/>
      <c r="M64" s="107"/>
      <c r="N64" s="106"/>
    </row>
    <row r="65">
      <c r="A65" s="106" t="s">
        <v>124</v>
      </c>
      <c r="B65" s="105">
        <v>0.0</v>
      </c>
      <c r="C65" s="105">
        <v>0.0</v>
      </c>
      <c r="D65" s="105">
        <v>0.0</v>
      </c>
      <c r="E65" s="105">
        <v>0.0</v>
      </c>
      <c r="F65" s="105">
        <v>0.0</v>
      </c>
      <c r="G65" s="105">
        <v>0.0</v>
      </c>
      <c r="H65" s="105"/>
      <c r="I65" s="105"/>
      <c r="J65" s="105"/>
      <c r="K65" s="105"/>
      <c r="L65" s="105"/>
      <c r="M65" s="105"/>
      <c r="N65" s="106"/>
    </row>
    <row r="66">
      <c r="A66" s="106" t="s">
        <v>125</v>
      </c>
      <c r="B66" s="105">
        <v>0.0</v>
      </c>
      <c r="C66" s="105">
        <v>2.0</v>
      </c>
      <c r="D66" s="105">
        <v>1.0</v>
      </c>
      <c r="E66" s="107">
        <v>0.0</v>
      </c>
      <c r="F66" s="107">
        <v>2.0</v>
      </c>
      <c r="G66" s="105">
        <v>0.0</v>
      </c>
      <c r="H66" s="107"/>
      <c r="I66" s="107"/>
      <c r="J66" s="107"/>
      <c r="K66" s="107"/>
      <c r="L66" s="107"/>
      <c r="M66" s="107"/>
      <c r="N66" s="106"/>
    </row>
    <row r="67">
      <c r="A67" s="106" t="s">
        <v>126</v>
      </c>
      <c r="B67" s="105">
        <v>0.0</v>
      </c>
      <c r="C67" s="105">
        <v>0.0</v>
      </c>
      <c r="D67" s="105">
        <v>0.0</v>
      </c>
      <c r="E67" s="105">
        <v>0.0</v>
      </c>
      <c r="F67" s="105">
        <v>0.0</v>
      </c>
      <c r="G67" s="105">
        <v>0.0</v>
      </c>
      <c r="H67" s="105"/>
      <c r="I67" s="105"/>
      <c r="J67" s="105"/>
      <c r="K67" s="105"/>
      <c r="L67" s="105"/>
      <c r="M67" s="105"/>
      <c r="N67" s="106"/>
    </row>
    <row r="68">
      <c r="A68" s="106" t="s">
        <v>127</v>
      </c>
      <c r="B68" s="105">
        <v>0.0</v>
      </c>
      <c r="C68" s="105">
        <v>0.0</v>
      </c>
      <c r="D68" s="105">
        <v>0.0</v>
      </c>
      <c r="E68" s="107">
        <v>0.0</v>
      </c>
      <c r="F68" s="107">
        <v>0.0</v>
      </c>
      <c r="G68" s="105">
        <v>0.0</v>
      </c>
      <c r="H68" s="107"/>
      <c r="I68" s="107"/>
      <c r="J68" s="107"/>
      <c r="K68" s="107"/>
      <c r="L68" s="107"/>
      <c r="M68" s="107"/>
      <c r="N68" s="106"/>
    </row>
    <row r="69">
      <c r="A69" s="106" t="s">
        <v>128</v>
      </c>
      <c r="B69" s="105">
        <v>0.0</v>
      </c>
      <c r="C69" s="105">
        <v>0.0</v>
      </c>
      <c r="D69" s="105">
        <v>0.0</v>
      </c>
      <c r="E69" s="105">
        <v>0.0</v>
      </c>
      <c r="F69" s="105">
        <v>0.0</v>
      </c>
      <c r="G69" s="105">
        <v>0.0</v>
      </c>
      <c r="H69" s="105"/>
      <c r="I69" s="105"/>
      <c r="J69" s="105"/>
      <c r="K69" s="105"/>
      <c r="L69" s="105"/>
      <c r="M69" s="105"/>
      <c r="N69" s="106"/>
    </row>
    <row r="70">
      <c r="A70" s="106" t="s">
        <v>129</v>
      </c>
      <c r="B70" s="105">
        <v>1.0</v>
      </c>
      <c r="C70" s="105">
        <v>0.0</v>
      </c>
      <c r="D70" s="105">
        <v>0.0</v>
      </c>
      <c r="E70" s="107">
        <v>0.0</v>
      </c>
      <c r="F70" s="107">
        <v>0.0</v>
      </c>
      <c r="G70" s="105">
        <v>0.0</v>
      </c>
      <c r="H70" s="107"/>
      <c r="I70" s="107"/>
      <c r="J70" s="107"/>
      <c r="K70" s="107"/>
      <c r="L70" s="107"/>
      <c r="M70" s="107"/>
      <c r="N70" s="106"/>
    </row>
    <row r="71">
      <c r="A71" s="106" t="s">
        <v>130</v>
      </c>
      <c r="B71" s="105">
        <v>7.0</v>
      </c>
      <c r="C71" s="105">
        <v>26.0</v>
      </c>
      <c r="D71" s="105">
        <v>7.0</v>
      </c>
      <c r="E71" s="105">
        <v>5.0</v>
      </c>
      <c r="F71" s="105">
        <v>1.0</v>
      </c>
      <c r="G71" s="105">
        <v>1.0</v>
      </c>
      <c r="H71" s="105"/>
      <c r="I71" s="105"/>
      <c r="J71" s="105"/>
      <c r="K71" s="105"/>
      <c r="L71" s="105"/>
      <c r="M71" s="105"/>
      <c r="N71" s="106"/>
    </row>
    <row r="72">
      <c r="A72" s="106" t="s">
        <v>131</v>
      </c>
      <c r="B72" s="105">
        <v>0.0</v>
      </c>
      <c r="C72" s="105">
        <v>0.0</v>
      </c>
      <c r="D72" s="105">
        <v>0.0</v>
      </c>
      <c r="E72" s="107">
        <v>0.0</v>
      </c>
      <c r="F72" s="107">
        <v>0.0</v>
      </c>
      <c r="G72" s="105">
        <v>0.0</v>
      </c>
      <c r="H72" s="107"/>
      <c r="I72" s="107"/>
      <c r="J72" s="107"/>
      <c r="K72" s="107"/>
      <c r="L72" s="107"/>
      <c r="M72" s="107"/>
      <c r="N72" s="106"/>
    </row>
    <row r="73">
      <c r="A73" s="106" t="s">
        <v>132</v>
      </c>
      <c r="B73" s="105">
        <v>0.0</v>
      </c>
      <c r="C73" s="105">
        <v>0.0</v>
      </c>
      <c r="D73" s="105">
        <v>0.0</v>
      </c>
      <c r="E73" s="105">
        <v>0.0</v>
      </c>
      <c r="F73" s="105">
        <v>0.0</v>
      </c>
      <c r="G73" s="105">
        <v>0.0</v>
      </c>
      <c r="H73" s="105"/>
      <c r="I73" s="105"/>
      <c r="J73" s="105"/>
      <c r="K73" s="105"/>
      <c r="L73" s="105"/>
      <c r="M73" s="105"/>
      <c r="N73" s="106"/>
    </row>
    <row r="74">
      <c r="A74" s="106" t="s">
        <v>133</v>
      </c>
      <c r="B74" s="105">
        <v>43.0</v>
      </c>
      <c r="C74" s="105">
        <v>38.0</v>
      </c>
      <c r="D74" s="105">
        <v>17.0</v>
      </c>
      <c r="E74" s="107">
        <v>22.0</v>
      </c>
      <c r="F74" s="107">
        <v>36.0</v>
      </c>
      <c r="G74" s="105">
        <v>22.0</v>
      </c>
      <c r="H74" s="107"/>
      <c r="I74" s="107"/>
      <c r="J74" s="107"/>
      <c r="K74" s="107"/>
      <c r="L74" s="107"/>
      <c r="M74" s="107"/>
      <c r="N74" s="106"/>
    </row>
    <row r="75">
      <c r="A75" s="113" t="s">
        <v>134</v>
      </c>
      <c r="B75" s="105">
        <v>23.0</v>
      </c>
      <c r="C75" s="105">
        <v>7.0</v>
      </c>
      <c r="D75" s="105">
        <v>13.0</v>
      </c>
      <c r="E75" s="105">
        <v>14.0</v>
      </c>
      <c r="F75" s="105">
        <v>6.0</v>
      </c>
      <c r="G75" s="105">
        <v>6.0</v>
      </c>
      <c r="H75" s="105"/>
      <c r="I75" s="105"/>
      <c r="J75" s="105"/>
      <c r="K75" s="105"/>
      <c r="L75" s="105"/>
      <c r="M75" s="105"/>
      <c r="N75" s="106"/>
    </row>
    <row r="76">
      <c r="A76" s="106" t="s">
        <v>135</v>
      </c>
      <c r="B76" s="105">
        <v>0.0</v>
      </c>
      <c r="C76" s="105">
        <v>0.0</v>
      </c>
      <c r="D76" s="105">
        <v>0.0</v>
      </c>
      <c r="E76" s="107">
        <v>0.0</v>
      </c>
      <c r="F76" s="107">
        <v>0.0</v>
      </c>
      <c r="G76" s="105">
        <v>0.0</v>
      </c>
      <c r="H76" s="107"/>
      <c r="I76" s="107"/>
      <c r="J76" s="107"/>
      <c r="K76" s="107"/>
      <c r="L76" s="107"/>
      <c r="M76" s="107"/>
      <c r="N76" s="106"/>
    </row>
    <row r="77">
      <c r="A77" s="106" t="s">
        <v>136</v>
      </c>
      <c r="B77" s="105">
        <v>0.0</v>
      </c>
      <c r="C77" s="105">
        <v>0.0</v>
      </c>
      <c r="D77" s="105">
        <v>0.0</v>
      </c>
      <c r="E77" s="105">
        <v>0.0</v>
      </c>
      <c r="F77" s="105">
        <v>0.0</v>
      </c>
      <c r="G77" s="105">
        <v>0.0</v>
      </c>
      <c r="H77" s="105"/>
      <c r="I77" s="105"/>
      <c r="J77" s="105"/>
      <c r="K77" s="105"/>
      <c r="L77" s="105"/>
      <c r="M77" s="105"/>
      <c r="N77" s="106"/>
    </row>
    <row r="78">
      <c r="A78" s="106" t="s">
        <v>137</v>
      </c>
      <c r="B78" s="105">
        <v>1.0</v>
      </c>
      <c r="C78" s="105">
        <v>0.0</v>
      </c>
      <c r="D78" s="105"/>
      <c r="E78" s="107">
        <v>0.0</v>
      </c>
      <c r="F78" s="107">
        <v>0.0</v>
      </c>
      <c r="G78" s="105">
        <v>0.0</v>
      </c>
      <c r="H78" s="107"/>
      <c r="I78" s="107"/>
      <c r="J78" s="107"/>
      <c r="K78" s="107"/>
      <c r="L78" s="107"/>
      <c r="M78" s="107"/>
      <c r="N78" s="106"/>
    </row>
    <row r="79">
      <c r="A79" s="106" t="s">
        <v>138</v>
      </c>
      <c r="B79" s="105">
        <v>20.0</v>
      </c>
      <c r="C79" s="105">
        <v>18.0</v>
      </c>
      <c r="D79" s="105">
        <v>8.0</v>
      </c>
      <c r="E79" s="105">
        <v>21.0</v>
      </c>
      <c r="F79" s="105">
        <v>49.0</v>
      </c>
      <c r="G79" s="105">
        <v>2.0</v>
      </c>
      <c r="H79" s="105"/>
      <c r="I79" s="105"/>
      <c r="J79" s="105"/>
      <c r="K79" s="105"/>
      <c r="L79" s="105"/>
      <c r="M79" s="105"/>
      <c r="N79" s="106"/>
    </row>
    <row r="80">
      <c r="A80" s="106" t="s">
        <v>139</v>
      </c>
      <c r="B80" s="105">
        <v>0.0</v>
      </c>
      <c r="C80" s="105">
        <v>0.0</v>
      </c>
      <c r="D80" s="105">
        <v>0.0</v>
      </c>
      <c r="E80" s="107">
        <v>0.0</v>
      </c>
      <c r="F80" s="107">
        <v>0.0</v>
      </c>
      <c r="G80" s="105">
        <v>0.0</v>
      </c>
      <c r="H80" s="107"/>
      <c r="I80" s="107"/>
      <c r="J80" s="107"/>
      <c r="K80" s="107"/>
      <c r="L80" s="107"/>
      <c r="M80" s="107"/>
      <c r="N80" s="106"/>
    </row>
    <row r="81">
      <c r="A81" s="106" t="s">
        <v>140</v>
      </c>
      <c r="B81" s="105">
        <v>0.0</v>
      </c>
      <c r="C81" s="105">
        <v>0.0</v>
      </c>
      <c r="D81" s="105">
        <v>0.0</v>
      </c>
      <c r="E81" s="105">
        <v>0.0</v>
      </c>
      <c r="F81" s="105">
        <v>0.0</v>
      </c>
      <c r="G81" s="105">
        <v>0.0</v>
      </c>
      <c r="H81" s="105"/>
      <c r="I81" s="105"/>
      <c r="J81" s="105"/>
      <c r="K81" s="105"/>
      <c r="L81" s="105"/>
      <c r="M81" s="105"/>
      <c r="N81" s="106"/>
    </row>
    <row r="82">
      <c r="A82" s="106" t="s">
        <v>141</v>
      </c>
      <c r="B82" s="105">
        <v>0.0</v>
      </c>
      <c r="C82" s="105">
        <v>0.0</v>
      </c>
      <c r="D82" s="105">
        <v>0.0</v>
      </c>
      <c r="E82" s="107">
        <v>0.0</v>
      </c>
      <c r="F82" s="107">
        <v>0.0</v>
      </c>
      <c r="G82" s="105">
        <v>0.0</v>
      </c>
      <c r="H82" s="107"/>
      <c r="I82" s="107"/>
      <c r="J82" s="107"/>
      <c r="K82" s="107"/>
      <c r="L82" s="107"/>
      <c r="M82" s="107"/>
      <c r="N82" s="106"/>
    </row>
    <row r="83">
      <c r="A83" s="106" t="s">
        <v>142</v>
      </c>
      <c r="B83" s="105">
        <v>0.0</v>
      </c>
      <c r="C83" s="105">
        <v>0.0</v>
      </c>
      <c r="D83" s="105">
        <v>0.0</v>
      </c>
      <c r="E83" s="105">
        <v>0.0</v>
      </c>
      <c r="F83" s="105">
        <v>0.0</v>
      </c>
      <c r="G83" s="105">
        <v>0.0</v>
      </c>
      <c r="H83" s="105"/>
      <c r="I83" s="105"/>
      <c r="J83" s="105"/>
      <c r="K83" s="105"/>
      <c r="L83" s="105"/>
      <c r="M83" s="105"/>
      <c r="N83" s="106"/>
    </row>
    <row r="84">
      <c r="A84" s="106" t="s">
        <v>143</v>
      </c>
      <c r="B84" s="105">
        <v>0.0</v>
      </c>
      <c r="C84" s="105">
        <v>0.0</v>
      </c>
      <c r="D84" s="105">
        <v>0.0</v>
      </c>
      <c r="E84" s="107">
        <v>0.0</v>
      </c>
      <c r="F84" s="107">
        <v>0.0</v>
      </c>
      <c r="G84" s="105">
        <v>0.0</v>
      </c>
      <c r="H84" s="107"/>
      <c r="I84" s="107"/>
      <c r="J84" s="107"/>
      <c r="K84" s="107"/>
      <c r="L84" s="107"/>
      <c r="M84" s="107"/>
      <c r="N84" s="106"/>
    </row>
    <row r="85">
      <c r="A85" s="106" t="s">
        <v>144</v>
      </c>
      <c r="B85" s="105">
        <v>0.0</v>
      </c>
      <c r="C85" s="105">
        <v>0.0</v>
      </c>
      <c r="D85" s="105">
        <v>0.0</v>
      </c>
      <c r="E85" s="105">
        <v>0.0</v>
      </c>
      <c r="F85" s="105">
        <v>0.0</v>
      </c>
      <c r="G85" s="105">
        <v>0.0</v>
      </c>
      <c r="H85" s="105"/>
      <c r="I85" s="105"/>
      <c r="J85" s="105"/>
      <c r="K85" s="105"/>
      <c r="L85" s="105"/>
      <c r="M85" s="105"/>
      <c r="N85" s="106"/>
    </row>
    <row r="86">
      <c r="A86" s="106" t="s">
        <v>145</v>
      </c>
      <c r="B86" s="105">
        <v>0.0</v>
      </c>
      <c r="C86" s="105">
        <v>0.0</v>
      </c>
      <c r="D86" s="105">
        <v>0.0</v>
      </c>
      <c r="E86" s="107">
        <v>0.0</v>
      </c>
      <c r="F86" s="107">
        <v>0.0</v>
      </c>
      <c r="G86" s="105">
        <v>0.0</v>
      </c>
      <c r="H86" s="107"/>
      <c r="I86" s="107"/>
      <c r="J86" s="107"/>
      <c r="K86" s="107"/>
      <c r="L86" s="107"/>
      <c r="M86" s="107"/>
      <c r="N86" s="106"/>
    </row>
    <row r="87">
      <c r="A87" s="106" t="s">
        <v>146</v>
      </c>
      <c r="B87" s="105">
        <v>0.0</v>
      </c>
      <c r="C87" s="105">
        <v>0.0</v>
      </c>
      <c r="D87" s="105">
        <v>0.0</v>
      </c>
      <c r="E87" s="105">
        <v>0.0</v>
      </c>
      <c r="F87" s="105">
        <v>0.0</v>
      </c>
      <c r="G87" s="105">
        <v>0.0</v>
      </c>
      <c r="H87" s="105"/>
      <c r="I87" s="105"/>
      <c r="J87" s="105"/>
      <c r="K87" s="105"/>
      <c r="L87" s="105"/>
      <c r="M87" s="105"/>
      <c r="N87" s="106"/>
    </row>
    <row r="88">
      <c r="A88" s="106" t="s">
        <v>147</v>
      </c>
      <c r="B88" s="105">
        <v>0.0</v>
      </c>
      <c r="C88" s="105">
        <v>0.0</v>
      </c>
      <c r="D88" s="105">
        <v>0.0</v>
      </c>
      <c r="E88" s="107">
        <v>0.0</v>
      </c>
      <c r="F88" s="107">
        <v>0.0</v>
      </c>
      <c r="G88" s="105">
        <v>0.0</v>
      </c>
      <c r="H88" s="107"/>
      <c r="I88" s="107"/>
      <c r="J88" s="107"/>
      <c r="K88" s="107"/>
      <c r="L88" s="107"/>
      <c r="M88" s="107"/>
      <c r="N88" s="106"/>
    </row>
    <row r="89">
      <c r="A89" s="106" t="s">
        <v>148</v>
      </c>
      <c r="B89" s="105">
        <v>1.0</v>
      </c>
      <c r="C89" s="105">
        <v>0.0</v>
      </c>
      <c r="D89" s="105">
        <v>5.0</v>
      </c>
      <c r="E89" s="105">
        <v>0.0</v>
      </c>
      <c r="F89" s="105">
        <v>0.0</v>
      </c>
      <c r="G89" s="105">
        <v>2.0</v>
      </c>
      <c r="H89" s="105"/>
      <c r="I89" s="105"/>
      <c r="J89" s="105"/>
      <c r="K89" s="105"/>
      <c r="L89" s="105"/>
      <c r="M89" s="105"/>
      <c r="N89" s="106"/>
    </row>
    <row r="90">
      <c r="A90" s="106" t="s">
        <v>149</v>
      </c>
      <c r="B90" s="105">
        <v>0.0</v>
      </c>
      <c r="C90" s="105">
        <v>0.0</v>
      </c>
      <c r="D90" s="105">
        <v>0.0</v>
      </c>
      <c r="E90" s="107">
        <v>0.0</v>
      </c>
      <c r="F90" s="107">
        <v>0.0</v>
      </c>
      <c r="G90" s="105">
        <v>0.0</v>
      </c>
      <c r="H90" s="107"/>
      <c r="I90" s="107"/>
      <c r="J90" s="107"/>
      <c r="K90" s="107"/>
      <c r="L90" s="107"/>
      <c r="M90" s="107"/>
      <c r="N90" s="106"/>
    </row>
    <row r="91">
      <c r="A91" s="106" t="s">
        <v>150</v>
      </c>
      <c r="B91" s="105">
        <v>0.0</v>
      </c>
      <c r="C91" s="105">
        <v>0.0</v>
      </c>
      <c r="D91" s="105">
        <v>0.0</v>
      </c>
      <c r="E91" s="105">
        <v>0.0</v>
      </c>
      <c r="F91" s="105">
        <v>0.0</v>
      </c>
      <c r="G91" s="105">
        <v>0.0</v>
      </c>
      <c r="H91" s="105"/>
      <c r="I91" s="105"/>
      <c r="J91" s="105"/>
      <c r="K91" s="105"/>
      <c r="L91" s="105"/>
      <c r="M91" s="105"/>
      <c r="N91" s="106"/>
    </row>
    <row r="92">
      <c r="A92" s="106" t="s">
        <v>151</v>
      </c>
      <c r="B92" s="105">
        <v>0.0</v>
      </c>
      <c r="C92" s="105">
        <v>0.0</v>
      </c>
      <c r="D92" s="105">
        <v>0.0</v>
      </c>
      <c r="E92" s="107">
        <v>0.0</v>
      </c>
      <c r="F92" s="107">
        <v>0.0</v>
      </c>
      <c r="G92" s="105">
        <v>0.0</v>
      </c>
      <c r="H92" s="107"/>
      <c r="I92" s="107"/>
      <c r="J92" s="107"/>
      <c r="K92" s="107"/>
      <c r="L92" s="107"/>
      <c r="M92" s="107"/>
      <c r="N92" s="106"/>
    </row>
    <row r="93">
      <c r="A93" s="106" t="s">
        <v>152</v>
      </c>
      <c r="B93" s="105">
        <v>0.0</v>
      </c>
      <c r="C93" s="105">
        <v>0.0</v>
      </c>
      <c r="D93" s="105">
        <v>0.0</v>
      </c>
      <c r="E93" s="105">
        <v>0.0</v>
      </c>
      <c r="F93" s="105">
        <v>0.0</v>
      </c>
      <c r="G93" s="105">
        <v>0.0</v>
      </c>
      <c r="H93" s="105"/>
      <c r="I93" s="105"/>
      <c r="J93" s="105"/>
      <c r="K93" s="105"/>
      <c r="L93" s="105"/>
      <c r="M93" s="105"/>
      <c r="N93" s="106"/>
    </row>
    <row r="94">
      <c r="A94" s="106" t="s">
        <v>153</v>
      </c>
      <c r="B94" s="105">
        <v>0.0</v>
      </c>
      <c r="C94" s="105">
        <v>0.0</v>
      </c>
      <c r="D94" s="105">
        <v>0.0</v>
      </c>
      <c r="E94" s="107">
        <v>0.0</v>
      </c>
      <c r="F94" s="107">
        <v>0.0</v>
      </c>
      <c r="G94" s="105">
        <v>0.0</v>
      </c>
      <c r="H94" s="107"/>
      <c r="I94" s="107"/>
      <c r="J94" s="107"/>
      <c r="K94" s="107"/>
      <c r="L94" s="107"/>
      <c r="M94" s="107"/>
      <c r="N94" s="106"/>
    </row>
    <row r="95">
      <c r="A95" s="106" t="s">
        <v>154</v>
      </c>
      <c r="B95" s="105">
        <v>0.0</v>
      </c>
      <c r="C95" s="105">
        <v>0.0</v>
      </c>
      <c r="D95" s="105">
        <v>0.0</v>
      </c>
      <c r="E95" s="105">
        <v>0.0</v>
      </c>
      <c r="F95" s="105">
        <v>0.0</v>
      </c>
      <c r="G95" s="105">
        <v>0.0</v>
      </c>
      <c r="H95" s="105"/>
      <c r="I95" s="105"/>
      <c r="J95" s="105"/>
      <c r="K95" s="105"/>
      <c r="L95" s="105"/>
      <c r="M95" s="105"/>
      <c r="N95" s="106"/>
    </row>
    <row r="96">
      <c r="A96" s="106" t="s">
        <v>155</v>
      </c>
      <c r="B96" s="105">
        <v>1.0</v>
      </c>
      <c r="C96" s="105">
        <v>0.0</v>
      </c>
      <c r="D96" s="105">
        <v>0.0</v>
      </c>
      <c r="E96" s="107">
        <v>0.0</v>
      </c>
      <c r="F96" s="107">
        <v>0.0</v>
      </c>
      <c r="G96" s="105">
        <v>0.0</v>
      </c>
      <c r="H96" s="107"/>
      <c r="I96" s="107"/>
      <c r="J96" s="107"/>
      <c r="K96" s="107"/>
      <c r="L96" s="107"/>
      <c r="M96" s="107"/>
      <c r="N96" s="106"/>
    </row>
    <row r="97">
      <c r="A97" s="106" t="s">
        <v>156</v>
      </c>
      <c r="B97" s="105">
        <v>0.0</v>
      </c>
      <c r="C97" s="105">
        <v>0.0</v>
      </c>
      <c r="D97" s="105">
        <v>5.0</v>
      </c>
      <c r="E97" s="105">
        <v>0.0</v>
      </c>
      <c r="F97" s="105">
        <v>0.0</v>
      </c>
      <c r="G97" s="105">
        <v>0.0</v>
      </c>
      <c r="H97" s="105"/>
      <c r="I97" s="105"/>
      <c r="J97" s="105"/>
      <c r="K97" s="105"/>
      <c r="L97" s="105"/>
      <c r="M97" s="105"/>
      <c r="N97" s="106"/>
    </row>
    <row r="98">
      <c r="A98" s="106" t="s">
        <v>157</v>
      </c>
      <c r="B98" s="105">
        <v>0.0</v>
      </c>
      <c r="C98" s="105">
        <v>0.0</v>
      </c>
      <c r="D98" s="105">
        <v>0.0</v>
      </c>
      <c r="E98" s="107">
        <v>0.0</v>
      </c>
      <c r="F98" s="107">
        <v>0.0</v>
      </c>
      <c r="G98" s="105">
        <v>0.0</v>
      </c>
      <c r="H98" s="107"/>
      <c r="I98" s="107"/>
      <c r="J98" s="107"/>
      <c r="K98" s="107"/>
      <c r="L98" s="107"/>
      <c r="M98" s="107"/>
      <c r="N98" s="106"/>
    </row>
    <row r="99">
      <c r="A99" s="106" t="s">
        <v>158</v>
      </c>
      <c r="B99" s="105">
        <v>0.0</v>
      </c>
      <c r="C99" s="105">
        <v>0.0</v>
      </c>
      <c r="D99" s="105">
        <v>4.0</v>
      </c>
      <c r="E99" s="105">
        <v>0.0</v>
      </c>
      <c r="F99" s="105">
        <v>0.0</v>
      </c>
      <c r="G99" s="105">
        <v>0.0</v>
      </c>
      <c r="H99" s="105"/>
      <c r="I99" s="105"/>
      <c r="J99" s="105"/>
      <c r="K99" s="105"/>
      <c r="L99" s="105"/>
      <c r="M99" s="105"/>
      <c r="N99" s="106"/>
    </row>
    <row r="100">
      <c r="A100" s="106" t="s">
        <v>159</v>
      </c>
      <c r="B100" s="105">
        <v>0.0</v>
      </c>
      <c r="C100" s="105">
        <v>0.0</v>
      </c>
      <c r="D100" s="105">
        <v>0.0</v>
      </c>
      <c r="E100" s="107">
        <v>0.0</v>
      </c>
      <c r="F100" s="107">
        <v>0.0</v>
      </c>
      <c r="G100" s="105">
        <v>0.0</v>
      </c>
      <c r="H100" s="107"/>
      <c r="I100" s="107"/>
      <c r="J100" s="107"/>
      <c r="K100" s="107"/>
      <c r="L100" s="107"/>
      <c r="M100" s="107"/>
      <c r="N100" s="106"/>
    </row>
    <row r="101">
      <c r="A101" s="106" t="s">
        <v>160</v>
      </c>
      <c r="B101" s="105">
        <v>0.0</v>
      </c>
      <c r="C101" s="105">
        <v>0.0</v>
      </c>
      <c r="D101" s="105">
        <v>0.0</v>
      </c>
      <c r="E101" s="105">
        <v>0.0</v>
      </c>
      <c r="F101" s="105">
        <v>0.0</v>
      </c>
      <c r="G101" s="105">
        <v>0.0</v>
      </c>
      <c r="H101" s="105"/>
      <c r="I101" s="105"/>
      <c r="J101" s="105"/>
      <c r="K101" s="105"/>
      <c r="L101" s="105"/>
      <c r="M101" s="105"/>
      <c r="N101" s="106"/>
    </row>
    <row r="102">
      <c r="A102" s="106" t="s">
        <v>161</v>
      </c>
      <c r="B102" s="105">
        <v>0.0</v>
      </c>
      <c r="C102" s="105">
        <v>0.0</v>
      </c>
      <c r="D102" s="105">
        <v>0.0</v>
      </c>
      <c r="E102" s="107">
        <v>0.0</v>
      </c>
      <c r="F102" s="107">
        <v>0.0</v>
      </c>
      <c r="G102" s="105">
        <v>0.0</v>
      </c>
      <c r="H102" s="107"/>
      <c r="I102" s="107"/>
      <c r="J102" s="107"/>
      <c r="K102" s="107"/>
      <c r="L102" s="107"/>
      <c r="M102" s="107"/>
      <c r="N102" s="106"/>
    </row>
    <row r="103">
      <c r="A103" s="106" t="s">
        <v>162</v>
      </c>
      <c r="B103" s="105">
        <v>0.0</v>
      </c>
      <c r="C103" s="105">
        <v>0.0</v>
      </c>
      <c r="D103" s="105">
        <v>0.0</v>
      </c>
      <c r="E103" s="105">
        <v>0.0</v>
      </c>
      <c r="F103" s="105">
        <v>0.0</v>
      </c>
      <c r="G103" s="105">
        <v>0.0</v>
      </c>
      <c r="H103" s="105"/>
      <c r="I103" s="105"/>
      <c r="J103" s="105"/>
      <c r="K103" s="105"/>
      <c r="L103" s="105"/>
      <c r="M103" s="105"/>
      <c r="N103" s="106"/>
    </row>
    <row r="104">
      <c r="A104" s="106" t="s">
        <v>163</v>
      </c>
      <c r="B104" s="105">
        <v>0.0</v>
      </c>
      <c r="C104" s="105">
        <v>0.0</v>
      </c>
      <c r="D104" s="105">
        <v>0.0</v>
      </c>
      <c r="E104" s="107">
        <v>0.0</v>
      </c>
      <c r="F104" s="107">
        <v>0.0</v>
      </c>
      <c r="G104" s="105">
        <v>0.0</v>
      </c>
      <c r="H104" s="107"/>
      <c r="I104" s="107"/>
      <c r="J104" s="107"/>
      <c r="K104" s="107"/>
      <c r="L104" s="107"/>
      <c r="M104" s="107"/>
      <c r="N104" s="106"/>
    </row>
    <row r="105">
      <c r="A105" s="106" t="s">
        <v>164</v>
      </c>
      <c r="B105" s="105">
        <v>0.0</v>
      </c>
      <c r="C105" s="105">
        <v>0.0</v>
      </c>
      <c r="D105" s="105">
        <v>0.0</v>
      </c>
      <c r="E105" s="105">
        <v>0.0</v>
      </c>
      <c r="F105" s="105">
        <v>0.0</v>
      </c>
      <c r="G105" s="105">
        <v>0.0</v>
      </c>
      <c r="H105" s="105"/>
      <c r="I105" s="105"/>
      <c r="J105" s="105"/>
      <c r="K105" s="105"/>
      <c r="L105" s="105"/>
      <c r="M105" s="105"/>
      <c r="N105" s="106"/>
    </row>
    <row r="106">
      <c r="A106" s="106" t="s">
        <v>165</v>
      </c>
      <c r="B106" s="105">
        <v>0.0</v>
      </c>
      <c r="C106" s="105">
        <v>0.0</v>
      </c>
      <c r="D106" s="105">
        <v>0.0</v>
      </c>
      <c r="E106" s="107">
        <v>0.0</v>
      </c>
      <c r="F106" s="107">
        <v>0.0</v>
      </c>
      <c r="G106" s="105">
        <v>0.0</v>
      </c>
      <c r="H106" s="107"/>
      <c r="I106" s="107"/>
      <c r="J106" s="107"/>
      <c r="K106" s="107"/>
      <c r="L106" s="107"/>
      <c r="M106" s="107"/>
      <c r="N106" s="106"/>
    </row>
    <row r="107">
      <c r="A107" s="106" t="s">
        <v>166</v>
      </c>
      <c r="B107" s="105">
        <v>0.0</v>
      </c>
      <c r="C107" s="105">
        <v>0.0</v>
      </c>
      <c r="D107" s="105">
        <v>0.0</v>
      </c>
      <c r="E107" s="105">
        <v>0.0</v>
      </c>
      <c r="F107" s="105">
        <v>0.0</v>
      </c>
      <c r="G107" s="105">
        <v>0.0</v>
      </c>
      <c r="H107" s="105"/>
      <c r="I107" s="105"/>
      <c r="J107" s="105"/>
      <c r="K107" s="105"/>
      <c r="L107" s="105"/>
      <c r="M107" s="105"/>
      <c r="N107" s="106"/>
    </row>
    <row r="108">
      <c r="A108" s="106" t="s">
        <v>167</v>
      </c>
      <c r="B108" s="105">
        <v>0.0</v>
      </c>
      <c r="C108" s="105">
        <v>0.0</v>
      </c>
      <c r="D108" s="105">
        <v>0.0</v>
      </c>
      <c r="E108" s="107">
        <v>0.0</v>
      </c>
      <c r="F108" s="107">
        <v>0.0</v>
      </c>
      <c r="G108" s="105">
        <v>0.0</v>
      </c>
      <c r="H108" s="107"/>
      <c r="I108" s="107"/>
      <c r="J108" s="107"/>
      <c r="K108" s="107"/>
      <c r="L108" s="107"/>
      <c r="M108" s="107"/>
      <c r="N108" s="106"/>
    </row>
    <row r="109">
      <c r="A109" s="106" t="s">
        <v>168</v>
      </c>
      <c r="B109" s="105">
        <v>0.0</v>
      </c>
      <c r="C109" s="105">
        <v>0.0</v>
      </c>
      <c r="D109" s="105">
        <v>0.0</v>
      </c>
      <c r="E109" s="105">
        <v>0.0</v>
      </c>
      <c r="F109" s="105">
        <v>0.0</v>
      </c>
      <c r="G109" s="105">
        <v>0.0</v>
      </c>
      <c r="H109" s="105"/>
      <c r="I109" s="105"/>
      <c r="J109" s="105"/>
      <c r="K109" s="105"/>
      <c r="L109" s="105"/>
      <c r="M109" s="105"/>
      <c r="N109" s="106"/>
    </row>
    <row r="110">
      <c r="A110" s="106" t="s">
        <v>169</v>
      </c>
      <c r="B110" s="105">
        <v>4.0</v>
      </c>
      <c r="C110" s="105">
        <v>0.0</v>
      </c>
      <c r="D110" s="105">
        <v>0.0</v>
      </c>
      <c r="E110" s="107">
        <v>6.0</v>
      </c>
      <c r="F110" s="107">
        <v>2.0</v>
      </c>
      <c r="G110" s="105">
        <v>4.0</v>
      </c>
      <c r="H110" s="107"/>
      <c r="I110" s="107"/>
      <c r="J110" s="107"/>
      <c r="K110" s="107"/>
      <c r="L110" s="107"/>
      <c r="M110" s="107"/>
      <c r="N110" s="106"/>
    </row>
    <row r="111">
      <c r="A111" s="106" t="s">
        <v>170</v>
      </c>
      <c r="B111" s="105">
        <v>0.0</v>
      </c>
      <c r="C111" s="105">
        <v>0.0</v>
      </c>
      <c r="D111" s="105">
        <v>0.0</v>
      </c>
      <c r="E111" s="105">
        <v>0.0</v>
      </c>
      <c r="F111" s="105">
        <v>0.0</v>
      </c>
      <c r="G111" s="105">
        <v>0.0</v>
      </c>
      <c r="H111" s="105"/>
      <c r="I111" s="105"/>
      <c r="J111" s="105"/>
      <c r="K111" s="105"/>
      <c r="L111" s="105"/>
      <c r="M111" s="105"/>
      <c r="N111" s="106"/>
    </row>
    <row r="112">
      <c r="A112" s="106" t="s">
        <v>171</v>
      </c>
      <c r="B112" s="105">
        <v>6.0</v>
      </c>
      <c r="C112" s="105">
        <v>3.0</v>
      </c>
      <c r="D112" s="105">
        <v>1.0</v>
      </c>
      <c r="E112" s="107">
        <v>1.0</v>
      </c>
      <c r="F112" s="107">
        <v>1.0</v>
      </c>
      <c r="G112" s="105">
        <v>4.0</v>
      </c>
      <c r="H112" s="107"/>
      <c r="I112" s="107"/>
      <c r="J112" s="107"/>
      <c r="K112" s="107"/>
      <c r="L112" s="107"/>
      <c r="M112" s="107"/>
      <c r="N112" s="106"/>
    </row>
    <row r="113">
      <c r="A113" s="106" t="s">
        <v>172</v>
      </c>
      <c r="B113" s="105">
        <v>0.0</v>
      </c>
      <c r="C113" s="105">
        <v>0.0</v>
      </c>
      <c r="D113" s="105">
        <v>0.0</v>
      </c>
      <c r="E113" s="105">
        <v>0.0</v>
      </c>
      <c r="F113" s="105">
        <v>0.0</v>
      </c>
      <c r="G113" s="105">
        <v>0.0</v>
      </c>
      <c r="H113" s="105"/>
      <c r="I113" s="105"/>
      <c r="J113" s="105"/>
      <c r="K113" s="105"/>
      <c r="L113" s="105"/>
      <c r="M113" s="105"/>
      <c r="N113" s="106"/>
    </row>
    <row r="114">
      <c r="A114" s="106" t="s">
        <v>173</v>
      </c>
      <c r="B114" s="105">
        <v>0.0</v>
      </c>
      <c r="C114" s="105">
        <v>0.0</v>
      </c>
      <c r="D114" s="105">
        <v>0.0</v>
      </c>
      <c r="E114" s="107">
        <v>0.0</v>
      </c>
      <c r="F114" s="107">
        <v>0.0</v>
      </c>
      <c r="G114" s="105">
        <v>0.0</v>
      </c>
      <c r="H114" s="107"/>
      <c r="I114" s="107"/>
      <c r="J114" s="107"/>
      <c r="K114" s="107"/>
      <c r="L114" s="107"/>
      <c r="M114" s="107"/>
      <c r="N114" s="106"/>
    </row>
    <row r="115">
      <c r="A115" s="106" t="s">
        <v>174</v>
      </c>
      <c r="B115" s="105">
        <v>0.0</v>
      </c>
      <c r="C115" s="105">
        <v>0.0</v>
      </c>
      <c r="D115" s="105">
        <v>0.0</v>
      </c>
      <c r="E115" s="105">
        <v>0.0</v>
      </c>
      <c r="F115" s="105">
        <v>0.0</v>
      </c>
      <c r="G115" s="105">
        <v>0.0</v>
      </c>
      <c r="H115" s="105"/>
      <c r="I115" s="105"/>
      <c r="J115" s="105"/>
      <c r="K115" s="105"/>
      <c r="L115" s="105"/>
      <c r="M115" s="105"/>
      <c r="N115" s="106"/>
    </row>
    <row r="116">
      <c r="A116" s="106" t="s">
        <v>175</v>
      </c>
      <c r="B116" s="105">
        <v>0.0</v>
      </c>
      <c r="C116" s="105">
        <v>0.0</v>
      </c>
      <c r="D116" s="105">
        <v>0.0</v>
      </c>
      <c r="E116" s="107">
        <v>0.0</v>
      </c>
      <c r="F116" s="107">
        <v>0.0</v>
      </c>
      <c r="G116" s="105">
        <v>0.0</v>
      </c>
      <c r="H116" s="107"/>
      <c r="I116" s="107"/>
      <c r="J116" s="107"/>
      <c r="K116" s="107"/>
      <c r="L116" s="107"/>
      <c r="M116" s="107"/>
      <c r="N116" s="106"/>
    </row>
    <row r="117">
      <c r="A117" s="106" t="s">
        <v>176</v>
      </c>
      <c r="B117" s="105">
        <v>0.0</v>
      </c>
      <c r="C117" s="105">
        <v>0.0</v>
      </c>
      <c r="D117" s="105">
        <v>1.0</v>
      </c>
      <c r="E117" s="107">
        <v>0.0</v>
      </c>
      <c r="F117" s="107">
        <v>0.0</v>
      </c>
      <c r="G117" s="105">
        <v>0.0</v>
      </c>
      <c r="H117" s="107"/>
      <c r="I117" s="107"/>
      <c r="J117" s="107"/>
      <c r="K117" s="107"/>
      <c r="L117" s="107"/>
      <c r="M117" s="107"/>
      <c r="N117" s="106"/>
    </row>
    <row r="118">
      <c r="A118" s="106" t="s">
        <v>177</v>
      </c>
      <c r="B118" s="105">
        <v>0.0</v>
      </c>
      <c r="C118" s="105">
        <v>0.0</v>
      </c>
      <c r="D118" s="105">
        <v>1.0</v>
      </c>
      <c r="E118" s="105">
        <v>3.0</v>
      </c>
      <c r="F118" s="105">
        <v>1.0</v>
      </c>
      <c r="G118" s="105">
        <v>0.0</v>
      </c>
      <c r="H118" s="105"/>
      <c r="I118" s="105"/>
      <c r="J118" s="105"/>
      <c r="K118" s="105"/>
      <c r="L118" s="105"/>
      <c r="M118" s="105"/>
      <c r="N118" s="106"/>
    </row>
    <row r="119">
      <c r="A119" s="106" t="s">
        <v>178</v>
      </c>
      <c r="B119" s="105">
        <v>2.0</v>
      </c>
      <c r="C119" s="105">
        <v>6.0</v>
      </c>
      <c r="D119" s="105">
        <v>1.0</v>
      </c>
      <c r="E119" s="107">
        <v>2.0</v>
      </c>
      <c r="F119" s="107">
        <v>0.0</v>
      </c>
      <c r="G119" s="105">
        <v>0.0</v>
      </c>
      <c r="H119" s="107"/>
      <c r="I119" s="107"/>
      <c r="J119" s="107"/>
      <c r="K119" s="107"/>
      <c r="L119" s="107"/>
      <c r="M119" s="107"/>
      <c r="N119" s="106"/>
    </row>
    <row r="120">
      <c r="A120" s="106" t="s">
        <v>179</v>
      </c>
      <c r="B120" s="105">
        <v>0.0</v>
      </c>
      <c r="C120" s="105">
        <v>0.0</v>
      </c>
      <c r="D120" s="105">
        <v>0.0</v>
      </c>
      <c r="E120" s="105">
        <v>0.0</v>
      </c>
      <c r="F120" s="105">
        <v>0.0</v>
      </c>
      <c r="G120" s="105">
        <v>0.0</v>
      </c>
      <c r="H120" s="105"/>
      <c r="I120" s="105"/>
      <c r="J120" s="105"/>
      <c r="K120" s="105"/>
      <c r="L120" s="105"/>
      <c r="M120" s="105"/>
      <c r="N120" s="106"/>
    </row>
    <row r="121">
      <c r="A121" s="106" t="s">
        <v>180</v>
      </c>
      <c r="B121" s="105">
        <v>4.0</v>
      </c>
      <c r="C121" s="105">
        <v>0.0</v>
      </c>
      <c r="D121" s="105">
        <v>0.0</v>
      </c>
      <c r="E121" s="107">
        <v>0.0</v>
      </c>
      <c r="F121" s="107">
        <v>2.0</v>
      </c>
      <c r="G121" s="105">
        <v>0.0</v>
      </c>
      <c r="H121" s="107"/>
      <c r="I121" s="107"/>
      <c r="J121" s="107"/>
      <c r="K121" s="107"/>
      <c r="L121" s="107"/>
      <c r="M121" s="107"/>
      <c r="N121" s="106"/>
    </row>
    <row r="122">
      <c r="A122" s="106" t="s">
        <v>181</v>
      </c>
      <c r="B122" s="105">
        <v>0.0</v>
      </c>
      <c r="C122" s="105">
        <v>0.0</v>
      </c>
      <c r="D122" s="105">
        <v>0.0</v>
      </c>
      <c r="E122" s="105">
        <v>2.0</v>
      </c>
      <c r="F122" s="105">
        <v>0.0</v>
      </c>
      <c r="G122" s="105">
        <v>0.0</v>
      </c>
      <c r="H122" s="105"/>
      <c r="I122" s="105"/>
      <c r="J122" s="105"/>
      <c r="K122" s="105"/>
      <c r="L122" s="105"/>
      <c r="M122" s="105"/>
      <c r="N122" s="106"/>
    </row>
    <row r="123">
      <c r="A123" s="106" t="s">
        <v>182</v>
      </c>
      <c r="B123" s="105">
        <v>0.0</v>
      </c>
      <c r="C123" s="105">
        <v>0.0</v>
      </c>
      <c r="D123" s="105">
        <v>0.0</v>
      </c>
      <c r="E123" s="107">
        <v>0.0</v>
      </c>
      <c r="F123" s="107">
        <v>0.0</v>
      </c>
      <c r="G123" s="105">
        <v>0.0</v>
      </c>
      <c r="H123" s="107"/>
      <c r="I123" s="107"/>
      <c r="J123" s="107"/>
      <c r="K123" s="107"/>
      <c r="L123" s="107"/>
      <c r="M123" s="107"/>
      <c r="N123" s="106"/>
    </row>
    <row r="124">
      <c r="A124" s="106" t="s">
        <v>183</v>
      </c>
      <c r="B124" s="105">
        <v>0.0</v>
      </c>
      <c r="C124" s="105">
        <v>0.0</v>
      </c>
      <c r="D124" s="105">
        <v>0.0</v>
      </c>
      <c r="E124" s="105">
        <v>0.0</v>
      </c>
      <c r="F124" s="105">
        <v>0.0</v>
      </c>
      <c r="G124" s="105">
        <v>0.0</v>
      </c>
      <c r="H124" s="105"/>
      <c r="I124" s="105"/>
      <c r="J124" s="105"/>
      <c r="K124" s="105"/>
      <c r="L124" s="105"/>
      <c r="M124" s="105"/>
      <c r="N124" s="106"/>
    </row>
    <row r="125">
      <c r="A125" s="106" t="s">
        <v>184</v>
      </c>
      <c r="B125" s="105">
        <v>0.0</v>
      </c>
      <c r="C125" s="105">
        <v>0.0</v>
      </c>
      <c r="D125" s="105">
        <v>0.0</v>
      </c>
      <c r="E125" s="107">
        <v>0.0</v>
      </c>
      <c r="F125" s="107">
        <v>0.0</v>
      </c>
      <c r="G125" s="105">
        <v>0.0</v>
      </c>
      <c r="H125" s="107"/>
      <c r="I125" s="107"/>
      <c r="J125" s="107"/>
      <c r="K125" s="107"/>
      <c r="L125" s="107"/>
      <c r="M125" s="107"/>
      <c r="N125" s="106"/>
    </row>
    <row r="126">
      <c r="A126" s="106" t="s">
        <v>185</v>
      </c>
      <c r="B126" s="105">
        <v>0.0</v>
      </c>
      <c r="C126" s="105">
        <v>0.0</v>
      </c>
      <c r="D126" s="105">
        <v>0.0</v>
      </c>
      <c r="E126" s="105">
        <v>0.0</v>
      </c>
      <c r="F126" s="105">
        <v>0.0</v>
      </c>
      <c r="G126" s="105">
        <v>0.0</v>
      </c>
      <c r="H126" s="105"/>
      <c r="I126" s="105"/>
      <c r="J126" s="105"/>
      <c r="K126" s="105"/>
      <c r="L126" s="105"/>
      <c r="M126" s="105"/>
      <c r="N126" s="106"/>
    </row>
    <row r="127">
      <c r="A127" s="106" t="s">
        <v>186</v>
      </c>
      <c r="B127" s="105">
        <v>0.0</v>
      </c>
      <c r="C127" s="105">
        <v>0.0</v>
      </c>
      <c r="D127" s="105">
        <v>0.0</v>
      </c>
      <c r="E127" s="107">
        <v>0.0</v>
      </c>
      <c r="F127" s="107">
        <v>0.0</v>
      </c>
      <c r="G127" s="105">
        <v>0.0</v>
      </c>
      <c r="H127" s="107"/>
      <c r="I127" s="107"/>
      <c r="J127" s="107"/>
      <c r="K127" s="107"/>
      <c r="L127" s="107"/>
      <c r="M127" s="107"/>
      <c r="N127" s="106"/>
    </row>
    <row r="128">
      <c r="A128" s="106" t="s">
        <v>187</v>
      </c>
      <c r="B128" s="105">
        <v>3.0</v>
      </c>
      <c r="C128" s="105">
        <v>0.0</v>
      </c>
      <c r="D128" s="105">
        <v>0.0</v>
      </c>
      <c r="E128" s="105">
        <v>0.0</v>
      </c>
      <c r="F128" s="105">
        <v>0.0</v>
      </c>
      <c r="G128" s="105">
        <v>1.0</v>
      </c>
      <c r="H128" s="105"/>
      <c r="I128" s="105"/>
      <c r="J128" s="105"/>
      <c r="K128" s="105"/>
      <c r="L128" s="105"/>
      <c r="M128" s="105"/>
      <c r="N128" s="106"/>
    </row>
    <row r="129">
      <c r="A129" s="106" t="s">
        <v>188</v>
      </c>
      <c r="B129" s="105">
        <v>0.0</v>
      </c>
      <c r="C129" s="105">
        <v>0.0</v>
      </c>
      <c r="D129" s="105">
        <v>0.0</v>
      </c>
      <c r="E129" s="107">
        <v>0.0</v>
      </c>
      <c r="F129" s="107">
        <v>0.0</v>
      </c>
      <c r="G129" s="105">
        <v>0.0</v>
      </c>
      <c r="H129" s="107"/>
      <c r="I129" s="107"/>
      <c r="J129" s="107"/>
      <c r="K129" s="107"/>
      <c r="L129" s="107"/>
      <c r="M129" s="107"/>
      <c r="N129" s="106"/>
    </row>
    <row r="130">
      <c r="A130" s="106" t="s">
        <v>189</v>
      </c>
      <c r="B130" s="105">
        <v>7.0</v>
      </c>
      <c r="C130" s="105">
        <v>0.0</v>
      </c>
      <c r="D130" s="105">
        <v>0.0</v>
      </c>
      <c r="E130" s="105">
        <v>0.0</v>
      </c>
      <c r="F130" s="105">
        <v>0.0</v>
      </c>
      <c r="G130" s="105">
        <v>0.0</v>
      </c>
      <c r="H130" s="105"/>
      <c r="I130" s="105"/>
      <c r="J130" s="105"/>
      <c r="K130" s="105"/>
      <c r="L130" s="105"/>
      <c r="M130" s="105"/>
      <c r="N130" s="106"/>
    </row>
    <row r="131">
      <c r="A131" s="106" t="s">
        <v>190</v>
      </c>
      <c r="B131" s="105">
        <v>0.0</v>
      </c>
      <c r="C131" s="105">
        <v>0.0</v>
      </c>
      <c r="D131" s="105">
        <v>0.0</v>
      </c>
      <c r="E131" s="107">
        <v>0.0</v>
      </c>
      <c r="F131" s="107">
        <v>0.0</v>
      </c>
      <c r="G131" s="105">
        <v>0.0</v>
      </c>
      <c r="H131" s="107"/>
      <c r="I131" s="107"/>
      <c r="J131" s="107"/>
      <c r="K131" s="107"/>
      <c r="L131" s="107"/>
      <c r="M131" s="107"/>
      <c r="N131" s="106"/>
    </row>
    <row r="132">
      <c r="A132" s="106" t="s">
        <v>191</v>
      </c>
      <c r="B132" s="105">
        <v>1.0</v>
      </c>
      <c r="C132" s="105">
        <v>6.0</v>
      </c>
      <c r="D132" s="105">
        <v>0.0</v>
      </c>
      <c r="E132" s="105">
        <v>3.0</v>
      </c>
      <c r="F132" s="105">
        <v>0.0</v>
      </c>
      <c r="G132" s="105">
        <v>0.0</v>
      </c>
      <c r="H132" s="105"/>
      <c r="I132" s="105"/>
      <c r="J132" s="105"/>
      <c r="K132" s="105"/>
      <c r="L132" s="105"/>
      <c r="M132" s="105"/>
      <c r="N132" s="106"/>
    </row>
    <row r="133">
      <c r="A133" s="106" t="s">
        <v>192</v>
      </c>
      <c r="B133" s="105">
        <v>0.0</v>
      </c>
      <c r="C133" s="105">
        <v>0.0</v>
      </c>
      <c r="D133" s="105">
        <v>0.0</v>
      </c>
      <c r="E133" s="107">
        <v>0.0</v>
      </c>
      <c r="F133" s="107">
        <v>0.0</v>
      </c>
      <c r="G133" s="105">
        <v>0.0</v>
      </c>
      <c r="H133" s="107"/>
      <c r="I133" s="107"/>
      <c r="J133" s="107"/>
      <c r="K133" s="107"/>
      <c r="L133" s="107"/>
      <c r="M133" s="107"/>
      <c r="N133" s="106"/>
    </row>
    <row r="134">
      <c r="A134" s="106" t="s">
        <v>193</v>
      </c>
      <c r="B134" s="105">
        <v>0.0</v>
      </c>
      <c r="C134" s="105">
        <v>0.0</v>
      </c>
      <c r="D134" s="105">
        <v>0.0</v>
      </c>
      <c r="E134" s="105">
        <v>0.0</v>
      </c>
      <c r="F134" s="105">
        <v>0.0</v>
      </c>
      <c r="G134" s="105">
        <v>0.0</v>
      </c>
      <c r="H134" s="105"/>
      <c r="I134" s="105"/>
      <c r="J134" s="105"/>
      <c r="K134" s="105"/>
      <c r="L134" s="105"/>
      <c r="M134" s="105"/>
      <c r="N134" s="106"/>
    </row>
    <row r="135">
      <c r="A135" s="106" t="s">
        <v>194</v>
      </c>
      <c r="B135" s="105">
        <v>0.0</v>
      </c>
      <c r="C135" s="105">
        <v>0.0</v>
      </c>
      <c r="D135" s="105">
        <v>0.0</v>
      </c>
      <c r="E135" s="107">
        <v>0.0</v>
      </c>
      <c r="F135" s="107">
        <v>0.0</v>
      </c>
      <c r="G135" s="105">
        <v>0.0</v>
      </c>
      <c r="H135" s="107"/>
      <c r="I135" s="107"/>
      <c r="J135" s="107"/>
      <c r="K135" s="107"/>
      <c r="L135" s="107"/>
      <c r="M135" s="107"/>
      <c r="N135" s="106"/>
    </row>
    <row r="136">
      <c r="A136" s="106" t="s">
        <v>195</v>
      </c>
      <c r="B136" s="105">
        <v>0.0</v>
      </c>
      <c r="C136" s="105">
        <v>0.0</v>
      </c>
      <c r="D136" s="105">
        <v>0.0</v>
      </c>
      <c r="E136" s="105">
        <v>0.0</v>
      </c>
      <c r="F136" s="105">
        <v>0.0</v>
      </c>
      <c r="G136" s="105">
        <v>0.0</v>
      </c>
      <c r="H136" s="105"/>
      <c r="I136" s="105"/>
      <c r="J136" s="105"/>
      <c r="K136" s="105"/>
      <c r="L136" s="105"/>
      <c r="M136" s="105"/>
      <c r="N136" s="106"/>
    </row>
    <row r="137">
      <c r="A137" s="106" t="s">
        <v>196</v>
      </c>
      <c r="B137" s="105">
        <v>0.0</v>
      </c>
      <c r="C137" s="105">
        <v>0.0</v>
      </c>
      <c r="D137" s="105">
        <v>0.0</v>
      </c>
      <c r="E137" s="107">
        <v>0.0</v>
      </c>
      <c r="F137" s="107">
        <v>0.0</v>
      </c>
      <c r="G137" s="105">
        <v>0.0</v>
      </c>
      <c r="H137" s="107"/>
      <c r="I137" s="107"/>
      <c r="J137" s="107"/>
      <c r="K137" s="107"/>
      <c r="L137" s="107"/>
      <c r="M137" s="107"/>
      <c r="N137" s="106"/>
    </row>
    <row r="138">
      <c r="A138" s="106" t="s">
        <v>197</v>
      </c>
      <c r="B138" s="105">
        <v>0.0</v>
      </c>
      <c r="C138" s="105">
        <v>0.0</v>
      </c>
      <c r="D138" s="105">
        <v>0.0</v>
      </c>
      <c r="E138" s="105">
        <v>0.0</v>
      </c>
      <c r="F138" s="105">
        <v>0.0</v>
      </c>
      <c r="G138" s="105">
        <v>0.0</v>
      </c>
      <c r="H138" s="105"/>
      <c r="I138" s="105"/>
      <c r="J138" s="105"/>
      <c r="K138" s="105"/>
      <c r="L138" s="105"/>
      <c r="M138" s="105"/>
      <c r="N138" s="106"/>
    </row>
    <row r="139">
      <c r="A139" s="106" t="s">
        <v>198</v>
      </c>
      <c r="B139" s="105">
        <v>0.0</v>
      </c>
      <c r="C139" s="105">
        <v>0.0</v>
      </c>
      <c r="D139" s="105">
        <v>0.0</v>
      </c>
      <c r="E139" s="107">
        <v>0.0</v>
      </c>
      <c r="F139" s="107">
        <v>0.0</v>
      </c>
      <c r="G139" s="105">
        <v>0.0</v>
      </c>
      <c r="H139" s="107"/>
      <c r="I139" s="107"/>
      <c r="J139" s="107"/>
      <c r="K139" s="107"/>
      <c r="L139" s="107"/>
      <c r="M139" s="107"/>
      <c r="N139" s="106"/>
    </row>
    <row r="140">
      <c r="A140" s="106" t="s">
        <v>199</v>
      </c>
      <c r="B140" s="105">
        <v>0.0</v>
      </c>
      <c r="C140" s="105">
        <v>0.0</v>
      </c>
      <c r="D140" s="105">
        <v>0.0</v>
      </c>
      <c r="E140" s="105">
        <v>0.0</v>
      </c>
      <c r="F140" s="105">
        <v>0.0</v>
      </c>
      <c r="G140" s="105">
        <v>0.0</v>
      </c>
      <c r="H140" s="105"/>
      <c r="I140" s="105"/>
      <c r="J140" s="105"/>
      <c r="K140" s="105"/>
      <c r="L140" s="105"/>
      <c r="M140" s="105"/>
      <c r="N140" s="106"/>
    </row>
    <row r="141">
      <c r="A141" s="106" t="s">
        <v>200</v>
      </c>
      <c r="B141" s="105">
        <v>0.0</v>
      </c>
      <c r="C141" s="105">
        <v>0.0</v>
      </c>
      <c r="D141" s="105">
        <v>0.0</v>
      </c>
      <c r="E141" s="107">
        <v>0.0</v>
      </c>
      <c r="F141" s="107">
        <v>0.0</v>
      </c>
      <c r="G141" s="105">
        <v>0.0</v>
      </c>
      <c r="H141" s="107"/>
      <c r="I141" s="107"/>
      <c r="J141" s="107"/>
      <c r="K141" s="107"/>
      <c r="L141" s="107"/>
      <c r="M141" s="107"/>
      <c r="N141" s="106"/>
    </row>
    <row r="142">
      <c r="A142" s="106" t="s">
        <v>201</v>
      </c>
      <c r="B142" s="105">
        <v>0.0</v>
      </c>
      <c r="C142" s="105">
        <v>0.0</v>
      </c>
      <c r="D142" s="105">
        <v>0.0</v>
      </c>
      <c r="E142" s="105">
        <v>0.0</v>
      </c>
      <c r="F142" s="105">
        <v>0.0</v>
      </c>
      <c r="G142" s="105">
        <v>0.0</v>
      </c>
      <c r="H142" s="105"/>
      <c r="I142" s="105"/>
      <c r="J142" s="105"/>
      <c r="K142" s="105"/>
      <c r="L142" s="105"/>
      <c r="M142" s="105"/>
      <c r="N142" s="106"/>
    </row>
    <row r="143">
      <c r="A143" s="106" t="s">
        <v>202</v>
      </c>
      <c r="B143" s="105">
        <v>0.0</v>
      </c>
      <c r="C143" s="105">
        <v>0.0</v>
      </c>
      <c r="D143" s="105">
        <v>0.0</v>
      </c>
      <c r="E143" s="107">
        <v>0.0</v>
      </c>
      <c r="F143" s="107">
        <v>0.0</v>
      </c>
      <c r="G143" s="105">
        <v>0.0</v>
      </c>
      <c r="H143" s="107"/>
      <c r="I143" s="107"/>
      <c r="J143" s="107"/>
      <c r="K143" s="107"/>
      <c r="L143" s="107"/>
      <c r="M143" s="107"/>
      <c r="N143" s="106"/>
    </row>
    <row r="144">
      <c r="A144" s="106" t="s">
        <v>203</v>
      </c>
      <c r="B144" s="105">
        <v>0.0</v>
      </c>
      <c r="C144" s="105">
        <v>0.0</v>
      </c>
      <c r="D144" s="105">
        <v>0.0</v>
      </c>
      <c r="E144" s="105">
        <v>0.0</v>
      </c>
      <c r="F144" s="105">
        <v>0.0</v>
      </c>
      <c r="G144" s="105">
        <v>0.0</v>
      </c>
      <c r="H144" s="105"/>
      <c r="I144" s="105"/>
      <c r="J144" s="105"/>
      <c r="K144" s="105"/>
      <c r="L144" s="105"/>
      <c r="M144" s="105"/>
      <c r="N144" s="106"/>
    </row>
    <row r="145">
      <c r="A145" s="106" t="s">
        <v>204</v>
      </c>
      <c r="B145" s="105">
        <v>0.0</v>
      </c>
      <c r="C145" s="105">
        <v>0.0</v>
      </c>
      <c r="D145" s="105">
        <v>0.0</v>
      </c>
      <c r="E145" s="107">
        <v>0.0</v>
      </c>
      <c r="F145" s="107">
        <v>0.0</v>
      </c>
      <c r="G145" s="105">
        <v>0.0</v>
      </c>
      <c r="H145" s="107"/>
      <c r="I145" s="107"/>
      <c r="J145" s="107"/>
      <c r="K145" s="107"/>
      <c r="L145" s="107"/>
      <c r="M145" s="107"/>
      <c r="N145" s="106"/>
    </row>
    <row r="146">
      <c r="A146" s="106" t="s">
        <v>205</v>
      </c>
      <c r="B146" s="105">
        <v>16.0</v>
      </c>
      <c r="C146" s="105">
        <v>12.0</v>
      </c>
      <c r="D146" s="105">
        <v>7.0</v>
      </c>
      <c r="E146" s="105">
        <v>6.0</v>
      </c>
      <c r="F146" s="105">
        <v>2.0</v>
      </c>
      <c r="G146" s="105">
        <v>18.0</v>
      </c>
      <c r="H146" s="105"/>
      <c r="I146" s="105"/>
      <c r="J146" s="105"/>
      <c r="K146" s="105"/>
      <c r="L146" s="105"/>
      <c r="M146" s="105"/>
      <c r="N146" s="106"/>
    </row>
    <row r="147">
      <c r="A147" s="106" t="s">
        <v>206</v>
      </c>
      <c r="B147" s="105">
        <v>0.0</v>
      </c>
      <c r="C147" s="105">
        <v>0.0</v>
      </c>
      <c r="D147" s="105">
        <v>0.0</v>
      </c>
      <c r="E147" s="107">
        <v>0.0</v>
      </c>
      <c r="F147" s="107">
        <v>0.0</v>
      </c>
      <c r="G147" s="105">
        <v>0.0</v>
      </c>
      <c r="H147" s="107"/>
      <c r="I147" s="107"/>
      <c r="J147" s="107"/>
      <c r="K147" s="107"/>
      <c r="L147" s="107"/>
      <c r="M147" s="107"/>
      <c r="N147" s="106"/>
    </row>
    <row r="148">
      <c r="A148" s="106" t="s">
        <v>207</v>
      </c>
      <c r="B148" s="105">
        <v>0.0</v>
      </c>
      <c r="C148" s="105">
        <v>0.0</v>
      </c>
      <c r="D148" s="105">
        <v>0.0</v>
      </c>
      <c r="E148" s="105">
        <v>0.0</v>
      </c>
      <c r="F148" s="105">
        <v>0.0</v>
      </c>
      <c r="G148" s="105">
        <v>0.0</v>
      </c>
      <c r="H148" s="105"/>
      <c r="I148" s="105"/>
      <c r="J148" s="105"/>
      <c r="K148" s="105"/>
      <c r="L148" s="105"/>
      <c r="M148" s="105"/>
      <c r="N148" s="106"/>
    </row>
    <row r="149">
      <c r="A149" s="106" t="s">
        <v>208</v>
      </c>
      <c r="B149" s="105">
        <v>0.0</v>
      </c>
      <c r="C149" s="105">
        <v>0.0</v>
      </c>
      <c r="D149" s="105">
        <v>0.0</v>
      </c>
      <c r="E149" s="107">
        <v>0.0</v>
      </c>
      <c r="F149" s="107">
        <v>0.0</v>
      </c>
      <c r="G149" s="105">
        <v>0.0</v>
      </c>
      <c r="H149" s="107"/>
      <c r="I149" s="107"/>
      <c r="J149" s="107"/>
      <c r="K149" s="107"/>
      <c r="L149" s="107"/>
      <c r="M149" s="107"/>
      <c r="N149" s="106"/>
    </row>
    <row r="150">
      <c r="A150" s="106" t="s">
        <v>209</v>
      </c>
      <c r="B150" s="105">
        <v>0.0</v>
      </c>
      <c r="C150" s="105">
        <v>0.0</v>
      </c>
      <c r="D150" s="105">
        <v>0.0</v>
      </c>
      <c r="E150" s="105">
        <v>0.0</v>
      </c>
      <c r="F150" s="105">
        <v>0.0</v>
      </c>
      <c r="G150" s="105">
        <v>0.0</v>
      </c>
      <c r="H150" s="105"/>
      <c r="I150" s="105"/>
      <c r="J150" s="105"/>
      <c r="K150" s="105"/>
      <c r="L150" s="105"/>
      <c r="M150" s="105"/>
      <c r="N150" s="106"/>
    </row>
    <row r="151">
      <c r="A151" s="106" t="s">
        <v>210</v>
      </c>
      <c r="B151" s="105">
        <v>0.0</v>
      </c>
      <c r="C151" s="105">
        <v>0.0</v>
      </c>
      <c r="D151" s="105">
        <v>0.0</v>
      </c>
      <c r="E151" s="107">
        <v>0.0</v>
      </c>
      <c r="F151" s="107">
        <v>0.0</v>
      </c>
      <c r="G151" s="105">
        <v>0.0</v>
      </c>
      <c r="H151" s="107"/>
      <c r="I151" s="107"/>
      <c r="J151" s="107"/>
      <c r="K151" s="107"/>
      <c r="L151" s="107"/>
      <c r="M151" s="107"/>
      <c r="N151" s="106"/>
    </row>
    <row r="152">
      <c r="A152" s="106" t="s">
        <v>211</v>
      </c>
      <c r="B152" s="105">
        <v>0.0</v>
      </c>
      <c r="C152" s="105">
        <v>0.0</v>
      </c>
      <c r="D152" s="105">
        <v>0.0</v>
      </c>
      <c r="E152" s="105">
        <v>0.0</v>
      </c>
      <c r="F152" s="105">
        <v>0.0</v>
      </c>
      <c r="G152" s="105">
        <v>0.0</v>
      </c>
      <c r="H152" s="105"/>
      <c r="I152" s="105"/>
      <c r="J152" s="105"/>
      <c r="K152" s="105"/>
      <c r="L152" s="105"/>
      <c r="M152" s="105"/>
      <c r="N152" s="106"/>
    </row>
    <row r="153">
      <c r="A153" s="106" t="s">
        <v>212</v>
      </c>
      <c r="B153" s="105">
        <v>0.0</v>
      </c>
      <c r="C153" s="105">
        <v>0.0</v>
      </c>
      <c r="D153" s="105">
        <v>0.0</v>
      </c>
      <c r="E153" s="107">
        <v>0.0</v>
      </c>
      <c r="F153" s="107">
        <v>0.0</v>
      </c>
      <c r="G153" s="105">
        <v>0.0</v>
      </c>
      <c r="H153" s="107"/>
      <c r="I153" s="107"/>
      <c r="J153" s="107"/>
      <c r="K153" s="107"/>
      <c r="L153" s="107"/>
      <c r="M153" s="107"/>
      <c r="N153" s="106"/>
    </row>
    <row r="154">
      <c r="A154" s="106" t="s">
        <v>213</v>
      </c>
      <c r="B154" s="105">
        <v>0.0</v>
      </c>
      <c r="C154" s="105">
        <v>0.0</v>
      </c>
      <c r="D154" s="105">
        <v>0.0</v>
      </c>
      <c r="E154" s="105">
        <v>0.0</v>
      </c>
      <c r="F154" s="105">
        <v>0.0</v>
      </c>
      <c r="G154" s="105">
        <v>0.0</v>
      </c>
      <c r="H154" s="105"/>
      <c r="I154" s="105"/>
      <c r="J154" s="105"/>
      <c r="K154" s="105"/>
      <c r="L154" s="105"/>
      <c r="M154" s="105"/>
      <c r="N154" s="106"/>
    </row>
    <row r="155">
      <c r="A155" s="106" t="s">
        <v>214</v>
      </c>
      <c r="B155" s="105">
        <v>0.0</v>
      </c>
      <c r="C155" s="105">
        <v>0.0</v>
      </c>
      <c r="D155" s="105">
        <v>0.0</v>
      </c>
      <c r="E155" s="107">
        <v>0.0</v>
      </c>
      <c r="F155" s="107">
        <v>0.0</v>
      </c>
      <c r="G155" s="105">
        <v>0.0</v>
      </c>
      <c r="H155" s="107"/>
      <c r="I155" s="107"/>
      <c r="J155" s="107"/>
      <c r="K155" s="107"/>
      <c r="L155" s="107"/>
      <c r="M155" s="107"/>
      <c r="N155" s="106"/>
    </row>
    <row r="156">
      <c r="A156" s="106" t="s">
        <v>215</v>
      </c>
      <c r="B156" s="105">
        <v>0.0</v>
      </c>
      <c r="C156" s="105">
        <v>0.0</v>
      </c>
      <c r="D156" s="105">
        <v>0.0</v>
      </c>
      <c r="E156" s="105">
        <v>0.0</v>
      </c>
      <c r="F156" s="105">
        <v>0.0</v>
      </c>
      <c r="G156" s="105">
        <v>0.0</v>
      </c>
      <c r="H156" s="105"/>
      <c r="I156" s="105"/>
      <c r="J156" s="105"/>
      <c r="K156" s="105"/>
      <c r="L156" s="105"/>
      <c r="M156" s="105"/>
      <c r="N156" s="106"/>
    </row>
    <row r="157">
      <c r="A157" s="106" t="s">
        <v>216</v>
      </c>
      <c r="B157" s="105">
        <v>0.0</v>
      </c>
      <c r="C157" s="105">
        <v>0.0</v>
      </c>
      <c r="D157" s="105">
        <v>0.0</v>
      </c>
      <c r="E157" s="107">
        <v>0.0</v>
      </c>
      <c r="F157" s="107">
        <v>0.0</v>
      </c>
      <c r="G157" s="105">
        <v>0.0</v>
      </c>
      <c r="H157" s="107"/>
      <c r="I157" s="107"/>
      <c r="J157" s="107"/>
      <c r="K157" s="107"/>
      <c r="L157" s="107"/>
      <c r="M157" s="107"/>
      <c r="N157" s="106"/>
    </row>
    <row r="158">
      <c r="A158" s="106" t="s">
        <v>217</v>
      </c>
      <c r="B158" s="105">
        <v>0.0</v>
      </c>
      <c r="C158" s="105">
        <v>0.0</v>
      </c>
      <c r="D158" s="105">
        <v>0.0</v>
      </c>
      <c r="E158" s="105">
        <v>0.0</v>
      </c>
      <c r="F158" s="105">
        <v>0.0</v>
      </c>
      <c r="G158" s="105">
        <v>0.0</v>
      </c>
      <c r="H158" s="105"/>
      <c r="I158" s="105"/>
      <c r="J158" s="105"/>
      <c r="K158" s="105"/>
      <c r="L158" s="105"/>
      <c r="M158" s="105"/>
      <c r="N158" s="106"/>
    </row>
    <row r="159">
      <c r="A159" s="106" t="s">
        <v>218</v>
      </c>
      <c r="B159" s="105">
        <v>0.0</v>
      </c>
      <c r="C159" s="105">
        <v>0.0</v>
      </c>
      <c r="D159" s="105">
        <v>0.0</v>
      </c>
      <c r="E159" s="107">
        <v>0.0</v>
      </c>
      <c r="F159" s="107">
        <v>0.0</v>
      </c>
      <c r="G159" s="105">
        <v>0.0</v>
      </c>
      <c r="H159" s="107"/>
      <c r="I159" s="107"/>
      <c r="J159" s="107"/>
      <c r="K159" s="107"/>
      <c r="L159" s="107"/>
      <c r="M159" s="107"/>
      <c r="N159" s="106"/>
    </row>
    <row r="160">
      <c r="A160" s="106" t="s">
        <v>219</v>
      </c>
      <c r="B160" s="105">
        <v>0.0</v>
      </c>
      <c r="C160" s="105">
        <v>0.0</v>
      </c>
      <c r="D160" s="105">
        <v>0.0</v>
      </c>
      <c r="E160" s="105">
        <v>0.0</v>
      </c>
      <c r="F160" s="105">
        <v>0.0</v>
      </c>
      <c r="G160" s="105">
        <v>0.0</v>
      </c>
      <c r="H160" s="105"/>
      <c r="I160" s="105"/>
      <c r="J160" s="105"/>
      <c r="K160" s="105"/>
      <c r="L160" s="105"/>
      <c r="M160" s="105"/>
      <c r="N160" s="106"/>
    </row>
    <row r="161">
      <c r="A161" s="106" t="s">
        <v>220</v>
      </c>
      <c r="B161" s="105">
        <v>0.0</v>
      </c>
      <c r="C161" s="105">
        <v>0.0</v>
      </c>
      <c r="D161" s="105">
        <v>0.0</v>
      </c>
      <c r="E161" s="107">
        <v>0.0</v>
      </c>
      <c r="F161" s="107">
        <v>0.0</v>
      </c>
      <c r="G161" s="105">
        <v>0.0</v>
      </c>
      <c r="H161" s="107"/>
      <c r="I161" s="107"/>
      <c r="J161" s="107"/>
      <c r="K161" s="107"/>
      <c r="L161" s="107"/>
      <c r="M161" s="107"/>
      <c r="N161" s="106"/>
    </row>
    <row r="162">
      <c r="A162" s="106" t="s">
        <v>221</v>
      </c>
      <c r="B162" s="105">
        <v>0.0</v>
      </c>
      <c r="C162" s="105">
        <v>0.0</v>
      </c>
      <c r="D162" s="105">
        <v>0.0</v>
      </c>
      <c r="E162" s="105">
        <v>0.0</v>
      </c>
      <c r="F162" s="105">
        <v>0.0</v>
      </c>
      <c r="G162" s="105">
        <v>0.0</v>
      </c>
      <c r="H162" s="105"/>
      <c r="I162" s="105"/>
      <c r="J162" s="105"/>
      <c r="K162" s="105"/>
      <c r="L162" s="105"/>
      <c r="M162" s="105"/>
      <c r="N162" s="106"/>
    </row>
    <row r="163">
      <c r="A163" s="106" t="s">
        <v>222</v>
      </c>
      <c r="B163" s="105">
        <v>0.0</v>
      </c>
      <c r="C163" s="105">
        <v>0.0</v>
      </c>
      <c r="D163" s="105">
        <v>0.0</v>
      </c>
      <c r="E163" s="107">
        <v>0.0</v>
      </c>
      <c r="F163" s="107">
        <v>0.0</v>
      </c>
      <c r="G163" s="105">
        <v>0.0</v>
      </c>
      <c r="H163" s="107"/>
      <c r="I163" s="107"/>
      <c r="J163" s="107"/>
      <c r="K163" s="107"/>
      <c r="L163" s="107"/>
      <c r="M163" s="107"/>
      <c r="N163" s="106"/>
    </row>
    <row r="164">
      <c r="A164" s="106" t="s">
        <v>223</v>
      </c>
      <c r="B164" s="105">
        <v>0.0</v>
      </c>
      <c r="C164" s="105">
        <v>0.0</v>
      </c>
      <c r="D164" s="105">
        <v>0.0</v>
      </c>
      <c r="E164" s="105">
        <v>0.0</v>
      </c>
      <c r="F164" s="105">
        <v>0.0</v>
      </c>
      <c r="G164" s="105">
        <v>0.0</v>
      </c>
      <c r="H164" s="105"/>
      <c r="I164" s="105"/>
      <c r="J164" s="105"/>
      <c r="K164" s="105"/>
      <c r="L164" s="105"/>
      <c r="M164" s="105"/>
      <c r="N164" s="106"/>
    </row>
    <row r="165">
      <c r="A165" s="106" t="s">
        <v>224</v>
      </c>
      <c r="B165" s="105">
        <v>0.0</v>
      </c>
      <c r="C165" s="105">
        <v>0.0</v>
      </c>
      <c r="D165" s="105">
        <v>0.0</v>
      </c>
      <c r="E165" s="107">
        <v>0.0</v>
      </c>
      <c r="F165" s="107">
        <v>0.0</v>
      </c>
      <c r="G165" s="105">
        <v>0.0</v>
      </c>
      <c r="H165" s="107"/>
      <c r="I165" s="107"/>
      <c r="J165" s="107"/>
      <c r="K165" s="107"/>
      <c r="L165" s="107"/>
      <c r="M165" s="107"/>
      <c r="N165" s="106"/>
    </row>
    <row r="166">
      <c r="A166" s="106" t="s">
        <v>225</v>
      </c>
      <c r="B166" s="105">
        <v>0.0</v>
      </c>
      <c r="C166" s="105">
        <v>0.0</v>
      </c>
      <c r="D166" s="105">
        <v>0.0</v>
      </c>
      <c r="E166" s="105">
        <v>0.0</v>
      </c>
      <c r="F166" s="105">
        <v>0.0</v>
      </c>
      <c r="G166" s="105">
        <v>0.0</v>
      </c>
      <c r="H166" s="105"/>
      <c r="I166" s="105"/>
      <c r="J166" s="105"/>
      <c r="K166" s="105"/>
      <c r="L166" s="105"/>
      <c r="M166" s="105"/>
      <c r="N166" s="106"/>
    </row>
    <row r="167">
      <c r="A167" s="106" t="s">
        <v>226</v>
      </c>
      <c r="B167" s="105">
        <v>0.0</v>
      </c>
      <c r="C167" s="105">
        <v>0.0</v>
      </c>
      <c r="D167" s="105">
        <v>0.0</v>
      </c>
      <c r="E167" s="107">
        <v>2.0</v>
      </c>
      <c r="F167" s="107">
        <v>0.0</v>
      </c>
      <c r="G167" s="105">
        <v>1.0</v>
      </c>
      <c r="H167" s="107"/>
      <c r="I167" s="107"/>
      <c r="J167" s="107"/>
      <c r="K167" s="107"/>
      <c r="L167" s="107"/>
      <c r="M167" s="107"/>
      <c r="N167" s="106"/>
    </row>
    <row r="168">
      <c r="A168" s="106" t="s">
        <v>227</v>
      </c>
      <c r="B168" s="105">
        <v>0.0</v>
      </c>
      <c r="C168" s="105">
        <v>0.0</v>
      </c>
      <c r="D168" s="105">
        <v>0.0</v>
      </c>
      <c r="E168" s="105">
        <v>0.0</v>
      </c>
      <c r="F168" s="105">
        <v>0.0</v>
      </c>
      <c r="G168" s="105">
        <v>0.0</v>
      </c>
      <c r="H168" s="105"/>
      <c r="I168" s="105"/>
      <c r="J168" s="105"/>
      <c r="K168" s="105"/>
      <c r="L168" s="105"/>
      <c r="M168" s="105"/>
      <c r="N168" s="106"/>
    </row>
    <row r="169">
      <c r="A169" s="106" t="s">
        <v>228</v>
      </c>
      <c r="B169" s="105">
        <v>2.0</v>
      </c>
      <c r="C169" s="105">
        <v>0.0</v>
      </c>
      <c r="D169" s="105">
        <v>0.0</v>
      </c>
      <c r="E169" s="107">
        <v>0.0</v>
      </c>
      <c r="F169" s="107">
        <v>0.0</v>
      </c>
      <c r="G169" s="105">
        <v>2.0</v>
      </c>
      <c r="H169" s="107"/>
      <c r="I169" s="107"/>
      <c r="J169" s="107"/>
      <c r="K169" s="107"/>
      <c r="L169" s="107"/>
      <c r="M169" s="107"/>
      <c r="N169" s="106"/>
    </row>
    <row r="170">
      <c r="A170" s="114" t="s">
        <v>229</v>
      </c>
      <c r="B170" s="115">
        <v>298.0</v>
      </c>
      <c r="C170" s="116">
        <v>282.0</v>
      </c>
      <c r="D170" s="116">
        <v>13.0</v>
      </c>
      <c r="E170" s="116">
        <v>26.0</v>
      </c>
      <c r="F170" s="116">
        <v>69.0</v>
      </c>
      <c r="G170" s="116">
        <v>27.0</v>
      </c>
      <c r="H170" s="116"/>
      <c r="I170" s="116"/>
      <c r="J170" s="116"/>
      <c r="K170" s="116"/>
      <c r="L170" s="116"/>
      <c r="M170" s="116"/>
      <c r="N170" s="114"/>
    </row>
    <row r="171">
      <c r="A171" s="106" t="s">
        <v>230</v>
      </c>
      <c r="B171" s="105">
        <v>28.0</v>
      </c>
      <c r="C171" s="105">
        <v>3.0</v>
      </c>
      <c r="D171" s="105">
        <v>1.0</v>
      </c>
      <c r="E171" s="107">
        <v>4.0</v>
      </c>
      <c r="F171" s="107">
        <v>1.0</v>
      </c>
      <c r="G171" s="105">
        <v>2.0</v>
      </c>
      <c r="H171" s="107"/>
      <c r="I171" s="107"/>
      <c r="J171" s="107"/>
      <c r="K171" s="107"/>
      <c r="L171" s="107"/>
      <c r="M171" s="107"/>
      <c r="N171" s="106"/>
    </row>
    <row r="172">
      <c r="A172" s="106" t="s">
        <v>231</v>
      </c>
      <c r="B172" s="105">
        <v>0.0</v>
      </c>
      <c r="C172" s="105">
        <v>0.0</v>
      </c>
      <c r="D172" s="105">
        <v>0.0</v>
      </c>
      <c r="E172" s="105">
        <v>0.0</v>
      </c>
      <c r="F172" s="105">
        <v>0.0</v>
      </c>
      <c r="G172" s="105">
        <v>0.0</v>
      </c>
      <c r="H172" s="105"/>
      <c r="I172" s="105"/>
      <c r="J172" s="105"/>
      <c r="K172" s="105"/>
      <c r="L172" s="105"/>
      <c r="M172" s="105"/>
      <c r="N172" s="106"/>
    </row>
    <row r="173">
      <c r="A173" s="106" t="s">
        <v>232</v>
      </c>
      <c r="B173" s="105">
        <v>1.0</v>
      </c>
      <c r="C173" s="105">
        <v>0.0</v>
      </c>
      <c r="D173" s="105">
        <v>6.0</v>
      </c>
      <c r="E173" s="107">
        <v>3.0</v>
      </c>
      <c r="F173" s="107">
        <v>1.0</v>
      </c>
      <c r="G173" s="105">
        <v>0.0</v>
      </c>
      <c r="H173" s="107"/>
      <c r="I173" s="107"/>
      <c r="J173" s="107"/>
      <c r="K173" s="107"/>
      <c r="L173" s="107"/>
      <c r="M173" s="107"/>
      <c r="N173" s="106"/>
    </row>
    <row r="174">
      <c r="A174" s="106" t="s">
        <v>233</v>
      </c>
      <c r="B174" s="105">
        <v>2.0</v>
      </c>
      <c r="C174" s="105">
        <v>0.0</v>
      </c>
      <c r="D174" s="105">
        <v>0.0</v>
      </c>
      <c r="E174" s="105">
        <v>0.0</v>
      </c>
      <c r="F174" s="105">
        <v>0.0</v>
      </c>
      <c r="G174" s="105">
        <v>3.0</v>
      </c>
      <c r="H174" s="105"/>
      <c r="I174" s="105"/>
      <c r="J174" s="105"/>
      <c r="K174" s="105"/>
      <c r="L174" s="105"/>
      <c r="M174" s="105"/>
      <c r="N174" s="106"/>
    </row>
    <row r="175">
      <c r="A175" s="106" t="s">
        <v>234</v>
      </c>
      <c r="B175" s="105">
        <v>2.0</v>
      </c>
      <c r="C175" s="105">
        <v>1.0</v>
      </c>
      <c r="D175" s="105">
        <v>2.0</v>
      </c>
      <c r="E175" s="107">
        <v>0.0</v>
      </c>
      <c r="F175" s="107">
        <v>0.0</v>
      </c>
      <c r="G175" s="105">
        <v>0.0</v>
      </c>
      <c r="H175" s="107"/>
      <c r="I175" s="107"/>
      <c r="J175" s="107"/>
      <c r="K175" s="107"/>
      <c r="L175" s="107"/>
      <c r="M175" s="107"/>
      <c r="N175" s="106"/>
    </row>
    <row r="176">
      <c r="A176" s="106" t="s">
        <v>235</v>
      </c>
      <c r="B176" s="105">
        <v>0.0</v>
      </c>
      <c r="C176" s="105">
        <v>0.0</v>
      </c>
      <c r="D176" s="105">
        <v>0.0</v>
      </c>
      <c r="E176" s="105">
        <v>0.0</v>
      </c>
      <c r="F176" s="105">
        <v>0.0</v>
      </c>
      <c r="G176" s="105">
        <v>0.0</v>
      </c>
      <c r="H176" s="105"/>
      <c r="I176" s="105"/>
      <c r="J176" s="105"/>
      <c r="K176" s="105"/>
      <c r="L176" s="105"/>
      <c r="M176" s="105"/>
      <c r="N176" s="106"/>
    </row>
    <row r="177">
      <c r="A177" s="106" t="s">
        <v>236</v>
      </c>
      <c r="B177" s="105">
        <v>0.0</v>
      </c>
      <c r="C177" s="105">
        <v>0.0</v>
      </c>
      <c r="D177" s="105">
        <v>0.0</v>
      </c>
      <c r="E177" s="107">
        <v>0.0</v>
      </c>
      <c r="F177" s="107">
        <v>0.0</v>
      </c>
      <c r="G177" s="105">
        <v>0.0</v>
      </c>
      <c r="H177" s="107"/>
      <c r="I177" s="107"/>
      <c r="J177" s="107"/>
      <c r="K177" s="107"/>
      <c r="L177" s="107"/>
      <c r="M177" s="107"/>
      <c r="N177" s="106"/>
    </row>
    <row r="178">
      <c r="A178" s="106" t="s">
        <v>237</v>
      </c>
      <c r="B178" s="105">
        <v>0.0</v>
      </c>
      <c r="C178" s="105">
        <v>0.0</v>
      </c>
      <c r="D178" s="105">
        <v>0.0</v>
      </c>
      <c r="E178" s="105">
        <v>0.0</v>
      </c>
      <c r="F178" s="105">
        <v>0.0</v>
      </c>
      <c r="G178" s="105">
        <v>0.0</v>
      </c>
      <c r="H178" s="105"/>
      <c r="I178" s="105"/>
      <c r="J178" s="105"/>
      <c r="K178" s="105"/>
      <c r="L178" s="105"/>
      <c r="M178" s="105"/>
      <c r="N178" s="106"/>
    </row>
    <row r="179">
      <c r="A179" s="106" t="s">
        <v>238</v>
      </c>
      <c r="B179" s="105">
        <v>0.0</v>
      </c>
      <c r="C179" s="105">
        <v>0.0</v>
      </c>
      <c r="D179" s="105">
        <v>0.0</v>
      </c>
      <c r="E179" s="107">
        <v>0.0</v>
      </c>
      <c r="F179" s="107">
        <v>0.0</v>
      </c>
      <c r="G179" s="105">
        <v>0.0</v>
      </c>
      <c r="H179" s="107"/>
      <c r="I179" s="107"/>
      <c r="J179" s="107"/>
      <c r="K179" s="107"/>
      <c r="L179" s="107"/>
      <c r="M179" s="107"/>
      <c r="N179" s="106"/>
    </row>
    <row r="180">
      <c r="A180" s="106" t="s">
        <v>239</v>
      </c>
      <c r="B180" s="105">
        <v>0.0</v>
      </c>
      <c r="C180" s="105">
        <v>0.0</v>
      </c>
      <c r="D180" s="105">
        <v>0.0</v>
      </c>
      <c r="E180" s="105">
        <v>0.0</v>
      </c>
      <c r="F180" s="105">
        <v>0.0</v>
      </c>
      <c r="G180" s="105">
        <v>0.0</v>
      </c>
      <c r="H180" s="105"/>
      <c r="I180" s="105"/>
      <c r="J180" s="105"/>
      <c r="K180" s="105"/>
      <c r="L180" s="105"/>
      <c r="M180" s="105"/>
      <c r="N180" s="106"/>
    </row>
    <row r="181">
      <c r="A181" s="106" t="s">
        <v>240</v>
      </c>
      <c r="B181" s="105">
        <v>0.0</v>
      </c>
      <c r="C181" s="105">
        <v>0.0</v>
      </c>
      <c r="D181" s="105">
        <v>0.0</v>
      </c>
      <c r="E181" s="107">
        <v>0.0</v>
      </c>
      <c r="F181" s="107">
        <v>0.0</v>
      </c>
      <c r="G181" s="105">
        <v>0.0</v>
      </c>
      <c r="H181" s="107"/>
      <c r="I181" s="107"/>
      <c r="J181" s="107"/>
      <c r="K181" s="107"/>
      <c r="L181" s="107"/>
      <c r="M181" s="107"/>
      <c r="N181" s="106"/>
    </row>
    <row r="182">
      <c r="A182" s="106" t="s">
        <v>241</v>
      </c>
      <c r="B182" s="105">
        <v>5.0</v>
      </c>
      <c r="C182" s="105">
        <v>5.0</v>
      </c>
      <c r="D182" s="105">
        <v>0.0</v>
      </c>
      <c r="E182" s="105">
        <v>0.0</v>
      </c>
      <c r="F182" s="105">
        <v>0.0</v>
      </c>
      <c r="G182" s="105">
        <v>0.0</v>
      </c>
      <c r="H182" s="105"/>
      <c r="I182" s="105"/>
      <c r="J182" s="105"/>
      <c r="K182" s="105"/>
      <c r="L182" s="105"/>
      <c r="M182" s="105"/>
      <c r="N182" s="106"/>
    </row>
    <row r="183">
      <c r="A183" s="106" t="s">
        <v>242</v>
      </c>
      <c r="B183" s="105">
        <v>0.0</v>
      </c>
      <c r="C183" s="105">
        <v>0.0</v>
      </c>
      <c r="D183" s="105">
        <v>0.0</v>
      </c>
      <c r="E183" s="107">
        <v>0.0</v>
      </c>
      <c r="F183" s="107">
        <v>0.0</v>
      </c>
      <c r="G183" s="105">
        <v>0.0</v>
      </c>
      <c r="H183" s="107"/>
      <c r="I183" s="107"/>
      <c r="J183" s="107"/>
      <c r="K183" s="107"/>
      <c r="L183" s="107"/>
      <c r="M183" s="107"/>
      <c r="N183" s="106"/>
    </row>
    <row r="184">
      <c r="A184" s="106" t="s">
        <v>243</v>
      </c>
      <c r="B184" s="105">
        <v>0.0</v>
      </c>
      <c r="C184" s="105">
        <v>0.0</v>
      </c>
      <c r="D184" s="105">
        <v>1.0</v>
      </c>
      <c r="E184" s="105">
        <v>1.0</v>
      </c>
      <c r="F184" s="105">
        <v>0.0</v>
      </c>
      <c r="G184" s="105">
        <v>9.0</v>
      </c>
      <c r="H184" s="105"/>
      <c r="I184" s="105"/>
      <c r="J184" s="105"/>
      <c r="K184" s="105"/>
      <c r="L184" s="105"/>
      <c r="M184" s="105"/>
      <c r="N184" s="106"/>
    </row>
    <row r="185">
      <c r="A185" s="106" t="s">
        <v>244</v>
      </c>
      <c r="B185" s="105">
        <v>0.0</v>
      </c>
      <c r="C185" s="105">
        <v>0.0</v>
      </c>
      <c r="D185" s="105">
        <v>0.0</v>
      </c>
      <c r="E185" s="107">
        <v>0.0</v>
      </c>
      <c r="F185" s="107">
        <v>0.0</v>
      </c>
      <c r="G185" s="105">
        <v>0.0</v>
      </c>
      <c r="H185" s="107"/>
      <c r="I185" s="107"/>
      <c r="J185" s="107"/>
      <c r="K185" s="107"/>
      <c r="L185" s="107"/>
      <c r="M185" s="107"/>
      <c r="N185" s="106"/>
    </row>
    <row r="186">
      <c r="A186" s="106" t="s">
        <v>245</v>
      </c>
      <c r="B186" s="105">
        <v>0.0</v>
      </c>
      <c r="C186" s="105">
        <v>0.0</v>
      </c>
      <c r="D186" s="105">
        <v>0.0</v>
      </c>
      <c r="E186" s="105">
        <v>0.0</v>
      </c>
      <c r="F186" s="105">
        <v>0.0</v>
      </c>
      <c r="G186" s="105">
        <v>0.0</v>
      </c>
      <c r="H186" s="105"/>
      <c r="I186" s="105"/>
      <c r="J186" s="105"/>
      <c r="K186" s="105"/>
      <c r="L186" s="105"/>
      <c r="M186" s="105"/>
      <c r="N186" s="106"/>
    </row>
    <row r="187">
      <c r="A187" s="106" t="s">
        <v>246</v>
      </c>
      <c r="B187" s="105">
        <v>0.0</v>
      </c>
      <c r="C187" s="105">
        <v>0.0</v>
      </c>
      <c r="D187" s="105">
        <v>0.0</v>
      </c>
      <c r="E187" s="107">
        <v>0.0</v>
      </c>
      <c r="F187" s="107">
        <v>0.0</v>
      </c>
      <c r="G187" s="105">
        <v>0.0</v>
      </c>
      <c r="H187" s="107"/>
      <c r="I187" s="107"/>
      <c r="J187" s="107"/>
      <c r="K187" s="107"/>
      <c r="L187" s="107"/>
      <c r="M187" s="107"/>
      <c r="N187" s="106"/>
    </row>
    <row r="188">
      <c r="A188" s="106" t="s">
        <v>247</v>
      </c>
      <c r="B188" s="105">
        <v>0.0</v>
      </c>
      <c r="C188" s="105">
        <v>0.0</v>
      </c>
      <c r="D188" s="105">
        <v>0.0</v>
      </c>
      <c r="E188" s="105">
        <v>0.0</v>
      </c>
      <c r="F188" s="105">
        <v>0.0</v>
      </c>
      <c r="G188" s="105">
        <v>0.0</v>
      </c>
      <c r="H188" s="105"/>
      <c r="I188" s="105"/>
      <c r="J188" s="105"/>
      <c r="K188" s="105"/>
      <c r="L188" s="105"/>
      <c r="M188" s="105"/>
      <c r="N188" s="106"/>
    </row>
    <row r="189">
      <c r="A189" s="106" t="s">
        <v>248</v>
      </c>
      <c r="B189" s="105">
        <v>0.0</v>
      </c>
      <c r="C189" s="105">
        <v>0.0</v>
      </c>
      <c r="D189" s="105">
        <v>0.0</v>
      </c>
      <c r="E189" s="107">
        <v>0.0</v>
      </c>
      <c r="F189" s="107">
        <v>0.0</v>
      </c>
      <c r="G189" s="105">
        <v>0.0</v>
      </c>
      <c r="H189" s="107"/>
      <c r="I189" s="107"/>
      <c r="J189" s="107"/>
      <c r="K189" s="107"/>
      <c r="L189" s="107"/>
      <c r="M189" s="107"/>
      <c r="N189" s="106"/>
    </row>
    <row r="190">
      <c r="A190" s="106" t="s">
        <v>249</v>
      </c>
      <c r="B190" s="105">
        <v>0.0</v>
      </c>
      <c r="C190" s="105">
        <v>0.0</v>
      </c>
      <c r="D190" s="105">
        <v>0.0</v>
      </c>
      <c r="E190" s="105">
        <v>0.0</v>
      </c>
      <c r="F190" s="105">
        <v>0.0</v>
      </c>
      <c r="G190" s="105">
        <v>0.0</v>
      </c>
      <c r="H190" s="105"/>
      <c r="I190" s="105"/>
      <c r="J190" s="105"/>
      <c r="K190" s="105"/>
      <c r="L190" s="105"/>
      <c r="M190" s="105"/>
      <c r="N190" s="106"/>
    </row>
    <row r="191">
      <c r="A191" s="106" t="s">
        <v>250</v>
      </c>
      <c r="B191" s="105">
        <v>0.0</v>
      </c>
      <c r="C191" s="105">
        <v>0.0</v>
      </c>
      <c r="D191" s="105">
        <v>0.0</v>
      </c>
      <c r="E191" s="107">
        <v>0.0</v>
      </c>
      <c r="F191" s="107">
        <v>0.0</v>
      </c>
      <c r="G191" s="105">
        <v>0.0</v>
      </c>
      <c r="H191" s="107"/>
      <c r="I191" s="107"/>
      <c r="J191" s="107"/>
      <c r="K191" s="107"/>
      <c r="L191" s="107"/>
      <c r="M191" s="107"/>
      <c r="N191" s="106"/>
    </row>
    <row r="192">
      <c r="A192" s="106" t="s">
        <v>251</v>
      </c>
      <c r="B192" s="105">
        <v>0.0</v>
      </c>
      <c r="C192" s="105">
        <v>0.0</v>
      </c>
      <c r="D192" s="105">
        <v>0.0</v>
      </c>
      <c r="E192" s="105">
        <v>0.0</v>
      </c>
      <c r="F192" s="105">
        <v>0.0</v>
      </c>
      <c r="G192" s="105">
        <v>0.0</v>
      </c>
      <c r="H192" s="105"/>
      <c r="I192" s="105"/>
      <c r="J192" s="105"/>
      <c r="K192" s="105"/>
      <c r="L192" s="105"/>
      <c r="M192" s="105"/>
      <c r="N192" s="106"/>
    </row>
    <row r="193">
      <c r="A193" s="106" t="s">
        <v>252</v>
      </c>
      <c r="B193" s="105">
        <v>0.0</v>
      </c>
      <c r="C193" s="105">
        <v>0.0</v>
      </c>
      <c r="D193" s="105">
        <v>0.0</v>
      </c>
      <c r="E193" s="107">
        <v>0.0</v>
      </c>
      <c r="F193" s="107">
        <v>0.0</v>
      </c>
      <c r="G193" s="105">
        <v>0.0</v>
      </c>
      <c r="H193" s="107"/>
      <c r="I193" s="107"/>
      <c r="J193" s="107"/>
      <c r="K193" s="107"/>
      <c r="L193" s="107"/>
      <c r="M193" s="107"/>
      <c r="N193" s="106"/>
    </row>
    <row r="194">
      <c r="A194" s="106" t="s">
        <v>253</v>
      </c>
      <c r="B194" s="105">
        <v>0.0</v>
      </c>
      <c r="C194" s="105">
        <v>0.0</v>
      </c>
      <c r="D194" s="105">
        <v>0.0</v>
      </c>
      <c r="E194" s="105">
        <v>0.0</v>
      </c>
      <c r="F194" s="105">
        <v>0.0</v>
      </c>
      <c r="G194" s="105">
        <v>0.0</v>
      </c>
      <c r="H194" s="105"/>
      <c r="I194" s="105"/>
      <c r="J194" s="105"/>
      <c r="K194" s="105"/>
      <c r="L194" s="105"/>
      <c r="M194" s="105"/>
      <c r="N194" s="106"/>
    </row>
    <row r="195">
      <c r="A195" s="106" t="s">
        <v>254</v>
      </c>
      <c r="B195" s="105">
        <v>0.0</v>
      </c>
      <c r="C195" s="105">
        <v>0.0</v>
      </c>
      <c r="D195" s="105">
        <v>0.0</v>
      </c>
      <c r="E195" s="107">
        <v>0.0</v>
      </c>
      <c r="F195" s="107">
        <v>0.0</v>
      </c>
      <c r="G195" s="105">
        <v>0.0</v>
      </c>
      <c r="H195" s="107"/>
      <c r="I195" s="107"/>
      <c r="J195" s="107"/>
      <c r="K195" s="107"/>
      <c r="L195" s="107"/>
      <c r="M195" s="107"/>
      <c r="N195" s="106"/>
    </row>
    <row r="196">
      <c r="A196" s="106" t="s">
        <v>255</v>
      </c>
      <c r="B196" s="105">
        <v>0.0</v>
      </c>
      <c r="C196" s="105">
        <v>0.0</v>
      </c>
      <c r="D196" s="105">
        <v>0.0</v>
      </c>
      <c r="E196" s="105">
        <v>0.0</v>
      </c>
      <c r="F196" s="105">
        <v>0.0</v>
      </c>
      <c r="G196" s="105">
        <v>0.0</v>
      </c>
      <c r="H196" s="105"/>
      <c r="I196" s="105"/>
      <c r="J196" s="105"/>
      <c r="K196" s="105"/>
      <c r="L196" s="105"/>
      <c r="M196" s="105"/>
      <c r="N196" s="106"/>
    </row>
    <row r="197">
      <c r="A197" s="106" t="s">
        <v>256</v>
      </c>
      <c r="B197" s="105">
        <v>0.0</v>
      </c>
      <c r="C197" s="105">
        <v>0.0</v>
      </c>
      <c r="D197" s="105">
        <v>0.0</v>
      </c>
      <c r="E197" s="107">
        <v>0.0</v>
      </c>
      <c r="F197" s="107">
        <v>0.0</v>
      </c>
      <c r="G197" s="105">
        <v>0.0</v>
      </c>
      <c r="H197" s="107"/>
      <c r="I197" s="107"/>
      <c r="J197" s="107"/>
      <c r="K197" s="107"/>
      <c r="L197" s="107"/>
      <c r="M197" s="107"/>
      <c r="N197" s="106"/>
    </row>
    <row r="198">
      <c r="A198" s="106" t="s">
        <v>257</v>
      </c>
      <c r="B198" s="105">
        <v>0.0</v>
      </c>
      <c r="C198" s="105">
        <v>0.0</v>
      </c>
      <c r="D198" s="105">
        <v>0.0</v>
      </c>
      <c r="E198" s="105">
        <v>0.0</v>
      </c>
      <c r="F198" s="105">
        <v>0.0</v>
      </c>
      <c r="G198" s="105">
        <v>0.0</v>
      </c>
      <c r="H198" s="105"/>
      <c r="I198" s="105"/>
      <c r="J198" s="105"/>
      <c r="K198" s="105"/>
      <c r="L198" s="105"/>
      <c r="M198" s="105"/>
      <c r="N198" s="106"/>
    </row>
    <row r="199">
      <c r="A199" s="106" t="s">
        <v>258</v>
      </c>
      <c r="B199" s="105">
        <v>6.0</v>
      </c>
      <c r="C199" s="105">
        <v>1.0</v>
      </c>
      <c r="D199" s="105">
        <v>0.0</v>
      </c>
      <c r="E199" s="107">
        <v>0.0</v>
      </c>
      <c r="F199" s="107">
        <v>0.0</v>
      </c>
      <c r="G199" s="105">
        <v>0.0</v>
      </c>
      <c r="H199" s="107"/>
      <c r="I199" s="107"/>
      <c r="J199" s="107"/>
      <c r="K199" s="107"/>
      <c r="L199" s="107"/>
      <c r="M199" s="107"/>
      <c r="N199" s="106"/>
    </row>
    <row r="200">
      <c r="A200" s="106" t="s">
        <v>259</v>
      </c>
      <c r="B200" s="105">
        <v>0.0</v>
      </c>
      <c r="C200" s="105">
        <v>0.0</v>
      </c>
      <c r="D200" s="105">
        <v>0.0</v>
      </c>
      <c r="E200" s="105">
        <v>0.0</v>
      </c>
      <c r="F200" s="105">
        <v>0.0</v>
      </c>
      <c r="G200" s="105">
        <v>0.0</v>
      </c>
      <c r="H200" s="105"/>
      <c r="I200" s="105"/>
      <c r="J200" s="105"/>
      <c r="K200" s="105"/>
      <c r="L200" s="105"/>
      <c r="M200" s="105"/>
      <c r="N200" s="106"/>
    </row>
    <row r="201">
      <c r="A201" s="106" t="s">
        <v>260</v>
      </c>
      <c r="B201" s="105">
        <v>0.0</v>
      </c>
      <c r="C201" s="105">
        <v>0.0</v>
      </c>
      <c r="D201" s="105">
        <v>0.0</v>
      </c>
      <c r="E201" s="107">
        <v>0.0</v>
      </c>
      <c r="F201" s="107">
        <v>0.0</v>
      </c>
      <c r="G201" s="105">
        <v>0.0</v>
      </c>
      <c r="H201" s="107"/>
      <c r="I201" s="107"/>
      <c r="J201" s="107"/>
      <c r="K201" s="107"/>
      <c r="L201" s="107"/>
      <c r="M201" s="107"/>
      <c r="N201" s="106"/>
    </row>
    <row r="202">
      <c r="A202" s="106" t="s">
        <v>261</v>
      </c>
      <c r="B202" s="105">
        <v>0.0</v>
      </c>
      <c r="C202" s="105">
        <v>0.0</v>
      </c>
      <c r="D202" s="105">
        <v>0.0</v>
      </c>
      <c r="E202" s="105">
        <v>0.0</v>
      </c>
      <c r="F202" s="105">
        <v>0.0</v>
      </c>
      <c r="G202" s="105">
        <v>0.0</v>
      </c>
      <c r="H202" s="105"/>
      <c r="I202" s="105"/>
      <c r="J202" s="105"/>
      <c r="K202" s="105"/>
      <c r="L202" s="105"/>
      <c r="M202" s="105"/>
      <c r="N202" s="106"/>
    </row>
    <row r="203">
      <c r="A203" s="106" t="s">
        <v>262</v>
      </c>
      <c r="B203" s="105">
        <v>0.0</v>
      </c>
      <c r="C203" s="105">
        <v>0.0</v>
      </c>
      <c r="D203" s="105">
        <v>0.0</v>
      </c>
      <c r="E203" s="107">
        <v>0.0</v>
      </c>
      <c r="F203" s="107">
        <v>0.0</v>
      </c>
      <c r="G203" s="105">
        <v>0.0</v>
      </c>
      <c r="H203" s="107"/>
      <c r="I203" s="107"/>
      <c r="J203" s="107"/>
      <c r="K203" s="107"/>
      <c r="L203" s="107"/>
      <c r="M203" s="107"/>
      <c r="N203" s="106"/>
    </row>
    <row r="204">
      <c r="A204" s="106" t="s">
        <v>263</v>
      </c>
      <c r="B204" s="105">
        <v>0.0</v>
      </c>
      <c r="C204" s="105">
        <v>0.0</v>
      </c>
      <c r="D204" s="105">
        <v>0.0</v>
      </c>
      <c r="E204" s="105">
        <v>0.0</v>
      </c>
      <c r="F204" s="105">
        <v>0.0</v>
      </c>
      <c r="G204" s="105">
        <v>0.0</v>
      </c>
      <c r="H204" s="105"/>
      <c r="I204" s="105"/>
      <c r="J204" s="105"/>
      <c r="K204" s="105"/>
      <c r="L204" s="105"/>
      <c r="M204" s="105"/>
      <c r="N204" s="106"/>
    </row>
    <row r="205">
      <c r="A205" s="106" t="s">
        <v>264</v>
      </c>
      <c r="B205" s="105">
        <v>4.0</v>
      </c>
      <c r="C205" s="105">
        <v>4.0</v>
      </c>
      <c r="D205" s="105">
        <v>0.0</v>
      </c>
      <c r="E205" s="107">
        <v>0.0</v>
      </c>
      <c r="F205" s="107">
        <v>1.0</v>
      </c>
      <c r="G205" s="105">
        <v>1.0</v>
      </c>
      <c r="H205" s="107"/>
      <c r="I205" s="107"/>
      <c r="J205" s="107"/>
      <c r="K205" s="107"/>
      <c r="L205" s="107"/>
      <c r="M205" s="107"/>
      <c r="N205" s="106"/>
    </row>
    <row r="206">
      <c r="A206" s="106" t="s">
        <v>265</v>
      </c>
      <c r="B206" s="105">
        <v>0.0</v>
      </c>
      <c r="C206" s="105">
        <v>0.0</v>
      </c>
      <c r="D206" s="105">
        <v>0.0</v>
      </c>
      <c r="E206" s="105">
        <v>0.0</v>
      </c>
      <c r="F206" s="105">
        <v>0.0</v>
      </c>
      <c r="G206" s="105">
        <v>0.0</v>
      </c>
      <c r="H206" s="105"/>
      <c r="I206" s="105"/>
      <c r="J206" s="105"/>
      <c r="K206" s="105"/>
      <c r="L206" s="105"/>
      <c r="M206" s="105"/>
      <c r="N206" s="106"/>
    </row>
    <row r="207">
      <c r="A207" s="106" t="s">
        <v>266</v>
      </c>
      <c r="B207" s="105">
        <v>0.0</v>
      </c>
      <c r="C207" s="105">
        <v>0.0</v>
      </c>
      <c r="D207" s="105">
        <v>0.0</v>
      </c>
      <c r="E207" s="107">
        <v>0.0</v>
      </c>
      <c r="F207" s="107">
        <v>0.0</v>
      </c>
      <c r="G207" s="105">
        <v>0.0</v>
      </c>
      <c r="H207" s="107"/>
      <c r="I207" s="107"/>
      <c r="J207" s="107"/>
      <c r="K207" s="107"/>
      <c r="L207" s="107"/>
      <c r="M207" s="107"/>
      <c r="N207" s="106"/>
    </row>
    <row r="208">
      <c r="A208" s="106" t="s">
        <v>267</v>
      </c>
      <c r="B208" s="105">
        <v>1.0</v>
      </c>
      <c r="C208" s="105">
        <v>0.0</v>
      </c>
      <c r="D208" s="105">
        <v>0.0</v>
      </c>
      <c r="E208" s="105">
        <v>0.0</v>
      </c>
      <c r="F208" s="105">
        <v>0.0</v>
      </c>
      <c r="G208" s="105">
        <v>0.0</v>
      </c>
      <c r="H208" s="105"/>
      <c r="I208" s="105"/>
      <c r="J208" s="105"/>
      <c r="K208" s="105"/>
      <c r="L208" s="105"/>
      <c r="M208" s="105"/>
      <c r="N208" s="106"/>
    </row>
    <row r="209">
      <c r="A209" s="106" t="s">
        <v>268</v>
      </c>
      <c r="B209" s="105">
        <v>0.0</v>
      </c>
      <c r="C209" s="105">
        <v>0.0</v>
      </c>
      <c r="D209" s="105">
        <v>0.0</v>
      </c>
      <c r="E209" s="107">
        <v>0.0</v>
      </c>
      <c r="F209" s="107">
        <v>0.0</v>
      </c>
      <c r="G209" s="105">
        <v>0.0</v>
      </c>
      <c r="H209" s="107"/>
      <c r="I209" s="107"/>
      <c r="J209" s="107"/>
      <c r="K209" s="107"/>
      <c r="L209" s="107"/>
      <c r="M209" s="107"/>
      <c r="N209" s="106"/>
    </row>
    <row r="210">
      <c r="A210" s="106" t="s">
        <v>269</v>
      </c>
      <c r="B210" s="105">
        <v>0.0</v>
      </c>
      <c r="C210" s="105">
        <v>0.0</v>
      </c>
      <c r="D210" s="105">
        <v>0.0</v>
      </c>
      <c r="E210" s="105">
        <v>0.0</v>
      </c>
      <c r="F210" s="105">
        <v>0.0</v>
      </c>
      <c r="G210" s="105">
        <v>0.0</v>
      </c>
      <c r="H210" s="105"/>
      <c r="I210" s="105"/>
      <c r="J210" s="105"/>
      <c r="K210" s="105"/>
      <c r="L210" s="105"/>
      <c r="M210" s="105"/>
      <c r="N210" s="106"/>
    </row>
    <row r="211">
      <c r="A211" s="106" t="s">
        <v>270</v>
      </c>
      <c r="B211" s="105">
        <v>0.0</v>
      </c>
      <c r="C211" s="105">
        <v>0.0</v>
      </c>
      <c r="D211" s="105">
        <v>0.0</v>
      </c>
      <c r="E211" s="107">
        <v>0.0</v>
      </c>
      <c r="F211" s="107">
        <v>0.0</v>
      </c>
      <c r="G211" s="105">
        <v>0.0</v>
      </c>
      <c r="H211" s="107"/>
      <c r="I211" s="107"/>
      <c r="J211" s="107"/>
      <c r="K211" s="107"/>
      <c r="L211" s="107"/>
      <c r="M211" s="107"/>
      <c r="N211" s="106"/>
    </row>
    <row r="212">
      <c r="A212" s="106" t="s">
        <v>271</v>
      </c>
      <c r="B212" s="105">
        <v>0.0</v>
      </c>
      <c r="C212" s="105">
        <v>0.0</v>
      </c>
      <c r="D212" s="105">
        <v>0.0</v>
      </c>
      <c r="E212" s="105">
        <v>0.0</v>
      </c>
      <c r="F212" s="105">
        <v>0.0</v>
      </c>
      <c r="G212" s="105">
        <v>0.0</v>
      </c>
      <c r="H212" s="105"/>
      <c r="I212" s="105"/>
      <c r="J212" s="105"/>
      <c r="K212" s="105"/>
      <c r="L212" s="105"/>
      <c r="M212" s="105"/>
      <c r="N212" s="106"/>
    </row>
    <row r="213">
      <c r="A213" s="106" t="s">
        <v>272</v>
      </c>
      <c r="B213" s="105">
        <v>0.0</v>
      </c>
      <c r="C213" s="105">
        <v>0.0</v>
      </c>
      <c r="D213" s="105">
        <v>0.0</v>
      </c>
      <c r="E213" s="107">
        <v>0.0</v>
      </c>
      <c r="F213" s="107">
        <v>0.0</v>
      </c>
      <c r="G213" s="105">
        <v>0.0</v>
      </c>
      <c r="H213" s="107"/>
      <c r="I213" s="107"/>
      <c r="J213" s="107"/>
      <c r="K213" s="107"/>
      <c r="L213" s="107"/>
      <c r="M213" s="107"/>
      <c r="N213" s="106"/>
    </row>
    <row r="214">
      <c r="A214" s="106" t="s">
        <v>273</v>
      </c>
      <c r="B214" s="105">
        <v>0.0</v>
      </c>
      <c r="C214" s="105">
        <v>0.0</v>
      </c>
      <c r="D214" s="105">
        <v>0.0</v>
      </c>
      <c r="E214" s="105">
        <v>0.0</v>
      </c>
      <c r="F214" s="105">
        <v>0.0</v>
      </c>
      <c r="G214" s="105">
        <v>0.0</v>
      </c>
      <c r="H214" s="105"/>
      <c r="I214" s="105"/>
      <c r="J214" s="105"/>
      <c r="K214" s="105"/>
      <c r="L214" s="105"/>
      <c r="M214" s="105"/>
      <c r="N214" s="106"/>
    </row>
    <row r="215">
      <c r="A215" s="106" t="s">
        <v>274</v>
      </c>
      <c r="B215" s="105">
        <v>0.0</v>
      </c>
      <c r="C215" s="105">
        <v>0.0</v>
      </c>
      <c r="D215" s="105">
        <v>0.0</v>
      </c>
      <c r="E215" s="107">
        <v>0.0</v>
      </c>
      <c r="F215" s="107">
        <v>0.0</v>
      </c>
      <c r="G215" s="105">
        <v>1.0</v>
      </c>
      <c r="H215" s="107"/>
      <c r="I215" s="107"/>
      <c r="J215" s="107"/>
      <c r="K215" s="107"/>
      <c r="L215" s="107"/>
      <c r="M215" s="107"/>
      <c r="N215" s="106"/>
    </row>
    <row r="216">
      <c r="A216" s="106" t="s">
        <v>275</v>
      </c>
      <c r="B216" s="105">
        <v>0.0</v>
      </c>
      <c r="C216" s="105">
        <v>0.0</v>
      </c>
      <c r="D216" s="105">
        <v>0.0</v>
      </c>
      <c r="E216" s="105">
        <v>0.0</v>
      </c>
      <c r="F216" s="105">
        <v>0.0</v>
      </c>
      <c r="G216" s="105">
        <v>0.0</v>
      </c>
      <c r="H216" s="105"/>
      <c r="I216" s="105"/>
      <c r="J216" s="105"/>
      <c r="K216" s="105"/>
      <c r="L216" s="105"/>
      <c r="M216" s="105"/>
      <c r="N216" s="106"/>
    </row>
    <row r="217">
      <c r="A217" s="106" t="s">
        <v>276</v>
      </c>
      <c r="B217" s="105">
        <v>1.0</v>
      </c>
      <c r="C217" s="105">
        <v>1.0</v>
      </c>
      <c r="D217" s="105">
        <v>0.0</v>
      </c>
      <c r="E217" s="107">
        <v>1.0</v>
      </c>
      <c r="F217" s="107">
        <v>0.0</v>
      </c>
      <c r="G217" s="105">
        <v>0.0</v>
      </c>
      <c r="H217" s="107"/>
      <c r="I217" s="107"/>
      <c r="J217" s="107"/>
      <c r="K217" s="107"/>
      <c r="L217" s="107"/>
      <c r="M217" s="107"/>
      <c r="N217" s="106"/>
    </row>
    <row r="218">
      <c r="A218" s="106" t="s">
        <v>277</v>
      </c>
      <c r="B218" s="105">
        <v>0.0</v>
      </c>
      <c r="C218" s="105">
        <v>0.0</v>
      </c>
      <c r="D218" s="105">
        <v>0.0</v>
      </c>
      <c r="E218" s="105">
        <v>0.0</v>
      </c>
      <c r="F218" s="105">
        <v>0.0</v>
      </c>
      <c r="G218" s="105">
        <v>0.0</v>
      </c>
      <c r="H218" s="105"/>
      <c r="I218" s="105"/>
      <c r="J218" s="105"/>
      <c r="K218" s="105"/>
      <c r="L218" s="105"/>
      <c r="M218" s="105"/>
      <c r="N218" s="106"/>
    </row>
    <row r="219">
      <c r="A219" s="106" t="s">
        <v>278</v>
      </c>
      <c r="B219" s="105">
        <v>18.0</v>
      </c>
      <c r="C219" s="105">
        <v>4.0</v>
      </c>
      <c r="D219" s="105">
        <v>4.0</v>
      </c>
      <c r="E219" s="107">
        <v>10.0</v>
      </c>
      <c r="F219" s="107">
        <v>13.0</v>
      </c>
      <c r="G219" s="105">
        <v>0.0</v>
      </c>
      <c r="H219" s="107"/>
      <c r="I219" s="107"/>
      <c r="J219" s="107"/>
      <c r="K219" s="107"/>
      <c r="L219" s="107"/>
      <c r="M219" s="107"/>
      <c r="N219" s="106"/>
    </row>
    <row r="220">
      <c r="A220" s="106" t="s">
        <v>279</v>
      </c>
      <c r="B220" s="105">
        <v>0.0</v>
      </c>
      <c r="C220" s="105">
        <v>0.0</v>
      </c>
      <c r="D220" s="105">
        <v>0.0</v>
      </c>
      <c r="E220" s="105">
        <v>0.0</v>
      </c>
      <c r="F220" s="105">
        <v>0.0</v>
      </c>
      <c r="G220" s="105">
        <v>0.0</v>
      </c>
      <c r="H220" s="105"/>
      <c r="I220" s="105"/>
      <c r="J220" s="105"/>
      <c r="K220" s="105"/>
      <c r="L220" s="105"/>
      <c r="M220" s="105"/>
      <c r="N220" s="106"/>
    </row>
    <row r="221">
      <c r="A221" s="106" t="s">
        <v>280</v>
      </c>
      <c r="B221" s="105">
        <v>0.0</v>
      </c>
      <c r="C221" s="105">
        <v>1.0</v>
      </c>
      <c r="D221" s="105">
        <v>0.0</v>
      </c>
      <c r="E221" s="107">
        <v>1.0</v>
      </c>
      <c r="F221" s="107">
        <v>0.0</v>
      </c>
      <c r="G221" s="105">
        <v>2.0</v>
      </c>
      <c r="H221" s="107"/>
      <c r="I221" s="107"/>
      <c r="J221" s="107"/>
      <c r="K221" s="107"/>
      <c r="L221" s="107"/>
      <c r="M221" s="107"/>
      <c r="N221" s="106"/>
    </row>
    <row r="222">
      <c r="A222" s="106" t="s">
        <v>281</v>
      </c>
      <c r="B222" s="105">
        <v>0.0</v>
      </c>
      <c r="C222" s="105">
        <v>0.0</v>
      </c>
      <c r="D222" s="105">
        <v>0.0</v>
      </c>
      <c r="E222" s="105">
        <v>0.0</v>
      </c>
      <c r="F222" s="105">
        <v>0.0</v>
      </c>
      <c r="G222" s="105">
        <v>0.0</v>
      </c>
      <c r="H222" s="105"/>
      <c r="I222" s="105"/>
      <c r="J222" s="105"/>
      <c r="K222" s="105"/>
      <c r="L222" s="105"/>
      <c r="M222" s="105"/>
      <c r="N222" s="106"/>
    </row>
    <row r="223">
      <c r="A223" s="106" t="s">
        <v>282</v>
      </c>
      <c r="B223" s="105">
        <v>0.0</v>
      </c>
      <c r="C223" s="105">
        <v>0.0</v>
      </c>
      <c r="D223" s="105">
        <v>0.0</v>
      </c>
      <c r="E223" s="107">
        <v>0.0</v>
      </c>
      <c r="F223" s="107">
        <v>0.0</v>
      </c>
      <c r="G223" s="105">
        <v>0.0</v>
      </c>
      <c r="H223" s="107"/>
      <c r="I223" s="107"/>
      <c r="J223" s="107"/>
      <c r="K223" s="107"/>
      <c r="L223" s="107"/>
      <c r="M223" s="107"/>
      <c r="N223" s="106"/>
    </row>
    <row r="224">
      <c r="A224" s="106" t="s">
        <v>283</v>
      </c>
      <c r="B224" s="105">
        <v>0.0</v>
      </c>
      <c r="C224" s="105">
        <v>0.0</v>
      </c>
      <c r="D224" s="105">
        <v>0.0</v>
      </c>
      <c r="E224" s="105">
        <v>0.0</v>
      </c>
      <c r="F224" s="105">
        <v>0.0</v>
      </c>
      <c r="G224" s="105">
        <v>0.0</v>
      </c>
      <c r="H224" s="105"/>
      <c r="I224" s="105"/>
      <c r="J224" s="105"/>
      <c r="K224" s="105"/>
      <c r="L224" s="105"/>
      <c r="M224" s="105"/>
      <c r="N224" s="106"/>
    </row>
    <row r="225">
      <c r="A225" s="106" t="s">
        <v>284</v>
      </c>
      <c r="B225" s="105">
        <v>4.0</v>
      </c>
      <c r="C225" s="105">
        <v>5.0</v>
      </c>
      <c r="D225" s="105">
        <v>2.0</v>
      </c>
      <c r="E225" s="107">
        <v>1.0</v>
      </c>
      <c r="F225" s="107">
        <v>7.0</v>
      </c>
      <c r="G225" s="105">
        <v>0.0</v>
      </c>
      <c r="H225" s="107"/>
      <c r="I225" s="107"/>
      <c r="J225" s="107"/>
      <c r="K225" s="107"/>
      <c r="L225" s="107"/>
      <c r="M225" s="107"/>
      <c r="N225" s="106"/>
    </row>
    <row r="226">
      <c r="A226" s="106" t="s">
        <v>285</v>
      </c>
      <c r="B226" s="105">
        <v>0.0</v>
      </c>
      <c r="C226" s="105">
        <v>0.0</v>
      </c>
      <c r="D226" s="105">
        <v>0.0</v>
      </c>
      <c r="E226" s="105">
        <v>0.0</v>
      </c>
      <c r="F226" s="105">
        <v>0.0</v>
      </c>
      <c r="G226" s="105">
        <v>0.0</v>
      </c>
      <c r="H226" s="105"/>
      <c r="I226" s="105"/>
      <c r="J226" s="105"/>
      <c r="K226" s="105"/>
      <c r="L226" s="105"/>
      <c r="M226" s="105"/>
      <c r="N226" s="106"/>
    </row>
    <row r="227">
      <c r="A227" s="106" t="s">
        <v>286</v>
      </c>
      <c r="B227" s="105">
        <v>0.0</v>
      </c>
      <c r="C227" s="105">
        <v>0.0</v>
      </c>
      <c r="D227" s="105">
        <v>0.0</v>
      </c>
      <c r="E227" s="107">
        <v>0.0</v>
      </c>
      <c r="F227" s="107">
        <v>0.0</v>
      </c>
      <c r="G227" s="105">
        <v>0.0</v>
      </c>
      <c r="H227" s="107"/>
      <c r="I227" s="107"/>
      <c r="J227" s="107"/>
      <c r="K227" s="107"/>
      <c r="L227" s="107"/>
      <c r="M227" s="107"/>
      <c r="N227" s="106"/>
    </row>
    <row r="228">
      <c r="A228" s="106" t="s">
        <v>287</v>
      </c>
      <c r="B228" s="105">
        <v>0.0</v>
      </c>
      <c r="C228" s="105">
        <v>0.0</v>
      </c>
      <c r="D228" s="105">
        <v>0.0</v>
      </c>
      <c r="E228" s="105">
        <v>0.0</v>
      </c>
      <c r="F228" s="105">
        <v>0.0</v>
      </c>
      <c r="G228" s="105">
        <v>0.0</v>
      </c>
      <c r="H228" s="105"/>
      <c r="I228" s="105"/>
      <c r="J228" s="105"/>
      <c r="K228" s="105"/>
      <c r="L228" s="105"/>
      <c r="M228" s="105"/>
      <c r="N228" s="106"/>
    </row>
    <row r="229">
      <c r="A229" s="104" t="s">
        <v>14</v>
      </c>
      <c r="B229" s="117">
        <f t="shared" ref="B229:G229" si="1">SUM(B5:B228)</f>
        <v>29814</v>
      </c>
      <c r="C229" s="117">
        <f t="shared" si="1"/>
        <v>17850</v>
      </c>
      <c r="D229" s="117">
        <f t="shared" si="1"/>
        <v>6799</v>
      </c>
      <c r="E229" s="117">
        <f t="shared" si="1"/>
        <v>8859</v>
      </c>
      <c r="F229" s="117">
        <f t="shared" si="1"/>
        <v>11331</v>
      </c>
      <c r="G229" s="117">
        <f t="shared" si="1"/>
        <v>14495</v>
      </c>
      <c r="H229" s="117">
        <v>0.0</v>
      </c>
      <c r="I229" s="117">
        <f t="shared" ref="I229:M229" si="2">SUM(I5:I228)</f>
        <v>0</v>
      </c>
      <c r="J229" s="117">
        <f t="shared" si="2"/>
        <v>0</v>
      </c>
      <c r="K229" s="117">
        <f t="shared" si="2"/>
        <v>0</v>
      </c>
      <c r="L229" s="117">
        <f t="shared" si="2"/>
        <v>0</v>
      </c>
      <c r="M229" s="117">
        <f t="shared" si="2"/>
        <v>0</v>
      </c>
      <c r="N229" s="118"/>
    </row>
    <row r="230">
      <c r="D230" s="9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6.29"/>
    <col customWidth="1" min="3" max="14" width="7.71"/>
    <col customWidth="1" min="15" max="15" width="8.86"/>
    <col customWidth="1" min="16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0</v>
      </c>
      <c r="B5" s="2" t="s">
        <v>28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9">
        <v>2005.0</v>
      </c>
      <c r="B6" s="5" t="s">
        <v>30</v>
      </c>
      <c r="C6" s="6">
        <v>36050.0</v>
      </c>
      <c r="D6" s="6">
        <v>39560.0</v>
      </c>
      <c r="E6" s="6">
        <v>40726.0</v>
      </c>
      <c r="F6" s="6">
        <v>26795.0</v>
      </c>
      <c r="G6" s="6">
        <v>18984.0</v>
      </c>
      <c r="H6" s="6">
        <v>15089.0</v>
      </c>
      <c r="I6" s="6">
        <v>23596.0</v>
      </c>
      <c r="J6" s="6">
        <v>33174.0</v>
      </c>
      <c r="K6" s="6">
        <v>25792.0</v>
      </c>
      <c r="L6" s="6">
        <v>39460.0</v>
      </c>
      <c r="M6" s="6">
        <v>46273.0</v>
      </c>
      <c r="N6" s="6">
        <v>34988.0</v>
      </c>
      <c r="O6" s="6">
        <f t="shared" ref="O6:O9" si="1">SUM(C6:N6)</f>
        <v>380487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/>
      <c r="B7" s="5" t="s">
        <v>288</v>
      </c>
      <c r="C7" s="6">
        <v>61382.0</v>
      </c>
      <c r="D7" s="6">
        <v>45641.0</v>
      </c>
      <c r="E7" s="6">
        <v>38237.0</v>
      </c>
      <c r="F7" s="6">
        <v>24365.0</v>
      </c>
      <c r="G7" s="6">
        <v>23576.0</v>
      </c>
      <c r="H7" s="6">
        <v>22089.0</v>
      </c>
      <c r="I7" s="6">
        <v>76584.0</v>
      </c>
      <c r="J7" s="6">
        <v>39066.0</v>
      </c>
      <c r="K7" s="6">
        <v>37585.0</v>
      </c>
      <c r="L7" s="6">
        <v>48237.0</v>
      </c>
      <c r="M7" s="6">
        <v>34030.0</v>
      </c>
      <c r="N7" s="6">
        <v>27351.0</v>
      </c>
      <c r="O7" s="6">
        <f t="shared" si="1"/>
        <v>478143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/>
      <c r="B8" s="5" t="s">
        <v>39</v>
      </c>
      <c r="C8" s="6">
        <v>7357.0</v>
      </c>
      <c r="D8" s="6">
        <v>4349.0</v>
      </c>
      <c r="E8" s="6">
        <v>4397.0</v>
      </c>
      <c r="F8" s="6">
        <v>3007.0</v>
      </c>
      <c r="G8" s="6">
        <v>3334.0</v>
      </c>
      <c r="H8" s="6">
        <v>1920.0</v>
      </c>
      <c r="I8" s="6">
        <v>8072.0</v>
      </c>
      <c r="J8" s="6">
        <v>3766.0</v>
      </c>
      <c r="K8" s="6">
        <v>4565.0</v>
      </c>
      <c r="L8" s="6">
        <v>4392.0</v>
      </c>
      <c r="M8" s="6">
        <v>4039.0</v>
      </c>
      <c r="N8" s="6">
        <v>4285.0</v>
      </c>
      <c r="O8" s="6">
        <f t="shared" si="1"/>
        <v>53483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1"/>
      <c r="B9" s="5" t="s">
        <v>14</v>
      </c>
      <c r="C9" s="8">
        <f t="shared" ref="C9:N9" si="2">SUM(C6:C8)</f>
        <v>104789</v>
      </c>
      <c r="D9" s="8">
        <f t="shared" si="2"/>
        <v>89550</v>
      </c>
      <c r="E9" s="8">
        <f t="shared" si="2"/>
        <v>83360</v>
      </c>
      <c r="F9" s="8">
        <f t="shared" si="2"/>
        <v>54167</v>
      </c>
      <c r="G9" s="8">
        <f t="shared" si="2"/>
        <v>45894</v>
      </c>
      <c r="H9" s="8">
        <f t="shared" si="2"/>
        <v>39098</v>
      </c>
      <c r="I9" s="8">
        <f t="shared" si="2"/>
        <v>108252</v>
      </c>
      <c r="J9" s="8">
        <f t="shared" si="2"/>
        <v>76006</v>
      </c>
      <c r="K9" s="8">
        <f t="shared" si="2"/>
        <v>67942</v>
      </c>
      <c r="L9" s="8">
        <f t="shared" si="2"/>
        <v>92089</v>
      </c>
      <c r="M9" s="8">
        <f t="shared" si="2"/>
        <v>84342</v>
      </c>
      <c r="N9" s="8">
        <f t="shared" si="2"/>
        <v>66624</v>
      </c>
      <c r="O9" s="8">
        <f t="shared" si="1"/>
        <v>912113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 t="s">
        <v>0</v>
      </c>
      <c r="B12" s="2" t="s">
        <v>28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19">
        <v>2006.0</v>
      </c>
      <c r="B13" s="5" t="s">
        <v>30</v>
      </c>
      <c r="C13" s="75">
        <v>41156.0</v>
      </c>
      <c r="D13" s="75">
        <v>43529.0</v>
      </c>
      <c r="E13" s="75">
        <v>46994.0</v>
      </c>
      <c r="F13" s="75">
        <v>33879.0</v>
      </c>
      <c r="G13" s="75">
        <v>22038.0</v>
      </c>
      <c r="H13" s="75">
        <v>15456.0</v>
      </c>
      <c r="I13" s="75">
        <v>22672.0</v>
      </c>
      <c r="J13" s="75">
        <v>26676.0</v>
      </c>
      <c r="K13" s="76">
        <v>20893.0</v>
      </c>
      <c r="L13" s="75">
        <v>34537.0</v>
      </c>
      <c r="M13" s="75">
        <v>43528.0</v>
      </c>
      <c r="N13" s="75">
        <v>31790.0</v>
      </c>
      <c r="O13" s="75">
        <f t="shared" ref="O13:O16" si="3">SUM(C13:N13)</f>
        <v>383148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/>
      <c r="B14" s="5" t="s">
        <v>288</v>
      </c>
      <c r="C14" s="75">
        <v>70813.0</v>
      </c>
      <c r="D14" s="75">
        <v>52422.0</v>
      </c>
      <c r="E14" s="75">
        <v>27298.0</v>
      </c>
      <c r="F14" s="75">
        <v>43625.0</v>
      </c>
      <c r="G14" s="75">
        <v>26634.0</v>
      </c>
      <c r="H14" s="75">
        <v>21670.0</v>
      </c>
      <c r="I14" s="75">
        <v>66661.0</v>
      </c>
      <c r="J14" s="75">
        <v>43713.0</v>
      </c>
      <c r="K14" s="75">
        <v>35165.0</v>
      </c>
      <c r="L14" s="75">
        <v>41540.0</v>
      </c>
      <c r="M14" s="75">
        <v>30725.0</v>
      </c>
      <c r="N14" s="75">
        <v>27718.0</v>
      </c>
      <c r="O14" s="75">
        <f t="shared" si="3"/>
        <v>487984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/>
      <c r="B15" s="5" t="s">
        <v>39</v>
      </c>
      <c r="C15" s="75">
        <v>7233.0</v>
      </c>
      <c r="D15" s="75">
        <v>5153.0</v>
      </c>
      <c r="E15" s="75">
        <v>3026.0</v>
      </c>
      <c r="F15" s="75">
        <v>7438.0</v>
      </c>
      <c r="G15" s="75">
        <v>3215.0</v>
      </c>
      <c r="H15" s="75">
        <v>2761.0</v>
      </c>
      <c r="I15" s="75">
        <v>6136.0</v>
      </c>
      <c r="J15" s="75">
        <v>1880.0</v>
      </c>
      <c r="K15" s="75">
        <v>2879.0</v>
      </c>
      <c r="L15" s="75">
        <v>3173.0</v>
      </c>
      <c r="M15" s="75">
        <v>4096.0</v>
      </c>
      <c r="N15" s="75">
        <v>4617.0</v>
      </c>
      <c r="O15" s="75">
        <f t="shared" si="3"/>
        <v>51607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1"/>
      <c r="B16" s="5" t="s">
        <v>14</v>
      </c>
      <c r="C16" s="8">
        <f t="shared" ref="C16:N16" si="4">SUM(C13:C15)</f>
        <v>119202</v>
      </c>
      <c r="D16" s="8">
        <f t="shared" si="4"/>
        <v>101104</v>
      </c>
      <c r="E16" s="8">
        <f t="shared" si="4"/>
        <v>77318</v>
      </c>
      <c r="F16" s="8">
        <f t="shared" si="4"/>
        <v>84942</v>
      </c>
      <c r="G16" s="8">
        <f t="shared" si="4"/>
        <v>51887</v>
      </c>
      <c r="H16" s="8">
        <f t="shared" si="4"/>
        <v>39887</v>
      </c>
      <c r="I16" s="8">
        <f t="shared" si="4"/>
        <v>95469</v>
      </c>
      <c r="J16" s="8">
        <f t="shared" si="4"/>
        <v>72269</v>
      </c>
      <c r="K16" s="8">
        <f t="shared" si="4"/>
        <v>58937</v>
      </c>
      <c r="L16" s="8">
        <f t="shared" si="4"/>
        <v>79250</v>
      </c>
      <c r="M16" s="8">
        <f t="shared" si="4"/>
        <v>78349</v>
      </c>
      <c r="N16" s="8">
        <f t="shared" si="4"/>
        <v>64125</v>
      </c>
      <c r="O16" s="8">
        <f t="shared" si="3"/>
        <v>922739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0</v>
      </c>
      <c r="B19" s="2" t="s">
        <v>28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19">
        <v>2007.0</v>
      </c>
      <c r="B20" s="5" t="s">
        <v>30</v>
      </c>
      <c r="C20" s="75">
        <v>37516.0</v>
      </c>
      <c r="D20" s="75">
        <v>41667.0</v>
      </c>
      <c r="E20" s="75">
        <v>39042.0</v>
      </c>
      <c r="F20" s="75">
        <v>28878.0</v>
      </c>
      <c r="G20" s="75">
        <v>19737.0</v>
      </c>
      <c r="H20" s="75">
        <v>15192.0</v>
      </c>
      <c r="I20" s="75">
        <v>24171.0</v>
      </c>
      <c r="J20" s="75">
        <v>29807.0</v>
      </c>
      <c r="K20" s="76">
        <v>24664.0</v>
      </c>
      <c r="L20" s="75">
        <v>38588.0</v>
      </c>
      <c r="M20" s="75">
        <v>48029.0</v>
      </c>
      <c r="N20" s="75">
        <v>38245.0</v>
      </c>
      <c r="O20" s="75">
        <f t="shared" ref="O20:O23" si="5">SUM(C20:N20)</f>
        <v>385536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/>
      <c r="B21" s="5" t="s">
        <v>288</v>
      </c>
      <c r="C21" s="75">
        <v>71550.0</v>
      </c>
      <c r="D21" s="75">
        <v>54525.0</v>
      </c>
      <c r="E21" s="75">
        <v>27595.0</v>
      </c>
      <c r="F21" s="75">
        <v>47673.0</v>
      </c>
      <c r="G21" s="75">
        <v>28009.0</v>
      </c>
      <c r="H21" s="75">
        <v>27423.0</v>
      </c>
      <c r="I21" s="75">
        <v>88325.0</v>
      </c>
      <c r="J21" s="75">
        <v>3112.0</v>
      </c>
      <c r="K21" s="75">
        <v>50592.0</v>
      </c>
      <c r="L21" s="75">
        <v>51333.0</v>
      </c>
      <c r="M21" s="75">
        <v>37263.0</v>
      </c>
      <c r="N21" s="75">
        <v>31183.0</v>
      </c>
      <c r="O21" s="75">
        <f t="shared" si="5"/>
        <v>518583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/>
      <c r="B22" s="5" t="s">
        <v>39</v>
      </c>
      <c r="C22" s="75">
        <v>8266.0</v>
      </c>
      <c r="D22" s="75">
        <v>5241.0</v>
      </c>
      <c r="E22" s="75">
        <v>2902.0</v>
      </c>
      <c r="F22" s="75">
        <v>5069.0</v>
      </c>
      <c r="G22" s="75">
        <v>2728.0</v>
      </c>
      <c r="H22" s="75">
        <v>4105.0</v>
      </c>
      <c r="I22" s="75">
        <v>8885.0</v>
      </c>
      <c r="J22" s="75">
        <v>53274.0</v>
      </c>
      <c r="K22" s="75">
        <v>5277.0</v>
      </c>
      <c r="L22" s="75">
        <v>5323.0</v>
      </c>
      <c r="M22" s="75">
        <v>6254.0</v>
      </c>
      <c r="N22" s="75">
        <v>6924.0</v>
      </c>
      <c r="O22" s="75">
        <f t="shared" si="5"/>
        <v>114248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1"/>
      <c r="B23" s="5" t="s">
        <v>14</v>
      </c>
      <c r="C23" s="8">
        <f t="shared" ref="C23:N23" si="6">SUM(C20:C22)</f>
        <v>117332</v>
      </c>
      <c r="D23" s="8">
        <f t="shared" si="6"/>
        <v>101433</v>
      </c>
      <c r="E23" s="8">
        <f t="shared" si="6"/>
        <v>69539</v>
      </c>
      <c r="F23" s="8">
        <f t="shared" si="6"/>
        <v>81620</v>
      </c>
      <c r="G23" s="8">
        <f t="shared" si="6"/>
        <v>50474</v>
      </c>
      <c r="H23" s="8">
        <f t="shared" si="6"/>
        <v>46720</v>
      </c>
      <c r="I23" s="8">
        <f t="shared" si="6"/>
        <v>121381</v>
      </c>
      <c r="J23" s="8">
        <f t="shared" si="6"/>
        <v>86193</v>
      </c>
      <c r="K23" s="8">
        <f t="shared" si="6"/>
        <v>80533</v>
      </c>
      <c r="L23" s="8">
        <f t="shared" si="6"/>
        <v>95244</v>
      </c>
      <c r="M23" s="8">
        <f t="shared" si="6"/>
        <v>91546</v>
      </c>
      <c r="N23" s="8">
        <f t="shared" si="6"/>
        <v>76352</v>
      </c>
      <c r="O23" s="8">
        <f t="shared" si="5"/>
        <v>1018367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 t="s">
        <v>0</v>
      </c>
      <c r="B26" s="2" t="s">
        <v>28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19">
        <v>2008.0</v>
      </c>
      <c r="B27" s="5" t="s">
        <v>30</v>
      </c>
      <c r="C27" s="75">
        <v>45073.0</v>
      </c>
      <c r="D27" s="75">
        <v>46851.0</v>
      </c>
      <c r="E27" s="75">
        <v>43115.0</v>
      </c>
      <c r="F27" s="75">
        <v>26703.0</v>
      </c>
      <c r="G27" s="75">
        <v>23280.0</v>
      </c>
      <c r="H27" s="75">
        <v>17003.0</v>
      </c>
      <c r="I27" s="75">
        <v>25312.0</v>
      </c>
      <c r="J27" s="75">
        <v>32339.0</v>
      </c>
      <c r="K27" s="76">
        <v>24613.0</v>
      </c>
      <c r="L27" s="75">
        <v>37471.0</v>
      </c>
      <c r="M27" s="6">
        <v>45151.0</v>
      </c>
      <c r="N27" s="6">
        <v>35999.0</v>
      </c>
      <c r="O27" s="75">
        <f t="shared" ref="O27:O30" si="7">SUM(C27:N27)</f>
        <v>402910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7"/>
      <c r="B28" s="5" t="s">
        <v>288</v>
      </c>
      <c r="C28" s="75">
        <v>88189.0</v>
      </c>
      <c r="D28" s="75">
        <v>63244.0</v>
      </c>
      <c r="E28" s="75">
        <v>43421.0</v>
      </c>
      <c r="F28" s="75">
        <v>19800.0</v>
      </c>
      <c r="G28" s="75">
        <v>24491.0</v>
      </c>
      <c r="H28" s="75">
        <v>21748.0</v>
      </c>
      <c r="I28" s="75">
        <v>73613.0</v>
      </c>
      <c r="J28" s="75">
        <v>66060.0</v>
      </c>
      <c r="K28" s="75">
        <v>51447.0</v>
      </c>
      <c r="L28" s="75">
        <v>58638.0</v>
      </c>
      <c r="M28" s="6">
        <v>41503.0</v>
      </c>
      <c r="N28" s="6">
        <v>30594.0</v>
      </c>
      <c r="O28" s="75">
        <f t="shared" si="7"/>
        <v>582748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7"/>
      <c r="B29" s="5" t="s">
        <v>39</v>
      </c>
      <c r="C29" s="75">
        <v>10099.0</v>
      </c>
      <c r="D29" s="75">
        <v>6590.0</v>
      </c>
      <c r="E29" s="75">
        <v>6420.0</v>
      </c>
      <c r="F29" s="75">
        <v>4032.0</v>
      </c>
      <c r="G29" s="75">
        <v>6478.0</v>
      </c>
      <c r="H29" s="75">
        <v>2959.0</v>
      </c>
      <c r="I29" s="75">
        <v>10776.0</v>
      </c>
      <c r="J29" s="75">
        <v>5041.0</v>
      </c>
      <c r="K29" s="75">
        <v>5399.0</v>
      </c>
      <c r="L29" s="75">
        <v>5164.0</v>
      </c>
      <c r="M29" s="6">
        <v>5654.0</v>
      </c>
      <c r="N29" s="6">
        <v>7858.0</v>
      </c>
      <c r="O29" s="75">
        <f t="shared" si="7"/>
        <v>76470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1"/>
      <c r="B30" s="5" t="s">
        <v>14</v>
      </c>
      <c r="C30" s="8">
        <f t="shared" ref="C30:G30" si="8">SUM(C27:C29)</f>
        <v>143361</v>
      </c>
      <c r="D30" s="8">
        <f t="shared" si="8"/>
        <v>116685</v>
      </c>
      <c r="E30" s="8">
        <f t="shared" si="8"/>
        <v>92956</v>
      </c>
      <c r="F30" s="8">
        <f t="shared" si="8"/>
        <v>50535</v>
      </c>
      <c r="G30" s="8">
        <f t="shared" si="8"/>
        <v>54249</v>
      </c>
      <c r="H30" s="8">
        <v>41710.0</v>
      </c>
      <c r="I30" s="8">
        <f t="shared" ref="I30:N30" si="9">SUM(I27:I29)</f>
        <v>109701</v>
      </c>
      <c r="J30" s="8">
        <f t="shared" si="9"/>
        <v>103440</v>
      </c>
      <c r="K30" s="8">
        <f t="shared" si="9"/>
        <v>81459</v>
      </c>
      <c r="L30" s="8">
        <f t="shared" si="9"/>
        <v>101273</v>
      </c>
      <c r="M30" s="8">
        <f t="shared" si="9"/>
        <v>92308</v>
      </c>
      <c r="N30" s="8">
        <f t="shared" si="9"/>
        <v>74451</v>
      </c>
      <c r="O30" s="8">
        <f t="shared" si="7"/>
        <v>1062128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 t="s">
        <v>0</v>
      </c>
      <c r="B33" s="2" t="s">
        <v>28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19">
        <v>2009.0</v>
      </c>
      <c r="B34" s="5" t="s">
        <v>30</v>
      </c>
      <c r="C34" s="6">
        <v>36201.0</v>
      </c>
      <c r="D34" s="6">
        <v>38347.0</v>
      </c>
      <c r="E34" s="6">
        <v>37809.0</v>
      </c>
      <c r="F34" s="6">
        <v>26689.0</v>
      </c>
      <c r="G34" s="6">
        <v>16769.0</v>
      </c>
      <c r="H34" s="6">
        <v>14090.0</v>
      </c>
      <c r="I34" s="6">
        <v>20824.0</v>
      </c>
      <c r="J34" s="6">
        <v>23636.0</v>
      </c>
      <c r="K34" s="6">
        <v>20508.0</v>
      </c>
      <c r="L34" s="6">
        <v>31173.0</v>
      </c>
      <c r="M34" s="6">
        <v>39589.0</v>
      </c>
      <c r="N34" s="6">
        <v>35622.0</v>
      </c>
      <c r="O34" s="75">
        <f t="shared" ref="O34:O37" si="10">SUM(C34:N34)</f>
        <v>341257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7"/>
      <c r="B35" s="5" t="s">
        <v>288</v>
      </c>
      <c r="C35" s="6">
        <v>78683.0</v>
      </c>
      <c r="D35" s="6">
        <v>54952.0</v>
      </c>
      <c r="E35" s="6">
        <v>30455.0</v>
      </c>
      <c r="F35" s="6">
        <v>40238.0</v>
      </c>
      <c r="G35" s="6">
        <v>26216.0</v>
      </c>
      <c r="H35" s="6">
        <v>22011.0</v>
      </c>
      <c r="I35" s="6">
        <v>56303.0</v>
      </c>
      <c r="J35" s="6">
        <v>36970.0</v>
      </c>
      <c r="K35" s="6">
        <v>46997.0</v>
      </c>
      <c r="L35" s="6">
        <v>60942.0</v>
      </c>
      <c r="M35" s="6">
        <v>43594.0</v>
      </c>
      <c r="N35" s="6">
        <v>35017.0</v>
      </c>
      <c r="O35" s="75">
        <f t="shared" si="10"/>
        <v>532378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7"/>
      <c r="B36" s="5" t="s">
        <v>39</v>
      </c>
      <c r="C36" s="6">
        <v>12049.0</v>
      </c>
      <c r="D36" s="6">
        <v>7104.0</v>
      </c>
      <c r="E36" s="6">
        <v>3860.0</v>
      </c>
      <c r="F36" s="6">
        <v>8929.0</v>
      </c>
      <c r="G36" s="6">
        <v>4598.0</v>
      </c>
      <c r="H36" s="6">
        <v>4145.0</v>
      </c>
      <c r="I36" s="6">
        <v>5366.0</v>
      </c>
      <c r="J36" s="6">
        <v>3513.0</v>
      </c>
      <c r="K36" s="6">
        <v>5445.0</v>
      </c>
      <c r="L36" s="6">
        <v>6635.0</v>
      </c>
      <c r="M36" s="6">
        <v>6948.0</v>
      </c>
      <c r="N36" s="6">
        <v>9958.0</v>
      </c>
      <c r="O36" s="75">
        <f t="shared" si="10"/>
        <v>78550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1"/>
      <c r="B37" s="5" t="s">
        <v>14</v>
      </c>
      <c r="C37" s="8">
        <f t="shared" ref="C37:D37" si="11">SUM(C34:C36)</f>
        <v>126933</v>
      </c>
      <c r="D37" s="8">
        <f t="shared" si="11"/>
        <v>100403</v>
      </c>
      <c r="E37" s="8">
        <v>72124.0</v>
      </c>
      <c r="F37" s="8">
        <f t="shared" ref="F37:N37" si="12">SUM(F34:F36)</f>
        <v>75856</v>
      </c>
      <c r="G37" s="8">
        <f t="shared" si="12"/>
        <v>47583</v>
      </c>
      <c r="H37" s="8">
        <f t="shared" si="12"/>
        <v>40246</v>
      </c>
      <c r="I37" s="8">
        <f t="shared" si="12"/>
        <v>82493</v>
      </c>
      <c r="J37" s="8">
        <f t="shared" si="12"/>
        <v>64119</v>
      </c>
      <c r="K37" s="8">
        <f t="shared" si="12"/>
        <v>72950</v>
      </c>
      <c r="L37" s="8">
        <f t="shared" si="12"/>
        <v>98750</v>
      </c>
      <c r="M37" s="8">
        <f t="shared" si="12"/>
        <v>90131</v>
      </c>
      <c r="N37" s="8">
        <f t="shared" si="12"/>
        <v>80597</v>
      </c>
      <c r="O37" s="8">
        <f t="shared" si="10"/>
        <v>952185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 t="s">
        <v>0</v>
      </c>
      <c r="B40" s="2" t="s">
        <v>28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19">
        <v>2010.0</v>
      </c>
      <c r="B41" s="5" t="s">
        <v>30</v>
      </c>
      <c r="C41" s="6">
        <v>38788.0</v>
      </c>
      <c r="D41" s="6">
        <v>41464.0</v>
      </c>
      <c r="E41" s="6">
        <v>36147.0</v>
      </c>
      <c r="F41" s="6">
        <v>24363.0</v>
      </c>
      <c r="G41" s="6">
        <v>16821.0</v>
      </c>
      <c r="H41" s="6">
        <v>14815.0</v>
      </c>
      <c r="I41" s="6">
        <v>20752.0</v>
      </c>
      <c r="J41" s="6">
        <v>25368.0</v>
      </c>
      <c r="K41" s="6">
        <v>21085.0</v>
      </c>
      <c r="L41" s="6">
        <v>30058.0</v>
      </c>
      <c r="M41" s="6">
        <v>39979.0</v>
      </c>
      <c r="N41" s="6">
        <v>34620.0</v>
      </c>
      <c r="O41" s="75">
        <f t="shared" ref="O41:O44" si="13">SUM(C41:N41)</f>
        <v>344260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7"/>
      <c r="B42" s="5" t="s">
        <v>288</v>
      </c>
      <c r="C42" s="6">
        <v>94896.0</v>
      </c>
      <c r="D42" s="6">
        <v>63571.0</v>
      </c>
      <c r="E42" s="6">
        <v>35673.0</v>
      </c>
      <c r="F42" s="6">
        <v>50063.0</v>
      </c>
      <c r="G42" s="6">
        <v>50441.0</v>
      </c>
      <c r="H42" s="6">
        <v>38012.0</v>
      </c>
      <c r="I42" s="6">
        <v>108021.0</v>
      </c>
      <c r="J42" s="6">
        <v>57651.0</v>
      </c>
      <c r="K42" s="6">
        <v>62725.0</v>
      </c>
      <c r="L42" s="6">
        <v>77563.0</v>
      </c>
      <c r="M42" s="6">
        <v>54620.0</v>
      </c>
      <c r="N42" s="6">
        <v>37332.0</v>
      </c>
      <c r="O42" s="75">
        <f t="shared" si="13"/>
        <v>730568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7"/>
      <c r="B43" s="5" t="s">
        <v>39</v>
      </c>
      <c r="C43" s="6">
        <v>16328.0</v>
      </c>
      <c r="D43" s="6">
        <v>9471.0</v>
      </c>
      <c r="E43" s="6">
        <v>6946.0</v>
      </c>
      <c r="F43" s="6">
        <v>8323.0</v>
      </c>
      <c r="G43" s="6">
        <v>5114.0</v>
      </c>
      <c r="H43" s="6">
        <v>6311.0</v>
      </c>
      <c r="I43" s="6">
        <v>11847.0</v>
      </c>
      <c r="J43" s="6">
        <v>6552.0</v>
      </c>
      <c r="K43" s="6">
        <v>11502.0</v>
      </c>
      <c r="L43" s="6">
        <v>10630.0</v>
      </c>
      <c r="M43" s="6">
        <v>10173.0</v>
      </c>
      <c r="N43" s="6">
        <v>10970.0</v>
      </c>
      <c r="O43" s="75">
        <f t="shared" si="13"/>
        <v>114167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1"/>
      <c r="B44" s="5" t="s">
        <v>14</v>
      </c>
      <c r="C44" s="8">
        <f t="shared" ref="C44:N44" si="14">SUM(C41:C43)</f>
        <v>150012</v>
      </c>
      <c r="D44" s="8">
        <f t="shared" si="14"/>
        <v>114506</v>
      </c>
      <c r="E44" s="8">
        <f t="shared" si="14"/>
        <v>78766</v>
      </c>
      <c r="F44" s="8">
        <f t="shared" si="14"/>
        <v>82749</v>
      </c>
      <c r="G44" s="8">
        <f t="shared" si="14"/>
        <v>72376</v>
      </c>
      <c r="H44" s="8">
        <f t="shared" si="14"/>
        <v>59138</v>
      </c>
      <c r="I44" s="8">
        <f t="shared" si="14"/>
        <v>140620</v>
      </c>
      <c r="J44" s="8">
        <f t="shared" si="14"/>
        <v>89571</v>
      </c>
      <c r="K44" s="8">
        <f t="shared" si="14"/>
        <v>95312</v>
      </c>
      <c r="L44" s="8">
        <f t="shared" si="14"/>
        <v>118251</v>
      </c>
      <c r="M44" s="8">
        <f t="shared" si="14"/>
        <v>104772</v>
      </c>
      <c r="N44" s="8">
        <f t="shared" si="14"/>
        <v>82922</v>
      </c>
      <c r="O44" s="8">
        <f t="shared" si="13"/>
        <v>1188995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 t="s">
        <v>0</v>
      </c>
      <c r="B51" s="2" t="s">
        <v>28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19">
        <v>2011.0</v>
      </c>
      <c r="B52" s="5" t="s">
        <v>30</v>
      </c>
      <c r="C52" s="6">
        <v>37721.0</v>
      </c>
      <c r="D52" s="101">
        <v>40407.0</v>
      </c>
      <c r="E52" s="6">
        <v>40201.0</v>
      </c>
      <c r="F52" s="120">
        <v>28575.0</v>
      </c>
      <c r="G52" s="6">
        <v>19452.0</v>
      </c>
      <c r="H52" s="6">
        <v>14207.0</v>
      </c>
      <c r="I52" s="6">
        <v>20005.0</v>
      </c>
      <c r="J52" s="6">
        <v>23310.0</v>
      </c>
      <c r="K52" s="6">
        <v>21130.0</v>
      </c>
      <c r="L52" s="6">
        <v>30086.0</v>
      </c>
      <c r="M52" s="6">
        <v>38860.0</v>
      </c>
      <c r="N52" s="6">
        <v>35805.0</v>
      </c>
      <c r="O52" s="75">
        <f t="shared" ref="O52:O57" si="15">SUM(C52:N52)</f>
        <v>349759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7"/>
      <c r="B53" s="5" t="s">
        <v>39</v>
      </c>
      <c r="C53" s="6">
        <v>17709.0</v>
      </c>
      <c r="D53" s="101">
        <v>7591.0</v>
      </c>
      <c r="E53" s="6">
        <v>12250.0</v>
      </c>
      <c r="F53" s="120">
        <v>12726.0</v>
      </c>
      <c r="G53" s="6">
        <v>7380.0</v>
      </c>
      <c r="H53" s="6">
        <v>8965.0</v>
      </c>
      <c r="I53" s="6">
        <v>12845.0</v>
      </c>
      <c r="J53" s="6">
        <v>7034.0</v>
      </c>
      <c r="K53" s="6">
        <v>10216.0</v>
      </c>
      <c r="L53" s="6">
        <v>10112.0</v>
      </c>
      <c r="M53" s="6">
        <v>10242.0</v>
      </c>
      <c r="N53" s="6">
        <v>12954.0</v>
      </c>
      <c r="O53" s="75">
        <f t="shared" si="15"/>
        <v>130024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7"/>
      <c r="B54" s="5" t="s">
        <v>288</v>
      </c>
      <c r="C54" s="6">
        <v>81413.0</v>
      </c>
      <c r="D54" s="101">
        <v>56601.0</v>
      </c>
      <c r="E54" s="6">
        <v>47920.0</v>
      </c>
      <c r="F54" s="120">
        <v>39276.0</v>
      </c>
      <c r="G54" s="6">
        <v>28130.0</v>
      </c>
      <c r="H54" s="6">
        <v>27621.0</v>
      </c>
      <c r="I54" s="6">
        <v>87715.0</v>
      </c>
      <c r="J54" s="6">
        <v>36323.0</v>
      </c>
      <c r="K54" s="6">
        <v>46479.0</v>
      </c>
      <c r="L54" s="6">
        <v>49687.0</v>
      </c>
      <c r="M54" s="6">
        <v>36103.0</v>
      </c>
      <c r="N54" s="6">
        <v>32405.0</v>
      </c>
      <c r="O54" s="75">
        <f t="shared" si="15"/>
        <v>569673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7"/>
      <c r="B55" s="5" t="s">
        <v>289</v>
      </c>
      <c r="C55" s="6">
        <v>11699.0</v>
      </c>
      <c r="D55" s="101">
        <v>5866.0</v>
      </c>
      <c r="E55" s="6">
        <v>3541.0</v>
      </c>
      <c r="F55" s="120">
        <v>2723.0</v>
      </c>
      <c r="G55" s="6">
        <v>1937.0</v>
      </c>
      <c r="H55" s="6">
        <v>1953.0</v>
      </c>
      <c r="I55" s="6">
        <v>3400.0</v>
      </c>
      <c r="J55" s="6">
        <v>1677.0</v>
      </c>
      <c r="K55" s="6">
        <v>1979.0</v>
      </c>
      <c r="L55" s="6">
        <v>3084.0</v>
      </c>
      <c r="M55" s="6">
        <v>7701.0</v>
      </c>
      <c r="N55" s="6">
        <v>4727.0</v>
      </c>
      <c r="O55" s="75">
        <f t="shared" si="15"/>
        <v>50287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7"/>
      <c r="B56" s="5" t="s">
        <v>290</v>
      </c>
      <c r="C56" s="6">
        <v>16333.0</v>
      </c>
      <c r="D56" s="101">
        <v>10783.0</v>
      </c>
      <c r="E56" s="6">
        <v>7198.0</v>
      </c>
      <c r="F56" s="120">
        <v>6837.0</v>
      </c>
      <c r="G56" s="6">
        <v>6105.0</v>
      </c>
      <c r="H56" s="6">
        <v>6025.0</v>
      </c>
      <c r="I56" s="6">
        <v>11556.0</v>
      </c>
      <c r="J56" s="6">
        <v>9671.0</v>
      </c>
      <c r="K56" s="6">
        <v>12120.0</v>
      </c>
      <c r="L56" s="6">
        <v>14991.0</v>
      </c>
      <c r="M56" s="6">
        <v>14012.0</v>
      </c>
      <c r="N56" s="6">
        <v>8879.0</v>
      </c>
      <c r="O56" s="75">
        <f t="shared" si="15"/>
        <v>124510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1"/>
      <c r="B57" s="5" t="s">
        <v>14</v>
      </c>
      <c r="C57" s="8">
        <f t="shared" ref="C57:N57" si="16">SUM(C52:C56)</f>
        <v>164875</v>
      </c>
      <c r="D57" s="8">
        <f t="shared" si="16"/>
        <v>121248</v>
      </c>
      <c r="E57" s="8">
        <f t="shared" si="16"/>
        <v>111110</v>
      </c>
      <c r="F57" s="8">
        <f t="shared" si="16"/>
        <v>90137</v>
      </c>
      <c r="G57" s="8">
        <f t="shared" si="16"/>
        <v>63004</v>
      </c>
      <c r="H57" s="8">
        <f t="shared" si="16"/>
        <v>58771</v>
      </c>
      <c r="I57" s="8">
        <f t="shared" si="16"/>
        <v>135521</v>
      </c>
      <c r="J57" s="8">
        <f t="shared" si="16"/>
        <v>78015</v>
      </c>
      <c r="K57" s="8">
        <f t="shared" si="16"/>
        <v>91924</v>
      </c>
      <c r="L57" s="8">
        <f t="shared" si="16"/>
        <v>107960</v>
      </c>
      <c r="M57" s="8">
        <f t="shared" si="16"/>
        <v>106918</v>
      </c>
      <c r="N57" s="8">
        <f t="shared" si="16"/>
        <v>94770</v>
      </c>
      <c r="O57" s="8">
        <f t="shared" si="15"/>
        <v>1224253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2" t="s">
        <v>0</v>
      </c>
      <c r="B60" s="2" t="s">
        <v>28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19">
        <v>2012.0</v>
      </c>
      <c r="B61" s="5" t="s">
        <v>30</v>
      </c>
      <c r="C61" s="6">
        <v>39468.0</v>
      </c>
      <c r="D61" s="101">
        <v>43015.0</v>
      </c>
      <c r="E61" s="6">
        <v>39154.0</v>
      </c>
      <c r="F61" s="120">
        <v>27840.0</v>
      </c>
      <c r="G61" s="6">
        <v>19601.0</v>
      </c>
      <c r="H61" s="6">
        <v>15653.0</v>
      </c>
      <c r="I61" s="6">
        <v>19285.0</v>
      </c>
      <c r="J61" s="6">
        <v>23971.0</v>
      </c>
      <c r="K61" s="6">
        <v>19737.0</v>
      </c>
      <c r="L61" s="6">
        <v>30712.0</v>
      </c>
      <c r="M61" s="6">
        <v>37734.0</v>
      </c>
      <c r="N61" s="6">
        <v>33760.0</v>
      </c>
      <c r="O61" s="75">
        <f t="shared" ref="O61:O66" si="17">SUM(C61:N61)</f>
        <v>349930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7"/>
      <c r="B62" s="5" t="s">
        <v>39</v>
      </c>
      <c r="C62" s="6">
        <v>18962.0</v>
      </c>
      <c r="D62" s="101">
        <v>11677.0</v>
      </c>
      <c r="E62" s="6">
        <v>8024.0</v>
      </c>
      <c r="F62" s="120">
        <v>13803.0</v>
      </c>
      <c r="G62" s="6">
        <v>7252.0</v>
      </c>
      <c r="H62" s="6">
        <v>8101.0</v>
      </c>
      <c r="I62" s="6">
        <v>14201.0</v>
      </c>
      <c r="J62" s="6">
        <v>8835.0</v>
      </c>
      <c r="K62" s="6">
        <v>13092.0</v>
      </c>
      <c r="L62" s="6">
        <v>11175.0</v>
      </c>
      <c r="M62" s="6">
        <v>13793.0</v>
      </c>
      <c r="N62" s="6">
        <v>13322.0</v>
      </c>
      <c r="O62" s="75">
        <f t="shared" si="17"/>
        <v>142237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7"/>
      <c r="B63" s="5" t="s">
        <v>288</v>
      </c>
      <c r="C63" s="6">
        <v>101977.0</v>
      </c>
      <c r="D63" s="101">
        <v>69107.0</v>
      </c>
      <c r="E63" s="6">
        <v>35585.0</v>
      </c>
      <c r="F63" s="120">
        <v>64078.0</v>
      </c>
      <c r="G63" s="6">
        <v>32138.0</v>
      </c>
      <c r="H63" s="6">
        <v>28478.0</v>
      </c>
      <c r="I63" s="6">
        <v>106056.0</v>
      </c>
      <c r="J63" s="6">
        <v>44984.0</v>
      </c>
      <c r="K63" s="6">
        <v>59535.0</v>
      </c>
      <c r="L63" s="6">
        <v>64297.0</v>
      </c>
      <c r="M63" s="6">
        <v>38415.0</v>
      </c>
      <c r="N63" s="6">
        <v>26170.0</v>
      </c>
      <c r="O63" s="75">
        <f t="shared" si="17"/>
        <v>670820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7"/>
      <c r="B64" s="5" t="s">
        <v>289</v>
      </c>
      <c r="C64" s="6">
        <v>10832.0</v>
      </c>
      <c r="D64" s="101">
        <v>7013.0</v>
      </c>
      <c r="E64" s="6">
        <v>2733.0</v>
      </c>
      <c r="F64" s="120">
        <v>3857.0</v>
      </c>
      <c r="G64" s="6">
        <v>2373.0</v>
      </c>
      <c r="H64" s="6">
        <v>1420.0</v>
      </c>
      <c r="I64" s="6">
        <v>3952.0</v>
      </c>
      <c r="J64" s="6">
        <v>2415.0</v>
      </c>
      <c r="K64" s="6">
        <v>2708.0</v>
      </c>
      <c r="L64" s="6">
        <v>2246.0</v>
      </c>
      <c r="M64" s="6">
        <v>3395.0</v>
      </c>
      <c r="N64" s="6">
        <v>4563.0</v>
      </c>
      <c r="O64" s="75">
        <f t="shared" si="17"/>
        <v>47507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7"/>
      <c r="B65" s="5" t="s">
        <v>290</v>
      </c>
      <c r="C65" s="6">
        <v>18911.0</v>
      </c>
      <c r="D65" s="101">
        <v>13512.0</v>
      </c>
      <c r="E65" s="6">
        <v>6130.0</v>
      </c>
      <c r="F65" s="120">
        <v>9619.0</v>
      </c>
      <c r="G65" s="6">
        <v>7165.0</v>
      </c>
      <c r="H65" s="6">
        <v>6085.0</v>
      </c>
      <c r="I65" s="6">
        <v>16618.0</v>
      </c>
      <c r="J65" s="6">
        <v>11246.0</v>
      </c>
      <c r="K65" s="6">
        <v>11943.0</v>
      </c>
      <c r="L65" s="6">
        <v>14444.0</v>
      </c>
      <c r="M65" s="6">
        <v>14807.0</v>
      </c>
      <c r="N65" s="6">
        <v>8830.0</v>
      </c>
      <c r="O65" s="75">
        <f t="shared" si="17"/>
        <v>139310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1"/>
      <c r="B66" s="5" t="s">
        <v>14</v>
      </c>
      <c r="C66" s="8">
        <f t="shared" ref="C66:N66" si="18">SUM(C61:C65)</f>
        <v>190150</v>
      </c>
      <c r="D66" s="8">
        <f t="shared" si="18"/>
        <v>144324</v>
      </c>
      <c r="E66" s="8">
        <f t="shared" si="18"/>
        <v>91626</v>
      </c>
      <c r="F66" s="8">
        <f t="shared" si="18"/>
        <v>119197</v>
      </c>
      <c r="G66" s="8">
        <f t="shared" si="18"/>
        <v>68529</v>
      </c>
      <c r="H66" s="8">
        <f t="shared" si="18"/>
        <v>59737</v>
      </c>
      <c r="I66" s="8">
        <f t="shared" si="18"/>
        <v>160112</v>
      </c>
      <c r="J66" s="8">
        <f t="shared" si="18"/>
        <v>91451</v>
      </c>
      <c r="K66" s="8">
        <f t="shared" si="18"/>
        <v>107015</v>
      </c>
      <c r="L66" s="8">
        <f t="shared" si="18"/>
        <v>122874</v>
      </c>
      <c r="M66" s="8">
        <f t="shared" si="18"/>
        <v>108144</v>
      </c>
      <c r="N66" s="8">
        <f t="shared" si="18"/>
        <v>86645</v>
      </c>
      <c r="O66" s="8">
        <f t="shared" si="17"/>
        <v>1349804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2" t="s">
        <v>0</v>
      </c>
      <c r="B69" s="2" t="s">
        <v>28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19">
        <v>2013.0</v>
      </c>
      <c r="B70" s="5" t="s">
        <v>30</v>
      </c>
      <c r="C70" s="6">
        <v>39814.0</v>
      </c>
      <c r="D70" s="101">
        <v>40937.0</v>
      </c>
      <c r="E70" s="6">
        <v>35311.0</v>
      </c>
      <c r="F70" s="120">
        <v>24605.0</v>
      </c>
      <c r="G70" s="6">
        <v>19372.0</v>
      </c>
      <c r="H70" s="6">
        <v>14929.0</v>
      </c>
      <c r="I70" s="6">
        <v>21743.0</v>
      </c>
      <c r="J70" s="6">
        <v>24504.0</v>
      </c>
      <c r="K70" s="6">
        <v>21466.0</v>
      </c>
      <c r="L70" s="6">
        <v>31066.0</v>
      </c>
      <c r="M70" s="6">
        <v>39655.0</v>
      </c>
      <c r="N70" s="6">
        <v>35254.0</v>
      </c>
      <c r="O70" s="75">
        <f t="shared" ref="O70:O75" si="19">SUM(C70:N70)</f>
        <v>348656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7"/>
      <c r="B71" s="5" t="s">
        <v>39</v>
      </c>
      <c r="C71" s="6">
        <v>19070.0</v>
      </c>
      <c r="D71" s="101">
        <v>11198.0</v>
      </c>
      <c r="E71" s="6">
        <v>12471.0</v>
      </c>
      <c r="F71" s="120">
        <v>9193.0</v>
      </c>
      <c r="G71" s="6">
        <v>10235.0</v>
      </c>
      <c r="H71" s="6">
        <v>6962.0</v>
      </c>
      <c r="I71" s="6">
        <v>14443.0</v>
      </c>
      <c r="J71" s="6">
        <v>8393.0</v>
      </c>
      <c r="K71" s="6">
        <v>11448.0</v>
      </c>
      <c r="L71" s="6">
        <v>12696.0</v>
      </c>
      <c r="M71" s="6">
        <v>13870.0</v>
      </c>
      <c r="N71" s="6">
        <v>18287.0</v>
      </c>
      <c r="O71" s="75">
        <f t="shared" si="19"/>
        <v>148266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7"/>
      <c r="B72" s="5" t="s">
        <v>288</v>
      </c>
      <c r="C72" s="6">
        <v>85974.0</v>
      </c>
      <c r="D72" s="101">
        <v>60153.0</v>
      </c>
      <c r="E72" s="6">
        <v>61316.0</v>
      </c>
      <c r="F72" s="120">
        <v>39455.0</v>
      </c>
      <c r="G72" s="6">
        <v>27771.0</v>
      </c>
      <c r="H72" s="6">
        <v>38345.0</v>
      </c>
      <c r="I72" s="6">
        <v>66218.0</v>
      </c>
      <c r="J72" s="6">
        <v>34923.0</v>
      </c>
      <c r="K72" s="6">
        <v>44803.0</v>
      </c>
      <c r="L72" s="6">
        <v>46130.0</v>
      </c>
      <c r="M72" s="6">
        <v>37356.0</v>
      </c>
      <c r="N72" s="6">
        <v>24756.0</v>
      </c>
      <c r="O72" s="75">
        <f t="shared" si="19"/>
        <v>567200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7"/>
      <c r="B73" s="5" t="s">
        <v>289</v>
      </c>
      <c r="C73" s="6">
        <v>12495.0</v>
      </c>
      <c r="D73" s="101">
        <v>7426.0</v>
      </c>
      <c r="E73" s="6">
        <v>3506.0</v>
      </c>
      <c r="F73" s="120">
        <v>2174.0</v>
      </c>
      <c r="G73" s="6">
        <v>1315.0</v>
      </c>
      <c r="H73" s="6">
        <v>2414.0</v>
      </c>
      <c r="I73" s="6">
        <v>3267.0</v>
      </c>
      <c r="J73" s="6">
        <v>2162.0</v>
      </c>
      <c r="K73" s="6">
        <v>1914.0</v>
      </c>
      <c r="L73" s="6">
        <v>3352.0</v>
      </c>
      <c r="M73" s="6">
        <v>3839.0</v>
      </c>
      <c r="N73" s="6">
        <v>3875.0</v>
      </c>
      <c r="O73" s="75">
        <f t="shared" si="19"/>
        <v>47739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7"/>
      <c r="B74" s="5" t="s">
        <v>290</v>
      </c>
      <c r="C74" s="6">
        <v>15716.0</v>
      </c>
      <c r="D74" s="101">
        <v>10525.0</v>
      </c>
      <c r="E74" s="6">
        <v>8082.0</v>
      </c>
      <c r="F74" s="120">
        <v>6252.0</v>
      </c>
      <c r="G74" s="6">
        <v>5873.0</v>
      </c>
      <c r="H74" s="6">
        <v>6387.0</v>
      </c>
      <c r="I74" s="6">
        <v>9336.0</v>
      </c>
      <c r="J74" s="6">
        <v>9186.0</v>
      </c>
      <c r="K74" s="6">
        <v>11774.0</v>
      </c>
      <c r="L74" s="6">
        <v>13697.0</v>
      </c>
      <c r="M74" s="6">
        <v>10993.0</v>
      </c>
      <c r="N74" s="6">
        <v>6939.0</v>
      </c>
      <c r="O74" s="75">
        <f t="shared" si="19"/>
        <v>114760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1"/>
      <c r="B75" s="5" t="s">
        <v>14</v>
      </c>
      <c r="C75" s="8">
        <f t="shared" ref="C75:N75" si="20">SUM(C70:C74)</f>
        <v>173069</v>
      </c>
      <c r="D75" s="8">
        <f t="shared" si="20"/>
        <v>130239</v>
      </c>
      <c r="E75" s="8">
        <f t="shared" si="20"/>
        <v>120686</v>
      </c>
      <c r="F75" s="8">
        <f t="shared" si="20"/>
        <v>81679</v>
      </c>
      <c r="G75" s="8">
        <f t="shared" si="20"/>
        <v>64566</v>
      </c>
      <c r="H75" s="8">
        <f t="shared" si="20"/>
        <v>69037</v>
      </c>
      <c r="I75" s="8">
        <f t="shared" si="20"/>
        <v>115007</v>
      </c>
      <c r="J75" s="8">
        <f t="shared" si="20"/>
        <v>79168</v>
      </c>
      <c r="K75" s="8">
        <f t="shared" si="20"/>
        <v>91405</v>
      </c>
      <c r="L75" s="8">
        <f t="shared" si="20"/>
        <v>106941</v>
      </c>
      <c r="M75" s="8">
        <f t="shared" si="20"/>
        <v>105713</v>
      </c>
      <c r="N75" s="8">
        <f t="shared" si="20"/>
        <v>89111</v>
      </c>
      <c r="O75" s="8">
        <f t="shared" si="19"/>
        <v>1226621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2" t="s">
        <v>0</v>
      </c>
      <c r="B78" s="2" t="s">
        <v>28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19">
        <v>2014.0</v>
      </c>
      <c r="B79" s="5" t="s">
        <v>30</v>
      </c>
      <c r="C79" s="6">
        <v>38071.0</v>
      </c>
      <c r="D79" s="101">
        <v>41336.0</v>
      </c>
      <c r="E79" s="6">
        <v>40363.0</v>
      </c>
      <c r="F79" s="6">
        <v>28064.0</v>
      </c>
      <c r="G79" s="6">
        <v>20791.0</v>
      </c>
      <c r="H79" s="6">
        <v>21287.0</v>
      </c>
      <c r="I79" s="6">
        <v>24357.0</v>
      </c>
      <c r="J79" s="6">
        <v>24282.0</v>
      </c>
      <c r="K79" s="6">
        <v>22667.0</v>
      </c>
      <c r="L79" s="6">
        <v>33085.0</v>
      </c>
      <c r="M79" s="6">
        <v>40833.0</v>
      </c>
      <c r="N79" s="6">
        <v>35397.0</v>
      </c>
      <c r="O79" s="75">
        <f t="shared" ref="O79:O84" si="21">SUM(C79:N79)</f>
        <v>370533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7"/>
      <c r="B80" s="5" t="s">
        <v>39</v>
      </c>
      <c r="C80" s="6">
        <v>26783.0</v>
      </c>
      <c r="D80" s="101">
        <v>11897.0</v>
      </c>
      <c r="E80" s="6">
        <v>17056.0</v>
      </c>
      <c r="F80" s="6">
        <v>19054.0</v>
      </c>
      <c r="G80" s="6">
        <v>12900.0</v>
      </c>
      <c r="H80" s="6">
        <v>6903.0</v>
      </c>
      <c r="I80" s="6">
        <v>12034.0</v>
      </c>
      <c r="J80" s="6">
        <v>8243.0</v>
      </c>
      <c r="K80" s="6">
        <v>12017.0</v>
      </c>
      <c r="L80" s="6">
        <v>12581.0</v>
      </c>
      <c r="M80" s="6">
        <v>11813.0</v>
      </c>
      <c r="N80" s="6">
        <v>18527.0</v>
      </c>
      <c r="O80" s="75">
        <f t="shared" si="21"/>
        <v>169808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7"/>
      <c r="B81" s="5" t="s">
        <v>288</v>
      </c>
      <c r="C81" s="6">
        <v>79153.0</v>
      </c>
      <c r="D81" s="101">
        <v>54840.0</v>
      </c>
      <c r="E81" s="6">
        <v>41489.0</v>
      </c>
      <c r="F81" s="6">
        <v>39263.0</v>
      </c>
      <c r="G81" s="6">
        <v>32871.0</v>
      </c>
      <c r="H81" s="6">
        <v>20166.0</v>
      </c>
      <c r="I81" s="6">
        <v>52965.0</v>
      </c>
      <c r="J81" s="6">
        <v>28309.0</v>
      </c>
      <c r="K81" s="6">
        <v>40305.0</v>
      </c>
      <c r="L81" s="6">
        <v>43827.0</v>
      </c>
      <c r="M81" s="6">
        <v>33391.0</v>
      </c>
      <c r="N81" s="6">
        <v>25234.0</v>
      </c>
      <c r="O81" s="75">
        <f t="shared" si="21"/>
        <v>491813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7"/>
      <c r="B82" s="5" t="s">
        <v>289</v>
      </c>
      <c r="C82" s="6">
        <v>10729.0</v>
      </c>
      <c r="D82" s="101">
        <v>6118.0</v>
      </c>
      <c r="E82" s="6">
        <v>3446.0</v>
      </c>
      <c r="F82" s="6">
        <v>2322.0</v>
      </c>
      <c r="G82" s="6">
        <v>1523.0</v>
      </c>
      <c r="H82" s="6">
        <v>952.0</v>
      </c>
      <c r="I82" s="6">
        <v>3000.0</v>
      </c>
      <c r="J82" s="6">
        <v>2399.0</v>
      </c>
      <c r="K82" s="6">
        <v>1407.0</v>
      </c>
      <c r="L82" s="6">
        <v>2914.0</v>
      </c>
      <c r="M82" s="6">
        <v>3745.0</v>
      </c>
      <c r="N82" s="6">
        <v>3932.0</v>
      </c>
      <c r="O82" s="75">
        <f t="shared" si="21"/>
        <v>42487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7"/>
      <c r="B83" s="5" t="s">
        <v>290</v>
      </c>
      <c r="C83" s="6">
        <v>14984.0</v>
      </c>
      <c r="D83" s="101">
        <v>10109.0</v>
      </c>
      <c r="E83" s="6">
        <v>6547.0</v>
      </c>
      <c r="F83" s="6">
        <v>6150.0</v>
      </c>
      <c r="G83" s="6">
        <v>8157.0</v>
      </c>
      <c r="H83" s="6">
        <v>5492.0</v>
      </c>
      <c r="I83" s="6">
        <v>9252.0</v>
      </c>
      <c r="J83" s="6">
        <v>13811.0</v>
      </c>
      <c r="K83" s="6">
        <v>9259.0</v>
      </c>
      <c r="L83" s="6">
        <v>11355.0</v>
      </c>
      <c r="M83" s="6">
        <v>11099.0</v>
      </c>
      <c r="N83" s="6">
        <v>7551.0</v>
      </c>
      <c r="O83" s="75">
        <f t="shared" si="21"/>
        <v>113766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1"/>
      <c r="B84" s="5" t="s">
        <v>14</v>
      </c>
      <c r="C84" s="8">
        <f t="shared" ref="C84:N84" si="22">SUM(C79:C83)</f>
        <v>169720</v>
      </c>
      <c r="D84" s="8">
        <f t="shared" si="22"/>
        <v>124300</v>
      </c>
      <c r="E84" s="8">
        <f t="shared" si="22"/>
        <v>108901</v>
      </c>
      <c r="F84" s="8">
        <f t="shared" si="22"/>
        <v>94853</v>
      </c>
      <c r="G84" s="8">
        <f t="shared" si="22"/>
        <v>76242</v>
      </c>
      <c r="H84" s="8">
        <f t="shared" si="22"/>
        <v>54800</v>
      </c>
      <c r="I84" s="8">
        <f t="shared" si="22"/>
        <v>101608</v>
      </c>
      <c r="J84" s="8">
        <f t="shared" si="22"/>
        <v>77044</v>
      </c>
      <c r="K84" s="8">
        <f t="shared" si="22"/>
        <v>85655</v>
      </c>
      <c r="L84" s="8">
        <f t="shared" si="22"/>
        <v>103762</v>
      </c>
      <c r="M84" s="8">
        <f t="shared" si="22"/>
        <v>100881</v>
      </c>
      <c r="N84" s="8">
        <f t="shared" si="22"/>
        <v>90641</v>
      </c>
      <c r="O84" s="8">
        <f t="shared" si="21"/>
        <v>1188407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2" t="s">
        <v>0</v>
      </c>
      <c r="B87" s="2" t="s">
        <v>28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9</v>
      </c>
      <c r="K87" s="2" t="s">
        <v>10</v>
      </c>
      <c r="L87" s="2" t="s">
        <v>11</v>
      </c>
      <c r="M87" s="2" t="s">
        <v>12</v>
      </c>
      <c r="N87" s="2" t="s">
        <v>13</v>
      </c>
      <c r="O87" s="2" t="s">
        <v>14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19">
        <v>2015.0</v>
      </c>
      <c r="B88" s="5" t="s">
        <v>30</v>
      </c>
      <c r="C88" s="6">
        <v>42581.0</v>
      </c>
      <c r="D88" s="101">
        <v>42248.0</v>
      </c>
      <c r="E88" s="6">
        <v>38701.0</v>
      </c>
      <c r="F88" s="6">
        <v>27170.0</v>
      </c>
      <c r="G88" s="6">
        <v>21088.0</v>
      </c>
      <c r="H88" s="6">
        <v>18082.0</v>
      </c>
      <c r="I88" s="6">
        <v>22000.0</v>
      </c>
      <c r="J88" s="6">
        <v>27980.0</v>
      </c>
      <c r="K88" s="6">
        <v>23716.0</v>
      </c>
      <c r="L88" s="6">
        <v>30741.0</v>
      </c>
      <c r="M88" s="6">
        <v>41033.0</v>
      </c>
      <c r="N88" s="6">
        <v>36252.0</v>
      </c>
      <c r="O88" s="75">
        <f t="shared" ref="O88:O93" si="23">SUM(C88:N88)</f>
        <v>371592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7"/>
      <c r="B89" s="5" t="s">
        <v>39</v>
      </c>
      <c r="C89" s="6">
        <v>29635.0</v>
      </c>
      <c r="D89" s="101">
        <v>16708.0</v>
      </c>
      <c r="E89" s="6">
        <v>12383.0</v>
      </c>
      <c r="F89" s="6">
        <v>17422.0</v>
      </c>
      <c r="G89" s="6">
        <v>12246.0</v>
      </c>
      <c r="H89" s="6">
        <v>11705.0</v>
      </c>
      <c r="I89" s="6">
        <v>23494.0</v>
      </c>
      <c r="J89" s="6">
        <v>13643.0</v>
      </c>
      <c r="K89" s="6">
        <v>17405.0</v>
      </c>
      <c r="L89" s="6">
        <v>16256.0</v>
      </c>
      <c r="M89" s="6">
        <v>13114.0</v>
      </c>
      <c r="N89" s="6">
        <v>17427.0</v>
      </c>
      <c r="O89" s="75">
        <f t="shared" si="23"/>
        <v>201438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7"/>
      <c r="B90" s="5" t="s">
        <v>288</v>
      </c>
      <c r="C90" s="6">
        <v>71080.0</v>
      </c>
      <c r="D90" s="101">
        <v>61273.0</v>
      </c>
      <c r="E90" s="6">
        <v>42461.0</v>
      </c>
      <c r="F90" s="6">
        <v>43057.0</v>
      </c>
      <c r="G90" s="6">
        <v>36905.0</v>
      </c>
      <c r="H90" s="6">
        <v>27958.0</v>
      </c>
      <c r="I90" s="6">
        <v>109211.0</v>
      </c>
      <c r="J90" s="6">
        <v>48819.0</v>
      </c>
      <c r="K90" s="6">
        <v>61259.0</v>
      </c>
      <c r="L90" s="6">
        <v>57333.0</v>
      </c>
      <c r="M90" s="6">
        <v>39800.0</v>
      </c>
      <c r="N90" s="6">
        <v>33195.0</v>
      </c>
      <c r="O90" s="75">
        <f t="shared" si="23"/>
        <v>632351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7"/>
      <c r="B91" s="5" t="s">
        <v>289</v>
      </c>
      <c r="C91" s="6">
        <v>9647.0</v>
      </c>
      <c r="D91" s="101">
        <v>8235.0</v>
      </c>
      <c r="E91" s="6">
        <v>3267.0</v>
      </c>
      <c r="F91" s="6">
        <v>3088.0</v>
      </c>
      <c r="G91" s="6">
        <v>2446.0</v>
      </c>
      <c r="H91" s="6">
        <v>1522.0</v>
      </c>
      <c r="I91" s="6">
        <v>4524.0</v>
      </c>
      <c r="J91" s="6">
        <v>3637.0</v>
      </c>
      <c r="K91" s="6">
        <v>3145.0</v>
      </c>
      <c r="L91" s="6">
        <v>4081.0</v>
      </c>
      <c r="M91" s="6">
        <v>3876.0</v>
      </c>
      <c r="N91" s="6">
        <v>3734.0</v>
      </c>
      <c r="O91" s="75">
        <f t="shared" si="23"/>
        <v>51202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7"/>
      <c r="B92" s="5" t="s">
        <v>290</v>
      </c>
      <c r="C92" s="6">
        <v>14668.0</v>
      </c>
      <c r="D92" s="101">
        <v>12631.0</v>
      </c>
      <c r="E92" s="6">
        <v>7240.0</v>
      </c>
      <c r="F92" s="6">
        <v>7401.0</v>
      </c>
      <c r="G92" s="6">
        <v>9010.0</v>
      </c>
      <c r="H92" s="6">
        <v>6173.0</v>
      </c>
      <c r="I92" s="6">
        <v>14436.0</v>
      </c>
      <c r="J92" s="6">
        <v>9814.0</v>
      </c>
      <c r="K92" s="6">
        <v>13217.0</v>
      </c>
      <c r="L92" s="6">
        <v>12016.0</v>
      </c>
      <c r="M92" s="6">
        <v>10617.0</v>
      </c>
      <c r="N92" s="6">
        <v>7931.0</v>
      </c>
      <c r="O92" s="75">
        <f t="shared" si="23"/>
        <v>125154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1"/>
      <c r="B93" s="5" t="s">
        <v>14</v>
      </c>
      <c r="C93" s="8">
        <f t="shared" ref="C93:N93" si="24">SUM(C88:C92)</f>
        <v>167611</v>
      </c>
      <c r="D93" s="8">
        <f t="shared" si="24"/>
        <v>141095</v>
      </c>
      <c r="E93" s="8">
        <f t="shared" si="24"/>
        <v>104052</v>
      </c>
      <c r="F93" s="8">
        <f t="shared" si="24"/>
        <v>98138</v>
      </c>
      <c r="G93" s="8">
        <f t="shared" si="24"/>
        <v>81695</v>
      </c>
      <c r="H93" s="8">
        <f t="shared" si="24"/>
        <v>65440</v>
      </c>
      <c r="I93" s="8">
        <f t="shared" si="24"/>
        <v>173665</v>
      </c>
      <c r="J93" s="8">
        <f t="shared" si="24"/>
        <v>103893</v>
      </c>
      <c r="K93" s="8">
        <f t="shared" si="24"/>
        <v>118742</v>
      </c>
      <c r="L93" s="8">
        <f t="shared" si="24"/>
        <v>120427</v>
      </c>
      <c r="M93" s="8">
        <f t="shared" si="24"/>
        <v>108440</v>
      </c>
      <c r="N93" s="8">
        <f t="shared" si="24"/>
        <v>98539</v>
      </c>
      <c r="O93" s="8">
        <f t="shared" si="23"/>
        <v>1381737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2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2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2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2" t="s">
        <v>0</v>
      </c>
      <c r="B100" s="2" t="s">
        <v>28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19">
        <v>2016.0</v>
      </c>
      <c r="B101" s="5" t="s">
        <v>30</v>
      </c>
      <c r="C101" s="6">
        <v>41240.0</v>
      </c>
      <c r="D101" s="101">
        <v>43454.0</v>
      </c>
      <c r="E101" s="6">
        <v>38071.0</v>
      </c>
      <c r="F101" s="6">
        <v>24477.0</v>
      </c>
      <c r="G101" s="6">
        <v>17620.0</v>
      </c>
      <c r="H101" s="6">
        <v>14753.0</v>
      </c>
      <c r="I101" s="6">
        <v>21035.0</v>
      </c>
      <c r="J101" s="6">
        <v>25590.0</v>
      </c>
      <c r="K101" s="6">
        <v>20898.0</v>
      </c>
      <c r="L101" s="6">
        <v>29278.0</v>
      </c>
      <c r="M101" s="6">
        <v>35810.0</v>
      </c>
      <c r="N101" s="6">
        <v>31613.0</v>
      </c>
      <c r="O101" s="75">
        <f t="shared" ref="O101:O106" si="25">SUM(C101:N101)</f>
        <v>343839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7"/>
      <c r="B102" s="5" t="s">
        <v>39</v>
      </c>
      <c r="C102" s="6">
        <v>24588.0</v>
      </c>
      <c r="D102" s="101">
        <v>15324.0</v>
      </c>
      <c r="E102" s="6">
        <v>13292.0</v>
      </c>
      <c r="F102" s="6">
        <v>12506.0</v>
      </c>
      <c r="G102" s="6">
        <v>11669.0</v>
      </c>
      <c r="H102" s="6">
        <v>9783.0</v>
      </c>
      <c r="I102" s="6">
        <v>20153.0</v>
      </c>
      <c r="J102" s="6">
        <v>12482.0</v>
      </c>
      <c r="K102" s="6">
        <v>17667.0</v>
      </c>
      <c r="L102" s="6">
        <v>16517.0</v>
      </c>
      <c r="M102" s="6">
        <v>16219.0</v>
      </c>
      <c r="N102" s="6">
        <v>20368.0</v>
      </c>
      <c r="O102" s="75">
        <f t="shared" si="25"/>
        <v>190568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7"/>
      <c r="B103" s="5" t="s">
        <v>288</v>
      </c>
      <c r="C103" s="6">
        <v>72216.0</v>
      </c>
      <c r="D103" s="101">
        <v>45898.0</v>
      </c>
      <c r="E103" s="6">
        <v>33690.0</v>
      </c>
      <c r="F103" s="6">
        <v>23215.0</v>
      </c>
      <c r="G103" s="6">
        <v>22099.0</v>
      </c>
      <c r="H103" s="6">
        <v>29523.0</v>
      </c>
      <c r="I103" s="6">
        <v>103851.0</v>
      </c>
      <c r="J103" s="6">
        <v>45774.0</v>
      </c>
      <c r="K103" s="6">
        <v>57725.0</v>
      </c>
      <c r="L103" s="6">
        <v>64637.0</v>
      </c>
      <c r="M103" s="6">
        <v>43382.0</v>
      </c>
      <c r="N103" s="6">
        <v>36398.0</v>
      </c>
      <c r="O103" s="75">
        <f t="shared" si="25"/>
        <v>578408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7"/>
      <c r="B104" s="5" t="s">
        <v>289</v>
      </c>
      <c r="C104" s="6">
        <v>9292.0</v>
      </c>
      <c r="D104" s="101">
        <v>5404.0</v>
      </c>
      <c r="E104" s="6">
        <v>2475.0</v>
      </c>
      <c r="F104" s="6">
        <v>1145.0</v>
      </c>
      <c r="G104" s="6">
        <v>1242.0</v>
      </c>
      <c r="H104" s="6">
        <v>1860.0</v>
      </c>
      <c r="I104" s="6">
        <v>6582.0</v>
      </c>
      <c r="J104" s="6">
        <v>2841.0</v>
      </c>
      <c r="K104" s="6">
        <v>7826.0</v>
      </c>
      <c r="L104" s="6">
        <v>3891.0</v>
      </c>
      <c r="M104" s="6">
        <v>3482.0</v>
      </c>
      <c r="N104" s="6">
        <v>4062.0</v>
      </c>
      <c r="O104" s="75">
        <f t="shared" si="25"/>
        <v>50102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7"/>
      <c r="B105" s="5" t="s">
        <v>290</v>
      </c>
      <c r="C105" s="6">
        <v>13649.0</v>
      </c>
      <c r="D105" s="101">
        <v>9067.0</v>
      </c>
      <c r="E105" s="6">
        <v>5978.0</v>
      </c>
      <c r="F105" s="6">
        <v>5003.0</v>
      </c>
      <c r="G105" s="6">
        <v>7500.0</v>
      </c>
      <c r="H105" s="6">
        <v>6019.0</v>
      </c>
      <c r="I105" s="6">
        <v>14277.0</v>
      </c>
      <c r="J105" s="6">
        <v>8101.0</v>
      </c>
      <c r="K105" s="6">
        <v>7179.0</v>
      </c>
      <c r="L105" s="6">
        <v>12501.0</v>
      </c>
      <c r="M105" s="6">
        <v>10939.0</v>
      </c>
      <c r="N105" s="6">
        <v>8898.0</v>
      </c>
      <c r="O105" s="75">
        <f t="shared" si="25"/>
        <v>109111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1"/>
      <c r="B106" s="5" t="s">
        <v>14</v>
      </c>
      <c r="C106" s="8">
        <f t="shared" ref="C106:N106" si="26">SUM(C101:C105)</f>
        <v>160985</v>
      </c>
      <c r="D106" s="8">
        <f t="shared" si="26"/>
        <v>119147</v>
      </c>
      <c r="E106" s="8">
        <f t="shared" si="26"/>
        <v>93506</v>
      </c>
      <c r="F106" s="8">
        <f t="shared" si="26"/>
        <v>66346</v>
      </c>
      <c r="G106" s="8">
        <f t="shared" si="26"/>
        <v>60130</v>
      </c>
      <c r="H106" s="8">
        <f t="shared" si="26"/>
        <v>61938</v>
      </c>
      <c r="I106" s="8">
        <f t="shared" si="26"/>
        <v>165898</v>
      </c>
      <c r="J106" s="8">
        <f t="shared" si="26"/>
        <v>94788</v>
      </c>
      <c r="K106" s="8">
        <f t="shared" si="26"/>
        <v>111295</v>
      </c>
      <c r="L106" s="8">
        <f t="shared" si="26"/>
        <v>126824</v>
      </c>
      <c r="M106" s="8">
        <f t="shared" si="26"/>
        <v>109832</v>
      </c>
      <c r="N106" s="8">
        <f t="shared" si="26"/>
        <v>101339</v>
      </c>
      <c r="O106" s="8">
        <f t="shared" si="25"/>
        <v>1272028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2" t="s">
        <v>0</v>
      </c>
      <c r="B109" s="2" t="s">
        <v>28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19">
        <v>2017.0</v>
      </c>
      <c r="B110" s="5" t="s">
        <v>30</v>
      </c>
      <c r="C110" s="6">
        <v>33474.0</v>
      </c>
      <c r="D110" s="101">
        <v>35298.0</v>
      </c>
      <c r="E110" s="101">
        <v>31048.0</v>
      </c>
      <c r="F110" s="6">
        <v>24926.0</v>
      </c>
      <c r="G110" s="6">
        <v>16612.0</v>
      </c>
      <c r="H110" s="6">
        <v>13524.0</v>
      </c>
      <c r="I110" s="6">
        <v>18874.0</v>
      </c>
      <c r="J110" s="6">
        <v>23919.0</v>
      </c>
      <c r="K110" s="6">
        <v>19637.0</v>
      </c>
      <c r="L110" s="6">
        <v>28746.0</v>
      </c>
      <c r="M110" s="6">
        <v>37881.0</v>
      </c>
      <c r="N110" s="6">
        <v>30852.0</v>
      </c>
      <c r="O110" s="75">
        <f t="shared" ref="O110:O115" si="27">SUM(C110:N110)</f>
        <v>314791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7"/>
      <c r="B111" s="5" t="s">
        <v>39</v>
      </c>
      <c r="C111" s="6">
        <v>28451.0</v>
      </c>
      <c r="D111" s="101">
        <v>14592.0</v>
      </c>
      <c r="E111" s="101">
        <v>10125.0</v>
      </c>
      <c r="F111" s="6">
        <v>19675.0</v>
      </c>
      <c r="G111" s="6">
        <v>10322.0</v>
      </c>
      <c r="H111" s="6">
        <v>12760.0</v>
      </c>
      <c r="I111" s="6">
        <v>24359.0</v>
      </c>
      <c r="J111" s="6">
        <v>13080.0</v>
      </c>
      <c r="K111" s="6">
        <v>20960.0</v>
      </c>
      <c r="L111" s="6">
        <v>17292.0</v>
      </c>
      <c r="M111" s="6">
        <v>16243.0</v>
      </c>
      <c r="N111" s="6">
        <v>20947.0</v>
      </c>
      <c r="O111" s="75">
        <f t="shared" si="27"/>
        <v>208806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7"/>
      <c r="B112" s="5" t="s">
        <v>288</v>
      </c>
      <c r="C112" s="6">
        <v>88932.0</v>
      </c>
      <c r="D112" s="101">
        <v>77365.0</v>
      </c>
      <c r="E112" s="101">
        <v>41181.0</v>
      </c>
      <c r="F112" s="6">
        <v>45864.0</v>
      </c>
      <c r="G112" s="6">
        <v>32449.0</v>
      </c>
      <c r="H112" s="6">
        <v>31087.0</v>
      </c>
      <c r="I112" s="6">
        <v>108794.0</v>
      </c>
      <c r="J112" s="6">
        <v>53124.0</v>
      </c>
      <c r="K112" s="6">
        <v>61118.0</v>
      </c>
      <c r="L112" s="6">
        <v>58936.0</v>
      </c>
      <c r="M112" s="6">
        <v>47332.0</v>
      </c>
      <c r="N112" s="6">
        <v>32354.0</v>
      </c>
      <c r="O112" s="75">
        <f t="shared" si="27"/>
        <v>678536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7"/>
      <c r="B113" s="5" t="s">
        <v>289</v>
      </c>
      <c r="C113" s="6">
        <v>11846.0</v>
      </c>
      <c r="D113" s="101">
        <v>8597.0</v>
      </c>
      <c r="E113" s="101">
        <v>2250.0</v>
      </c>
      <c r="F113" s="6">
        <v>2978.0</v>
      </c>
      <c r="G113" s="6">
        <v>1351.0</v>
      </c>
      <c r="H113" s="6">
        <v>1341.0</v>
      </c>
      <c r="I113" s="6">
        <v>7029.0</v>
      </c>
      <c r="J113" s="6">
        <v>2918.0</v>
      </c>
      <c r="K113" s="6">
        <v>3438.0</v>
      </c>
      <c r="L113" s="6">
        <v>3355.0</v>
      </c>
      <c r="M113" s="6">
        <v>4525.0</v>
      </c>
      <c r="N113" s="6">
        <v>4927.0</v>
      </c>
      <c r="O113" s="75">
        <f t="shared" si="27"/>
        <v>54555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7"/>
      <c r="B114" s="5" t="s">
        <v>290</v>
      </c>
      <c r="C114" s="6">
        <v>22411.0</v>
      </c>
      <c r="D114" s="101">
        <v>18052.0</v>
      </c>
      <c r="E114" s="101">
        <v>8754.0</v>
      </c>
      <c r="F114" s="6">
        <v>10120.0</v>
      </c>
      <c r="G114" s="6">
        <v>8558.0</v>
      </c>
      <c r="H114" s="6">
        <v>7181.0</v>
      </c>
      <c r="I114" s="6">
        <v>22786.0</v>
      </c>
      <c r="J114" s="6">
        <v>13275.0</v>
      </c>
      <c r="K114" s="6">
        <v>15801.0</v>
      </c>
      <c r="L114" s="6">
        <v>16100.0</v>
      </c>
      <c r="M114" s="6">
        <v>15920.0</v>
      </c>
      <c r="N114" s="6">
        <v>10796.0</v>
      </c>
      <c r="O114" s="75">
        <f t="shared" si="27"/>
        <v>169754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1"/>
      <c r="B115" s="5" t="s">
        <v>14</v>
      </c>
      <c r="C115" s="8">
        <f t="shared" ref="C115:N115" si="28">SUM(C110:C114)</f>
        <v>185114</v>
      </c>
      <c r="D115" s="8">
        <f t="shared" si="28"/>
        <v>153904</v>
      </c>
      <c r="E115" s="8">
        <f t="shared" si="28"/>
        <v>93358</v>
      </c>
      <c r="F115" s="8">
        <f t="shared" si="28"/>
        <v>103563</v>
      </c>
      <c r="G115" s="8">
        <f t="shared" si="28"/>
        <v>69292</v>
      </c>
      <c r="H115" s="8">
        <f t="shared" si="28"/>
        <v>65893</v>
      </c>
      <c r="I115" s="8">
        <f t="shared" si="28"/>
        <v>181842</v>
      </c>
      <c r="J115" s="8">
        <f t="shared" si="28"/>
        <v>106316</v>
      </c>
      <c r="K115" s="8">
        <f t="shared" si="28"/>
        <v>120954</v>
      </c>
      <c r="L115" s="8">
        <f t="shared" si="28"/>
        <v>124429</v>
      </c>
      <c r="M115" s="8">
        <f t="shared" si="28"/>
        <v>121901</v>
      </c>
      <c r="N115" s="8">
        <f t="shared" si="28"/>
        <v>99876</v>
      </c>
      <c r="O115" s="8">
        <f t="shared" si="27"/>
        <v>1426442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2" t="s">
        <v>0</v>
      </c>
      <c r="B118" s="2" t="s">
        <v>28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19">
        <v>2018.0</v>
      </c>
      <c r="B119" s="5" t="s">
        <v>30</v>
      </c>
      <c r="C119" s="6">
        <v>38737.0</v>
      </c>
      <c r="D119" s="101">
        <v>41190.0</v>
      </c>
      <c r="E119" s="101">
        <v>39030.0</v>
      </c>
      <c r="F119" s="6">
        <v>24970.0</v>
      </c>
      <c r="G119" s="6">
        <v>20534.0</v>
      </c>
      <c r="H119" s="6">
        <v>16430.0</v>
      </c>
      <c r="I119" s="6">
        <v>22195.0</v>
      </c>
      <c r="J119" s="6">
        <v>28016.0</v>
      </c>
      <c r="K119" s="6">
        <v>26059.0</v>
      </c>
      <c r="L119" s="6">
        <v>36187.0</v>
      </c>
      <c r="M119" s="6">
        <v>47209.0</v>
      </c>
      <c r="N119" s="6">
        <v>42561.0</v>
      </c>
      <c r="O119" s="75">
        <f t="shared" ref="O119:O124" si="29">SUM(C119:N119)</f>
        <v>383118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7"/>
      <c r="B120" s="5" t="s">
        <v>39</v>
      </c>
      <c r="C120" s="6">
        <v>26177.0</v>
      </c>
      <c r="D120" s="101">
        <v>15290.0</v>
      </c>
      <c r="E120" s="101">
        <v>14884.0</v>
      </c>
      <c r="F120" s="6">
        <v>14081.0</v>
      </c>
      <c r="G120" s="6">
        <v>12570.0</v>
      </c>
      <c r="H120" s="6">
        <v>10662.0</v>
      </c>
      <c r="I120" s="6">
        <v>24614.0</v>
      </c>
      <c r="J120" s="6">
        <v>11985.0</v>
      </c>
      <c r="K120" s="6">
        <v>19293.0</v>
      </c>
      <c r="L120" s="6">
        <v>16547.0</v>
      </c>
      <c r="M120" s="6">
        <v>21117.0</v>
      </c>
      <c r="N120" s="6">
        <v>24133.0</v>
      </c>
      <c r="O120" s="75">
        <f t="shared" si="29"/>
        <v>211353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7"/>
      <c r="B121" s="5" t="s">
        <v>288</v>
      </c>
      <c r="C121" s="6">
        <v>99512.0</v>
      </c>
      <c r="D121" s="101">
        <v>80494.0</v>
      </c>
      <c r="E121" s="101">
        <v>62909.0</v>
      </c>
      <c r="F121" s="6">
        <v>52198.0</v>
      </c>
      <c r="G121" s="6">
        <v>33777.0</v>
      </c>
      <c r="H121" s="6">
        <v>33940.0</v>
      </c>
      <c r="I121" s="6">
        <v>118847.0</v>
      </c>
      <c r="J121" s="6">
        <v>56367.0</v>
      </c>
      <c r="K121" s="6">
        <v>64545.0</v>
      </c>
      <c r="L121" s="6">
        <v>62246.0</v>
      </c>
      <c r="M121" s="6">
        <v>46915.0</v>
      </c>
      <c r="N121" s="6">
        <v>35300.0</v>
      </c>
      <c r="O121" s="75">
        <f t="shared" si="29"/>
        <v>747050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7"/>
      <c r="B122" s="5" t="s">
        <v>289</v>
      </c>
      <c r="C122" s="6">
        <v>12686.0</v>
      </c>
      <c r="D122" s="101">
        <v>9568.0</v>
      </c>
      <c r="E122" s="101">
        <v>3720.0</v>
      </c>
      <c r="F122" s="6">
        <v>3196.0</v>
      </c>
      <c r="G122" s="6">
        <v>2404.0</v>
      </c>
      <c r="H122" s="6">
        <v>1178.0</v>
      </c>
      <c r="I122" s="6">
        <v>5830.0</v>
      </c>
      <c r="J122" s="6">
        <v>2758.0</v>
      </c>
      <c r="K122" s="6">
        <v>2462.0</v>
      </c>
      <c r="L122" s="6">
        <v>3013.0</v>
      </c>
      <c r="M122" s="6">
        <v>3904.0</v>
      </c>
      <c r="N122" s="6">
        <v>4185.0</v>
      </c>
      <c r="O122" s="75">
        <f t="shared" si="29"/>
        <v>54904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7"/>
      <c r="B123" s="5" t="s">
        <v>290</v>
      </c>
      <c r="C123" s="6">
        <v>16304.0</v>
      </c>
      <c r="D123" s="101">
        <v>13385.0</v>
      </c>
      <c r="E123" s="101">
        <v>8178.0</v>
      </c>
      <c r="F123" s="6">
        <v>7486.0</v>
      </c>
      <c r="G123" s="6">
        <v>7012.0</v>
      </c>
      <c r="H123" s="6">
        <v>5703.0</v>
      </c>
      <c r="I123" s="6">
        <v>14727.0</v>
      </c>
      <c r="J123" s="6">
        <v>9451.0</v>
      </c>
      <c r="K123" s="6">
        <v>12096.0</v>
      </c>
      <c r="L123" s="6">
        <v>12423.0</v>
      </c>
      <c r="M123" s="6">
        <v>11538.0</v>
      </c>
      <c r="N123" s="6">
        <v>7971.0</v>
      </c>
      <c r="O123" s="75">
        <f t="shared" si="29"/>
        <v>126274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1"/>
      <c r="B124" s="5" t="s">
        <v>14</v>
      </c>
      <c r="C124" s="8">
        <f t="shared" ref="C124:N124" si="30">SUM(C119:C123)</f>
        <v>193416</v>
      </c>
      <c r="D124" s="8">
        <f t="shared" si="30"/>
        <v>159927</v>
      </c>
      <c r="E124" s="8">
        <f t="shared" si="30"/>
        <v>128721</v>
      </c>
      <c r="F124" s="8">
        <f t="shared" si="30"/>
        <v>101931</v>
      </c>
      <c r="G124" s="8">
        <f t="shared" si="30"/>
        <v>76297</v>
      </c>
      <c r="H124" s="8">
        <f t="shared" si="30"/>
        <v>67913</v>
      </c>
      <c r="I124" s="8">
        <f t="shared" si="30"/>
        <v>186213</v>
      </c>
      <c r="J124" s="8">
        <f t="shared" si="30"/>
        <v>108577</v>
      </c>
      <c r="K124" s="8">
        <f t="shared" si="30"/>
        <v>124455</v>
      </c>
      <c r="L124" s="8">
        <f t="shared" si="30"/>
        <v>130416</v>
      </c>
      <c r="M124" s="8">
        <f t="shared" si="30"/>
        <v>130683</v>
      </c>
      <c r="N124" s="8">
        <f t="shared" si="30"/>
        <v>114150</v>
      </c>
      <c r="O124" s="8">
        <f t="shared" si="29"/>
        <v>1522699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2" t="s">
        <v>0</v>
      </c>
      <c r="B127" s="2" t="s">
        <v>28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12</v>
      </c>
      <c r="N127" s="2" t="s">
        <v>13</v>
      </c>
      <c r="O127" s="2" t="s">
        <v>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19"/>
      <c r="B128" s="5" t="s">
        <v>30</v>
      </c>
      <c r="C128" s="6">
        <v>50189.0</v>
      </c>
      <c r="D128" s="101">
        <v>48042.0</v>
      </c>
      <c r="E128" s="101">
        <v>48821.0</v>
      </c>
      <c r="F128" s="6">
        <v>37737.0</v>
      </c>
      <c r="G128" s="6">
        <v>25576.0</v>
      </c>
      <c r="H128" s="6">
        <v>20413.0</v>
      </c>
      <c r="I128" s="6">
        <v>27512.0</v>
      </c>
      <c r="J128" s="6">
        <v>33966.0</v>
      </c>
      <c r="K128" s="6">
        <v>28367.0</v>
      </c>
      <c r="L128" s="6">
        <v>39031.0</v>
      </c>
      <c r="M128" s="6">
        <v>51058.0</v>
      </c>
      <c r="N128" s="6">
        <v>47192.0</v>
      </c>
      <c r="O128" s="75">
        <f t="shared" ref="O128:O132" si="31">SUM(C128:N128)</f>
        <v>457904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21"/>
      <c r="B129" s="5" t="s">
        <v>39</v>
      </c>
      <c r="C129" s="6">
        <v>31973.0</v>
      </c>
      <c r="D129" s="101">
        <v>11289.0</v>
      </c>
      <c r="E129" s="101">
        <v>19652.0</v>
      </c>
      <c r="F129" s="6">
        <v>20577.0</v>
      </c>
      <c r="G129" s="6">
        <v>11843.0</v>
      </c>
      <c r="H129" s="6">
        <v>14008.0</v>
      </c>
      <c r="I129" s="6">
        <v>28723.0</v>
      </c>
      <c r="J129" s="6">
        <v>14571.0</v>
      </c>
      <c r="K129" s="6">
        <v>20909.0</v>
      </c>
      <c r="L129" s="6">
        <v>20588.0</v>
      </c>
      <c r="M129" s="6">
        <v>22290.0</v>
      </c>
      <c r="N129" s="6">
        <v>28205.0</v>
      </c>
      <c r="O129" s="75">
        <f t="shared" si="31"/>
        <v>244628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21"/>
      <c r="B130" s="5" t="s">
        <v>288</v>
      </c>
      <c r="C130" s="6">
        <v>77756.0</v>
      </c>
      <c r="D130" s="101">
        <v>61778.0</v>
      </c>
      <c r="E130" s="101">
        <v>54260.0</v>
      </c>
      <c r="F130" s="6">
        <v>56972.0</v>
      </c>
      <c r="G130" s="6">
        <v>46774.0</v>
      </c>
      <c r="H130" s="6">
        <v>52824.0</v>
      </c>
      <c r="I130" s="6">
        <v>120835.0</v>
      </c>
      <c r="J130" s="6">
        <v>64556.0</v>
      </c>
      <c r="K130" s="6">
        <v>66413.0</v>
      </c>
      <c r="L130" s="6">
        <v>62770.0</v>
      </c>
      <c r="M130" s="6">
        <v>50376.0</v>
      </c>
      <c r="N130" s="6">
        <v>41417.0</v>
      </c>
      <c r="O130" s="75">
        <f t="shared" si="31"/>
        <v>756731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21"/>
      <c r="B131" s="5" t="s">
        <v>289</v>
      </c>
      <c r="C131" s="6">
        <v>9133.0</v>
      </c>
      <c r="D131" s="101">
        <v>5826.0</v>
      </c>
      <c r="E131" s="101">
        <v>3083.0</v>
      </c>
      <c r="F131" s="6">
        <v>2082.0</v>
      </c>
      <c r="G131" s="6">
        <v>1271.0</v>
      </c>
      <c r="H131" s="6">
        <v>2266.0</v>
      </c>
      <c r="I131" s="6">
        <v>5524.0</v>
      </c>
      <c r="J131" s="6">
        <v>2767.0</v>
      </c>
      <c r="K131" s="6">
        <v>2869.0</v>
      </c>
      <c r="L131" s="6">
        <v>3475.0</v>
      </c>
      <c r="M131" s="6">
        <v>5121.0</v>
      </c>
      <c r="N131" s="6">
        <v>6005.0</v>
      </c>
      <c r="O131" s="75">
        <f t="shared" si="31"/>
        <v>49422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21"/>
      <c r="B132" s="5" t="s">
        <v>290</v>
      </c>
      <c r="C132" s="6">
        <v>12945.0</v>
      </c>
      <c r="D132" s="101">
        <v>9342.0</v>
      </c>
      <c r="E132" s="101">
        <v>7280.0</v>
      </c>
      <c r="F132" s="6">
        <v>7913.0</v>
      </c>
      <c r="G132" s="6">
        <v>6691.0</v>
      </c>
      <c r="H132" s="6">
        <v>9924.0</v>
      </c>
      <c r="I132" s="6">
        <v>15185.0</v>
      </c>
      <c r="J132" s="6">
        <v>11011.0</v>
      </c>
      <c r="K132" s="6">
        <v>12549.0</v>
      </c>
      <c r="L132" s="6">
        <v>14162.0</v>
      </c>
      <c r="M132" s="6">
        <v>12437.0</v>
      </c>
      <c r="N132" s="6">
        <v>7114.0</v>
      </c>
      <c r="O132" s="75">
        <f t="shared" si="31"/>
        <v>126553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24">
        <v>2019.0</v>
      </c>
      <c r="B133" s="5" t="s">
        <v>14</v>
      </c>
      <c r="C133" s="8">
        <f t="shared" ref="C133:O133" si="32">SUM(C128:C132)</f>
        <v>181996</v>
      </c>
      <c r="D133" s="8">
        <f t="shared" si="32"/>
        <v>136277</v>
      </c>
      <c r="E133" s="8">
        <f t="shared" si="32"/>
        <v>133096</v>
      </c>
      <c r="F133" s="8">
        <f t="shared" si="32"/>
        <v>125281</v>
      </c>
      <c r="G133" s="8">
        <f t="shared" si="32"/>
        <v>92155</v>
      </c>
      <c r="H133" s="8">
        <f t="shared" si="32"/>
        <v>99435</v>
      </c>
      <c r="I133" s="8">
        <f t="shared" si="32"/>
        <v>197779</v>
      </c>
      <c r="J133" s="8">
        <f t="shared" si="32"/>
        <v>126871</v>
      </c>
      <c r="K133" s="8">
        <f t="shared" si="32"/>
        <v>131107</v>
      </c>
      <c r="L133" s="8">
        <f t="shared" si="32"/>
        <v>140026</v>
      </c>
      <c r="M133" s="8">
        <f t="shared" si="32"/>
        <v>141282</v>
      </c>
      <c r="N133" s="8">
        <f t="shared" si="32"/>
        <v>129933</v>
      </c>
      <c r="O133" s="8">
        <f t="shared" si="32"/>
        <v>1635238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2" t="s">
        <v>0</v>
      </c>
      <c r="B136" s="2" t="s">
        <v>28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2" t="s">
        <v>8</v>
      </c>
      <c r="J136" s="2" t="s">
        <v>9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19"/>
      <c r="B137" s="5" t="s">
        <v>30</v>
      </c>
      <c r="C137" s="6">
        <v>50094.0</v>
      </c>
      <c r="D137" s="101">
        <v>53328.0</v>
      </c>
      <c r="E137" s="101"/>
      <c r="F137" s="6"/>
      <c r="G137" s="6"/>
      <c r="H137" s="6"/>
      <c r="I137" s="6"/>
      <c r="J137" s="6"/>
      <c r="K137" s="6"/>
      <c r="L137" s="6"/>
      <c r="M137" s="6"/>
      <c r="N137" s="6"/>
      <c r="O137" s="7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21"/>
      <c r="B138" s="5" t="s">
        <v>39</v>
      </c>
      <c r="C138" s="6">
        <v>36521.0</v>
      </c>
      <c r="D138" s="101">
        <v>20421.0</v>
      </c>
      <c r="E138" s="101"/>
      <c r="F138" s="6"/>
      <c r="G138" s="6"/>
      <c r="H138" s="6"/>
      <c r="I138" s="6"/>
      <c r="J138" s="6"/>
      <c r="K138" s="6"/>
      <c r="L138" s="6"/>
      <c r="M138" s="6"/>
      <c r="N138" s="6"/>
      <c r="O138" s="7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21"/>
      <c r="B139" s="5" t="s">
        <v>288</v>
      </c>
      <c r="C139" s="6">
        <v>86026.0</v>
      </c>
      <c r="D139" s="101">
        <v>78240.0</v>
      </c>
      <c r="E139" s="101"/>
      <c r="F139" s="6"/>
      <c r="G139" s="6"/>
      <c r="H139" s="6"/>
      <c r="I139" s="6"/>
      <c r="J139" s="6"/>
      <c r="K139" s="6"/>
      <c r="L139" s="6"/>
      <c r="M139" s="6"/>
      <c r="N139" s="6"/>
      <c r="O139" s="7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21"/>
      <c r="B140" s="5" t="s">
        <v>289</v>
      </c>
      <c r="C140" s="6">
        <v>10367.0</v>
      </c>
      <c r="D140" s="101">
        <v>16415.0</v>
      </c>
      <c r="E140" s="101"/>
      <c r="F140" s="6"/>
      <c r="G140" s="6"/>
      <c r="H140" s="6"/>
      <c r="I140" s="6"/>
      <c r="J140" s="6"/>
      <c r="K140" s="6"/>
      <c r="L140" s="6"/>
      <c r="M140" s="6"/>
      <c r="N140" s="6"/>
      <c r="O140" s="7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21"/>
      <c r="B141" s="5" t="s">
        <v>290</v>
      </c>
      <c r="C141" s="6">
        <v>14409.0</v>
      </c>
      <c r="D141" s="101">
        <v>4024.0</v>
      </c>
      <c r="E141" s="101"/>
      <c r="F141" s="6"/>
      <c r="G141" s="6"/>
      <c r="H141" s="6"/>
      <c r="I141" s="6"/>
      <c r="J141" s="6"/>
      <c r="K141" s="6"/>
      <c r="L141" s="6"/>
      <c r="M141" s="6"/>
      <c r="N141" s="6"/>
      <c r="O141" s="7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24">
        <v>2020.0</v>
      </c>
      <c r="B142" s="5" t="s">
        <v>14</v>
      </c>
      <c r="C142" s="8">
        <f t="shared" ref="C142:D142" si="33">SUM(C137:C141)</f>
        <v>197417</v>
      </c>
      <c r="D142" s="8">
        <f t="shared" si="33"/>
        <v>172428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A61:A66"/>
    <mergeCell ref="A70:A75"/>
    <mergeCell ref="A79:A84"/>
    <mergeCell ref="A88:A93"/>
    <mergeCell ref="A101:A106"/>
    <mergeCell ref="A110:A115"/>
    <mergeCell ref="A119:A124"/>
    <mergeCell ref="A6:A9"/>
    <mergeCell ref="A13:A16"/>
    <mergeCell ref="A20:A23"/>
    <mergeCell ref="A27:A30"/>
    <mergeCell ref="A34:A37"/>
    <mergeCell ref="A41:A44"/>
    <mergeCell ref="A52:A5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0"/>
    <col customWidth="1" min="3" max="15" width="9.71"/>
    <col customWidth="1" min="16" max="26" width="8.0"/>
  </cols>
  <sheetData>
    <row r="1" ht="12.75" customHeight="1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12.75" customHeight="1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15.75" customHeight="1">
      <c r="A3" s="95"/>
      <c r="B3" s="95"/>
      <c r="C3" s="95"/>
      <c r="D3" s="95"/>
      <c r="E3" s="95"/>
      <c r="F3" s="96"/>
      <c r="G3" s="96"/>
      <c r="H3" s="96"/>
      <c r="I3" s="96"/>
      <c r="J3" s="96"/>
      <c r="K3" s="95"/>
      <c r="L3" s="95"/>
      <c r="M3" s="95"/>
      <c r="N3" s="95"/>
      <c r="O3" s="95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5.75" customHeight="1">
      <c r="A4" s="95"/>
      <c r="B4" s="95"/>
      <c r="C4" s="95"/>
      <c r="D4" s="95"/>
      <c r="E4" s="122" t="s">
        <v>291</v>
      </c>
      <c r="L4" s="95"/>
      <c r="M4" s="95"/>
      <c r="N4" s="95"/>
      <c r="O4" s="95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5.75" customHeight="1">
      <c r="A5" s="95"/>
      <c r="B5" s="95"/>
      <c r="C5" s="95"/>
      <c r="D5" s="95"/>
      <c r="E5" s="122" t="s">
        <v>292</v>
      </c>
      <c r="L5" s="95"/>
      <c r="M5" s="95"/>
      <c r="N5" s="95"/>
      <c r="O5" s="95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5.0" customHeight="1">
      <c r="A6" s="96"/>
      <c r="B6" s="96"/>
      <c r="C6" s="96"/>
      <c r="D6" s="96"/>
      <c r="E6" s="122" t="s">
        <v>293</v>
      </c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2.75" customHeight="1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2.75" customHeight="1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2.75" customHeight="1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2.75" customHeight="1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2.75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2.75" customHeight="1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2.75" customHeight="1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2.75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1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2.75" customHeight="1">
      <c r="A15" s="123" t="s">
        <v>0</v>
      </c>
      <c r="B15" s="124" t="s">
        <v>294</v>
      </c>
      <c r="C15" s="125" t="s">
        <v>2</v>
      </c>
      <c r="D15" s="125" t="s">
        <v>3</v>
      </c>
      <c r="E15" s="125" t="s">
        <v>4</v>
      </c>
      <c r="F15" s="126" t="s">
        <v>5</v>
      </c>
      <c r="G15" s="126" t="s">
        <v>6</v>
      </c>
      <c r="H15" s="126" t="s">
        <v>7</v>
      </c>
      <c r="I15" s="126" t="s">
        <v>8</v>
      </c>
      <c r="J15" s="126" t="s">
        <v>9</v>
      </c>
      <c r="K15" s="125" t="s">
        <v>10</v>
      </c>
      <c r="L15" s="125" t="s">
        <v>11</v>
      </c>
      <c r="M15" s="125" t="s">
        <v>12</v>
      </c>
      <c r="N15" s="125" t="s">
        <v>13</v>
      </c>
      <c r="O15" s="125" t="s">
        <v>14</v>
      </c>
      <c r="P15" s="1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2.75" customHeight="1">
      <c r="A16" s="127"/>
      <c r="B16" s="11"/>
      <c r="C16" s="128" t="s">
        <v>295</v>
      </c>
      <c r="D16" s="128" t="s">
        <v>295</v>
      </c>
      <c r="E16" s="128" t="s">
        <v>295</v>
      </c>
      <c r="F16" s="129" t="s">
        <v>295</v>
      </c>
      <c r="G16" s="129" t="s">
        <v>295</v>
      </c>
      <c r="H16" s="129" t="s">
        <v>295</v>
      </c>
      <c r="I16" s="129" t="s">
        <v>295</v>
      </c>
      <c r="J16" s="129" t="s">
        <v>295</v>
      </c>
      <c r="K16" s="128" t="s">
        <v>295</v>
      </c>
      <c r="L16" s="128" t="s">
        <v>295</v>
      </c>
      <c r="M16" s="128" t="s">
        <v>295</v>
      </c>
      <c r="N16" s="128" t="s">
        <v>295</v>
      </c>
      <c r="O16" s="130" t="s">
        <v>295</v>
      </c>
      <c r="P16" s="1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2.75" customHeight="1">
      <c r="A17" s="131">
        <v>2012.0</v>
      </c>
      <c r="B17" s="132" t="s">
        <v>296</v>
      </c>
      <c r="C17" s="133">
        <f>Aeroporto!C158</f>
        <v>1367</v>
      </c>
      <c r="D17" s="133">
        <f>Aeroporto!D158</f>
        <v>1235</v>
      </c>
      <c r="E17" s="133">
        <f>Aeroporto!E158</f>
        <v>1330</v>
      </c>
      <c r="F17" s="134">
        <f>Aeroporto!F158</f>
        <v>1295</v>
      </c>
      <c r="G17" s="134">
        <f>Aeroporto!G158</f>
        <v>1396</v>
      </c>
      <c r="H17" s="134">
        <f>Aeroporto!H158</f>
        <v>1331</v>
      </c>
      <c r="I17" s="134">
        <f>Aeroporto!I158</f>
        <v>1363</v>
      </c>
      <c r="J17" s="134">
        <f>Aeroporto!J158</f>
        <v>1358</v>
      </c>
      <c r="K17" s="133">
        <f>Aeroporto!K158</f>
        <v>1242</v>
      </c>
      <c r="L17" s="133">
        <f>Aeroporto!L158</f>
        <v>1338</v>
      </c>
      <c r="M17" s="133">
        <f>Aeroporto!M158</f>
        <v>1177</v>
      </c>
      <c r="N17" s="133">
        <f>Aeroporto!N158</f>
        <v>1059</v>
      </c>
      <c r="O17" s="135">
        <f t="shared" ref="O17:O19" si="1">SUM(C17:N17)</f>
        <v>15491</v>
      </c>
      <c r="P17" s="1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2.75" customHeight="1">
      <c r="A18" s="136"/>
      <c r="B18" s="137" t="s">
        <v>297</v>
      </c>
      <c r="C18" s="138">
        <f>'Voo Charter'!C10</f>
        <v>10</v>
      </c>
      <c r="D18" s="138">
        <f>'Voo Charter'!D10</f>
        <v>17</v>
      </c>
      <c r="E18" s="138">
        <f>'Voo Charter'!E10</f>
        <v>6</v>
      </c>
      <c r="F18" s="139">
        <f>'Voo Charter'!F10</f>
        <v>21</v>
      </c>
      <c r="G18" s="139">
        <f>'Voo Charter'!G10</f>
        <v>21</v>
      </c>
      <c r="H18" s="139">
        <f>'Voo Charter'!H10</f>
        <v>19</v>
      </c>
      <c r="I18" s="139">
        <f>'Voo Charter'!I10</f>
        <v>53</v>
      </c>
      <c r="J18" s="139">
        <f>'Voo Charter'!J10</f>
        <v>23</v>
      </c>
      <c r="K18" s="138">
        <f>'Voo Charter'!K10</f>
        <v>39</v>
      </c>
      <c r="L18" s="138">
        <f>'Voo Charter'!L10</f>
        <v>56</v>
      </c>
      <c r="M18" s="138">
        <f>'Voo Charter'!M10</f>
        <v>30</v>
      </c>
      <c r="N18" s="138">
        <f>'Voo Charter'!N10</f>
        <v>17</v>
      </c>
      <c r="O18" s="140">
        <f t="shared" si="1"/>
        <v>312</v>
      </c>
      <c r="P18" s="1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2.75" customHeight="1">
      <c r="A19" s="136"/>
      <c r="B19" s="137" t="s">
        <v>14</v>
      </c>
      <c r="C19" s="141">
        <f t="shared" ref="C19:N19" si="2">SUM(C17:C18)</f>
        <v>1377</v>
      </c>
      <c r="D19" s="141">
        <f t="shared" si="2"/>
        <v>1252</v>
      </c>
      <c r="E19" s="141">
        <f t="shared" si="2"/>
        <v>1336</v>
      </c>
      <c r="F19" s="142">
        <f t="shared" si="2"/>
        <v>1316</v>
      </c>
      <c r="G19" s="142">
        <f t="shared" si="2"/>
        <v>1417</v>
      </c>
      <c r="H19" s="142">
        <f t="shared" si="2"/>
        <v>1350</v>
      </c>
      <c r="I19" s="142">
        <f t="shared" si="2"/>
        <v>1416</v>
      </c>
      <c r="J19" s="142">
        <f t="shared" si="2"/>
        <v>1381</v>
      </c>
      <c r="K19" s="141">
        <f t="shared" si="2"/>
        <v>1281</v>
      </c>
      <c r="L19" s="141">
        <f t="shared" si="2"/>
        <v>1394</v>
      </c>
      <c r="M19" s="141">
        <f t="shared" si="2"/>
        <v>1207</v>
      </c>
      <c r="N19" s="141">
        <f t="shared" si="2"/>
        <v>1076</v>
      </c>
      <c r="O19" s="143">
        <f t="shared" si="1"/>
        <v>15803</v>
      </c>
      <c r="P19" s="1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2.75" customHeight="1">
      <c r="A20" s="136"/>
      <c r="B20" s="144"/>
      <c r="C20" s="20"/>
      <c r="D20" s="21"/>
      <c r="E20" s="21"/>
      <c r="F20" s="29"/>
      <c r="G20" s="29"/>
      <c r="H20" s="29"/>
      <c r="I20" s="29"/>
      <c r="J20" s="29"/>
      <c r="K20" s="21"/>
      <c r="L20" s="21"/>
      <c r="M20" s="21"/>
      <c r="N20" s="21"/>
      <c r="O20" s="21"/>
      <c r="P20" s="1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2.75" customHeight="1">
      <c r="A21" s="136"/>
      <c r="B21" s="145" t="s">
        <v>17</v>
      </c>
      <c r="C21" s="128" t="s">
        <v>298</v>
      </c>
      <c r="D21" s="128" t="s">
        <v>298</v>
      </c>
      <c r="E21" s="128" t="s">
        <v>298</v>
      </c>
      <c r="F21" s="129" t="s">
        <v>298</v>
      </c>
      <c r="G21" s="129" t="s">
        <v>298</v>
      </c>
      <c r="H21" s="129" t="s">
        <v>298</v>
      </c>
      <c r="I21" s="129" t="s">
        <v>298</v>
      </c>
      <c r="J21" s="129" t="s">
        <v>298</v>
      </c>
      <c r="K21" s="128" t="s">
        <v>298</v>
      </c>
      <c r="L21" s="128" t="s">
        <v>298</v>
      </c>
      <c r="M21" s="128" t="s">
        <v>298</v>
      </c>
      <c r="N21" s="128" t="s">
        <v>298</v>
      </c>
      <c r="O21" s="130" t="s">
        <v>298</v>
      </c>
      <c r="P21" s="1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2.75" customHeight="1">
      <c r="A22" s="136"/>
      <c r="B22" s="132" t="s">
        <v>296</v>
      </c>
      <c r="C22" s="146">
        <f>Aeroporto!C163</f>
        <v>148425</v>
      </c>
      <c r="D22" s="146">
        <f>Aeroporto!D163</f>
        <v>127230</v>
      </c>
      <c r="E22" s="146">
        <f>Aeroporto!E163</f>
        <v>143446</v>
      </c>
      <c r="F22" s="147">
        <f>Aeroporto!F163</f>
        <v>141554</v>
      </c>
      <c r="G22" s="147">
        <f>Aeroporto!G163</f>
        <v>142508</v>
      </c>
      <c r="H22" s="147">
        <f>Aeroporto!H163</f>
        <v>136061</v>
      </c>
      <c r="I22" s="147">
        <f>Aeroporto!I163</f>
        <v>150940</v>
      </c>
      <c r="J22" s="147">
        <f>Aeroporto!J163</f>
        <v>146019</v>
      </c>
      <c r="K22" s="146">
        <f>Aeroporto!K163</f>
        <v>144964</v>
      </c>
      <c r="L22" s="146">
        <f>Aeroporto!L163</f>
        <v>151923</v>
      </c>
      <c r="M22" s="146">
        <f>Aeroporto!M163</f>
        <v>143859</v>
      </c>
      <c r="N22" s="146">
        <f>Aeroporto!N163</f>
        <v>133251</v>
      </c>
      <c r="O22" s="148">
        <f t="shared" ref="O22:O24" si="3">SUM(C22:N22)</f>
        <v>1710180</v>
      </c>
      <c r="P22" s="1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2.75" customHeight="1">
      <c r="A23" s="136"/>
      <c r="B23" s="137" t="s">
        <v>297</v>
      </c>
      <c r="C23" s="133">
        <f>'Voo Charter'!C15</f>
        <v>1091</v>
      </c>
      <c r="D23" s="133">
        <f>'Voo Charter'!D15</f>
        <v>1992</v>
      </c>
      <c r="E23" s="133">
        <f>'Voo Charter'!E15</f>
        <v>496</v>
      </c>
      <c r="F23" s="134">
        <f>'Voo Charter'!F15</f>
        <v>1124</v>
      </c>
      <c r="G23" s="134">
        <f>'Voo Charter'!G15</f>
        <v>957</v>
      </c>
      <c r="H23" s="134">
        <f>'Voo Charter'!H15</f>
        <v>859</v>
      </c>
      <c r="I23" s="134">
        <f>'Voo Charter'!I15</f>
        <v>3271</v>
      </c>
      <c r="J23" s="134">
        <f>'Voo Charter'!J15</f>
        <v>842</v>
      </c>
      <c r="K23" s="133">
        <f>'Voo Charter'!K15</f>
        <v>1863</v>
      </c>
      <c r="L23" s="133">
        <f>'Voo Charter'!L15</f>
        <v>1995</v>
      </c>
      <c r="M23" s="133">
        <f>'Voo Charter'!M15</f>
        <v>2112</v>
      </c>
      <c r="N23" s="133">
        <f>'Voo Charter'!N15</f>
        <v>1076</v>
      </c>
      <c r="O23" s="135">
        <f t="shared" si="3"/>
        <v>17678</v>
      </c>
      <c r="P23" s="1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2.75" customHeight="1">
      <c r="A24" s="127"/>
      <c r="B24" s="132" t="s">
        <v>14</v>
      </c>
      <c r="C24" s="149">
        <f t="shared" ref="C24:N24" si="4">SUM(C22:C23)</f>
        <v>149516</v>
      </c>
      <c r="D24" s="149">
        <f t="shared" si="4"/>
        <v>129222</v>
      </c>
      <c r="E24" s="149">
        <f t="shared" si="4"/>
        <v>143942</v>
      </c>
      <c r="F24" s="150">
        <f t="shared" si="4"/>
        <v>142678</v>
      </c>
      <c r="G24" s="150">
        <f t="shared" si="4"/>
        <v>143465</v>
      </c>
      <c r="H24" s="150">
        <f t="shared" si="4"/>
        <v>136920</v>
      </c>
      <c r="I24" s="150">
        <f t="shared" si="4"/>
        <v>154211</v>
      </c>
      <c r="J24" s="150">
        <f t="shared" si="4"/>
        <v>146861</v>
      </c>
      <c r="K24" s="149">
        <f t="shared" si="4"/>
        <v>146827</v>
      </c>
      <c r="L24" s="149">
        <f t="shared" si="4"/>
        <v>153918</v>
      </c>
      <c r="M24" s="149">
        <f t="shared" si="4"/>
        <v>145971</v>
      </c>
      <c r="N24" s="149">
        <f t="shared" si="4"/>
        <v>134327</v>
      </c>
      <c r="O24" s="151">
        <f t="shared" si="3"/>
        <v>1727858</v>
      </c>
      <c r="P24" s="1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2.75" customHeight="1">
      <c r="A25" s="83"/>
      <c r="B25" s="83"/>
      <c r="C25" s="1"/>
      <c r="D25" s="1"/>
      <c r="E25" s="1"/>
      <c r="F25" s="152"/>
      <c r="G25" s="152"/>
      <c r="H25" s="152"/>
      <c r="I25" s="152"/>
      <c r="J25" s="152"/>
      <c r="K25" s="1"/>
      <c r="L25" s="1"/>
      <c r="M25" s="1"/>
      <c r="N25" s="1"/>
      <c r="O25" s="1"/>
      <c r="P25" s="1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2.75" customHeight="1">
      <c r="A26" s="83"/>
      <c r="B26" s="83"/>
      <c r="C26" s="1"/>
      <c r="D26" s="1"/>
      <c r="E26" s="1"/>
      <c r="F26" s="152"/>
      <c r="G26" s="152"/>
      <c r="H26" s="152"/>
      <c r="I26" s="152"/>
      <c r="J26" s="152"/>
      <c r="K26" s="1"/>
      <c r="L26" s="1"/>
      <c r="M26" s="1"/>
      <c r="N26" s="1"/>
      <c r="O26" s="1"/>
      <c r="P26" s="1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2.75" customHeight="1">
      <c r="A27" s="123" t="s">
        <v>0</v>
      </c>
      <c r="B27" s="124" t="s">
        <v>294</v>
      </c>
      <c r="C27" s="125" t="s">
        <v>2</v>
      </c>
      <c r="D27" s="125" t="s">
        <v>3</v>
      </c>
      <c r="E27" s="125" t="s">
        <v>4</v>
      </c>
      <c r="F27" s="126" t="s">
        <v>5</v>
      </c>
      <c r="G27" s="126" t="s">
        <v>6</v>
      </c>
      <c r="H27" s="126" t="s">
        <v>7</v>
      </c>
      <c r="I27" s="126" t="s">
        <v>8</v>
      </c>
      <c r="J27" s="126" t="s">
        <v>9</v>
      </c>
      <c r="K27" s="125" t="s">
        <v>10</v>
      </c>
      <c r="L27" s="125" t="s">
        <v>11</v>
      </c>
      <c r="M27" s="125" t="s">
        <v>12</v>
      </c>
      <c r="N27" s="125" t="s">
        <v>13</v>
      </c>
      <c r="O27" s="125" t="s">
        <v>14</v>
      </c>
      <c r="P27" s="1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2.75" customHeight="1">
      <c r="A28" s="127"/>
      <c r="B28" s="11"/>
      <c r="C28" s="128" t="s">
        <v>295</v>
      </c>
      <c r="D28" s="128" t="s">
        <v>295</v>
      </c>
      <c r="E28" s="128" t="s">
        <v>295</v>
      </c>
      <c r="F28" s="128" t="s">
        <v>295</v>
      </c>
      <c r="G28" s="128" t="s">
        <v>295</v>
      </c>
      <c r="H28" s="128" t="s">
        <v>295</v>
      </c>
      <c r="I28" s="128" t="s">
        <v>295</v>
      </c>
      <c r="J28" s="128" t="s">
        <v>295</v>
      </c>
      <c r="K28" s="128" t="s">
        <v>295</v>
      </c>
      <c r="L28" s="128" t="s">
        <v>295</v>
      </c>
      <c r="M28" s="128" t="s">
        <v>295</v>
      </c>
      <c r="N28" s="128" t="s">
        <v>295</v>
      </c>
      <c r="O28" s="130" t="s">
        <v>295</v>
      </c>
      <c r="P28" s="1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2.75" customHeight="1">
      <c r="A29" s="131">
        <v>2013.0</v>
      </c>
      <c r="B29" s="132" t="s">
        <v>296</v>
      </c>
      <c r="C29" s="133">
        <f>Aeroporto!C169</f>
        <v>1193</v>
      </c>
      <c r="D29" s="133">
        <f>Aeroporto!D169</f>
        <v>979</v>
      </c>
      <c r="E29" s="133">
        <f>Aeroporto!E169</f>
        <v>1222</v>
      </c>
      <c r="F29" s="133">
        <f>Aeroporto!F169</f>
        <v>1193</v>
      </c>
      <c r="G29" s="133">
        <f>Aeroporto!G169</f>
        <v>1228</v>
      </c>
      <c r="H29" s="133">
        <f>Aeroporto!H169</f>
        <v>1164</v>
      </c>
      <c r="I29" s="133">
        <f>Aeroporto!I169</f>
        <v>1316</v>
      </c>
      <c r="J29" s="133">
        <f>Aeroporto!J169</f>
        <v>1260</v>
      </c>
      <c r="K29" s="133">
        <f>Aeroporto!K169</f>
        <v>1193</v>
      </c>
      <c r="L29" s="133">
        <f>Aeroporto!L169</f>
        <v>1142</v>
      </c>
      <c r="M29" s="133">
        <f>Aeroporto!M169</f>
        <v>1087</v>
      </c>
      <c r="N29" s="133">
        <f>Aeroporto!N169</f>
        <v>1129</v>
      </c>
      <c r="O29" s="135">
        <f t="shared" ref="O29:O31" si="5">SUM(C29:N29)</f>
        <v>14106</v>
      </c>
      <c r="P29" s="1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2.75" customHeight="1">
      <c r="A30" s="136"/>
      <c r="B30" s="137" t="s">
        <v>297</v>
      </c>
      <c r="C30" s="138">
        <f>'Voo Charter'!C22</f>
        <v>11</v>
      </c>
      <c r="D30" s="138">
        <f>'Voo Charter'!D22</f>
        <v>10</v>
      </c>
      <c r="E30" s="138">
        <f>'Voo Charter'!E22</f>
        <v>18</v>
      </c>
      <c r="F30" s="138">
        <f>'Voo Charter'!F22</f>
        <v>48</v>
      </c>
      <c r="G30" s="138">
        <f>'Voo Charter'!G22</f>
        <v>34</v>
      </c>
      <c r="H30" s="138">
        <f>'Voo Charter'!H22</f>
        <v>36</v>
      </c>
      <c r="I30" s="138">
        <f>'Voo Charter'!I22</f>
        <v>41</v>
      </c>
      <c r="J30" s="138">
        <f>'Voo Charter'!J22</f>
        <v>13</v>
      </c>
      <c r="K30" s="138">
        <f>'Voo Charter'!K22</f>
        <v>3</v>
      </c>
      <c r="L30" s="138">
        <f>'Voo Charter'!L22</f>
        <v>7</v>
      </c>
      <c r="M30" s="138">
        <f>'Voo Charter'!M22</f>
        <v>8</v>
      </c>
      <c r="N30" s="138">
        <f>'Voo Charter'!N22</f>
        <v>2</v>
      </c>
      <c r="O30" s="140">
        <f t="shared" si="5"/>
        <v>231</v>
      </c>
      <c r="P30" s="1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3.5" customHeight="1">
      <c r="A31" s="136"/>
      <c r="B31" s="137" t="s">
        <v>14</v>
      </c>
      <c r="C31" s="141">
        <f t="shared" ref="C31:N31" si="6">SUM(C29:C30)</f>
        <v>1204</v>
      </c>
      <c r="D31" s="141">
        <f t="shared" si="6"/>
        <v>989</v>
      </c>
      <c r="E31" s="141">
        <f t="shared" si="6"/>
        <v>1240</v>
      </c>
      <c r="F31" s="142">
        <f t="shared" si="6"/>
        <v>1241</v>
      </c>
      <c r="G31" s="142">
        <f t="shared" si="6"/>
        <v>1262</v>
      </c>
      <c r="H31" s="142">
        <f t="shared" si="6"/>
        <v>1200</v>
      </c>
      <c r="I31" s="142">
        <f t="shared" si="6"/>
        <v>1357</v>
      </c>
      <c r="J31" s="142">
        <f t="shared" si="6"/>
        <v>1273</v>
      </c>
      <c r="K31" s="141">
        <f t="shared" si="6"/>
        <v>1196</v>
      </c>
      <c r="L31" s="141">
        <f t="shared" si="6"/>
        <v>1149</v>
      </c>
      <c r="M31" s="141">
        <f t="shared" si="6"/>
        <v>1095</v>
      </c>
      <c r="N31" s="141">
        <f t="shared" si="6"/>
        <v>1131</v>
      </c>
      <c r="O31" s="143">
        <f t="shared" si="5"/>
        <v>14337</v>
      </c>
      <c r="P31" s="1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2.75" customHeight="1">
      <c r="A32" s="136"/>
      <c r="B32" s="144"/>
      <c r="C32" s="20"/>
      <c r="D32" s="21"/>
      <c r="E32" s="21"/>
      <c r="F32" s="29"/>
      <c r="G32" s="29"/>
      <c r="H32" s="29"/>
      <c r="I32" s="29"/>
      <c r="J32" s="29"/>
      <c r="K32" s="21"/>
      <c r="L32" s="21"/>
      <c r="M32" s="21"/>
      <c r="N32" s="21"/>
      <c r="O32" s="21"/>
      <c r="P32" s="1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2.75" customHeight="1">
      <c r="A33" s="136"/>
      <c r="B33" s="145" t="s">
        <v>17</v>
      </c>
      <c r="C33" s="128" t="s">
        <v>298</v>
      </c>
      <c r="D33" s="128" t="s">
        <v>298</v>
      </c>
      <c r="E33" s="128" t="s">
        <v>298</v>
      </c>
      <c r="F33" s="128" t="s">
        <v>298</v>
      </c>
      <c r="G33" s="128" t="s">
        <v>298</v>
      </c>
      <c r="H33" s="128" t="s">
        <v>298</v>
      </c>
      <c r="I33" s="128" t="s">
        <v>298</v>
      </c>
      <c r="J33" s="128" t="s">
        <v>298</v>
      </c>
      <c r="K33" s="128" t="s">
        <v>298</v>
      </c>
      <c r="L33" s="128" t="s">
        <v>298</v>
      </c>
      <c r="M33" s="128" t="s">
        <v>298</v>
      </c>
      <c r="N33" s="128" t="s">
        <v>298</v>
      </c>
      <c r="O33" s="130" t="s">
        <v>298</v>
      </c>
      <c r="P33" s="1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2.75" customHeight="1">
      <c r="A34" s="136"/>
      <c r="B34" s="132" t="s">
        <v>296</v>
      </c>
      <c r="C34" s="146">
        <f>Aeroporto!C174</f>
        <v>142821</v>
      </c>
      <c r="D34" s="146">
        <f>Aeroporto!D174</f>
        <v>118307</v>
      </c>
      <c r="E34" s="146">
        <f>Aeroporto!E174</f>
        <v>143283</v>
      </c>
      <c r="F34" s="146">
        <f>Aeroporto!F174</f>
        <v>134575</v>
      </c>
      <c r="G34" s="146">
        <f>Aeroporto!G174</f>
        <v>139445</v>
      </c>
      <c r="H34" s="146">
        <f>Aeroporto!H174</f>
        <v>126543</v>
      </c>
      <c r="I34" s="146">
        <f>Aeroporto!I174</f>
        <v>140217</v>
      </c>
      <c r="J34" s="146">
        <f>Aeroporto!J174</f>
        <v>138123</v>
      </c>
      <c r="K34" s="146">
        <f>Aeroporto!K174</f>
        <v>134706</v>
      </c>
      <c r="L34" s="146">
        <f>Aeroporto!L174</f>
        <v>142755</v>
      </c>
      <c r="M34" s="146">
        <f>Aeroporto!M174</f>
        <v>142892</v>
      </c>
      <c r="N34" s="146">
        <f>Aeroporto!N174</f>
        <v>143716</v>
      </c>
      <c r="O34" s="148">
        <f t="shared" ref="O34:O36" si="7">SUM(C34:N34)</f>
        <v>1647383</v>
      </c>
      <c r="P34" s="1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2.75" customHeight="1">
      <c r="A35" s="136"/>
      <c r="B35" s="137" t="s">
        <v>297</v>
      </c>
      <c r="C35" s="133">
        <f>'Voo Charter'!C27</f>
        <v>1425</v>
      </c>
      <c r="D35" s="133">
        <f>'Voo Charter'!D27</f>
        <v>1159</v>
      </c>
      <c r="E35" s="133">
        <f>'Voo Charter'!E27</f>
        <v>1226</v>
      </c>
      <c r="F35" s="133">
        <f>'Voo Charter'!F27</f>
        <v>3963</v>
      </c>
      <c r="G35" s="133">
        <f>'Voo Charter'!G27</f>
        <v>1879</v>
      </c>
      <c r="H35" s="133">
        <f>'Voo Charter'!H27</f>
        <v>2625</v>
      </c>
      <c r="I35" s="133">
        <f>'Voo Charter'!I27</f>
        <v>3661</v>
      </c>
      <c r="J35" s="133">
        <f>'Voo Charter'!J27</f>
        <v>780</v>
      </c>
      <c r="K35" s="133">
        <f>'Voo Charter'!K27</f>
        <v>233</v>
      </c>
      <c r="L35" s="133">
        <f>'Voo Charter'!L27</f>
        <v>599</v>
      </c>
      <c r="M35" s="133">
        <f>'Voo Charter'!M27</f>
        <v>537</v>
      </c>
      <c r="N35" s="133">
        <f>'Voo Charter'!N27</f>
        <v>289</v>
      </c>
      <c r="O35" s="135">
        <f t="shared" si="7"/>
        <v>18376</v>
      </c>
      <c r="P35" s="1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2.75" customHeight="1">
      <c r="A36" s="127"/>
      <c r="B36" s="132" t="s">
        <v>14</v>
      </c>
      <c r="C36" s="149">
        <f t="shared" ref="C36:N36" si="8">SUM(C34:C35)</f>
        <v>144246</v>
      </c>
      <c r="D36" s="149">
        <f t="shared" si="8"/>
        <v>119466</v>
      </c>
      <c r="E36" s="149">
        <f t="shared" si="8"/>
        <v>144509</v>
      </c>
      <c r="F36" s="150">
        <f t="shared" si="8"/>
        <v>138538</v>
      </c>
      <c r="G36" s="150">
        <f t="shared" si="8"/>
        <v>141324</v>
      </c>
      <c r="H36" s="150">
        <f t="shared" si="8"/>
        <v>129168</v>
      </c>
      <c r="I36" s="150">
        <f t="shared" si="8"/>
        <v>143878</v>
      </c>
      <c r="J36" s="150">
        <f t="shared" si="8"/>
        <v>138903</v>
      </c>
      <c r="K36" s="149">
        <f t="shared" si="8"/>
        <v>134939</v>
      </c>
      <c r="L36" s="149">
        <f t="shared" si="8"/>
        <v>143354</v>
      </c>
      <c r="M36" s="149">
        <f t="shared" si="8"/>
        <v>143429</v>
      </c>
      <c r="N36" s="149">
        <f t="shared" si="8"/>
        <v>144005</v>
      </c>
      <c r="O36" s="151">
        <f t="shared" si="7"/>
        <v>1665759</v>
      </c>
      <c r="P36" s="1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2.75" customHeight="1">
      <c r="A37" s="1"/>
      <c r="B37" s="1"/>
      <c r="C37" s="1"/>
      <c r="D37" s="1"/>
      <c r="E37" s="1"/>
      <c r="F37" s="152"/>
      <c r="G37" s="152"/>
      <c r="H37" s="152"/>
      <c r="I37" s="152"/>
      <c r="J37" s="152"/>
      <c r="K37" s="1"/>
      <c r="L37" s="1"/>
      <c r="M37" s="1"/>
      <c r="N37" s="1"/>
      <c r="O37" s="1"/>
      <c r="P37" s="1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2.75" customHeight="1">
      <c r="A38" s="96"/>
      <c r="B38" s="96"/>
      <c r="C38" s="96"/>
      <c r="D38" s="96"/>
      <c r="E38" s="96"/>
      <c r="F38" s="152"/>
      <c r="G38" s="152"/>
      <c r="H38" s="152"/>
      <c r="I38" s="152"/>
      <c r="J38" s="152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2.7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2.75" customHeight="1">
      <c r="A40" s="123" t="s">
        <v>0</v>
      </c>
      <c r="B40" s="124" t="s">
        <v>294</v>
      </c>
      <c r="C40" s="125" t="s">
        <v>2</v>
      </c>
      <c r="D40" s="125" t="s">
        <v>3</v>
      </c>
      <c r="E40" s="125" t="s">
        <v>4</v>
      </c>
      <c r="F40" s="126" t="s">
        <v>5</v>
      </c>
      <c r="G40" s="126" t="s">
        <v>6</v>
      </c>
      <c r="H40" s="126" t="s">
        <v>7</v>
      </c>
      <c r="I40" s="126" t="s">
        <v>8</v>
      </c>
      <c r="J40" s="126" t="s">
        <v>9</v>
      </c>
      <c r="K40" s="125" t="s">
        <v>10</v>
      </c>
      <c r="L40" s="125" t="s">
        <v>11</v>
      </c>
      <c r="M40" s="125" t="s">
        <v>12</v>
      </c>
      <c r="N40" s="125" t="s">
        <v>13</v>
      </c>
      <c r="O40" s="125" t="s">
        <v>14</v>
      </c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2.75" customHeight="1">
      <c r="A41" s="127"/>
      <c r="B41" s="11"/>
      <c r="C41" s="128" t="s">
        <v>295</v>
      </c>
      <c r="D41" s="128" t="s">
        <v>295</v>
      </c>
      <c r="E41" s="128" t="s">
        <v>295</v>
      </c>
      <c r="F41" s="128" t="s">
        <v>295</v>
      </c>
      <c r="G41" s="128" t="s">
        <v>295</v>
      </c>
      <c r="H41" s="128" t="s">
        <v>295</v>
      </c>
      <c r="I41" s="128" t="s">
        <v>295</v>
      </c>
      <c r="J41" s="128" t="s">
        <v>295</v>
      </c>
      <c r="K41" s="128" t="s">
        <v>295</v>
      </c>
      <c r="L41" s="128" t="s">
        <v>295</v>
      </c>
      <c r="M41" s="128" t="s">
        <v>295</v>
      </c>
      <c r="N41" s="128" t="s">
        <v>295</v>
      </c>
      <c r="O41" s="130" t="s">
        <v>295</v>
      </c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2.75" customHeight="1">
      <c r="A42" s="131">
        <v>2014.0</v>
      </c>
      <c r="B42" s="132" t="s">
        <v>296</v>
      </c>
      <c r="C42" s="133">
        <f>Aeroporto!C180</f>
        <v>1179</v>
      </c>
      <c r="D42" s="133">
        <f>Aeroporto!D180</f>
        <v>1080</v>
      </c>
      <c r="E42" s="133">
        <f>Aeroporto!E180</f>
        <v>1172</v>
      </c>
      <c r="F42" s="133">
        <f>Aeroporto!F180</f>
        <v>1119</v>
      </c>
      <c r="G42" s="133">
        <f>Aeroporto!G180</f>
        <v>1206</v>
      </c>
      <c r="H42" s="133">
        <f>Aeroporto!H180</f>
        <v>1145</v>
      </c>
      <c r="I42" s="133">
        <f>Aeroporto!I180</f>
        <v>1287</v>
      </c>
      <c r="J42" s="133">
        <f>Aeroporto!J180</f>
        <v>1296</v>
      </c>
      <c r="K42" s="133">
        <f>Aeroporto!K180</f>
        <v>1153</v>
      </c>
      <c r="L42" s="133">
        <f>Aeroporto!L180</f>
        <v>1297</v>
      </c>
      <c r="M42" s="133">
        <f>Aeroporto!M180</f>
        <v>1248</v>
      </c>
      <c r="N42" s="133">
        <f>Aeroporto!N180</f>
        <v>1337</v>
      </c>
      <c r="O42" s="135">
        <f t="shared" ref="O42:O44" si="9">SUM(C42:N42)</f>
        <v>14519</v>
      </c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2.75" customHeight="1">
      <c r="A43" s="136"/>
      <c r="B43" s="137" t="s">
        <v>297</v>
      </c>
      <c r="C43" s="138">
        <f>'Voo Charter'!C34</f>
        <v>16</v>
      </c>
      <c r="D43" s="138">
        <f>'Voo Charter'!D34</f>
        <v>15</v>
      </c>
      <c r="E43" s="138">
        <f>'Voo Charter'!E34</f>
        <v>18</v>
      </c>
      <c r="F43" s="138">
        <f>'Voo Charter'!F34</f>
        <v>121</v>
      </c>
      <c r="G43" s="138">
        <f>'Voo Charter'!G34</f>
        <v>61</v>
      </c>
      <c r="H43" s="138">
        <f>'Voo Charter'!H34</f>
        <v>34</v>
      </c>
      <c r="I43" s="138">
        <f>'Voo Charter'!I34</f>
        <v>18</v>
      </c>
      <c r="J43" s="138">
        <f>'Voo Charter'!J34</f>
        <v>18</v>
      </c>
      <c r="K43" s="138">
        <f>'Voo Charter'!K34</f>
        <v>15</v>
      </c>
      <c r="L43" s="138">
        <f>'Voo Charter'!L34</f>
        <v>12</v>
      </c>
      <c r="M43" s="138">
        <f>'Voo Charter'!M34</f>
        <v>24</v>
      </c>
      <c r="N43" s="138">
        <f>'Voo Charter'!N34</f>
        <v>24</v>
      </c>
      <c r="O43" s="140">
        <f t="shared" si="9"/>
        <v>376</v>
      </c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2.75" customHeight="1">
      <c r="A44" s="136"/>
      <c r="B44" s="137" t="s">
        <v>14</v>
      </c>
      <c r="C44" s="141">
        <f t="shared" ref="C44:N44" si="10">SUM(C42:C43)</f>
        <v>1195</v>
      </c>
      <c r="D44" s="141">
        <f t="shared" si="10"/>
        <v>1095</v>
      </c>
      <c r="E44" s="141">
        <f t="shared" si="10"/>
        <v>1190</v>
      </c>
      <c r="F44" s="142">
        <f t="shared" si="10"/>
        <v>1240</v>
      </c>
      <c r="G44" s="142">
        <f t="shared" si="10"/>
        <v>1267</v>
      </c>
      <c r="H44" s="142">
        <f t="shared" si="10"/>
        <v>1179</v>
      </c>
      <c r="I44" s="142">
        <f t="shared" si="10"/>
        <v>1305</v>
      </c>
      <c r="J44" s="142">
        <f t="shared" si="10"/>
        <v>1314</v>
      </c>
      <c r="K44" s="141">
        <f t="shared" si="10"/>
        <v>1168</v>
      </c>
      <c r="L44" s="141">
        <f t="shared" si="10"/>
        <v>1309</v>
      </c>
      <c r="M44" s="141">
        <f t="shared" si="10"/>
        <v>1272</v>
      </c>
      <c r="N44" s="141">
        <f t="shared" si="10"/>
        <v>1361</v>
      </c>
      <c r="O44" s="143">
        <f t="shared" si="9"/>
        <v>14895</v>
      </c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2.75" customHeight="1">
      <c r="A45" s="136"/>
      <c r="B45" s="144"/>
      <c r="C45" s="20"/>
      <c r="D45" s="21"/>
      <c r="E45" s="21"/>
      <c r="F45" s="29"/>
      <c r="G45" s="29"/>
      <c r="H45" s="29"/>
      <c r="I45" s="29"/>
      <c r="J45" s="29"/>
      <c r="K45" s="21"/>
      <c r="L45" s="21"/>
      <c r="M45" s="21"/>
      <c r="N45" s="21"/>
      <c r="O45" s="21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2.75" customHeight="1">
      <c r="A46" s="136"/>
      <c r="B46" s="145" t="s">
        <v>17</v>
      </c>
      <c r="C46" s="128" t="s">
        <v>298</v>
      </c>
      <c r="D46" s="128" t="s">
        <v>298</v>
      </c>
      <c r="E46" s="128" t="s">
        <v>298</v>
      </c>
      <c r="F46" s="128" t="s">
        <v>298</v>
      </c>
      <c r="G46" s="128" t="s">
        <v>298</v>
      </c>
      <c r="H46" s="128" t="s">
        <v>298</v>
      </c>
      <c r="I46" s="128" t="s">
        <v>298</v>
      </c>
      <c r="J46" s="128" t="s">
        <v>298</v>
      </c>
      <c r="K46" s="128" t="s">
        <v>298</v>
      </c>
      <c r="L46" s="128" t="s">
        <v>298</v>
      </c>
      <c r="M46" s="128" t="s">
        <v>298</v>
      </c>
      <c r="N46" s="128" t="s">
        <v>298</v>
      </c>
      <c r="O46" s="130" t="s">
        <v>298</v>
      </c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2.75" customHeight="1">
      <c r="A47" s="136"/>
      <c r="B47" s="132" t="s">
        <v>296</v>
      </c>
      <c r="C47" s="146">
        <f>Aeroporto!C185</f>
        <v>155848</v>
      </c>
      <c r="D47" s="146">
        <f>Aeroporto!D185</f>
        <v>134192</v>
      </c>
      <c r="E47" s="146">
        <f>Aeroporto!E185</f>
        <v>151048</v>
      </c>
      <c r="F47" s="146">
        <f>Aeroporto!F185</f>
        <v>144645</v>
      </c>
      <c r="G47" s="146">
        <f>Aeroporto!G185</f>
        <v>145604</v>
      </c>
      <c r="H47" s="146">
        <f>Aeroporto!H185</f>
        <v>144295</v>
      </c>
      <c r="I47" s="146">
        <f>Aeroporto!I185</f>
        <v>169003</v>
      </c>
      <c r="J47" s="146">
        <f>Aeroporto!J185</f>
        <v>158541</v>
      </c>
      <c r="K47" s="146">
        <f>Aeroporto!K185</f>
        <v>145598</v>
      </c>
      <c r="L47" s="146">
        <f>Aeroporto!L185</f>
        <v>167045</v>
      </c>
      <c r="M47" s="146">
        <f>Aeroporto!M185</f>
        <v>161892</v>
      </c>
      <c r="N47" s="146">
        <f>Aeroporto!N185</f>
        <v>166034</v>
      </c>
      <c r="O47" s="148">
        <f t="shared" ref="O47:O49" si="11">SUM(C47:N47)</f>
        <v>1843745</v>
      </c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2.75" customHeight="1">
      <c r="A48" s="136"/>
      <c r="B48" s="137" t="s">
        <v>297</v>
      </c>
      <c r="C48" s="133">
        <f>'Voo Charter'!C39</f>
        <v>1390</v>
      </c>
      <c r="D48" s="133">
        <f>'Voo Charter'!D39</f>
        <v>1954</v>
      </c>
      <c r="E48" s="133">
        <f>'Voo Charter'!E39</f>
        <v>2032</v>
      </c>
      <c r="F48" s="133">
        <f>'Voo Charter'!F39</f>
        <v>2635</v>
      </c>
      <c r="G48" s="133">
        <f>'Voo Charter'!G39</f>
        <v>6945</v>
      </c>
      <c r="H48" s="133">
        <f>'Voo Charter'!H39</f>
        <v>3168</v>
      </c>
      <c r="I48" s="133">
        <f>'Voo Charter'!I39</f>
        <v>1128</v>
      </c>
      <c r="J48" s="133">
        <f>'Voo Charter'!J39</f>
        <v>1704</v>
      </c>
      <c r="K48" s="133">
        <f>'Voo Charter'!K39</f>
        <v>1284</v>
      </c>
      <c r="L48" s="133">
        <f>'Voo Charter'!L39</f>
        <v>895</v>
      </c>
      <c r="M48" s="133">
        <f>'Voo Charter'!M39</f>
        <v>2190</v>
      </c>
      <c r="N48" s="133">
        <f>'Voo Charter'!N39</f>
        <v>2793</v>
      </c>
      <c r="O48" s="135">
        <f t="shared" si="11"/>
        <v>28118</v>
      </c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2.75" customHeight="1">
      <c r="A49" s="127"/>
      <c r="B49" s="132" t="s">
        <v>14</v>
      </c>
      <c r="C49" s="149">
        <f t="shared" ref="C49:N49" si="12">SUM(C47:C48)</f>
        <v>157238</v>
      </c>
      <c r="D49" s="149">
        <f t="shared" si="12"/>
        <v>136146</v>
      </c>
      <c r="E49" s="149">
        <f t="shared" si="12"/>
        <v>153080</v>
      </c>
      <c r="F49" s="150">
        <f t="shared" si="12"/>
        <v>147280</v>
      </c>
      <c r="G49" s="150">
        <f t="shared" si="12"/>
        <v>152549</v>
      </c>
      <c r="H49" s="150">
        <f t="shared" si="12"/>
        <v>147463</v>
      </c>
      <c r="I49" s="150">
        <f t="shared" si="12"/>
        <v>170131</v>
      </c>
      <c r="J49" s="150">
        <f t="shared" si="12"/>
        <v>160245</v>
      </c>
      <c r="K49" s="149">
        <f t="shared" si="12"/>
        <v>146882</v>
      </c>
      <c r="L49" s="149">
        <f t="shared" si="12"/>
        <v>167940</v>
      </c>
      <c r="M49" s="149">
        <f t="shared" si="12"/>
        <v>164082</v>
      </c>
      <c r="N49" s="149">
        <f t="shared" si="12"/>
        <v>168827</v>
      </c>
      <c r="O49" s="151">
        <f t="shared" si="11"/>
        <v>1871863</v>
      </c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2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2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2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2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2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2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2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2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2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2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2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2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2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2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2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2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2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2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2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2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2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2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2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2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2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2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2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2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2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2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2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2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2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2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2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2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2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2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2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2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2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2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2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2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2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2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2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2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2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2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2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2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2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2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2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2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2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2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2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2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2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2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2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2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2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2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2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2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2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2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2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2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2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2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2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2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2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2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2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2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2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2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2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2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2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2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2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2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2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2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2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2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2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2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2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2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2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2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2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2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2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2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2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2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2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2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2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2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2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2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2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2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2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2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2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2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2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2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2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2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2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2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2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2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2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2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2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2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2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2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2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2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2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2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2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2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2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2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2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2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2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2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2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2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2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2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2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2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2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2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2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2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2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2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2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2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2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2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2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2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2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2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2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2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2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2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2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2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2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2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2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2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2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2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2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2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2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2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2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2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2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2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2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2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2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2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2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2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2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2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2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2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2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2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2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2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2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2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2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2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2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2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2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2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2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2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2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2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2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2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2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2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2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2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2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2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2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2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2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2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2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2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2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2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2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2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2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2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2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2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2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2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2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2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2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2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2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2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2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2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2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2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2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2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2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2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2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2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2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2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2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2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2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2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2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2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2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2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2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2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2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2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2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2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2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2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2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2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2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2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2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2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2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2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2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2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2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2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2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2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2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2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2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2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2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2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2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2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2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2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2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2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2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2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2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2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2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2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2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2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2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2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2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2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2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2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2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2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2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2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2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2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2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2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2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2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2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2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2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2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2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2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2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2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2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2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2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2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2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2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2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2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2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2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2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2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2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2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2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2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2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2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2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2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2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2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2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2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2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2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2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2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2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2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2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2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2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2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2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2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2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2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2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2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2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2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2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2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2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2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2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2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2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2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2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2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2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2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2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2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2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2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2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2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2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2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2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2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2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2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2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2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2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2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2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2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2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2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2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2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2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2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2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2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2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2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2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2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2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2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2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2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2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2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2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2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2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2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2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2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2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2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2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2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2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2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2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2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2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2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2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2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2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2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2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2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2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2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2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2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2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2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2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2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2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2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2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2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2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2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2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2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2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2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2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2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2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2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2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2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2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2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2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2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2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2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2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2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2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2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2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2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2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2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2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2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2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2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2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2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2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2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2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2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2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2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2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2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2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2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2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2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2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2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2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2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2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2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2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2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2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2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2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2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2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2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2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2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2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2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2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2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2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2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2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2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2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2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2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2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2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2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2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2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2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2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2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2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2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2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2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2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2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2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2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2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2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2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2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2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2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2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2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2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2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2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2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2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2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2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2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2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2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2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2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2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2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2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2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2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2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2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2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2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2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2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2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2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2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2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2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2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2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2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2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2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2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2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2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2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2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2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2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2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2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2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2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2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2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2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2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2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2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2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2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2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2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2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2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2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2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2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2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2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2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2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2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2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2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2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2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2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2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2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2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2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2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2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2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2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2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2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2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2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2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2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2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2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2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2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2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2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2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2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2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2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2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2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2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2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2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2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2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2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2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2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2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2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2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2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2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2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2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2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2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2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2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2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2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2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2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2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2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2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2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2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2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2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2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2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2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2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2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2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2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2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2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2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2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2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2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2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2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2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2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2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2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2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2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2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2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2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2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2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2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2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2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2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2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2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2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2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2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2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2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2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2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2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2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2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2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2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2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2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2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2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2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2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2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2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2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2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2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2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2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2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2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2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2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2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2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2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2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2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2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2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2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2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2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2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2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2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2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2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2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2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2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2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2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2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2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2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2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2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2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2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2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2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2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2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2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2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2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2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2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2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2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2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2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2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2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2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2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2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2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2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2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2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2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2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2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2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2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2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2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2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2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2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2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2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2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2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2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2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2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2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2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2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2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2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2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2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2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2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2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2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2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2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2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2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2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2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2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2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2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2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2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2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2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2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2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2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2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2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2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2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2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2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2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2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2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2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2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2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2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2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2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2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2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2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2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2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2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2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2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2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2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2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2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2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2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2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2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2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2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2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2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2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2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2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2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2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2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2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2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2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2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2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2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2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2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2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2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2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2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2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2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2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2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2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2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2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2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2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2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2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2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2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2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2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2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2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2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2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2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2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2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2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2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2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2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2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2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2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2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2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2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2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2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2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2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2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2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2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2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2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2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2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2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2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2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2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2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2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2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2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2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2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2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2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2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2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2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2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2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2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2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2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2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2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2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2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2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2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2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2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2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2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2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2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2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mergeCells count="12">
    <mergeCell ref="A27:A28"/>
    <mergeCell ref="A29:A36"/>
    <mergeCell ref="A40:A41"/>
    <mergeCell ref="B40:B41"/>
    <mergeCell ref="A42:A49"/>
    <mergeCell ref="E4:K4"/>
    <mergeCell ref="E5:K5"/>
    <mergeCell ref="E6:K6"/>
    <mergeCell ref="A15:A16"/>
    <mergeCell ref="B15:B16"/>
    <mergeCell ref="A17:A24"/>
    <mergeCell ref="B27:B28"/>
  </mergeCells>
  <printOptions/>
  <pageMargins bottom="0.75" footer="0.0" header="0.0" left="0.7" right="0.7" top="0.75"/>
  <pageSetup orientation="landscape"/>
  <headerFooter>
    <oddFooter>&amp;RSMTU - Divisão de Estudos e Pesquisas Turísticas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29"/>
    <col customWidth="1" min="3" max="14" width="8.71"/>
    <col customWidth="1" min="15" max="26" width="8.0"/>
  </cols>
  <sheetData>
    <row r="1" ht="12.75" customHeight="1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12.75" customHeight="1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12.75" customHeight="1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2.75" customHeight="1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2.75" customHeigh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2.75" customHeight="1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2.75" customHeight="1">
      <c r="A7" s="2" t="s">
        <v>0</v>
      </c>
      <c r="B7" s="3" t="s">
        <v>299</v>
      </c>
      <c r="C7" s="2" t="s">
        <v>2</v>
      </c>
      <c r="D7" s="2" t="s">
        <v>3</v>
      </c>
      <c r="E7" s="2" t="s">
        <v>4</v>
      </c>
      <c r="F7" s="26" t="s">
        <v>5</v>
      </c>
      <c r="G7" s="26" t="s">
        <v>6</v>
      </c>
      <c r="H7" s="26" t="s">
        <v>7</v>
      </c>
      <c r="I7" s="26" t="s">
        <v>8</v>
      </c>
      <c r="J7" s="26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2.75" customHeight="1">
      <c r="A8" s="4">
        <v>2012.0</v>
      </c>
      <c r="B8" s="5" t="s">
        <v>15</v>
      </c>
      <c r="C8" s="6">
        <v>6.0</v>
      </c>
      <c r="D8" s="6">
        <f>5+4</f>
        <v>9</v>
      </c>
      <c r="E8" s="6">
        <f>3+1</f>
        <v>4</v>
      </c>
      <c r="F8" s="27">
        <f>5+7</f>
        <v>12</v>
      </c>
      <c r="G8" s="27">
        <f>3+8</f>
        <v>11</v>
      </c>
      <c r="H8" s="27">
        <v>9.0</v>
      </c>
      <c r="I8" s="27">
        <f>18+9</f>
        <v>27</v>
      </c>
      <c r="J8" s="27">
        <f>3+9</f>
        <v>12</v>
      </c>
      <c r="K8" s="6">
        <f>9+11</f>
        <v>20</v>
      </c>
      <c r="L8" s="6">
        <f>18+9</f>
        <v>27</v>
      </c>
      <c r="M8" s="6">
        <f>6+8</f>
        <v>14</v>
      </c>
      <c r="N8" s="6">
        <f>2+4</f>
        <v>6</v>
      </c>
      <c r="O8" s="6">
        <f t="shared" ref="O8:O10" si="1">SUM(C8:N8)</f>
        <v>157</v>
      </c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2.75" customHeight="1">
      <c r="A9" s="7"/>
      <c r="B9" s="5" t="s">
        <v>16</v>
      </c>
      <c r="C9" s="6">
        <v>4.0</v>
      </c>
      <c r="D9" s="6">
        <f>4+4</f>
        <v>8</v>
      </c>
      <c r="E9" s="6">
        <v>2.0</v>
      </c>
      <c r="F9" s="27">
        <f>2+7</f>
        <v>9</v>
      </c>
      <c r="G9" s="27">
        <v>10.0</v>
      </c>
      <c r="H9" s="27">
        <v>10.0</v>
      </c>
      <c r="I9" s="27">
        <f>17+9</f>
        <v>26</v>
      </c>
      <c r="J9" s="27">
        <f>2+9</f>
        <v>11</v>
      </c>
      <c r="K9" s="6">
        <f>9+10</f>
        <v>19</v>
      </c>
      <c r="L9" s="6">
        <f>20+9</f>
        <v>29</v>
      </c>
      <c r="M9" s="6">
        <f>8+8</f>
        <v>16</v>
      </c>
      <c r="N9" s="6">
        <f>9+2</f>
        <v>11</v>
      </c>
      <c r="O9" s="6">
        <f t="shared" si="1"/>
        <v>155</v>
      </c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2.75" customHeight="1">
      <c r="A10" s="7"/>
      <c r="B10" s="17" t="s">
        <v>14</v>
      </c>
      <c r="C10" s="18">
        <f t="shared" ref="C10:N10" si="2">SUM(C8:C9)</f>
        <v>10</v>
      </c>
      <c r="D10" s="18">
        <f t="shared" si="2"/>
        <v>17</v>
      </c>
      <c r="E10" s="18">
        <f t="shared" si="2"/>
        <v>6</v>
      </c>
      <c r="F10" s="28">
        <f t="shared" si="2"/>
        <v>21</v>
      </c>
      <c r="G10" s="28">
        <f t="shared" si="2"/>
        <v>21</v>
      </c>
      <c r="H10" s="28">
        <f t="shared" si="2"/>
        <v>19</v>
      </c>
      <c r="I10" s="28">
        <f t="shared" si="2"/>
        <v>53</v>
      </c>
      <c r="J10" s="28">
        <f t="shared" si="2"/>
        <v>23</v>
      </c>
      <c r="K10" s="18">
        <f t="shared" si="2"/>
        <v>39</v>
      </c>
      <c r="L10" s="18">
        <f t="shared" si="2"/>
        <v>56</v>
      </c>
      <c r="M10" s="18">
        <f t="shared" si="2"/>
        <v>30</v>
      </c>
      <c r="N10" s="18">
        <f t="shared" si="2"/>
        <v>17</v>
      </c>
      <c r="O10" s="18">
        <f t="shared" si="1"/>
        <v>312</v>
      </c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2.75" customHeight="1">
      <c r="A11" s="7"/>
      <c r="B11" s="19"/>
      <c r="C11" s="20"/>
      <c r="D11" s="21"/>
      <c r="E11" s="21"/>
      <c r="F11" s="29"/>
      <c r="G11" s="29"/>
      <c r="H11" s="29"/>
      <c r="I11" s="29"/>
      <c r="J11" s="29"/>
      <c r="K11" s="21"/>
      <c r="L11" s="21"/>
      <c r="M11" s="21"/>
      <c r="N11" s="21"/>
      <c r="O11" s="22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2.75" customHeight="1">
      <c r="A12" s="7"/>
      <c r="B12" s="23" t="s">
        <v>17</v>
      </c>
      <c r="C12" s="24" t="s">
        <v>2</v>
      </c>
      <c r="D12" s="24" t="s">
        <v>3</v>
      </c>
      <c r="E12" s="24" t="s">
        <v>4</v>
      </c>
      <c r="F12" s="30" t="s">
        <v>5</v>
      </c>
      <c r="G12" s="30" t="s">
        <v>6</v>
      </c>
      <c r="H12" s="30" t="s">
        <v>7</v>
      </c>
      <c r="I12" s="30" t="s">
        <v>8</v>
      </c>
      <c r="J12" s="30" t="s">
        <v>9</v>
      </c>
      <c r="K12" s="24" t="s">
        <v>10</v>
      </c>
      <c r="L12" s="24" t="s">
        <v>11</v>
      </c>
      <c r="M12" s="24" t="s">
        <v>12</v>
      </c>
      <c r="N12" s="24" t="s">
        <v>13</v>
      </c>
      <c r="O12" s="24" t="s">
        <v>14</v>
      </c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2.75" customHeight="1">
      <c r="A13" s="7"/>
      <c r="B13" s="5" t="s">
        <v>18</v>
      </c>
      <c r="C13" s="6">
        <f>106+305</f>
        <v>411</v>
      </c>
      <c r="D13" s="6">
        <f>392+581</f>
        <v>973</v>
      </c>
      <c r="E13" s="6">
        <f>116+85</f>
        <v>201</v>
      </c>
      <c r="F13" s="27">
        <f>118+224</f>
        <v>342</v>
      </c>
      <c r="G13" s="27">
        <f>180+220</f>
        <v>400</v>
      </c>
      <c r="H13" s="27">
        <f>16+423</f>
        <v>439</v>
      </c>
      <c r="I13" s="153">
        <f>1307+380</f>
        <v>1687</v>
      </c>
      <c r="J13" s="27">
        <f>287</f>
        <v>287</v>
      </c>
      <c r="K13" s="6">
        <f>594+506</f>
        <v>1100</v>
      </c>
      <c r="L13" s="6">
        <f>696+338</f>
        <v>1034</v>
      </c>
      <c r="M13" s="6">
        <f>678+579</f>
        <v>1257</v>
      </c>
      <c r="N13" s="6">
        <f>421+160</f>
        <v>581</v>
      </c>
      <c r="O13" s="6">
        <f t="shared" ref="O13:O15" si="3">SUM(C13:N13)</f>
        <v>8712</v>
      </c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2.75" customHeight="1">
      <c r="A14" s="7"/>
      <c r="B14" s="5" t="s">
        <v>19</v>
      </c>
      <c r="C14" s="6">
        <f>246+434</f>
        <v>680</v>
      </c>
      <c r="D14" s="6">
        <f>587+432</f>
        <v>1019</v>
      </c>
      <c r="E14" s="6">
        <f>210+85</f>
        <v>295</v>
      </c>
      <c r="F14" s="27">
        <f>520+262</f>
        <v>782</v>
      </c>
      <c r="G14" s="27">
        <f>315+242</f>
        <v>557</v>
      </c>
      <c r="H14" s="27">
        <v>420.0</v>
      </c>
      <c r="I14" s="27">
        <f>1246+338</f>
        <v>1584</v>
      </c>
      <c r="J14" s="27">
        <f>221+334</f>
        <v>555</v>
      </c>
      <c r="K14" s="6">
        <f>235+528</f>
        <v>763</v>
      </c>
      <c r="L14" s="6">
        <f>597+364</f>
        <v>961</v>
      </c>
      <c r="M14" s="6">
        <f>298+557</f>
        <v>855</v>
      </c>
      <c r="N14" s="6">
        <f>140+355</f>
        <v>495</v>
      </c>
      <c r="O14" s="6">
        <f t="shared" si="3"/>
        <v>8966</v>
      </c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2.75" customHeight="1">
      <c r="A15" s="11"/>
      <c r="B15" s="5" t="s">
        <v>14</v>
      </c>
      <c r="C15" s="8">
        <f t="shared" ref="C15:N15" si="4">SUM(C13:C14)</f>
        <v>1091</v>
      </c>
      <c r="D15" s="8">
        <f t="shared" si="4"/>
        <v>1992</v>
      </c>
      <c r="E15" s="8">
        <f t="shared" si="4"/>
        <v>496</v>
      </c>
      <c r="F15" s="31">
        <f t="shared" si="4"/>
        <v>1124</v>
      </c>
      <c r="G15" s="31">
        <f t="shared" si="4"/>
        <v>957</v>
      </c>
      <c r="H15" s="31">
        <f t="shared" si="4"/>
        <v>859</v>
      </c>
      <c r="I15" s="31">
        <f t="shared" si="4"/>
        <v>3271</v>
      </c>
      <c r="J15" s="31">
        <f t="shared" si="4"/>
        <v>842</v>
      </c>
      <c r="K15" s="8">
        <f t="shared" si="4"/>
        <v>1863</v>
      </c>
      <c r="L15" s="8">
        <f t="shared" si="4"/>
        <v>1995</v>
      </c>
      <c r="M15" s="8">
        <f t="shared" si="4"/>
        <v>2112</v>
      </c>
      <c r="N15" s="8">
        <f t="shared" si="4"/>
        <v>1076</v>
      </c>
      <c r="O15" s="8">
        <f t="shared" si="3"/>
        <v>17678</v>
      </c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2.75" customHeight="1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2.75" customHeight="1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2.75" customHeight="1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2.75" customHeight="1">
      <c r="A19" s="2" t="s">
        <v>0</v>
      </c>
      <c r="B19" s="3" t="s">
        <v>299</v>
      </c>
      <c r="C19" s="2" t="s">
        <v>2</v>
      </c>
      <c r="D19" s="2" t="s">
        <v>3</v>
      </c>
      <c r="E19" s="2" t="s">
        <v>4</v>
      </c>
      <c r="F19" s="26" t="s">
        <v>5</v>
      </c>
      <c r="G19" s="26" t="s">
        <v>6</v>
      </c>
      <c r="H19" s="26" t="s">
        <v>7</v>
      </c>
      <c r="I19" s="26" t="s">
        <v>8</v>
      </c>
      <c r="J19" s="26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2.75" customHeight="1">
      <c r="A20" s="4">
        <v>2013.0</v>
      </c>
      <c r="B20" s="5" t="s">
        <v>15</v>
      </c>
      <c r="C20" s="6">
        <v>6.0</v>
      </c>
      <c r="D20" s="6">
        <f>2+4</f>
        <v>6</v>
      </c>
      <c r="E20" s="6">
        <f t="shared" ref="E20:E21" si="5">3+6</f>
        <v>9</v>
      </c>
      <c r="F20" s="27">
        <f>14+9</f>
        <v>23</v>
      </c>
      <c r="G20" s="27">
        <f t="shared" ref="G20:G21" si="6">9+8</f>
        <v>17</v>
      </c>
      <c r="H20" s="27">
        <f>8+9</f>
        <v>17</v>
      </c>
      <c r="I20" s="27">
        <f>15+7</f>
        <v>22</v>
      </c>
      <c r="J20" s="27">
        <f>3+4</f>
        <v>7</v>
      </c>
      <c r="K20" s="6">
        <v>1.0</v>
      </c>
      <c r="L20" s="6">
        <f>2+1</f>
        <v>3</v>
      </c>
      <c r="M20" s="6">
        <f t="shared" ref="M20:M21" si="7">2+2</f>
        <v>4</v>
      </c>
      <c r="N20" s="6">
        <v>1.0</v>
      </c>
      <c r="O20" s="6">
        <f t="shared" ref="O20:O22" si="8">SUM(C20:N20)</f>
        <v>116</v>
      </c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2.75" customHeight="1">
      <c r="A21" s="7"/>
      <c r="B21" s="5" t="s">
        <v>16</v>
      </c>
      <c r="C21" s="6">
        <f>4+1</f>
        <v>5</v>
      </c>
      <c r="D21" s="6">
        <v>4.0</v>
      </c>
      <c r="E21" s="6">
        <f t="shared" si="5"/>
        <v>9</v>
      </c>
      <c r="F21" s="27">
        <f>16+9</f>
        <v>25</v>
      </c>
      <c r="G21" s="27">
        <f t="shared" si="6"/>
        <v>17</v>
      </c>
      <c r="H21" s="27">
        <f>8+11</f>
        <v>19</v>
      </c>
      <c r="I21" s="27">
        <f>12+7</f>
        <v>19</v>
      </c>
      <c r="J21" s="27">
        <f>3+3</f>
        <v>6</v>
      </c>
      <c r="K21" s="6">
        <f>2</f>
        <v>2</v>
      </c>
      <c r="L21" s="6">
        <f>3+1</f>
        <v>4</v>
      </c>
      <c r="M21" s="6">
        <f t="shared" si="7"/>
        <v>4</v>
      </c>
      <c r="N21" s="6">
        <v>1.0</v>
      </c>
      <c r="O21" s="6">
        <f t="shared" si="8"/>
        <v>115</v>
      </c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2.75" customHeight="1">
      <c r="A22" s="7"/>
      <c r="B22" s="17" t="s">
        <v>14</v>
      </c>
      <c r="C22" s="18">
        <f t="shared" ref="C22:N22" si="9">SUM(C20:C21)</f>
        <v>11</v>
      </c>
      <c r="D22" s="18">
        <f t="shared" si="9"/>
        <v>10</v>
      </c>
      <c r="E22" s="18">
        <f t="shared" si="9"/>
        <v>18</v>
      </c>
      <c r="F22" s="28">
        <f t="shared" si="9"/>
        <v>48</v>
      </c>
      <c r="G22" s="28">
        <f t="shared" si="9"/>
        <v>34</v>
      </c>
      <c r="H22" s="28">
        <f t="shared" si="9"/>
        <v>36</v>
      </c>
      <c r="I22" s="28">
        <f t="shared" si="9"/>
        <v>41</v>
      </c>
      <c r="J22" s="28">
        <f t="shared" si="9"/>
        <v>13</v>
      </c>
      <c r="K22" s="18">
        <f t="shared" si="9"/>
        <v>3</v>
      </c>
      <c r="L22" s="18">
        <f t="shared" si="9"/>
        <v>7</v>
      </c>
      <c r="M22" s="18">
        <f t="shared" si="9"/>
        <v>8</v>
      </c>
      <c r="N22" s="18">
        <f t="shared" si="9"/>
        <v>2</v>
      </c>
      <c r="O22" s="18">
        <f t="shared" si="8"/>
        <v>231</v>
      </c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2.75" customHeight="1">
      <c r="A23" s="7"/>
      <c r="B23" s="19"/>
      <c r="C23" s="20"/>
      <c r="D23" s="21"/>
      <c r="E23" s="21"/>
      <c r="F23" s="29"/>
      <c r="G23" s="29"/>
      <c r="H23" s="29"/>
      <c r="I23" s="29"/>
      <c r="J23" s="29"/>
      <c r="K23" s="21"/>
      <c r="L23" s="21"/>
      <c r="M23" s="21"/>
      <c r="N23" s="21"/>
      <c r="O23" s="22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2.75" customHeight="1">
      <c r="A24" s="7"/>
      <c r="B24" s="23" t="s">
        <v>17</v>
      </c>
      <c r="C24" s="24" t="s">
        <v>2</v>
      </c>
      <c r="D24" s="24" t="s">
        <v>3</v>
      </c>
      <c r="E24" s="24" t="s">
        <v>4</v>
      </c>
      <c r="F24" s="30" t="s">
        <v>5</v>
      </c>
      <c r="G24" s="30" t="s">
        <v>6</v>
      </c>
      <c r="H24" s="30" t="s">
        <v>7</v>
      </c>
      <c r="I24" s="30" t="s">
        <v>8</v>
      </c>
      <c r="J24" s="30" t="s">
        <v>9</v>
      </c>
      <c r="K24" s="24" t="s">
        <v>10</v>
      </c>
      <c r="L24" s="24" t="s">
        <v>11</v>
      </c>
      <c r="M24" s="24" t="s">
        <v>12</v>
      </c>
      <c r="N24" s="24" t="s">
        <v>13</v>
      </c>
      <c r="O24" s="24" t="s">
        <v>14</v>
      </c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2.75" customHeight="1">
      <c r="A25" s="7"/>
      <c r="B25" s="5" t="s">
        <v>18</v>
      </c>
      <c r="C25" s="6">
        <f>657+141</f>
        <v>798</v>
      </c>
      <c r="D25" s="6">
        <f>0+432</f>
        <v>432</v>
      </c>
      <c r="E25" s="6">
        <f>317+355</f>
        <v>672</v>
      </c>
      <c r="F25" s="27">
        <f>1681+250</f>
        <v>1931</v>
      </c>
      <c r="G25" s="27">
        <f>728+102</f>
        <v>830</v>
      </c>
      <c r="H25" s="27">
        <f>1450+187</f>
        <v>1637</v>
      </c>
      <c r="I25" s="153">
        <f>1478+290</f>
        <v>1768</v>
      </c>
      <c r="J25" s="27">
        <f>155+149</f>
        <v>304</v>
      </c>
      <c r="K25" s="6">
        <f>164+69</f>
        <v>233</v>
      </c>
      <c r="L25" s="6">
        <f>258+58</f>
        <v>316</v>
      </c>
      <c r="M25" s="6">
        <f>160+139</f>
        <v>299</v>
      </c>
      <c r="N25" s="6">
        <v>159.0</v>
      </c>
      <c r="O25" s="6">
        <f t="shared" ref="O25:O27" si="10">SUM(C25:N25)</f>
        <v>9379</v>
      </c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2.75" customHeight="1">
      <c r="A26" s="7"/>
      <c r="B26" s="5" t="s">
        <v>19</v>
      </c>
      <c r="C26" s="6">
        <f>480+147</f>
        <v>627</v>
      </c>
      <c r="D26" s="6">
        <f>294+433</f>
        <v>727</v>
      </c>
      <c r="E26" s="6">
        <f>308+246</f>
        <v>554</v>
      </c>
      <c r="F26" s="27">
        <f>1580+452</f>
        <v>2032</v>
      </c>
      <c r="G26" s="27">
        <f>927+122</f>
        <v>1049</v>
      </c>
      <c r="H26" s="27">
        <f>785+203</f>
        <v>988</v>
      </c>
      <c r="I26" s="27">
        <f>1643+250</f>
        <v>1893</v>
      </c>
      <c r="J26" s="27">
        <f>440+36</f>
        <v>476</v>
      </c>
      <c r="K26" s="6">
        <f>0+0</f>
        <v>0</v>
      </c>
      <c r="L26" s="6">
        <f>283</f>
        <v>283</v>
      </c>
      <c r="M26" s="6">
        <f>183+55</f>
        <v>238</v>
      </c>
      <c r="N26" s="6">
        <v>130.0</v>
      </c>
      <c r="O26" s="6">
        <f t="shared" si="10"/>
        <v>8997</v>
      </c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2.75" customHeight="1">
      <c r="A27" s="11"/>
      <c r="B27" s="5" t="s">
        <v>14</v>
      </c>
      <c r="C27" s="8">
        <f t="shared" ref="C27:N27" si="11">SUM(C25:C26)</f>
        <v>1425</v>
      </c>
      <c r="D27" s="8">
        <f t="shared" si="11"/>
        <v>1159</v>
      </c>
      <c r="E27" s="8">
        <f t="shared" si="11"/>
        <v>1226</v>
      </c>
      <c r="F27" s="31">
        <f t="shared" si="11"/>
        <v>3963</v>
      </c>
      <c r="G27" s="31">
        <f t="shared" si="11"/>
        <v>1879</v>
      </c>
      <c r="H27" s="31">
        <f t="shared" si="11"/>
        <v>2625</v>
      </c>
      <c r="I27" s="31">
        <f t="shared" si="11"/>
        <v>3661</v>
      </c>
      <c r="J27" s="31">
        <f t="shared" si="11"/>
        <v>780</v>
      </c>
      <c r="K27" s="8">
        <f t="shared" si="11"/>
        <v>233</v>
      </c>
      <c r="L27" s="8">
        <f t="shared" si="11"/>
        <v>599</v>
      </c>
      <c r="M27" s="8">
        <f t="shared" si="11"/>
        <v>537</v>
      </c>
      <c r="N27" s="8">
        <f t="shared" si="11"/>
        <v>289</v>
      </c>
      <c r="O27" s="8">
        <f t="shared" si="10"/>
        <v>18376</v>
      </c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2.7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2.7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2.7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2.75" customHeight="1">
      <c r="A31" s="2" t="s">
        <v>0</v>
      </c>
      <c r="B31" s="3" t="s">
        <v>299</v>
      </c>
      <c r="C31" s="2" t="s">
        <v>2</v>
      </c>
      <c r="D31" s="2" t="s">
        <v>3</v>
      </c>
      <c r="E31" s="2" t="s">
        <v>4</v>
      </c>
      <c r="F31" s="26" t="s">
        <v>5</v>
      </c>
      <c r="G31" s="26" t="s">
        <v>6</v>
      </c>
      <c r="H31" s="26" t="s">
        <v>7</v>
      </c>
      <c r="I31" s="26" t="s">
        <v>8</v>
      </c>
      <c r="J31" s="26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2.75" customHeight="1">
      <c r="A32" s="4">
        <v>2014.0</v>
      </c>
      <c r="B32" s="5" t="s">
        <v>15</v>
      </c>
      <c r="C32" s="6">
        <f t="shared" ref="C32:C33" si="12">4+4</f>
        <v>8</v>
      </c>
      <c r="D32" s="6">
        <f>1+5</f>
        <v>6</v>
      </c>
      <c r="E32" s="6">
        <f>7+1</f>
        <v>8</v>
      </c>
      <c r="F32" s="27">
        <f>106</f>
        <v>106</v>
      </c>
      <c r="G32" s="27">
        <f>23</f>
        <v>23</v>
      </c>
      <c r="H32" s="27">
        <f>13</f>
        <v>13</v>
      </c>
      <c r="I32" s="27">
        <f t="shared" ref="I32:I33" si="13">9</f>
        <v>9</v>
      </c>
      <c r="J32" s="27">
        <v>9.0</v>
      </c>
      <c r="K32" s="6">
        <v>8.0</v>
      </c>
      <c r="L32" s="6">
        <v>6.0</v>
      </c>
      <c r="M32" s="6">
        <v>10.0</v>
      </c>
      <c r="N32" s="6">
        <v>12.0</v>
      </c>
      <c r="O32" s="6">
        <f t="shared" ref="O32:O34" si="14">SUM(C32:N32)</f>
        <v>218</v>
      </c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2.75" customHeight="1">
      <c r="A33" s="7"/>
      <c r="B33" s="5" t="s">
        <v>16</v>
      </c>
      <c r="C33" s="6">
        <f t="shared" si="12"/>
        <v>8</v>
      </c>
      <c r="D33" s="6">
        <f>5+4</f>
        <v>9</v>
      </c>
      <c r="E33" s="6">
        <f>9+1</f>
        <v>10</v>
      </c>
      <c r="F33" s="27">
        <f>9+6</f>
        <v>15</v>
      </c>
      <c r="G33" s="27">
        <f>38</f>
        <v>38</v>
      </c>
      <c r="H33" s="27">
        <f>21</f>
        <v>21</v>
      </c>
      <c r="I33" s="27">
        <f t="shared" si="13"/>
        <v>9</v>
      </c>
      <c r="J33" s="27">
        <v>9.0</v>
      </c>
      <c r="K33" s="6">
        <v>7.0</v>
      </c>
      <c r="L33" s="6">
        <v>6.0</v>
      </c>
      <c r="M33" s="6">
        <v>14.0</v>
      </c>
      <c r="N33" s="6">
        <v>12.0</v>
      </c>
      <c r="O33" s="6">
        <f t="shared" si="14"/>
        <v>158</v>
      </c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2.75" customHeight="1">
      <c r="A34" s="7"/>
      <c r="B34" s="17" t="s">
        <v>14</v>
      </c>
      <c r="C34" s="18">
        <f t="shared" ref="C34:N34" si="15">SUM(C32:C33)</f>
        <v>16</v>
      </c>
      <c r="D34" s="18">
        <f t="shared" si="15"/>
        <v>15</v>
      </c>
      <c r="E34" s="18">
        <f t="shared" si="15"/>
        <v>18</v>
      </c>
      <c r="F34" s="28">
        <f t="shared" si="15"/>
        <v>121</v>
      </c>
      <c r="G34" s="28">
        <f t="shared" si="15"/>
        <v>61</v>
      </c>
      <c r="H34" s="28">
        <f t="shared" si="15"/>
        <v>34</v>
      </c>
      <c r="I34" s="28">
        <f t="shared" si="15"/>
        <v>18</v>
      </c>
      <c r="J34" s="28">
        <f t="shared" si="15"/>
        <v>18</v>
      </c>
      <c r="K34" s="18">
        <f t="shared" si="15"/>
        <v>15</v>
      </c>
      <c r="L34" s="18">
        <f t="shared" si="15"/>
        <v>12</v>
      </c>
      <c r="M34" s="18">
        <f t="shared" si="15"/>
        <v>24</v>
      </c>
      <c r="N34" s="18">
        <f t="shared" si="15"/>
        <v>24</v>
      </c>
      <c r="O34" s="18">
        <f t="shared" si="14"/>
        <v>376</v>
      </c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2.75" customHeight="1">
      <c r="A35" s="7"/>
      <c r="B35" s="19"/>
      <c r="C35" s="20"/>
      <c r="D35" s="21"/>
      <c r="E35" s="21"/>
      <c r="F35" s="29"/>
      <c r="G35" s="29"/>
      <c r="H35" s="29"/>
      <c r="I35" s="29"/>
      <c r="J35" s="29"/>
      <c r="K35" s="21"/>
      <c r="L35" s="21"/>
      <c r="M35" s="21"/>
      <c r="N35" s="21"/>
      <c r="O35" s="22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2.75" customHeight="1">
      <c r="A36" s="7"/>
      <c r="B36" s="23" t="s">
        <v>17</v>
      </c>
      <c r="C36" s="24" t="s">
        <v>2</v>
      </c>
      <c r="D36" s="24" t="s">
        <v>3</v>
      </c>
      <c r="E36" s="24" t="s">
        <v>4</v>
      </c>
      <c r="F36" s="30" t="s">
        <v>5</v>
      </c>
      <c r="G36" s="30" t="s">
        <v>6</v>
      </c>
      <c r="H36" s="30" t="s">
        <v>7</v>
      </c>
      <c r="I36" s="30" t="s">
        <v>8</v>
      </c>
      <c r="J36" s="30" t="s">
        <v>9</v>
      </c>
      <c r="K36" s="24" t="s">
        <v>10</v>
      </c>
      <c r="L36" s="24" t="s">
        <v>11</v>
      </c>
      <c r="M36" s="24" t="s">
        <v>12</v>
      </c>
      <c r="N36" s="24" t="s">
        <v>13</v>
      </c>
      <c r="O36" s="24" t="s">
        <v>14</v>
      </c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2.75" customHeight="1">
      <c r="A37" s="7"/>
      <c r="B37" s="5" t="s">
        <v>18</v>
      </c>
      <c r="C37" s="6">
        <f>514+225</f>
        <v>739</v>
      </c>
      <c r="D37" s="6">
        <f>661+497</f>
        <v>1158</v>
      </c>
      <c r="E37" s="6">
        <f>941+148</f>
        <v>1089</v>
      </c>
      <c r="F37" s="27">
        <f>1136+333</f>
        <v>1469</v>
      </c>
      <c r="G37" s="27">
        <v>4216.0</v>
      </c>
      <c r="H37" s="27">
        <f>1936</f>
        <v>1936</v>
      </c>
      <c r="I37" s="153">
        <v>472.0</v>
      </c>
      <c r="J37" s="27">
        <v>1022.0</v>
      </c>
      <c r="K37" s="6">
        <v>593.0</v>
      </c>
      <c r="L37" s="6">
        <v>351.0</v>
      </c>
      <c r="M37" s="6">
        <v>1548.0</v>
      </c>
      <c r="N37" s="6">
        <v>1425.0</v>
      </c>
      <c r="O37" s="6">
        <f t="shared" ref="O37:O39" si="16">SUM(C37:N37)</f>
        <v>16018</v>
      </c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2.75" customHeight="1">
      <c r="A38" s="7"/>
      <c r="B38" s="5" t="s">
        <v>19</v>
      </c>
      <c r="C38" s="6">
        <f>413+238</f>
        <v>651</v>
      </c>
      <c r="D38" s="6">
        <f>179+617</f>
        <v>796</v>
      </c>
      <c r="E38" s="6">
        <f>943+0</f>
        <v>943</v>
      </c>
      <c r="F38" s="27">
        <f>1012+154</f>
        <v>1166</v>
      </c>
      <c r="G38" s="27">
        <v>2729.0</v>
      </c>
      <c r="H38" s="27">
        <f>1232</f>
        <v>1232</v>
      </c>
      <c r="I38" s="27">
        <f>656</f>
        <v>656</v>
      </c>
      <c r="J38" s="27">
        <v>682.0</v>
      </c>
      <c r="K38" s="6">
        <v>691.0</v>
      </c>
      <c r="L38" s="6">
        <v>544.0</v>
      </c>
      <c r="M38" s="6">
        <v>642.0</v>
      </c>
      <c r="N38" s="6">
        <v>1368.0</v>
      </c>
      <c r="O38" s="6">
        <f t="shared" si="16"/>
        <v>12100</v>
      </c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2.75" customHeight="1">
      <c r="A39" s="11"/>
      <c r="B39" s="5" t="s">
        <v>14</v>
      </c>
      <c r="C39" s="8">
        <f t="shared" ref="C39:N39" si="17">SUM(C37:C38)</f>
        <v>1390</v>
      </c>
      <c r="D39" s="8">
        <f t="shared" si="17"/>
        <v>1954</v>
      </c>
      <c r="E39" s="8">
        <f t="shared" si="17"/>
        <v>2032</v>
      </c>
      <c r="F39" s="31">
        <f t="shared" si="17"/>
        <v>2635</v>
      </c>
      <c r="G39" s="31">
        <f t="shared" si="17"/>
        <v>6945</v>
      </c>
      <c r="H39" s="31">
        <f t="shared" si="17"/>
        <v>3168</v>
      </c>
      <c r="I39" s="31">
        <f t="shared" si="17"/>
        <v>1128</v>
      </c>
      <c r="J39" s="31">
        <f t="shared" si="17"/>
        <v>1704</v>
      </c>
      <c r="K39" s="8">
        <f t="shared" si="17"/>
        <v>1284</v>
      </c>
      <c r="L39" s="8">
        <f t="shared" si="17"/>
        <v>895</v>
      </c>
      <c r="M39" s="8">
        <f t="shared" si="17"/>
        <v>2190</v>
      </c>
      <c r="N39" s="8">
        <f t="shared" si="17"/>
        <v>2793</v>
      </c>
      <c r="O39" s="8">
        <f t="shared" si="16"/>
        <v>28118</v>
      </c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2.7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2.7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2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2.75" customHeight="1">
      <c r="A43" s="2" t="s">
        <v>0</v>
      </c>
      <c r="B43" s="3" t="s">
        <v>299</v>
      </c>
      <c r="C43" s="2" t="s">
        <v>2</v>
      </c>
      <c r="D43" s="2" t="s">
        <v>3</v>
      </c>
      <c r="E43" s="2" t="s">
        <v>4</v>
      </c>
      <c r="F43" s="26" t="s">
        <v>5</v>
      </c>
      <c r="G43" s="26" t="s">
        <v>6</v>
      </c>
      <c r="H43" s="26" t="s">
        <v>7</v>
      </c>
      <c r="I43" s="26" t="s">
        <v>8</v>
      </c>
      <c r="J43" s="26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2.75" customHeight="1">
      <c r="A44" s="4">
        <v>2015.0</v>
      </c>
      <c r="B44" s="5" t="s">
        <v>15</v>
      </c>
      <c r="C44" s="6">
        <f>21+2</f>
        <v>23</v>
      </c>
      <c r="D44" s="6">
        <f>19+5</f>
        <v>24</v>
      </c>
      <c r="E44" s="6">
        <f>1+1</f>
        <v>2</v>
      </c>
      <c r="F44" s="27">
        <f>15+0</f>
        <v>15</v>
      </c>
      <c r="G44" s="27">
        <f t="shared" ref="G44:G45" si="18">9+0</f>
        <v>9</v>
      </c>
      <c r="H44" s="27">
        <f>10+0</f>
        <v>10</v>
      </c>
      <c r="I44" s="27">
        <f>17+0</f>
        <v>17</v>
      </c>
      <c r="J44" s="27">
        <f>5+0</f>
        <v>5</v>
      </c>
      <c r="K44" s="6">
        <f>6+0</f>
        <v>6</v>
      </c>
      <c r="L44" s="6">
        <f>9+0</f>
        <v>9</v>
      </c>
      <c r="M44" s="6">
        <f>0+1</f>
        <v>1</v>
      </c>
      <c r="N44" s="6">
        <f>23-2</f>
        <v>21</v>
      </c>
      <c r="O44" s="6">
        <f t="shared" ref="O44:O46" si="19">SUM(C44:N44)</f>
        <v>142</v>
      </c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2.75" customHeight="1">
      <c r="A45" s="7"/>
      <c r="B45" s="5" t="s">
        <v>16</v>
      </c>
      <c r="C45" s="6">
        <f>16+2</f>
        <v>18</v>
      </c>
      <c r="D45" s="6">
        <f>20+4</f>
        <v>24</v>
      </c>
      <c r="E45" s="6">
        <f>5+1</f>
        <v>6</v>
      </c>
      <c r="F45" s="27">
        <f>17+1</f>
        <v>18</v>
      </c>
      <c r="G45" s="27">
        <f t="shared" si="18"/>
        <v>9</v>
      </c>
      <c r="H45" s="27">
        <f>11+0</f>
        <v>11</v>
      </c>
      <c r="I45" s="27">
        <f>18+0</f>
        <v>18</v>
      </c>
      <c r="J45" s="27">
        <f>8+0</f>
        <v>8</v>
      </c>
      <c r="K45" s="6">
        <f>7+0</f>
        <v>7</v>
      </c>
      <c r="L45" s="6">
        <f>4+0</f>
        <v>4</v>
      </c>
      <c r="M45" s="6">
        <f>1+0</f>
        <v>1</v>
      </c>
      <c r="N45" s="6">
        <f>22-1</f>
        <v>21</v>
      </c>
      <c r="O45" s="6">
        <f t="shared" si="19"/>
        <v>145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2.75" customHeight="1">
      <c r="A46" s="7"/>
      <c r="B46" s="17" t="s">
        <v>14</v>
      </c>
      <c r="C46" s="18">
        <f t="shared" ref="C46:N46" si="20">SUM(C44:C45)</f>
        <v>41</v>
      </c>
      <c r="D46" s="18">
        <f t="shared" si="20"/>
        <v>48</v>
      </c>
      <c r="E46" s="18">
        <f t="shared" si="20"/>
        <v>8</v>
      </c>
      <c r="F46" s="28">
        <f t="shared" si="20"/>
        <v>33</v>
      </c>
      <c r="G46" s="28">
        <f t="shared" si="20"/>
        <v>18</v>
      </c>
      <c r="H46" s="28">
        <f t="shared" si="20"/>
        <v>21</v>
      </c>
      <c r="I46" s="28">
        <f t="shared" si="20"/>
        <v>35</v>
      </c>
      <c r="J46" s="28">
        <f t="shared" si="20"/>
        <v>13</v>
      </c>
      <c r="K46" s="18">
        <f t="shared" si="20"/>
        <v>13</v>
      </c>
      <c r="L46" s="18">
        <f t="shared" si="20"/>
        <v>13</v>
      </c>
      <c r="M46" s="18">
        <f t="shared" si="20"/>
        <v>2</v>
      </c>
      <c r="N46" s="18">
        <f t="shared" si="20"/>
        <v>42</v>
      </c>
      <c r="O46" s="18">
        <f t="shared" si="19"/>
        <v>287</v>
      </c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2.75" customHeight="1">
      <c r="A47" s="7"/>
      <c r="B47" s="19"/>
      <c r="C47" s="20"/>
      <c r="D47" s="21"/>
      <c r="E47" s="21"/>
      <c r="F47" s="29"/>
      <c r="G47" s="29"/>
      <c r="H47" s="29"/>
      <c r="I47" s="29"/>
      <c r="J47" s="29"/>
      <c r="K47" s="21"/>
      <c r="L47" s="21"/>
      <c r="M47" s="21"/>
      <c r="N47" s="21"/>
      <c r="O47" s="22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2.75" customHeight="1">
      <c r="A48" s="7"/>
      <c r="B48" s="23" t="s">
        <v>17</v>
      </c>
      <c r="C48" s="24" t="s">
        <v>2</v>
      </c>
      <c r="D48" s="24" t="s">
        <v>3</v>
      </c>
      <c r="E48" s="24" t="s">
        <v>4</v>
      </c>
      <c r="F48" s="30" t="s">
        <v>5</v>
      </c>
      <c r="G48" s="30" t="s">
        <v>6</v>
      </c>
      <c r="H48" s="30" t="s">
        <v>7</v>
      </c>
      <c r="I48" s="30" t="s">
        <v>8</v>
      </c>
      <c r="J48" s="30" t="s">
        <v>9</v>
      </c>
      <c r="K48" s="24" t="s">
        <v>10</v>
      </c>
      <c r="L48" s="24" t="s">
        <v>11</v>
      </c>
      <c r="M48" s="24" t="s">
        <v>12</v>
      </c>
      <c r="N48" s="24" t="s">
        <v>13</v>
      </c>
      <c r="O48" s="24" t="s">
        <v>14</v>
      </c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2.75" customHeight="1">
      <c r="A49" s="7"/>
      <c r="B49" s="5" t="s">
        <v>18</v>
      </c>
      <c r="C49" s="6">
        <f>2145+74</f>
        <v>2219</v>
      </c>
      <c r="D49" s="6">
        <f>1345+0</f>
        <v>1345</v>
      </c>
      <c r="E49" s="6">
        <f>202+50</f>
        <v>252</v>
      </c>
      <c r="F49" s="27">
        <f>1526+6</f>
        <v>1532</v>
      </c>
      <c r="G49" s="27">
        <f>734+0</f>
        <v>734</v>
      </c>
      <c r="H49" s="27">
        <f>1320+0</f>
        <v>1320</v>
      </c>
      <c r="I49" s="153">
        <f>1984+0</f>
        <v>1984</v>
      </c>
      <c r="J49" s="27">
        <f>948+0</f>
        <v>948</v>
      </c>
      <c r="K49" s="6">
        <f>476+0</f>
        <v>476</v>
      </c>
      <c r="L49" s="6">
        <f>185+0</f>
        <v>185</v>
      </c>
      <c r="M49" s="6">
        <f>0+0</f>
        <v>0</v>
      </c>
      <c r="N49" s="6">
        <f>1489-120</f>
        <v>1369</v>
      </c>
      <c r="O49" s="6">
        <f t="shared" ref="O49:O51" si="21">SUM(C49:N49)</f>
        <v>12364</v>
      </c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2.75" customHeight="1">
      <c r="A50" s="7"/>
      <c r="B50" s="5" t="s">
        <v>19</v>
      </c>
      <c r="C50" s="6">
        <f>4589+173</f>
        <v>4762</v>
      </c>
      <c r="D50" s="6">
        <f>1207+0</f>
        <v>1207</v>
      </c>
      <c r="E50" s="6">
        <f>0+0</f>
        <v>0</v>
      </c>
      <c r="F50" s="27">
        <f>1655+0</f>
        <v>1655</v>
      </c>
      <c r="G50" s="27">
        <f>837+0</f>
        <v>837</v>
      </c>
      <c r="H50" s="27">
        <f>815+0</f>
        <v>815</v>
      </c>
      <c r="I50" s="27">
        <f>1931+0</f>
        <v>1931</v>
      </c>
      <c r="J50" s="27">
        <f>434+0</f>
        <v>434</v>
      </c>
      <c r="K50" s="6">
        <f>502+0</f>
        <v>502</v>
      </c>
      <c r="L50" s="6">
        <f>807+0</f>
        <v>807</v>
      </c>
      <c r="M50" s="6">
        <f>0+99</f>
        <v>99</v>
      </c>
      <c r="N50" s="6">
        <f>1270-85</f>
        <v>1185</v>
      </c>
      <c r="O50" s="6">
        <f t="shared" si="21"/>
        <v>14234</v>
      </c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2.75" customHeight="1">
      <c r="A51" s="11"/>
      <c r="B51" s="5" t="s">
        <v>14</v>
      </c>
      <c r="C51" s="8">
        <f t="shared" ref="C51:N51" si="22">SUM(C49:C50)</f>
        <v>6981</v>
      </c>
      <c r="D51" s="8">
        <f t="shared" si="22"/>
        <v>2552</v>
      </c>
      <c r="E51" s="8">
        <f t="shared" si="22"/>
        <v>252</v>
      </c>
      <c r="F51" s="31">
        <f t="shared" si="22"/>
        <v>3187</v>
      </c>
      <c r="G51" s="31">
        <f t="shared" si="22"/>
        <v>1571</v>
      </c>
      <c r="H51" s="31">
        <f t="shared" si="22"/>
        <v>2135</v>
      </c>
      <c r="I51" s="31">
        <f t="shared" si="22"/>
        <v>3915</v>
      </c>
      <c r="J51" s="31">
        <f t="shared" si="22"/>
        <v>1382</v>
      </c>
      <c r="K51" s="8">
        <f t="shared" si="22"/>
        <v>978</v>
      </c>
      <c r="L51" s="8">
        <f t="shared" si="22"/>
        <v>992</v>
      </c>
      <c r="M51" s="8">
        <f t="shared" si="22"/>
        <v>99</v>
      </c>
      <c r="N51" s="8">
        <f t="shared" si="22"/>
        <v>2554</v>
      </c>
      <c r="O51" s="8">
        <f t="shared" si="21"/>
        <v>26598</v>
      </c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2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2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2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2.75" customHeight="1">
      <c r="A55" s="2" t="s">
        <v>0</v>
      </c>
      <c r="B55" s="3" t="s">
        <v>299</v>
      </c>
      <c r="C55" s="2" t="s">
        <v>2</v>
      </c>
      <c r="D55" s="2" t="s">
        <v>3</v>
      </c>
      <c r="E55" s="2" t="s">
        <v>4</v>
      </c>
      <c r="F55" s="26" t="s">
        <v>5</v>
      </c>
      <c r="G55" s="26" t="s">
        <v>6</v>
      </c>
      <c r="H55" s="26" t="s">
        <v>7</v>
      </c>
      <c r="I55" s="26" t="s">
        <v>8</v>
      </c>
      <c r="J55" s="26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2.75" customHeight="1">
      <c r="A56" s="4">
        <v>2016.0</v>
      </c>
      <c r="B56" s="5" t="s">
        <v>15</v>
      </c>
      <c r="C56" s="6">
        <f>86+0</f>
        <v>86</v>
      </c>
      <c r="D56" s="6">
        <f>19+1</f>
        <v>20</v>
      </c>
      <c r="E56" s="6">
        <f>23+1</f>
        <v>24</v>
      </c>
      <c r="F56" s="27">
        <f>24+1</f>
        <v>25</v>
      </c>
      <c r="G56" s="27">
        <f>4+1</f>
        <v>5</v>
      </c>
      <c r="H56" s="27">
        <f>11</f>
        <v>11</v>
      </c>
      <c r="I56" s="27">
        <f t="shared" ref="I56:I57" si="23">51</f>
        <v>51</v>
      </c>
      <c r="J56" s="27">
        <f>54+22</f>
        <v>76</v>
      </c>
      <c r="K56" s="6">
        <f>1+2</f>
        <v>3</v>
      </c>
      <c r="L56" s="6">
        <f>8</f>
        <v>8</v>
      </c>
      <c r="M56" s="6">
        <f>24</f>
        <v>24</v>
      </c>
      <c r="N56" s="6">
        <v>91.0</v>
      </c>
      <c r="O56" s="6">
        <f t="shared" ref="O56:O58" si="24">SUM(C56:N56)</f>
        <v>424</v>
      </c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2.75" customHeight="1">
      <c r="A57" s="7"/>
      <c r="B57" s="5" t="s">
        <v>16</v>
      </c>
      <c r="C57" s="6">
        <f>85+0</f>
        <v>85</v>
      </c>
      <c r="D57" s="6">
        <f>20+2</f>
        <v>22</v>
      </c>
      <c r="E57" s="6">
        <f>25+1</f>
        <v>26</v>
      </c>
      <c r="F57" s="27">
        <f>30+1</f>
        <v>31</v>
      </c>
      <c r="G57" s="27">
        <f>13+2</f>
        <v>15</v>
      </c>
      <c r="H57" s="27">
        <v>11.0</v>
      </c>
      <c r="I57" s="27">
        <f t="shared" si="23"/>
        <v>51</v>
      </c>
      <c r="J57" s="27">
        <f>58+22</f>
        <v>80</v>
      </c>
      <c r="K57" s="6">
        <f>3+3</f>
        <v>6</v>
      </c>
      <c r="L57" s="6">
        <f>19</f>
        <v>19</v>
      </c>
      <c r="M57" s="6">
        <v>25.0</v>
      </c>
      <c r="N57" s="6">
        <v>85.0</v>
      </c>
      <c r="O57" s="6">
        <f t="shared" si="24"/>
        <v>456</v>
      </c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2.75" customHeight="1">
      <c r="A58" s="7"/>
      <c r="B58" s="17" t="s">
        <v>14</v>
      </c>
      <c r="C58" s="18">
        <f t="shared" ref="C58:N58" si="25">SUM(C56:C57)</f>
        <v>171</v>
      </c>
      <c r="D58" s="18">
        <f t="shared" si="25"/>
        <v>42</v>
      </c>
      <c r="E58" s="18">
        <f t="shared" si="25"/>
        <v>50</v>
      </c>
      <c r="F58" s="28">
        <f t="shared" si="25"/>
        <v>56</v>
      </c>
      <c r="G58" s="28">
        <f t="shared" si="25"/>
        <v>20</v>
      </c>
      <c r="H58" s="28">
        <f t="shared" si="25"/>
        <v>22</v>
      </c>
      <c r="I58" s="28">
        <f t="shared" si="25"/>
        <v>102</v>
      </c>
      <c r="J58" s="28">
        <f t="shared" si="25"/>
        <v>156</v>
      </c>
      <c r="K58" s="18">
        <f t="shared" si="25"/>
        <v>9</v>
      </c>
      <c r="L58" s="18">
        <f t="shared" si="25"/>
        <v>27</v>
      </c>
      <c r="M58" s="18">
        <f t="shared" si="25"/>
        <v>49</v>
      </c>
      <c r="N58" s="18">
        <f t="shared" si="25"/>
        <v>176</v>
      </c>
      <c r="O58" s="18">
        <f t="shared" si="24"/>
        <v>880</v>
      </c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2.75" customHeight="1">
      <c r="A59" s="7"/>
      <c r="B59" s="19"/>
      <c r="C59" s="20"/>
      <c r="D59" s="21"/>
      <c r="E59" s="21"/>
      <c r="F59" s="29"/>
      <c r="G59" s="29"/>
      <c r="H59" s="29"/>
      <c r="I59" s="29"/>
      <c r="J59" s="29"/>
      <c r="K59" s="21"/>
      <c r="L59" s="21"/>
      <c r="M59" s="21"/>
      <c r="N59" s="21"/>
      <c r="O59" s="22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2.75" customHeight="1">
      <c r="A60" s="7"/>
      <c r="B60" s="23" t="s">
        <v>17</v>
      </c>
      <c r="C60" s="24" t="s">
        <v>2</v>
      </c>
      <c r="D60" s="24" t="s">
        <v>3</v>
      </c>
      <c r="E60" s="24" t="s">
        <v>4</v>
      </c>
      <c r="F60" s="30" t="s">
        <v>5</v>
      </c>
      <c r="G60" s="30" t="s">
        <v>6</v>
      </c>
      <c r="H60" s="30" t="s">
        <v>7</v>
      </c>
      <c r="I60" s="30" t="s">
        <v>8</v>
      </c>
      <c r="J60" s="30" t="s">
        <v>9</v>
      </c>
      <c r="K60" s="24" t="s">
        <v>10</v>
      </c>
      <c r="L60" s="24" t="s">
        <v>11</v>
      </c>
      <c r="M60" s="24" t="s">
        <v>12</v>
      </c>
      <c r="N60" s="24" t="s">
        <v>13</v>
      </c>
      <c r="O60" s="24" t="s">
        <v>14</v>
      </c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2.75" customHeight="1">
      <c r="A61" s="7"/>
      <c r="B61" s="5" t="s">
        <v>18</v>
      </c>
      <c r="C61" s="6">
        <f>6499+0</f>
        <v>6499</v>
      </c>
      <c r="D61" s="6">
        <f>1448+195</f>
        <v>1643</v>
      </c>
      <c r="E61" s="6">
        <f>1443+144</f>
        <v>1587</v>
      </c>
      <c r="F61" s="27">
        <f>2844+97</f>
        <v>2941</v>
      </c>
      <c r="G61" s="27">
        <f>1074+2855</f>
        <v>3929</v>
      </c>
      <c r="H61" s="27">
        <f>886+2559</f>
        <v>3445</v>
      </c>
      <c r="I61" s="153">
        <f>3798</f>
        <v>3798</v>
      </c>
      <c r="J61" s="27">
        <f>3577</f>
        <v>3577</v>
      </c>
      <c r="K61" s="6">
        <f>127+397</f>
        <v>524</v>
      </c>
      <c r="L61" s="6">
        <f>1937</f>
        <v>1937</v>
      </c>
      <c r="M61" s="6">
        <f>2943</f>
        <v>2943</v>
      </c>
      <c r="N61" s="6">
        <v>9375.0</v>
      </c>
      <c r="O61" s="6">
        <f t="shared" ref="O61:O63" si="26">SUM(C61:N61)</f>
        <v>42198</v>
      </c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2.75" customHeight="1">
      <c r="A62" s="7"/>
      <c r="B62" s="5" t="s">
        <v>19</v>
      </c>
      <c r="C62" s="6">
        <f>6009+0</f>
        <v>6009</v>
      </c>
      <c r="D62" s="6">
        <f>1929+53</f>
        <v>1982</v>
      </c>
      <c r="E62" s="6">
        <f>1381+95</f>
        <v>1476</v>
      </c>
      <c r="F62" s="27">
        <f>2906+27</f>
        <v>2933</v>
      </c>
      <c r="G62" s="27">
        <f>384+94</f>
        <v>478</v>
      </c>
      <c r="H62" s="27">
        <f>1036+2223</f>
        <v>3259</v>
      </c>
      <c r="I62" s="27">
        <f>3989</f>
        <v>3989</v>
      </c>
      <c r="J62" s="27">
        <f>3741</f>
        <v>3741</v>
      </c>
      <c r="K62" s="6">
        <f>79+226</f>
        <v>305</v>
      </c>
      <c r="L62" s="6">
        <v>843.0</v>
      </c>
      <c r="M62" s="6">
        <v>3010.0</v>
      </c>
      <c r="N62" s="6">
        <f>8772</f>
        <v>8772</v>
      </c>
      <c r="O62" s="6">
        <f t="shared" si="26"/>
        <v>36797</v>
      </c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2.75" customHeight="1">
      <c r="A63" s="11"/>
      <c r="B63" s="5" t="s">
        <v>14</v>
      </c>
      <c r="C63" s="8">
        <f t="shared" ref="C63:N63" si="27">SUM(C61:C62)</f>
        <v>12508</v>
      </c>
      <c r="D63" s="8">
        <f t="shared" si="27"/>
        <v>3625</v>
      </c>
      <c r="E63" s="8">
        <f t="shared" si="27"/>
        <v>3063</v>
      </c>
      <c r="F63" s="31">
        <f t="shared" si="27"/>
        <v>5874</v>
      </c>
      <c r="G63" s="31">
        <f t="shared" si="27"/>
        <v>4407</v>
      </c>
      <c r="H63" s="31">
        <f t="shared" si="27"/>
        <v>6704</v>
      </c>
      <c r="I63" s="31">
        <f t="shared" si="27"/>
        <v>7787</v>
      </c>
      <c r="J63" s="31">
        <f t="shared" si="27"/>
        <v>7318</v>
      </c>
      <c r="K63" s="8">
        <f t="shared" si="27"/>
        <v>829</v>
      </c>
      <c r="L63" s="8">
        <f t="shared" si="27"/>
        <v>2780</v>
      </c>
      <c r="M63" s="8">
        <f t="shared" si="27"/>
        <v>5953</v>
      </c>
      <c r="N63" s="8">
        <f t="shared" si="27"/>
        <v>18147</v>
      </c>
      <c r="O63" s="8">
        <f t="shared" si="26"/>
        <v>78995</v>
      </c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2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2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2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2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2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2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2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2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2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2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2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2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2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2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2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2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2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2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2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2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2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2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2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2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2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2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2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2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2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2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2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2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2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2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2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2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2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2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2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2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2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2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2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2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2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2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2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2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2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2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2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2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2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2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2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2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2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2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2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2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2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2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2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2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2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2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2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2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2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2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2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2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2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2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2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2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2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2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2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2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2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2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2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2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2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2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2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2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2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2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2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2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2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2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2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2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2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2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2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2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2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2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2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2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2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2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2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2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2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2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2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2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2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2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2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2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2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2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2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2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2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2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2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2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2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2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2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2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2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2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2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2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2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2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2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2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2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2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2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2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2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2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2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2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2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2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2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2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2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2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2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2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2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2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2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2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2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2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2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2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2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2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2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2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2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2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2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2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2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2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2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2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2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2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2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2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2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2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2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2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2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2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2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2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2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2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2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2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2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2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2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2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2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2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2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2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2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2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2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2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2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2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2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2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2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2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2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2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2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2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2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2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2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2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2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2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2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2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2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2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2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2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2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2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2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2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2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2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2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2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2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2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2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2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2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2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2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2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2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2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2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2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2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2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2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2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2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2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2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2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2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2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2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2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2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2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2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2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2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2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2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2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2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2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2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2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2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2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2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2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2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2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2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2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2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2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2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2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2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2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2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2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2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2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2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2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2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2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2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2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2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2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2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2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2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2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2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2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2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2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2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2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2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2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2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2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2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2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2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2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2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2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2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2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2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2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2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2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2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2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2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2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2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2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2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2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2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2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2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2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2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2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2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2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2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2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2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2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2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2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2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2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2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2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2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2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2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2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2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2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2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2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2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2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2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2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2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2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2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2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2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2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2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2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2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2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2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2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2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2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2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2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2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2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2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2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2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2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2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2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2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2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2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2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2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2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2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2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2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2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2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2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2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2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2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2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2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2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2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2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2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2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2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2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2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2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2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2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2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2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2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2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2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2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2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2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2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2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2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2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2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2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2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2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2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2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2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2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2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2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2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2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2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2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2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2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2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2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2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2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2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2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2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2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2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2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2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2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2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2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2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2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2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2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2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2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2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2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2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2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2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2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2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2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2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2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2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2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2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2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2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2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2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2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2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2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2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2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2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2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2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2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2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2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2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2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2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2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2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2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2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2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2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2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2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2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2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2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2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2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2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2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2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2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2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2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2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2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2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2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2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2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2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2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2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2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2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2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2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2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2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2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2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2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2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2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2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2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2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2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2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2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2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2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2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2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2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2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2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2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2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2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2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2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2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2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2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2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2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2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2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2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2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2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2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2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2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2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2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2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2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2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2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2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2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2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2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2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2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2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2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2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2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2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2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2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2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2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2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2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2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2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2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2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2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2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2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2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2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2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2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2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2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2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2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2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2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2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2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2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2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2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2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2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2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2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2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2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2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2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2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2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2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2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2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2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2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2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2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2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2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2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2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2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2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2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2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2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2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2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2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2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2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2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2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2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2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2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2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2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2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2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2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2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2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2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2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2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2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2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2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2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2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2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2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2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2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2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2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2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2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2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2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2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2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2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2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2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2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2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2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2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2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2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2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2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2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2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2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2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2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2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2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2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2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2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2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2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2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2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2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2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2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2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2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2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2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2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2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2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2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2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2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2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2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2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2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2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2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2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2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2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2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2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2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2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2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2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2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2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2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2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2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2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2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2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2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2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2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2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2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2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2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2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2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2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2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2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2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2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2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2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2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2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2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2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2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2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2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2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2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2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2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2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2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2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2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2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2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2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2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2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2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2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2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2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2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2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2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2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2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2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2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2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2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2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2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2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2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2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2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2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2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2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2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2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2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2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2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2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2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2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2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2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2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2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2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2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2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2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2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2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2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2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2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2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2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2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2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2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2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2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2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2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2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2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2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2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2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2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2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2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2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2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2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2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2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2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2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2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2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2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2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2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2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2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2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2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2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2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2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2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2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2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2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2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2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2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2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2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2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2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2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2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2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2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2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2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2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2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2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2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2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2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2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2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2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2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2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2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2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2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2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2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2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2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2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2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2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2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2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2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2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2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2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2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2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2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2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2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2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2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2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2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2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2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2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2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2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2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2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2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2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2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2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2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2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2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2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2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2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2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2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2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2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2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2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2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2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2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2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2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2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2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2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2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2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2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2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2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2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2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2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2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2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2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2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mergeCells count="5">
    <mergeCell ref="A8:A15"/>
    <mergeCell ref="A20:A27"/>
    <mergeCell ref="A32:A39"/>
    <mergeCell ref="A44:A51"/>
    <mergeCell ref="A56:A6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14"/>
    <col customWidth="1" min="3" max="11" width="7.71"/>
    <col customWidth="1" min="12" max="12" width="9.0"/>
    <col customWidth="1" min="13" max="14" width="7.71"/>
    <col customWidth="1" min="15" max="15" width="8.71"/>
    <col customWidth="1" min="16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0</v>
      </c>
      <c r="B9" s="2" t="s">
        <v>28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/>
      <c r="B10" s="5" t="s">
        <v>29</v>
      </c>
      <c r="C10" s="6">
        <v>5268.0</v>
      </c>
      <c r="D10" s="6">
        <v>1947.0</v>
      </c>
      <c r="E10" s="6">
        <v>2559.0</v>
      </c>
      <c r="F10" s="6">
        <v>2714.0</v>
      </c>
      <c r="G10" s="6">
        <v>2725.0</v>
      </c>
      <c r="H10" s="6">
        <v>3884.0</v>
      </c>
      <c r="I10" s="6">
        <v>4880.0</v>
      </c>
      <c r="J10" s="6">
        <v>3236.0</v>
      </c>
      <c r="K10" s="6">
        <v>3950.0</v>
      </c>
      <c r="L10" s="6">
        <v>5599.0</v>
      </c>
      <c r="M10" s="6">
        <v>7318.0</v>
      </c>
      <c r="N10" s="6">
        <v>3916.0</v>
      </c>
      <c r="O10" s="75">
        <f t="shared" ref="O10:O11" si="1">SUM(C10:N10)</f>
        <v>47996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>
        <v>2001.0</v>
      </c>
      <c r="B11" s="5" t="s">
        <v>30</v>
      </c>
      <c r="C11" s="6">
        <v>913.0</v>
      </c>
      <c r="D11" s="6">
        <v>734.0</v>
      </c>
      <c r="E11" s="6">
        <v>756.0</v>
      </c>
      <c r="F11" s="6">
        <v>676.0</v>
      </c>
      <c r="G11" s="6">
        <v>493.0</v>
      </c>
      <c r="H11" s="6">
        <v>345.0</v>
      </c>
      <c r="I11" s="6">
        <v>1122.0</v>
      </c>
      <c r="J11" s="6">
        <v>1055.0</v>
      </c>
      <c r="K11" s="6">
        <v>1520.0</v>
      </c>
      <c r="L11" s="6">
        <v>536.0</v>
      </c>
      <c r="M11" s="6">
        <v>512.0</v>
      </c>
      <c r="N11" s="6">
        <v>444.0</v>
      </c>
      <c r="O11" s="75">
        <f t="shared" si="1"/>
        <v>9106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/>
      <c r="B12" s="5" t="s">
        <v>14</v>
      </c>
      <c r="C12" s="8">
        <f t="shared" ref="C12:O12" si="2">SUM(C10:C11)</f>
        <v>6181</v>
      </c>
      <c r="D12" s="8">
        <f t="shared" si="2"/>
        <v>2681</v>
      </c>
      <c r="E12" s="8">
        <f t="shared" si="2"/>
        <v>3315</v>
      </c>
      <c r="F12" s="8">
        <f t="shared" si="2"/>
        <v>3390</v>
      </c>
      <c r="G12" s="8">
        <f t="shared" si="2"/>
        <v>3218</v>
      </c>
      <c r="H12" s="8">
        <f t="shared" si="2"/>
        <v>4229</v>
      </c>
      <c r="I12" s="8">
        <f t="shared" si="2"/>
        <v>6002</v>
      </c>
      <c r="J12" s="8">
        <f t="shared" si="2"/>
        <v>4291</v>
      </c>
      <c r="K12" s="8">
        <f t="shared" si="2"/>
        <v>5470</v>
      </c>
      <c r="L12" s="8">
        <f t="shared" si="2"/>
        <v>6135</v>
      </c>
      <c r="M12" s="8">
        <f t="shared" si="2"/>
        <v>7830</v>
      </c>
      <c r="N12" s="8">
        <f t="shared" si="2"/>
        <v>4360</v>
      </c>
      <c r="O12" s="8">
        <f t="shared" si="2"/>
        <v>57102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8"/>
      <c r="C14" s="78"/>
      <c r="D14" s="78"/>
      <c r="E14" s="78"/>
      <c r="F14" s="7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 t="s">
        <v>0</v>
      </c>
      <c r="B15" s="2" t="s">
        <v>28</v>
      </c>
      <c r="C15" s="2" t="s">
        <v>2</v>
      </c>
      <c r="D15" s="2" t="s">
        <v>300</v>
      </c>
      <c r="E15" s="2" t="s">
        <v>4</v>
      </c>
      <c r="F15" s="2" t="s">
        <v>5</v>
      </c>
      <c r="G15" s="2" t="s">
        <v>301</v>
      </c>
      <c r="H15" s="2" t="s">
        <v>302</v>
      </c>
      <c r="I15" s="2" t="s">
        <v>303</v>
      </c>
      <c r="J15" s="2" t="s">
        <v>304</v>
      </c>
      <c r="K15" s="2" t="s">
        <v>305</v>
      </c>
      <c r="L15" s="2" t="s">
        <v>306</v>
      </c>
      <c r="M15" s="2" t="s">
        <v>307</v>
      </c>
      <c r="N15" s="2" t="s">
        <v>13</v>
      </c>
      <c r="O15" s="2" t="s">
        <v>14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5"/>
      <c r="B16" s="5" t="s">
        <v>29</v>
      </c>
      <c r="C16" s="6">
        <v>4672.0</v>
      </c>
      <c r="D16" s="6">
        <v>741.0</v>
      </c>
      <c r="E16" s="6">
        <v>2525.0</v>
      </c>
      <c r="F16" s="6">
        <v>2038.0</v>
      </c>
      <c r="G16" s="6">
        <v>2115.0</v>
      </c>
      <c r="H16" s="6" t="s">
        <v>308</v>
      </c>
      <c r="I16" s="6" t="s">
        <v>308</v>
      </c>
      <c r="J16" s="6" t="s">
        <v>308</v>
      </c>
      <c r="K16" s="8" t="s">
        <v>308</v>
      </c>
      <c r="L16" s="6" t="s">
        <v>308</v>
      </c>
      <c r="M16" s="6" t="s">
        <v>308</v>
      </c>
      <c r="N16" s="6">
        <v>4350.0</v>
      </c>
      <c r="O16" s="75">
        <f t="shared" ref="O16:O17" si="3">SUM(C16:N16)</f>
        <v>16441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>
        <v>2002.0</v>
      </c>
      <c r="B17" s="5" t="s">
        <v>30</v>
      </c>
      <c r="C17" s="6">
        <v>828.0</v>
      </c>
      <c r="D17" s="6">
        <v>265.0</v>
      </c>
      <c r="E17" s="6">
        <v>667.0</v>
      </c>
      <c r="F17" s="6">
        <v>562.0</v>
      </c>
      <c r="G17" s="6">
        <v>407.0</v>
      </c>
      <c r="H17" s="6" t="s">
        <v>308</v>
      </c>
      <c r="I17" s="6" t="s">
        <v>308</v>
      </c>
      <c r="J17" s="6" t="s">
        <v>308</v>
      </c>
      <c r="K17" s="8" t="s">
        <v>308</v>
      </c>
      <c r="L17" s="6" t="s">
        <v>308</v>
      </c>
      <c r="M17" s="6" t="s">
        <v>308</v>
      </c>
      <c r="N17" s="6">
        <v>202.0</v>
      </c>
      <c r="O17" s="75">
        <f t="shared" si="3"/>
        <v>2931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"/>
      <c r="B18" s="5" t="s">
        <v>14</v>
      </c>
      <c r="C18" s="8">
        <f t="shared" ref="C18:M18" si="4">SUM(C16:C17)</f>
        <v>5500</v>
      </c>
      <c r="D18" s="8">
        <f t="shared" si="4"/>
        <v>1006</v>
      </c>
      <c r="E18" s="8">
        <f t="shared" si="4"/>
        <v>3192</v>
      </c>
      <c r="F18" s="8">
        <f t="shared" si="4"/>
        <v>2600</v>
      </c>
      <c r="G18" s="8">
        <f t="shared" si="4"/>
        <v>2522</v>
      </c>
      <c r="H18" s="8">
        <f t="shared" si="4"/>
        <v>0</v>
      </c>
      <c r="I18" s="8">
        <f t="shared" si="4"/>
        <v>0</v>
      </c>
      <c r="J18" s="8">
        <f t="shared" si="4"/>
        <v>0</v>
      </c>
      <c r="K18" s="8">
        <f t="shared" si="4"/>
        <v>0</v>
      </c>
      <c r="L18" s="8">
        <f t="shared" si="4"/>
        <v>0</v>
      </c>
      <c r="M18" s="8">
        <f t="shared" si="4"/>
        <v>0</v>
      </c>
      <c r="N18" s="8">
        <v>4552.0</v>
      </c>
      <c r="O18" s="8">
        <f>SUM(O16:O17)</f>
        <v>19372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 t="s">
        <v>0</v>
      </c>
      <c r="B21" s="2" t="s">
        <v>28</v>
      </c>
      <c r="C21" s="2" t="s">
        <v>2</v>
      </c>
      <c r="D21" s="2" t="s">
        <v>309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20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5"/>
      <c r="B22" s="5" t="s">
        <v>29</v>
      </c>
      <c r="C22" s="6">
        <v>7110.0</v>
      </c>
      <c r="D22" s="6">
        <v>3232.0</v>
      </c>
      <c r="E22" s="6">
        <v>4181.0</v>
      </c>
      <c r="F22" s="6">
        <v>6927.0</v>
      </c>
      <c r="G22" s="6">
        <v>5974.0</v>
      </c>
      <c r="H22" s="6">
        <v>6075.0</v>
      </c>
      <c r="I22" s="6">
        <v>8617.0</v>
      </c>
      <c r="J22" s="6">
        <v>6705.0</v>
      </c>
      <c r="K22" s="76">
        <v>7914.0</v>
      </c>
      <c r="L22" s="75">
        <v>9953.0</v>
      </c>
      <c r="M22" s="75">
        <v>8015.0</v>
      </c>
      <c r="N22" s="75">
        <v>7494.0</v>
      </c>
      <c r="O22" s="75">
        <f t="shared" ref="O22:O23" si="5">SUM(C22:N22)</f>
        <v>82197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>
        <v>2003.0</v>
      </c>
      <c r="B23" s="5" t="s">
        <v>30</v>
      </c>
      <c r="C23" s="6">
        <v>624.0</v>
      </c>
      <c r="D23" s="6">
        <v>794.0</v>
      </c>
      <c r="E23" s="6">
        <v>514.0</v>
      </c>
      <c r="F23" s="6">
        <v>649.0</v>
      </c>
      <c r="G23" s="6">
        <v>699.0</v>
      </c>
      <c r="H23" s="6">
        <v>804.0</v>
      </c>
      <c r="I23" s="6">
        <v>2117.0</v>
      </c>
      <c r="J23" s="6">
        <v>1600.0</v>
      </c>
      <c r="K23" s="75">
        <v>1229.0</v>
      </c>
      <c r="L23" s="75">
        <v>1273.0</v>
      </c>
      <c r="M23" s="75">
        <v>1200.0</v>
      </c>
      <c r="N23" s="75">
        <v>831.0</v>
      </c>
      <c r="O23" s="75">
        <f t="shared" si="5"/>
        <v>12334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/>
      <c r="B24" s="5" t="s">
        <v>14</v>
      </c>
      <c r="C24" s="8">
        <f t="shared" ref="C24:O24" si="6">SUM(C22:C23)</f>
        <v>7734</v>
      </c>
      <c r="D24" s="8">
        <f t="shared" si="6"/>
        <v>4026</v>
      </c>
      <c r="E24" s="8">
        <f t="shared" si="6"/>
        <v>4695</v>
      </c>
      <c r="F24" s="8">
        <f t="shared" si="6"/>
        <v>7576</v>
      </c>
      <c r="G24" s="8">
        <f t="shared" si="6"/>
        <v>6673</v>
      </c>
      <c r="H24" s="8">
        <f t="shared" si="6"/>
        <v>6879</v>
      </c>
      <c r="I24" s="8">
        <f t="shared" si="6"/>
        <v>10734</v>
      </c>
      <c r="J24" s="8">
        <f t="shared" si="6"/>
        <v>8305</v>
      </c>
      <c r="K24" s="8">
        <f t="shared" si="6"/>
        <v>9143</v>
      </c>
      <c r="L24" s="8">
        <f t="shared" si="6"/>
        <v>11226</v>
      </c>
      <c r="M24" s="8">
        <f t="shared" si="6"/>
        <v>9215</v>
      </c>
      <c r="N24" s="8">
        <f t="shared" si="6"/>
        <v>8325</v>
      </c>
      <c r="O24" s="8">
        <f t="shared" si="6"/>
        <v>94531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78"/>
      <c r="C26" s="1"/>
      <c r="D26" s="78"/>
      <c r="E26" s="1"/>
      <c r="F26" s="7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0</v>
      </c>
      <c r="B27" s="2" t="s">
        <v>28</v>
      </c>
      <c r="C27" s="2" t="s">
        <v>2</v>
      </c>
      <c r="D27" s="2" t="s">
        <v>309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20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5"/>
      <c r="B28" s="5" t="s">
        <v>29</v>
      </c>
      <c r="C28" s="6">
        <v>3765.0</v>
      </c>
      <c r="D28" s="6">
        <v>9816.0</v>
      </c>
      <c r="E28" s="6">
        <v>5501.0</v>
      </c>
      <c r="F28" s="6">
        <v>6291.0</v>
      </c>
      <c r="G28" s="6">
        <v>4707.0</v>
      </c>
      <c r="H28" s="6">
        <v>5738.0</v>
      </c>
      <c r="I28" s="6">
        <v>8422.0</v>
      </c>
      <c r="J28" s="6">
        <v>9224.0</v>
      </c>
      <c r="K28" s="76">
        <v>7502.0</v>
      </c>
      <c r="L28" s="75">
        <v>7733.0</v>
      </c>
      <c r="M28" s="75">
        <v>8990.0</v>
      </c>
      <c r="N28" s="75">
        <v>7908.0</v>
      </c>
      <c r="O28" s="75">
        <f t="shared" ref="O28:O29" si="7">SUM(C28:N28)</f>
        <v>85597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>
        <v>2004.0</v>
      </c>
      <c r="B29" s="5" t="s">
        <v>30</v>
      </c>
      <c r="C29" s="6">
        <v>1524.0</v>
      </c>
      <c r="D29" s="6">
        <v>1713.0</v>
      </c>
      <c r="E29" s="6">
        <v>1075.0</v>
      </c>
      <c r="F29" s="6">
        <v>1115.0</v>
      </c>
      <c r="G29" s="6">
        <v>836.0</v>
      </c>
      <c r="H29" s="6">
        <v>941.0</v>
      </c>
      <c r="I29" s="6">
        <v>2689.0</v>
      </c>
      <c r="J29" s="6">
        <v>1686.0</v>
      </c>
      <c r="K29" s="75">
        <v>1700.0</v>
      </c>
      <c r="L29" s="75">
        <v>1371.0</v>
      </c>
      <c r="M29" s="75">
        <v>1318.0</v>
      </c>
      <c r="N29" s="75">
        <v>1677.0</v>
      </c>
      <c r="O29" s="75">
        <f t="shared" si="7"/>
        <v>17645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/>
      <c r="B30" s="5" t="s">
        <v>14</v>
      </c>
      <c r="C30" s="8">
        <f t="shared" ref="C30:O30" si="8">SUM(C28:C29)</f>
        <v>5289</v>
      </c>
      <c r="D30" s="8">
        <f t="shared" si="8"/>
        <v>11529</v>
      </c>
      <c r="E30" s="8">
        <f t="shared" si="8"/>
        <v>6576</v>
      </c>
      <c r="F30" s="8">
        <f t="shared" si="8"/>
        <v>7406</v>
      </c>
      <c r="G30" s="8">
        <f t="shared" si="8"/>
        <v>5543</v>
      </c>
      <c r="H30" s="8">
        <f t="shared" si="8"/>
        <v>6679</v>
      </c>
      <c r="I30" s="8">
        <f t="shared" si="8"/>
        <v>11111</v>
      </c>
      <c r="J30" s="8">
        <f t="shared" si="8"/>
        <v>10910</v>
      </c>
      <c r="K30" s="8">
        <f t="shared" si="8"/>
        <v>9202</v>
      </c>
      <c r="L30" s="8">
        <f t="shared" si="8"/>
        <v>9104</v>
      </c>
      <c r="M30" s="8">
        <f t="shared" si="8"/>
        <v>10308</v>
      </c>
      <c r="N30" s="8">
        <f t="shared" si="8"/>
        <v>9585</v>
      </c>
      <c r="O30" s="8">
        <f t="shared" si="8"/>
        <v>103242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 t="s">
        <v>0</v>
      </c>
      <c r="B33" s="2" t="s">
        <v>28</v>
      </c>
      <c r="C33" s="2" t="s">
        <v>2</v>
      </c>
      <c r="D33" s="2" t="s">
        <v>309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20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5"/>
      <c r="B34" s="5" t="s">
        <v>29</v>
      </c>
      <c r="C34" s="6">
        <v>8912.0</v>
      </c>
      <c r="D34" s="6">
        <v>4257.0</v>
      </c>
      <c r="E34" s="6">
        <v>4308.0</v>
      </c>
      <c r="F34" s="6">
        <v>4784.0</v>
      </c>
      <c r="G34" s="6">
        <v>4166.0</v>
      </c>
      <c r="H34" s="6">
        <v>9382.0</v>
      </c>
      <c r="I34" s="6">
        <v>7627.0</v>
      </c>
      <c r="J34" s="6">
        <v>6756.0</v>
      </c>
      <c r="K34" s="6">
        <v>5437.0</v>
      </c>
      <c r="L34" s="75">
        <v>8774.0</v>
      </c>
      <c r="M34" s="75">
        <v>8057.0</v>
      </c>
      <c r="N34" s="75">
        <v>8182.0</v>
      </c>
      <c r="O34" s="75">
        <f t="shared" ref="O34:O35" si="9">SUM(C34:N34)</f>
        <v>80642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">
        <v>2005.0</v>
      </c>
      <c r="B35" s="5" t="s">
        <v>30</v>
      </c>
      <c r="C35" s="6">
        <v>1555.0</v>
      </c>
      <c r="D35" s="6">
        <v>1585.0</v>
      </c>
      <c r="E35" s="6">
        <v>1457.0</v>
      </c>
      <c r="F35" s="6">
        <v>989.0</v>
      </c>
      <c r="G35" s="6">
        <v>653.0</v>
      </c>
      <c r="H35" s="6">
        <v>786.0</v>
      </c>
      <c r="I35" s="6">
        <v>2446.0</v>
      </c>
      <c r="J35" s="6">
        <v>1618.0</v>
      </c>
      <c r="K35" s="6">
        <v>1476.0</v>
      </c>
      <c r="L35" s="75">
        <v>1511.0</v>
      </c>
      <c r="M35" s="75">
        <v>1838.0</v>
      </c>
      <c r="N35" s="75">
        <v>998.0</v>
      </c>
      <c r="O35" s="75">
        <f t="shared" si="9"/>
        <v>16912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"/>
      <c r="B36" s="5" t="s">
        <v>14</v>
      </c>
      <c r="C36" s="8">
        <f t="shared" ref="C36:K36" si="10">SUM(C34:C35)</f>
        <v>10467</v>
      </c>
      <c r="D36" s="8">
        <f t="shared" si="10"/>
        <v>5842</v>
      </c>
      <c r="E36" s="8">
        <f t="shared" si="10"/>
        <v>5765</v>
      </c>
      <c r="F36" s="8">
        <f t="shared" si="10"/>
        <v>5773</v>
      </c>
      <c r="G36" s="8">
        <f t="shared" si="10"/>
        <v>4819</v>
      </c>
      <c r="H36" s="8">
        <f t="shared" si="10"/>
        <v>10168</v>
      </c>
      <c r="I36" s="8">
        <f t="shared" si="10"/>
        <v>10073</v>
      </c>
      <c r="J36" s="8">
        <f t="shared" si="10"/>
        <v>8374</v>
      </c>
      <c r="K36" s="8">
        <f t="shared" si="10"/>
        <v>6913</v>
      </c>
      <c r="L36" s="8">
        <v>10285.0</v>
      </c>
      <c r="M36" s="8">
        <f t="shared" ref="M36:O36" si="11">SUM(M34:M35)</f>
        <v>9895</v>
      </c>
      <c r="N36" s="8">
        <f t="shared" si="11"/>
        <v>9180</v>
      </c>
      <c r="O36" s="8">
        <f t="shared" si="11"/>
        <v>97554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3"/>
      <c r="B39" s="13"/>
      <c r="C39" s="78"/>
      <c r="D39" s="78"/>
      <c r="E39" s="78"/>
      <c r="F39" s="78"/>
      <c r="G39" s="78"/>
      <c r="H39" s="78"/>
      <c r="I39" s="78"/>
      <c r="J39" s="78"/>
      <c r="K39" s="80"/>
      <c r="L39" s="78"/>
      <c r="M39" s="78"/>
      <c r="N39" s="78"/>
      <c r="O39" s="7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2"/>
      <c r="B40" s="13"/>
      <c r="C40" s="78"/>
      <c r="D40" s="78"/>
      <c r="E40" s="78"/>
      <c r="F40" s="78"/>
      <c r="G40" s="78"/>
      <c r="H40" s="78"/>
      <c r="I40" s="78"/>
      <c r="J40" s="78"/>
      <c r="K40" s="81"/>
      <c r="L40" s="78"/>
      <c r="M40" s="78"/>
      <c r="N40" s="78"/>
      <c r="O40" s="7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 t="s">
        <v>0</v>
      </c>
      <c r="B49" s="2" t="s">
        <v>28</v>
      </c>
      <c r="C49" s="2" t="s">
        <v>2</v>
      </c>
      <c r="D49" s="2" t="s">
        <v>309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20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5"/>
      <c r="B50" s="5" t="s">
        <v>29</v>
      </c>
      <c r="C50" s="6">
        <v>7246.0</v>
      </c>
      <c r="D50" s="6">
        <v>3352.0</v>
      </c>
      <c r="E50" s="6">
        <v>3827.0</v>
      </c>
      <c r="F50" s="6">
        <v>4513.0</v>
      </c>
      <c r="G50" s="6">
        <v>4040.0</v>
      </c>
      <c r="H50" s="6">
        <v>3205.0</v>
      </c>
      <c r="I50" s="6">
        <v>2874.0</v>
      </c>
      <c r="J50" s="6">
        <v>3330.0</v>
      </c>
      <c r="K50" s="6">
        <v>6734.0</v>
      </c>
      <c r="L50" s="6">
        <v>5794.0</v>
      </c>
      <c r="M50" s="6">
        <v>8298.0</v>
      </c>
      <c r="N50" s="6">
        <v>7274.0</v>
      </c>
      <c r="O50" s="6">
        <f t="shared" ref="O50:O52" si="12">SUM(C50:N50)</f>
        <v>60487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>
        <v>2006.0</v>
      </c>
      <c r="B51" s="5" t="s">
        <v>30</v>
      </c>
      <c r="C51" s="6">
        <v>1271.0</v>
      </c>
      <c r="D51" s="6">
        <v>1439.0</v>
      </c>
      <c r="E51" s="6">
        <v>1549.0</v>
      </c>
      <c r="F51" s="6">
        <v>1197.0</v>
      </c>
      <c r="G51" s="6">
        <v>1451.0</v>
      </c>
      <c r="H51" s="6">
        <v>963.0</v>
      </c>
      <c r="I51" s="6">
        <v>2222.0</v>
      </c>
      <c r="J51" s="6">
        <v>1101.0</v>
      </c>
      <c r="K51" s="6">
        <v>1310.0</v>
      </c>
      <c r="L51" s="6">
        <v>997.0</v>
      </c>
      <c r="M51" s="6">
        <v>979.0</v>
      </c>
      <c r="N51" s="6">
        <v>874.0</v>
      </c>
      <c r="O51" s="6">
        <f t="shared" si="12"/>
        <v>15353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2"/>
      <c r="B52" s="5" t="s">
        <v>14</v>
      </c>
      <c r="C52" s="8">
        <f>SUM(C50:C51)</f>
        <v>8517</v>
      </c>
      <c r="D52" s="8">
        <v>4791.0</v>
      </c>
      <c r="E52" s="8">
        <v>5376.0</v>
      </c>
      <c r="F52" s="8">
        <v>5710.0</v>
      </c>
      <c r="G52" s="8">
        <v>5491.0</v>
      </c>
      <c r="H52" s="8">
        <v>4168.0</v>
      </c>
      <c r="I52" s="8">
        <v>5096.0</v>
      </c>
      <c r="J52" s="8">
        <f t="shared" ref="J52:K52" si="13">SUM(J50:J51)</f>
        <v>4431</v>
      </c>
      <c r="K52" s="8">
        <f t="shared" si="13"/>
        <v>8044</v>
      </c>
      <c r="L52" s="8">
        <v>6791.0</v>
      </c>
      <c r="M52" s="8">
        <v>9276.0</v>
      </c>
      <c r="N52" s="8">
        <v>8148.0</v>
      </c>
      <c r="O52" s="8">
        <f t="shared" si="12"/>
        <v>75839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 t="s">
        <v>0</v>
      </c>
      <c r="B55" s="2" t="s">
        <v>28</v>
      </c>
      <c r="C55" s="2" t="s">
        <v>2</v>
      </c>
      <c r="D55" s="2" t="s">
        <v>309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20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5"/>
      <c r="B56" s="5" t="s">
        <v>29</v>
      </c>
      <c r="C56" s="6">
        <v>8422.0</v>
      </c>
      <c r="D56" s="6">
        <f>3634+1133</f>
        <v>4767</v>
      </c>
      <c r="E56" s="6">
        <f>1422+764</f>
        <v>2186</v>
      </c>
      <c r="F56" s="6">
        <f>1863+1331</f>
        <v>3194</v>
      </c>
      <c r="G56" s="6">
        <f>1457+2468</f>
        <v>3925</v>
      </c>
      <c r="H56" s="6">
        <v>2934.0</v>
      </c>
      <c r="I56" s="6">
        <f>1340+4030</f>
        <v>5370</v>
      </c>
      <c r="J56" s="6">
        <f>1298+2957</f>
        <v>4255</v>
      </c>
      <c r="K56" s="6">
        <f>1682+3871</f>
        <v>5553</v>
      </c>
      <c r="L56" s="6">
        <f>2137+4571</f>
        <v>6708</v>
      </c>
      <c r="M56" s="6">
        <f>2179+5536</f>
        <v>7715</v>
      </c>
      <c r="N56" s="6">
        <f>1445+4081</f>
        <v>5526</v>
      </c>
      <c r="O56" s="6">
        <f t="shared" ref="O56:O58" si="14">SUM(C56:N56)</f>
        <v>60555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">
        <v>2007.0</v>
      </c>
      <c r="B57" s="5" t="s">
        <v>30</v>
      </c>
      <c r="C57" s="6">
        <v>1220.0</v>
      </c>
      <c r="D57" s="6">
        <v>1256.0</v>
      </c>
      <c r="E57" s="6">
        <v>920.0</v>
      </c>
      <c r="F57" s="6">
        <v>1271.0</v>
      </c>
      <c r="G57" s="6">
        <v>1080.0</v>
      </c>
      <c r="H57" s="6">
        <v>603.0</v>
      </c>
      <c r="I57" s="6">
        <v>1479.0</v>
      </c>
      <c r="J57" s="6">
        <v>1096.0</v>
      </c>
      <c r="K57" s="6">
        <v>892.0</v>
      </c>
      <c r="L57" s="6">
        <v>569.0</v>
      </c>
      <c r="M57" s="6">
        <v>633.0</v>
      </c>
      <c r="N57" s="6">
        <v>580.0</v>
      </c>
      <c r="O57" s="6">
        <f t="shared" si="14"/>
        <v>11599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/>
      <c r="B58" s="5" t="s">
        <v>14</v>
      </c>
      <c r="C58" s="8">
        <f t="shared" ref="C58:F58" si="15">SUM(C56:C57)</f>
        <v>9642</v>
      </c>
      <c r="D58" s="8">
        <f t="shared" si="15"/>
        <v>6023</v>
      </c>
      <c r="E58" s="8">
        <f t="shared" si="15"/>
        <v>3106</v>
      </c>
      <c r="F58" s="8">
        <f t="shared" si="15"/>
        <v>4465</v>
      </c>
      <c r="G58" s="8">
        <v>5005.0</v>
      </c>
      <c r="H58" s="8">
        <v>3537.0</v>
      </c>
      <c r="I58" s="8">
        <v>6849.0</v>
      </c>
      <c r="J58" s="8">
        <f t="shared" ref="J58:N58" si="16">SUM(J56:J57)</f>
        <v>5351</v>
      </c>
      <c r="K58" s="8">
        <f t="shared" si="16"/>
        <v>6445</v>
      </c>
      <c r="L58" s="8">
        <f t="shared" si="16"/>
        <v>7277</v>
      </c>
      <c r="M58" s="8">
        <f t="shared" si="16"/>
        <v>8348</v>
      </c>
      <c r="N58" s="8">
        <f t="shared" si="16"/>
        <v>6106</v>
      </c>
      <c r="O58" s="8">
        <f t="shared" si="14"/>
        <v>72154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2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 t="s">
        <v>0</v>
      </c>
      <c r="B61" s="2" t="s">
        <v>28</v>
      </c>
      <c r="C61" s="2" t="s">
        <v>2</v>
      </c>
      <c r="D61" s="2" t="s">
        <v>309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20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5"/>
      <c r="B62" s="5" t="s">
        <v>29</v>
      </c>
      <c r="C62" s="6">
        <v>5356.0</v>
      </c>
      <c r="D62" s="6">
        <v>1240.0</v>
      </c>
      <c r="E62" s="6">
        <v>1390.0</v>
      </c>
      <c r="F62" s="6">
        <v>2220.0</v>
      </c>
      <c r="G62" s="6">
        <v>2853.0</v>
      </c>
      <c r="H62" s="6">
        <v>1821.0</v>
      </c>
      <c r="I62" s="6">
        <v>4063.0</v>
      </c>
      <c r="J62" s="6">
        <v>2845.0</v>
      </c>
      <c r="K62" s="6">
        <v>4289.0</v>
      </c>
      <c r="L62" s="6">
        <v>6214.0</v>
      </c>
      <c r="M62" s="6">
        <v>6027.0</v>
      </c>
      <c r="N62" s="6">
        <v>3964.0</v>
      </c>
      <c r="O62" s="6">
        <f t="shared" ref="O62:O64" si="17">SUM(C62:N62)</f>
        <v>42282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2">
        <v>2008.0</v>
      </c>
      <c r="B63" s="5" t="s">
        <v>30</v>
      </c>
      <c r="C63" s="6">
        <v>2575.0</v>
      </c>
      <c r="D63" s="6">
        <v>227.0</v>
      </c>
      <c r="E63" s="6">
        <v>187.0</v>
      </c>
      <c r="F63" s="6">
        <v>108.0</v>
      </c>
      <c r="G63" s="6">
        <v>178.0</v>
      </c>
      <c r="H63" s="6">
        <v>63.0</v>
      </c>
      <c r="I63" s="6">
        <v>203.0</v>
      </c>
      <c r="J63" s="6">
        <v>274.0</v>
      </c>
      <c r="K63" s="6">
        <v>273.0</v>
      </c>
      <c r="L63" s="6">
        <v>412.0</v>
      </c>
      <c r="M63" s="6">
        <v>92.0</v>
      </c>
      <c r="N63" s="6">
        <v>123.0</v>
      </c>
      <c r="O63" s="6">
        <f t="shared" si="17"/>
        <v>4715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2"/>
      <c r="B64" s="5" t="s">
        <v>14</v>
      </c>
      <c r="C64" s="8">
        <f t="shared" ref="C64:N64" si="18">SUM(C62:C63)</f>
        <v>7931</v>
      </c>
      <c r="D64" s="8">
        <f t="shared" si="18"/>
        <v>1467</v>
      </c>
      <c r="E64" s="8">
        <f t="shared" si="18"/>
        <v>1577</v>
      </c>
      <c r="F64" s="8">
        <f t="shared" si="18"/>
        <v>2328</v>
      </c>
      <c r="G64" s="8">
        <f t="shared" si="18"/>
        <v>3031</v>
      </c>
      <c r="H64" s="8">
        <f t="shared" si="18"/>
        <v>1884</v>
      </c>
      <c r="I64" s="8">
        <f t="shared" si="18"/>
        <v>4266</v>
      </c>
      <c r="J64" s="8">
        <f t="shared" si="18"/>
        <v>3119</v>
      </c>
      <c r="K64" s="8">
        <f t="shared" si="18"/>
        <v>4562</v>
      </c>
      <c r="L64" s="8">
        <f t="shared" si="18"/>
        <v>6626</v>
      </c>
      <c r="M64" s="8">
        <f t="shared" si="18"/>
        <v>6119</v>
      </c>
      <c r="N64" s="8">
        <f t="shared" si="18"/>
        <v>4087</v>
      </c>
      <c r="O64" s="8">
        <f t="shared" si="17"/>
        <v>46997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54" t="s">
        <v>310</v>
      </c>
      <c r="B65" s="155"/>
      <c r="C65" s="155"/>
      <c r="D65" s="15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8"/>
      <c r="M67" s="1"/>
      <c r="N67" s="7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2" t="s">
        <v>0</v>
      </c>
      <c r="B68" s="2" t="s">
        <v>28</v>
      </c>
      <c r="C68" s="2" t="s">
        <v>2</v>
      </c>
      <c r="D68" s="2" t="s">
        <v>309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20</v>
      </c>
      <c r="K68" s="2" t="s">
        <v>10</v>
      </c>
      <c r="L68" s="2" t="s">
        <v>11</v>
      </c>
      <c r="M68" s="2" t="s">
        <v>12</v>
      </c>
      <c r="N68" s="2" t="s">
        <v>13</v>
      </c>
      <c r="O68" s="2" t="s">
        <v>14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5"/>
      <c r="B69" s="5" t="s">
        <v>29</v>
      </c>
      <c r="C69" s="6">
        <v>3591.0</v>
      </c>
      <c r="D69" s="6">
        <v>1438.0</v>
      </c>
      <c r="E69" s="6">
        <v>1432.0</v>
      </c>
      <c r="F69" s="6">
        <v>2117.0</v>
      </c>
      <c r="G69" s="6">
        <v>2428.0</v>
      </c>
      <c r="H69" s="6">
        <v>1882.0</v>
      </c>
      <c r="I69" s="6">
        <v>1841.0</v>
      </c>
      <c r="J69" s="6">
        <v>620.0</v>
      </c>
      <c r="K69" s="6">
        <v>1594.0</v>
      </c>
      <c r="L69" s="6">
        <v>3817.0</v>
      </c>
      <c r="M69" s="6">
        <v>5929.0</v>
      </c>
      <c r="N69" s="6">
        <v>2587.0</v>
      </c>
      <c r="O69" s="6">
        <f t="shared" ref="O69:O71" si="19">SUM(C69:N69)</f>
        <v>29276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2">
        <v>2009.0</v>
      </c>
      <c r="B70" s="5" t="s">
        <v>30</v>
      </c>
      <c r="C70" s="6">
        <v>231.0</v>
      </c>
      <c r="D70" s="6">
        <v>126.0</v>
      </c>
      <c r="E70" s="6">
        <v>140.0</v>
      </c>
      <c r="F70" s="6">
        <v>84.0</v>
      </c>
      <c r="G70" s="6">
        <v>142.0</v>
      </c>
      <c r="H70" s="6">
        <v>86.0</v>
      </c>
      <c r="I70" s="6">
        <v>136.0</v>
      </c>
      <c r="J70" s="6">
        <v>96.0</v>
      </c>
      <c r="K70" s="6">
        <v>256.0</v>
      </c>
      <c r="L70" s="6">
        <v>248.0</v>
      </c>
      <c r="M70" s="6">
        <v>132.0</v>
      </c>
      <c r="N70" s="6">
        <v>52.0</v>
      </c>
      <c r="O70" s="6">
        <f t="shared" si="19"/>
        <v>1729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2"/>
      <c r="B71" s="5" t="s">
        <v>14</v>
      </c>
      <c r="C71" s="8">
        <f t="shared" ref="C71:D71" si="20">SUM(C69:C70)</f>
        <v>3822</v>
      </c>
      <c r="D71" s="8">
        <f t="shared" si="20"/>
        <v>1564</v>
      </c>
      <c r="E71" s="8">
        <v>1572.0</v>
      </c>
      <c r="F71" s="8">
        <f t="shared" ref="F71:N71" si="21">SUM(F69:F70)</f>
        <v>2201</v>
      </c>
      <c r="G71" s="8">
        <f t="shared" si="21"/>
        <v>2570</v>
      </c>
      <c r="H71" s="8">
        <f t="shared" si="21"/>
        <v>1968</v>
      </c>
      <c r="I71" s="8">
        <f t="shared" si="21"/>
        <v>1977</v>
      </c>
      <c r="J71" s="8">
        <f t="shared" si="21"/>
        <v>716</v>
      </c>
      <c r="K71" s="8">
        <f t="shared" si="21"/>
        <v>1850</v>
      </c>
      <c r="L71" s="8">
        <f t="shared" si="21"/>
        <v>4065</v>
      </c>
      <c r="M71" s="8">
        <f t="shared" si="21"/>
        <v>6061</v>
      </c>
      <c r="N71" s="8">
        <f t="shared" si="21"/>
        <v>2639</v>
      </c>
      <c r="O71" s="8">
        <f t="shared" si="19"/>
        <v>31005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83" t="s">
        <v>311</v>
      </c>
      <c r="B72" s="8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2" t="s">
        <v>0</v>
      </c>
      <c r="B75" s="2" t="s">
        <v>28</v>
      </c>
      <c r="C75" s="2" t="s">
        <v>2</v>
      </c>
      <c r="D75" s="2" t="s">
        <v>309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20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5"/>
      <c r="B76" s="5" t="s">
        <v>29</v>
      </c>
      <c r="C76" s="6">
        <v>2569.0</v>
      </c>
      <c r="D76" s="6">
        <v>982.0</v>
      </c>
      <c r="E76" s="6">
        <v>1700.0</v>
      </c>
      <c r="F76" s="6" t="s">
        <v>308</v>
      </c>
      <c r="G76" s="6" t="s">
        <v>308</v>
      </c>
      <c r="H76" s="6" t="s">
        <v>308</v>
      </c>
      <c r="I76" s="6" t="s">
        <v>308</v>
      </c>
      <c r="J76" s="6" t="s">
        <v>308</v>
      </c>
      <c r="K76" s="6" t="s">
        <v>308</v>
      </c>
      <c r="L76" s="6" t="s">
        <v>308</v>
      </c>
      <c r="M76" s="6" t="s">
        <v>308</v>
      </c>
      <c r="N76" s="6" t="s">
        <v>308</v>
      </c>
      <c r="O76" s="6">
        <f t="shared" ref="O76:O78" si="22">SUM(C76:N76)</f>
        <v>5251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2">
        <v>2010.0</v>
      </c>
      <c r="B77" s="5" t="s">
        <v>30</v>
      </c>
      <c r="C77" s="6">
        <v>122.0</v>
      </c>
      <c r="D77" s="6">
        <v>126.0</v>
      </c>
      <c r="E77" s="6">
        <v>83.0</v>
      </c>
      <c r="F77" s="6" t="s">
        <v>308</v>
      </c>
      <c r="G77" s="6" t="s">
        <v>308</v>
      </c>
      <c r="H77" s="6" t="s">
        <v>308</v>
      </c>
      <c r="I77" s="6" t="s">
        <v>308</v>
      </c>
      <c r="J77" s="6" t="s">
        <v>308</v>
      </c>
      <c r="K77" s="6" t="s">
        <v>308</v>
      </c>
      <c r="L77" s="6" t="s">
        <v>308</v>
      </c>
      <c r="M77" s="6" t="s">
        <v>308</v>
      </c>
      <c r="N77" s="6" t="s">
        <v>308</v>
      </c>
      <c r="O77" s="6">
        <f t="shared" si="22"/>
        <v>331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2"/>
      <c r="B78" s="5" t="s">
        <v>14</v>
      </c>
      <c r="C78" s="8">
        <f t="shared" ref="C78:N78" si="23">SUM(C76:C77)</f>
        <v>2691</v>
      </c>
      <c r="D78" s="8">
        <f t="shared" si="23"/>
        <v>1108</v>
      </c>
      <c r="E78" s="8">
        <f t="shared" si="23"/>
        <v>1783</v>
      </c>
      <c r="F78" s="8">
        <f t="shared" si="23"/>
        <v>0</v>
      </c>
      <c r="G78" s="8">
        <f t="shared" si="23"/>
        <v>0</v>
      </c>
      <c r="H78" s="8">
        <f t="shared" si="23"/>
        <v>0</v>
      </c>
      <c r="I78" s="8">
        <f t="shared" si="23"/>
        <v>0</v>
      </c>
      <c r="J78" s="8">
        <f t="shared" si="23"/>
        <v>0</v>
      </c>
      <c r="K78" s="8">
        <f t="shared" si="23"/>
        <v>0</v>
      </c>
      <c r="L78" s="8">
        <f t="shared" si="23"/>
        <v>0</v>
      </c>
      <c r="M78" s="8">
        <f t="shared" si="23"/>
        <v>0</v>
      </c>
      <c r="N78" s="8">
        <f t="shared" si="23"/>
        <v>0</v>
      </c>
      <c r="O78" s="8">
        <f t="shared" si="22"/>
        <v>5582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83" t="s">
        <v>311</v>
      </c>
      <c r="B79" s="8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83" t="s">
        <v>312</v>
      </c>
      <c r="B80" s="8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65:D65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2002-07-01T13:05:21Z</dcterms:created>
  <dc:creator>SMTR</dc:creator>
</cp:coreProperties>
</file>