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C:\Users\amanda.romano\Downloads\"/>
    </mc:Choice>
  </mc:AlternateContent>
  <xr:revisionPtr revIDLastSave="0" documentId="13_ncr:1_{2BD24629-DDD3-44F8-9DBF-7C80A94FFF67}" xr6:coauthVersionLast="47" xr6:coauthVersionMax="47" xr10:uidLastSave="{00000000-0000-0000-0000-000000000000}"/>
  <bookViews>
    <workbookView xWindow="28680" yWindow="-120" windowWidth="29040" windowHeight="15840" firstSheet="2" activeTab="2" xr2:uid="{3CBE272B-47F1-4DAF-8E65-C40122CF71FC}"/>
  </bookViews>
  <sheets>
    <sheet name=".Auxiliar" sheetId="5" state="hidden" r:id="rId1"/>
    <sheet name=".concessionárias" sheetId="7" state="hidden" r:id="rId2"/>
    <sheet name="PPI" sheetId="6" r:id="rId3"/>
    <sheet name="CRO" sheetId="8" state="hidden" r:id="rId4"/>
    <sheet name="Regis" sheetId="10" state="hidden" r:id="rId5"/>
  </sheets>
  <definedNames>
    <definedName name="_xlnm._FilterDatabase" localSheetId="0" hidden="1">'.Auxiliar'!$A$2:$W$1713</definedName>
    <definedName name="_xlnm._FilterDatabase" localSheetId="2" hidden="1">PPI!$A$2:$Z$1339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1" i="6" l="1"/>
  <c r="V189" i="6"/>
  <c r="U131" i="6"/>
  <c r="Q132" i="6" l="1"/>
  <c r="S130" i="6" l="1"/>
  <c r="U450" i="6" l="1"/>
  <c r="U451" i="6"/>
  <c r="U452" i="6"/>
  <c r="U453" i="6"/>
  <c r="U454" i="6"/>
  <c r="U455" i="6"/>
  <c r="U456" i="6"/>
  <c r="U459" i="6"/>
  <c r="U460" i="6"/>
  <c r="U461" i="6"/>
  <c r="U462" i="6"/>
  <c r="U463" i="6"/>
  <c r="U467" i="6"/>
  <c r="U468" i="6"/>
  <c r="U469" i="6"/>
  <c r="U470" i="6"/>
  <c r="U471" i="6"/>
  <c r="U473" i="6"/>
  <c r="U474" i="6"/>
  <c r="U475" i="6"/>
  <c r="U476" i="6"/>
  <c r="U477" i="6"/>
  <c r="U480" i="6"/>
  <c r="U481" i="6"/>
  <c r="U482" i="6"/>
  <c r="U483" i="6"/>
  <c r="U484" i="6"/>
  <c r="U485" i="6"/>
  <c r="U486" i="6"/>
  <c r="U487" i="6"/>
  <c r="U489" i="6"/>
  <c r="U490" i="6"/>
  <c r="U491" i="6"/>
  <c r="U492" i="6"/>
  <c r="U493" i="6"/>
  <c r="U494" i="6"/>
  <c r="U495" i="6"/>
  <c r="U496" i="6"/>
  <c r="U497" i="6"/>
  <c r="U498" i="6"/>
  <c r="U499" i="6"/>
  <c r="U500" i="6"/>
  <c r="U501" i="6"/>
  <c r="U502" i="6"/>
  <c r="U503" i="6"/>
  <c r="U504" i="6"/>
  <c r="U505" i="6"/>
  <c r="U506" i="6"/>
  <c r="U507" i="6"/>
  <c r="U508" i="6"/>
  <c r="U509" i="6"/>
  <c r="U510" i="6"/>
  <c r="U511" i="6"/>
  <c r="U512" i="6"/>
  <c r="U513" i="6"/>
  <c r="U514" i="6"/>
  <c r="U515" i="6"/>
  <c r="U516" i="6"/>
  <c r="U517" i="6"/>
  <c r="U518" i="6"/>
  <c r="U519" i="6"/>
  <c r="U520" i="6"/>
  <c r="U521" i="6"/>
  <c r="U522" i="6"/>
  <c r="U523" i="6"/>
  <c r="U524" i="6"/>
  <c r="U525" i="6"/>
  <c r="U526" i="6"/>
  <c r="U527" i="6"/>
  <c r="U528" i="6"/>
  <c r="U529" i="6"/>
  <c r="U530" i="6"/>
  <c r="U531" i="6"/>
  <c r="U532" i="6"/>
  <c r="U533" i="6"/>
  <c r="U534" i="6"/>
  <c r="U535" i="6"/>
  <c r="U536" i="6"/>
  <c r="U537" i="6"/>
  <c r="U538" i="6"/>
  <c r="U540" i="6"/>
  <c r="U541" i="6"/>
  <c r="U542" i="6"/>
  <c r="U543" i="6"/>
  <c r="U544" i="6"/>
  <c r="U545" i="6"/>
  <c r="U546" i="6"/>
  <c r="U547" i="6"/>
  <c r="U548" i="6"/>
  <c r="U549" i="6"/>
  <c r="U550" i="6"/>
  <c r="U551" i="6"/>
  <c r="U552" i="6"/>
  <c r="U553" i="6"/>
  <c r="U554" i="6"/>
  <c r="U555" i="6"/>
  <c r="U556" i="6"/>
  <c r="U557" i="6"/>
  <c r="U558" i="6"/>
  <c r="U559" i="6"/>
  <c r="U560" i="6"/>
  <c r="U561" i="6"/>
  <c r="U562" i="6"/>
  <c r="U563" i="6"/>
  <c r="U564" i="6"/>
  <c r="U565" i="6"/>
  <c r="U566" i="6"/>
  <c r="U567" i="6"/>
  <c r="U568" i="6"/>
  <c r="U569" i="6"/>
  <c r="U570" i="6"/>
  <c r="U571" i="6"/>
  <c r="U572" i="6"/>
  <c r="U573" i="6"/>
  <c r="U574" i="6"/>
  <c r="U575" i="6"/>
  <c r="U576" i="6"/>
  <c r="U577" i="6"/>
  <c r="U578" i="6"/>
  <c r="U579" i="6"/>
  <c r="U580" i="6"/>
  <c r="U581" i="6"/>
  <c r="U582" i="6"/>
  <c r="U583" i="6"/>
  <c r="U584" i="6"/>
  <c r="U585" i="6"/>
  <c r="U586" i="6"/>
  <c r="U587" i="6"/>
  <c r="U588" i="6"/>
  <c r="U589" i="6"/>
  <c r="U590" i="6"/>
  <c r="U591" i="6"/>
  <c r="U592" i="6"/>
  <c r="U593" i="6"/>
  <c r="U594" i="6"/>
  <c r="U595" i="6"/>
  <c r="U596" i="6"/>
  <c r="U597" i="6"/>
  <c r="U598" i="6"/>
  <c r="U599" i="6"/>
  <c r="U600" i="6"/>
  <c r="U601" i="6"/>
  <c r="U602" i="6"/>
  <c r="U603" i="6"/>
  <c r="U604" i="6"/>
  <c r="U605" i="6"/>
  <c r="U606" i="6"/>
  <c r="U607" i="6"/>
  <c r="U608" i="6"/>
  <c r="U609" i="6"/>
  <c r="U610" i="6"/>
  <c r="U611" i="6"/>
  <c r="U612" i="6"/>
  <c r="U613" i="6"/>
  <c r="U614" i="6"/>
  <c r="U615" i="6"/>
  <c r="U616" i="6"/>
  <c r="U617" i="6"/>
  <c r="U618" i="6"/>
  <c r="U619" i="6"/>
  <c r="U620" i="6"/>
  <c r="U621" i="6"/>
  <c r="U622" i="6"/>
  <c r="U623" i="6"/>
  <c r="U624" i="6"/>
  <c r="U625" i="6"/>
  <c r="U626" i="6"/>
  <c r="U627" i="6"/>
  <c r="U628" i="6"/>
  <c r="U629" i="6"/>
  <c r="U630" i="6"/>
  <c r="U631" i="6"/>
  <c r="U632" i="6"/>
  <c r="U633" i="6"/>
  <c r="U634" i="6"/>
  <c r="U635" i="6"/>
  <c r="U636" i="6"/>
  <c r="U637" i="6"/>
  <c r="U638" i="6"/>
  <c r="U639" i="6"/>
  <c r="U640" i="6"/>
  <c r="U641" i="6"/>
  <c r="U642" i="6"/>
  <c r="U643" i="6"/>
  <c r="U644" i="6"/>
  <c r="U645" i="6"/>
  <c r="U646" i="6"/>
  <c r="U647" i="6"/>
  <c r="U648" i="6"/>
  <c r="U649" i="6"/>
  <c r="U650" i="6"/>
  <c r="U651" i="6"/>
  <c r="U652" i="6"/>
  <c r="U653" i="6"/>
  <c r="U654" i="6"/>
  <c r="U655" i="6"/>
  <c r="U656" i="6"/>
  <c r="U657" i="6"/>
  <c r="U658" i="6"/>
  <c r="U659" i="6"/>
  <c r="U660" i="6"/>
  <c r="U661" i="6"/>
  <c r="U662" i="6"/>
  <c r="U663" i="6"/>
  <c r="U664" i="6"/>
  <c r="U665" i="6"/>
  <c r="U666" i="6"/>
  <c r="U667" i="6"/>
  <c r="U668" i="6"/>
  <c r="U669" i="6"/>
  <c r="U670" i="6"/>
  <c r="U671" i="6"/>
  <c r="U672" i="6"/>
  <c r="U673" i="6"/>
  <c r="U674" i="6"/>
  <c r="U675" i="6"/>
  <c r="U676" i="6"/>
  <c r="U677" i="6"/>
  <c r="U678" i="6"/>
  <c r="U679" i="6"/>
  <c r="U680" i="6"/>
  <c r="U681" i="6"/>
  <c r="U682" i="6"/>
  <c r="U683" i="6"/>
  <c r="U684" i="6"/>
  <c r="U685" i="6"/>
  <c r="U686" i="6"/>
  <c r="U687" i="6"/>
  <c r="U688" i="6"/>
  <c r="U689" i="6"/>
  <c r="U690" i="6"/>
  <c r="U691" i="6"/>
  <c r="U692" i="6"/>
  <c r="U693" i="6"/>
  <c r="U694" i="6"/>
  <c r="U695" i="6"/>
  <c r="U696" i="6"/>
  <c r="U697" i="6"/>
  <c r="U698" i="6"/>
  <c r="U699" i="6"/>
  <c r="U700" i="6"/>
  <c r="U701" i="6"/>
  <c r="U702" i="6"/>
  <c r="U703" i="6"/>
  <c r="U704" i="6"/>
  <c r="U705" i="6"/>
  <c r="U706" i="6"/>
  <c r="U707" i="6"/>
  <c r="U708" i="6"/>
  <c r="U709" i="6"/>
  <c r="U710" i="6"/>
  <c r="U711" i="6"/>
  <c r="U712" i="6"/>
  <c r="U713" i="6"/>
  <c r="U714" i="6"/>
  <c r="U715" i="6"/>
  <c r="U716" i="6"/>
  <c r="U717" i="6"/>
  <c r="U718" i="6"/>
  <c r="U719" i="6"/>
  <c r="U720" i="6"/>
  <c r="U721" i="6"/>
  <c r="U722" i="6"/>
  <c r="U723" i="6"/>
  <c r="U724" i="6"/>
  <c r="U725" i="6"/>
  <c r="U726" i="6"/>
  <c r="U727" i="6"/>
  <c r="U728" i="6"/>
  <c r="U729" i="6"/>
  <c r="U730" i="6"/>
  <c r="U731" i="6"/>
  <c r="U732" i="6"/>
  <c r="U733" i="6"/>
  <c r="U734" i="6"/>
  <c r="U735" i="6"/>
  <c r="U736" i="6"/>
  <c r="U737" i="6"/>
  <c r="U738" i="6"/>
  <c r="U739" i="6"/>
  <c r="U740" i="6"/>
  <c r="U741" i="6"/>
  <c r="U742" i="6"/>
  <c r="U743" i="6"/>
  <c r="U744" i="6"/>
  <c r="U745" i="6"/>
  <c r="U746" i="6"/>
  <c r="U747" i="6"/>
  <c r="U748" i="6"/>
  <c r="U749" i="6"/>
  <c r="U750" i="6"/>
  <c r="U751" i="6"/>
  <c r="U752" i="6"/>
  <c r="U753" i="6"/>
  <c r="U754" i="6"/>
  <c r="U755" i="6"/>
  <c r="U756" i="6"/>
  <c r="U757" i="6"/>
  <c r="U758" i="6"/>
  <c r="U759" i="6"/>
  <c r="U760" i="6"/>
  <c r="U761" i="6"/>
  <c r="U762" i="6"/>
  <c r="U763" i="6"/>
  <c r="U764" i="6"/>
  <c r="U765" i="6"/>
  <c r="U766" i="6"/>
  <c r="U767" i="6"/>
  <c r="U768" i="6"/>
  <c r="U769" i="6"/>
  <c r="U770" i="6"/>
  <c r="U771" i="6"/>
  <c r="U772" i="6"/>
  <c r="U773" i="6"/>
  <c r="U774" i="6"/>
  <c r="U775" i="6"/>
  <c r="U776" i="6"/>
  <c r="U777" i="6"/>
  <c r="U778" i="6"/>
  <c r="U779" i="6"/>
  <c r="U780" i="6"/>
  <c r="U781" i="6"/>
  <c r="U782" i="6"/>
  <c r="U783" i="6"/>
  <c r="U784" i="6"/>
  <c r="U785" i="6"/>
  <c r="U786" i="6"/>
  <c r="U787" i="6"/>
  <c r="U788" i="6"/>
  <c r="U789" i="6"/>
  <c r="U790" i="6"/>
  <c r="U791" i="6"/>
  <c r="U792" i="6"/>
  <c r="U793" i="6"/>
  <c r="U794" i="6"/>
  <c r="U795" i="6"/>
  <c r="U796" i="6"/>
  <c r="U797" i="6"/>
  <c r="U798" i="6"/>
  <c r="U799" i="6"/>
  <c r="U800" i="6"/>
  <c r="U801" i="6"/>
  <c r="U802" i="6"/>
  <c r="U803" i="6"/>
  <c r="U804" i="6"/>
  <c r="U805" i="6"/>
  <c r="U806" i="6"/>
  <c r="U807" i="6"/>
  <c r="U808" i="6"/>
  <c r="U809" i="6"/>
  <c r="U810" i="6"/>
  <c r="U811" i="6"/>
  <c r="U812" i="6"/>
  <c r="U813" i="6"/>
  <c r="U814" i="6"/>
  <c r="U815" i="6"/>
  <c r="U816" i="6"/>
  <c r="U817" i="6"/>
  <c r="U818" i="6"/>
  <c r="U819" i="6"/>
  <c r="U820" i="6"/>
  <c r="U821" i="6"/>
  <c r="U822" i="6"/>
  <c r="U823" i="6"/>
  <c r="U824" i="6"/>
  <c r="U825" i="6"/>
  <c r="U826" i="6"/>
  <c r="U827" i="6"/>
  <c r="U828" i="6"/>
  <c r="U829" i="6"/>
  <c r="U831" i="6"/>
  <c r="U832" i="6"/>
  <c r="U833" i="6"/>
  <c r="U834" i="6"/>
  <c r="U835" i="6"/>
  <c r="U836" i="6"/>
  <c r="U837" i="6"/>
  <c r="U838" i="6"/>
  <c r="U839" i="6"/>
  <c r="U840" i="6"/>
  <c r="U841" i="6"/>
  <c r="U842" i="6"/>
  <c r="U843" i="6"/>
  <c r="U844" i="6"/>
  <c r="U845" i="6"/>
  <c r="U846" i="6"/>
  <c r="U847" i="6"/>
  <c r="U848" i="6"/>
  <c r="U849" i="6"/>
  <c r="U850" i="6"/>
  <c r="U851" i="6"/>
  <c r="U852" i="6"/>
  <c r="U853" i="6"/>
  <c r="U854" i="6"/>
  <c r="U855" i="6"/>
  <c r="U856" i="6"/>
  <c r="U857" i="6"/>
  <c r="U858" i="6"/>
  <c r="U859" i="6"/>
  <c r="U860" i="6"/>
  <c r="U861" i="6"/>
  <c r="U862" i="6"/>
  <c r="U863" i="6"/>
  <c r="U864" i="6"/>
  <c r="U865" i="6"/>
  <c r="U866" i="6"/>
  <c r="U867" i="6"/>
  <c r="U868" i="6"/>
  <c r="U869" i="6"/>
  <c r="U870" i="6"/>
  <c r="U871" i="6"/>
  <c r="U872" i="6"/>
  <c r="U873" i="6"/>
  <c r="U874" i="6"/>
  <c r="U875" i="6"/>
  <c r="U876" i="6"/>
  <c r="U877" i="6"/>
  <c r="U878" i="6"/>
  <c r="U879" i="6"/>
  <c r="U880" i="6"/>
  <c r="U881" i="6"/>
  <c r="U882" i="6"/>
  <c r="U883" i="6"/>
  <c r="U884" i="6"/>
  <c r="U885" i="6"/>
  <c r="U886" i="6"/>
  <c r="U887" i="6"/>
  <c r="U888" i="6"/>
  <c r="U889" i="6"/>
  <c r="U890" i="6"/>
  <c r="U891" i="6"/>
  <c r="U892" i="6"/>
  <c r="U893" i="6"/>
  <c r="U894" i="6"/>
  <c r="U895" i="6"/>
  <c r="U896" i="6"/>
  <c r="U897" i="6"/>
  <c r="U898" i="6"/>
  <c r="U899" i="6"/>
  <c r="U900" i="6"/>
  <c r="U901" i="6"/>
  <c r="U902" i="6"/>
  <c r="U903" i="6"/>
  <c r="U904" i="6"/>
  <c r="U905" i="6"/>
  <c r="U906" i="6"/>
  <c r="U907" i="6"/>
  <c r="U908" i="6"/>
  <c r="U909" i="6"/>
  <c r="U910" i="6"/>
  <c r="U911" i="6"/>
  <c r="U912" i="6"/>
  <c r="U913" i="6"/>
  <c r="U914" i="6"/>
  <c r="U915" i="6"/>
  <c r="U916" i="6"/>
  <c r="U917" i="6"/>
  <c r="U918" i="6"/>
  <c r="U919" i="6"/>
  <c r="U920" i="6"/>
  <c r="U921" i="6"/>
  <c r="U922" i="6"/>
  <c r="U923" i="6"/>
  <c r="U924" i="6"/>
  <c r="U925" i="6"/>
  <c r="U926" i="6"/>
  <c r="U927" i="6"/>
  <c r="U928" i="6"/>
  <c r="U929" i="6"/>
  <c r="U930" i="6"/>
  <c r="U931" i="6"/>
  <c r="U932" i="6"/>
  <c r="U933" i="6"/>
  <c r="U934" i="6"/>
  <c r="U935" i="6"/>
  <c r="U936" i="6"/>
  <c r="U937" i="6"/>
  <c r="U938" i="6"/>
  <c r="U939" i="6"/>
  <c r="U940" i="6"/>
  <c r="U941" i="6"/>
  <c r="U942" i="6"/>
  <c r="U943" i="6"/>
  <c r="U944" i="6"/>
  <c r="U945" i="6"/>
  <c r="U946" i="6"/>
  <c r="U947" i="6"/>
  <c r="U948" i="6"/>
  <c r="U949" i="6"/>
  <c r="U950" i="6"/>
  <c r="U951" i="6"/>
  <c r="U952" i="6"/>
  <c r="U953" i="6"/>
  <c r="U954" i="6"/>
  <c r="U955" i="6"/>
  <c r="U956" i="6"/>
  <c r="U957" i="6"/>
  <c r="U958" i="6"/>
  <c r="U959" i="6"/>
  <c r="U960" i="6"/>
  <c r="U961" i="6"/>
  <c r="U962" i="6"/>
  <c r="U963" i="6"/>
  <c r="U964" i="6"/>
  <c r="U965" i="6"/>
  <c r="U966" i="6"/>
  <c r="U967" i="6"/>
  <c r="U968" i="6"/>
  <c r="U969" i="6"/>
  <c r="U970" i="6"/>
  <c r="U971" i="6"/>
  <c r="U972" i="6"/>
  <c r="U973" i="6"/>
  <c r="U974" i="6"/>
  <c r="U975" i="6"/>
  <c r="U976" i="6"/>
  <c r="U977" i="6"/>
  <c r="U978" i="6"/>
  <c r="U979" i="6"/>
  <c r="U980" i="6"/>
  <c r="U981" i="6"/>
  <c r="U982" i="6"/>
  <c r="U984" i="6"/>
  <c r="U985" i="6"/>
  <c r="U986" i="6"/>
  <c r="U987" i="6"/>
  <c r="U988" i="6"/>
  <c r="U989" i="6"/>
  <c r="U990" i="6"/>
  <c r="U991" i="6"/>
  <c r="U992" i="6"/>
  <c r="U993" i="6"/>
  <c r="U994" i="6"/>
  <c r="U995" i="6"/>
  <c r="U996" i="6"/>
  <c r="U997" i="6"/>
  <c r="U998" i="6"/>
  <c r="U999" i="6"/>
  <c r="U1000" i="6"/>
  <c r="U1001" i="6"/>
  <c r="U1002" i="6"/>
  <c r="U1003" i="6"/>
  <c r="U1004" i="6"/>
  <c r="U1005" i="6"/>
  <c r="U1006" i="6"/>
  <c r="U1007" i="6"/>
  <c r="U1008" i="6"/>
  <c r="U1009" i="6"/>
  <c r="U1010" i="6"/>
  <c r="U1011" i="6"/>
  <c r="U1012" i="6"/>
  <c r="U1013" i="6"/>
  <c r="U1014" i="6"/>
  <c r="U1015" i="6"/>
  <c r="U1016" i="6"/>
  <c r="U1017" i="6"/>
  <c r="U1018" i="6"/>
  <c r="U1019" i="6"/>
  <c r="U1020" i="6"/>
  <c r="U1021" i="6"/>
  <c r="U1022" i="6"/>
  <c r="U1023" i="6"/>
  <c r="U1024" i="6"/>
  <c r="U1025" i="6"/>
  <c r="U1026" i="6"/>
  <c r="U1027" i="6"/>
  <c r="U1028" i="6"/>
  <c r="U1029" i="6"/>
  <c r="U1030" i="6"/>
  <c r="U1031" i="6"/>
  <c r="U1032" i="6"/>
  <c r="U1033" i="6"/>
  <c r="U1034" i="6"/>
  <c r="U1035" i="6"/>
  <c r="U1036" i="6"/>
  <c r="U1037" i="6"/>
  <c r="U1038" i="6"/>
  <c r="U1039" i="6"/>
  <c r="U1040" i="6"/>
  <c r="U1041" i="6"/>
  <c r="U1042" i="6"/>
  <c r="U1043" i="6"/>
  <c r="U1044" i="6"/>
  <c r="U1045" i="6"/>
  <c r="U1046" i="6"/>
  <c r="U1047" i="6"/>
  <c r="U1048" i="6"/>
  <c r="U1049" i="6"/>
  <c r="U1050" i="6"/>
  <c r="U1051" i="6"/>
  <c r="U1052" i="6"/>
  <c r="U1053" i="6"/>
  <c r="U1054" i="6"/>
  <c r="U1055" i="6"/>
  <c r="U1056" i="6"/>
  <c r="U1057" i="6"/>
  <c r="U1058" i="6"/>
  <c r="U1059" i="6"/>
  <c r="U1060" i="6"/>
  <c r="U1061" i="6"/>
  <c r="U1062" i="6"/>
  <c r="U1063" i="6"/>
  <c r="U1064" i="6"/>
  <c r="U1065" i="6"/>
  <c r="U1066" i="6"/>
  <c r="U1067" i="6"/>
  <c r="U1068" i="6"/>
  <c r="U1069" i="6"/>
  <c r="U1070" i="6"/>
  <c r="U1071" i="6"/>
  <c r="U1072" i="6"/>
  <c r="U1073" i="6"/>
  <c r="U1074" i="6"/>
  <c r="U1075" i="6"/>
  <c r="U1076" i="6"/>
  <c r="U1077" i="6"/>
  <c r="U1078" i="6"/>
  <c r="U1079" i="6"/>
  <c r="U1080" i="6"/>
  <c r="U1081" i="6"/>
  <c r="U1082" i="6"/>
  <c r="U1083" i="6"/>
  <c r="U1084" i="6"/>
  <c r="U1085" i="6"/>
  <c r="U1086" i="6"/>
  <c r="U1087" i="6"/>
  <c r="U1088" i="6"/>
  <c r="U1089" i="6"/>
  <c r="U1090" i="6"/>
  <c r="U1091" i="6"/>
  <c r="U1092" i="6"/>
  <c r="U1093" i="6"/>
  <c r="U1094" i="6"/>
  <c r="U1095" i="6"/>
  <c r="U1096" i="6"/>
  <c r="U1097" i="6"/>
  <c r="U1098" i="6"/>
  <c r="U1099" i="6"/>
  <c r="U1100" i="6"/>
  <c r="U1101" i="6"/>
  <c r="U1102" i="6"/>
  <c r="U1103" i="6"/>
  <c r="U1104" i="6"/>
  <c r="U1105" i="6"/>
  <c r="U1107" i="6"/>
  <c r="U1108" i="6"/>
  <c r="U1109" i="6"/>
  <c r="U1110" i="6"/>
  <c r="U1111" i="6"/>
  <c r="U1112" i="6"/>
  <c r="U1113" i="6"/>
  <c r="U1114" i="6"/>
  <c r="U1115" i="6"/>
  <c r="U1116" i="6"/>
  <c r="U1117" i="6"/>
  <c r="U1118" i="6"/>
  <c r="U1119" i="6"/>
  <c r="U1120" i="6"/>
  <c r="U1121" i="6"/>
  <c r="U1122" i="6"/>
  <c r="U1123" i="6"/>
  <c r="U1124" i="6"/>
  <c r="U1125" i="6"/>
  <c r="U1126" i="6"/>
  <c r="U1127" i="6"/>
  <c r="U1128" i="6"/>
  <c r="U1129" i="6"/>
  <c r="U1130" i="6"/>
  <c r="U1131" i="6"/>
  <c r="U1132" i="6"/>
  <c r="U1133" i="6"/>
  <c r="U1134" i="6"/>
  <c r="U1135" i="6"/>
  <c r="U1136" i="6"/>
  <c r="U1137" i="6"/>
  <c r="U1138" i="6"/>
  <c r="U1139" i="6"/>
  <c r="U1140" i="6"/>
  <c r="U1141" i="6"/>
  <c r="U1142" i="6"/>
  <c r="U1143" i="6"/>
  <c r="U1144" i="6"/>
  <c r="U1145" i="6"/>
  <c r="U1146" i="6"/>
  <c r="U1147" i="6"/>
  <c r="U1148" i="6"/>
  <c r="U1149" i="6"/>
  <c r="U1150" i="6"/>
  <c r="U1151" i="6"/>
  <c r="U1152" i="6"/>
  <c r="U1154" i="6"/>
  <c r="U1156" i="6"/>
  <c r="U1157" i="6"/>
  <c r="U1158" i="6"/>
  <c r="U1159" i="6"/>
  <c r="U1160" i="6"/>
  <c r="U1161" i="6"/>
  <c r="U1162" i="6"/>
  <c r="U1163" i="6"/>
  <c r="U1164" i="6"/>
  <c r="U1165" i="6"/>
  <c r="U1166" i="6"/>
  <c r="U1167" i="6"/>
  <c r="U1169" i="6"/>
  <c r="U1170" i="6"/>
  <c r="U1171" i="6"/>
  <c r="U1172" i="6"/>
  <c r="U1173" i="6"/>
  <c r="U1174" i="6"/>
  <c r="U1175" i="6"/>
  <c r="U1176" i="6"/>
  <c r="U1177" i="6"/>
  <c r="U1178" i="6"/>
  <c r="U1179" i="6"/>
  <c r="U1180" i="6"/>
  <c r="U1181" i="6"/>
  <c r="U1182" i="6"/>
  <c r="U1183" i="6"/>
  <c r="U1184" i="6"/>
  <c r="U1185" i="6"/>
  <c r="U1186" i="6"/>
  <c r="U1187" i="6"/>
  <c r="U1188" i="6"/>
  <c r="U1189" i="6"/>
  <c r="U1190" i="6"/>
  <c r="U1191" i="6"/>
  <c r="U1192" i="6"/>
  <c r="U1193" i="6"/>
  <c r="U1194" i="6"/>
  <c r="U1195" i="6"/>
  <c r="U1196" i="6"/>
  <c r="U1197" i="6"/>
  <c r="U1198" i="6"/>
  <c r="U1199" i="6"/>
  <c r="U1200" i="6"/>
  <c r="U1201" i="6"/>
  <c r="U1202" i="6"/>
  <c r="U1203" i="6"/>
  <c r="U1204" i="6"/>
  <c r="U1206" i="6"/>
  <c r="U1207" i="6"/>
  <c r="U1208" i="6"/>
  <c r="U1209" i="6"/>
  <c r="U1210" i="6"/>
  <c r="U1211" i="6"/>
  <c r="U1212" i="6"/>
  <c r="U1213" i="6"/>
  <c r="U1214" i="6"/>
  <c r="U1215" i="6"/>
  <c r="U1216" i="6"/>
  <c r="U1217" i="6"/>
  <c r="U1218" i="6"/>
  <c r="U1219" i="6"/>
  <c r="U1220" i="6"/>
  <c r="U1221" i="6"/>
  <c r="U1222" i="6"/>
  <c r="U1223" i="6"/>
  <c r="U1224" i="6"/>
  <c r="U1225" i="6"/>
  <c r="U1226" i="6"/>
  <c r="U1227" i="6"/>
  <c r="U1228" i="6"/>
  <c r="U1229" i="6"/>
  <c r="U1230" i="6"/>
  <c r="U1231" i="6"/>
  <c r="U1232" i="6"/>
  <c r="U1233" i="6"/>
  <c r="U1234" i="6"/>
  <c r="U1235" i="6"/>
  <c r="U1236" i="6"/>
  <c r="U1237" i="6"/>
  <c r="U1238" i="6"/>
  <c r="U1239" i="6"/>
  <c r="U1240" i="6"/>
  <c r="U1241" i="6"/>
  <c r="U1242" i="6"/>
  <c r="U1243" i="6"/>
  <c r="U1244" i="6"/>
  <c r="U1245" i="6"/>
  <c r="U1246" i="6"/>
  <c r="U1247" i="6"/>
  <c r="U1248" i="6"/>
  <c r="U1249" i="6"/>
  <c r="U1250" i="6"/>
  <c r="U1251" i="6"/>
  <c r="U1252" i="6"/>
  <c r="U1253" i="6"/>
  <c r="U1254" i="6"/>
  <c r="U1255" i="6"/>
  <c r="U1256" i="6"/>
  <c r="U1257" i="6"/>
  <c r="U1258" i="6"/>
  <c r="U1259" i="6"/>
  <c r="U1260" i="6"/>
  <c r="U1261" i="6"/>
  <c r="U1262" i="6"/>
  <c r="U1263" i="6"/>
  <c r="U1264" i="6"/>
  <c r="U1265" i="6"/>
  <c r="U1266" i="6"/>
  <c r="U1267" i="6"/>
  <c r="U1268" i="6"/>
  <c r="U1269" i="6"/>
  <c r="U1270" i="6"/>
  <c r="U1271" i="6"/>
  <c r="U1272" i="6"/>
  <c r="U1273" i="6"/>
  <c r="U1274" i="6"/>
  <c r="U1275" i="6"/>
  <c r="U1276" i="6"/>
  <c r="U1277" i="6"/>
  <c r="U1278" i="6"/>
  <c r="U1279" i="6"/>
  <c r="U1280" i="6"/>
  <c r="U1281" i="6"/>
  <c r="U1282" i="6"/>
  <c r="U1283" i="6"/>
  <c r="U1284" i="6"/>
  <c r="U1285" i="6"/>
  <c r="U1286" i="6"/>
  <c r="U1287" i="6"/>
  <c r="U1288" i="6"/>
  <c r="U1289" i="6"/>
  <c r="U1290" i="6"/>
  <c r="U1291" i="6"/>
  <c r="U1292" i="6"/>
  <c r="U1293" i="6"/>
  <c r="U1294" i="6"/>
  <c r="U1295" i="6"/>
  <c r="U1296" i="6"/>
  <c r="U1297" i="6"/>
  <c r="U1298" i="6"/>
  <c r="U1299" i="6"/>
  <c r="U1300" i="6"/>
  <c r="U1301" i="6"/>
  <c r="U1302" i="6"/>
  <c r="U1303" i="6"/>
  <c r="U1304" i="6"/>
  <c r="U1305" i="6"/>
  <c r="U1306" i="6"/>
  <c r="U1307" i="6"/>
  <c r="U1308" i="6"/>
  <c r="U1309" i="6"/>
  <c r="U1310" i="6"/>
  <c r="U1311" i="6"/>
  <c r="U1312" i="6"/>
  <c r="U1313" i="6"/>
  <c r="U1314" i="6"/>
  <c r="U1315" i="6"/>
  <c r="U1316" i="6"/>
  <c r="U1317" i="6"/>
  <c r="U1318" i="6"/>
  <c r="U1319" i="6"/>
  <c r="U1320" i="6"/>
  <c r="U1321" i="6"/>
  <c r="U1322" i="6"/>
  <c r="U1323" i="6"/>
  <c r="U1324" i="6"/>
  <c r="U1325" i="6"/>
  <c r="U1326" i="6"/>
  <c r="U1327" i="6"/>
  <c r="U1328" i="6"/>
  <c r="U1329" i="6"/>
  <c r="U1330" i="6"/>
  <c r="U1331" i="6"/>
  <c r="U1332" i="6"/>
  <c r="U1333" i="6"/>
  <c r="U1334" i="6"/>
  <c r="U1335" i="6"/>
  <c r="U1336" i="6"/>
  <c r="U1337" i="6"/>
  <c r="U1338" i="6"/>
  <c r="U1339" i="6"/>
  <c r="U449" i="6"/>
  <c r="U4" i="6"/>
  <c r="U5" i="6"/>
  <c r="U6" i="6"/>
  <c r="U7" i="6"/>
  <c r="U8" i="6"/>
  <c r="U9" i="6"/>
  <c r="U10" i="6"/>
  <c r="U11" i="6"/>
  <c r="U12" i="6"/>
  <c r="U13" i="6"/>
  <c r="U14" i="6"/>
  <c r="U15" i="6"/>
  <c r="U16" i="6"/>
  <c r="U17" i="6"/>
  <c r="U18" i="6"/>
  <c r="U19" i="6"/>
  <c r="U20" i="6"/>
  <c r="U21" i="6"/>
  <c r="U22" i="6"/>
  <c r="U23" i="6"/>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U55" i="6"/>
  <c r="U56" i="6"/>
  <c r="U57" i="6"/>
  <c r="U58" i="6"/>
  <c r="U59" i="6"/>
  <c r="U60" i="6"/>
  <c r="U61" i="6"/>
  <c r="U62" i="6"/>
  <c r="U63" i="6"/>
  <c r="U64" i="6"/>
  <c r="U65" i="6"/>
  <c r="U66" i="6"/>
  <c r="U67" i="6"/>
  <c r="U68" i="6"/>
  <c r="U69" i="6"/>
  <c r="U70" i="6"/>
  <c r="U71" i="6"/>
  <c r="U72" i="6"/>
  <c r="U73"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2" i="6"/>
  <c r="U123" i="6"/>
  <c r="U124" i="6"/>
  <c r="U125" i="6"/>
  <c r="U126" i="6"/>
  <c r="U127" i="6"/>
  <c r="U128" i="6"/>
  <c r="U129" i="6"/>
  <c r="U130" i="6"/>
  <c r="U132" i="6"/>
  <c r="U133" i="6"/>
  <c r="U134" i="6"/>
  <c r="U135" i="6"/>
  <c r="U136" i="6"/>
  <c r="U137" i="6"/>
  <c r="U138" i="6"/>
  <c r="U139" i="6"/>
  <c r="U140" i="6"/>
  <c r="U141" i="6"/>
  <c r="U142" i="6"/>
  <c r="U143" i="6"/>
  <c r="U144" i="6"/>
  <c r="U145" i="6"/>
  <c r="U146" i="6"/>
  <c r="U147" i="6"/>
  <c r="U148" i="6"/>
  <c r="U149" i="6"/>
  <c r="U150" i="6"/>
  <c r="U151" i="6"/>
  <c r="U152" i="6"/>
  <c r="U153" i="6"/>
  <c r="U154" i="6"/>
  <c r="U155" i="6"/>
  <c r="U156" i="6"/>
  <c r="U157" i="6"/>
  <c r="U158" i="6"/>
  <c r="U159" i="6"/>
  <c r="U160" i="6"/>
  <c r="U161" i="6"/>
  <c r="U162" i="6"/>
  <c r="U163" i="6"/>
  <c r="U164" i="6"/>
  <c r="U166" i="6"/>
  <c r="U167" i="6"/>
  <c r="U168" i="6"/>
  <c r="U169" i="6"/>
  <c r="U170" i="6"/>
  <c r="U171" i="6"/>
  <c r="U172" i="6"/>
  <c r="U173" i="6"/>
  <c r="U174" i="6"/>
  <c r="U175" i="6"/>
  <c r="U176" i="6"/>
  <c r="U177" i="6"/>
  <c r="U178" i="6"/>
  <c r="U179" i="6"/>
  <c r="U180" i="6"/>
  <c r="U181" i="6"/>
  <c r="U182" i="6"/>
  <c r="U183" i="6"/>
  <c r="U184" i="6"/>
  <c r="U185" i="6"/>
  <c r="U186" i="6"/>
  <c r="U187" i="6"/>
  <c r="U188" i="6"/>
  <c r="U190" i="6"/>
  <c r="U191" i="6"/>
  <c r="U192" i="6"/>
  <c r="U193" i="6"/>
  <c r="U194" i="6"/>
  <c r="U195" i="6"/>
  <c r="U196" i="6"/>
  <c r="U197" i="6"/>
  <c r="U199" i="6"/>
  <c r="U200" i="6"/>
  <c r="U201" i="6"/>
  <c r="U202" i="6"/>
  <c r="U203" i="6"/>
  <c r="U204" i="6"/>
  <c r="U205" i="6"/>
  <c r="U206" i="6"/>
  <c r="U207" i="6"/>
  <c r="U208" i="6"/>
  <c r="U209" i="6"/>
  <c r="U210" i="6"/>
  <c r="U211" i="6"/>
  <c r="U212" i="6"/>
  <c r="U213" i="6"/>
  <c r="U214" i="6"/>
  <c r="U215" i="6"/>
  <c r="U216" i="6"/>
  <c r="U217" i="6"/>
  <c r="U218" i="6"/>
  <c r="U219" i="6"/>
  <c r="U220" i="6"/>
  <c r="U221" i="6"/>
  <c r="U222" i="6"/>
  <c r="U223" i="6"/>
  <c r="U224" i="6"/>
  <c r="U225" i="6"/>
  <c r="U226" i="6"/>
  <c r="U227" i="6"/>
  <c r="U228" i="6"/>
  <c r="U229" i="6"/>
  <c r="U230" i="6"/>
  <c r="U231" i="6"/>
  <c r="U232" i="6"/>
  <c r="U233" i="6"/>
  <c r="U234" i="6"/>
  <c r="U235" i="6"/>
  <c r="U236" i="6"/>
  <c r="U237" i="6"/>
  <c r="U238" i="6"/>
  <c r="U239" i="6"/>
  <c r="U240" i="6"/>
  <c r="U241" i="6"/>
  <c r="U242" i="6"/>
  <c r="U243" i="6"/>
  <c r="U244" i="6"/>
  <c r="U245" i="6"/>
  <c r="U246" i="6"/>
  <c r="U247" i="6"/>
  <c r="U248" i="6"/>
  <c r="U249" i="6"/>
  <c r="U252" i="6"/>
  <c r="U253" i="6"/>
  <c r="U254" i="6"/>
  <c r="U255" i="6"/>
  <c r="U256" i="6"/>
  <c r="U257" i="6"/>
  <c r="U258" i="6"/>
  <c r="U259" i="6"/>
  <c r="U260" i="6"/>
  <c r="U261" i="6"/>
  <c r="U262" i="6"/>
  <c r="U263" i="6"/>
  <c r="U264" i="6"/>
  <c r="U265" i="6"/>
  <c r="U266" i="6"/>
  <c r="U267" i="6"/>
  <c r="U268" i="6"/>
  <c r="U269" i="6"/>
  <c r="U270" i="6"/>
  <c r="U271" i="6"/>
  <c r="U272" i="6"/>
  <c r="U273" i="6"/>
  <c r="U274" i="6"/>
  <c r="U275" i="6"/>
  <c r="U276" i="6"/>
  <c r="U277" i="6"/>
  <c r="U278" i="6"/>
  <c r="U279" i="6"/>
  <c r="U280" i="6"/>
  <c r="U281" i="6"/>
  <c r="U282" i="6"/>
  <c r="U283" i="6"/>
  <c r="U284" i="6"/>
  <c r="U285" i="6"/>
  <c r="U286" i="6"/>
  <c r="U287" i="6"/>
  <c r="U288" i="6"/>
  <c r="U289" i="6"/>
  <c r="U290" i="6"/>
  <c r="U291" i="6"/>
  <c r="U292" i="6"/>
  <c r="U293" i="6"/>
  <c r="U294" i="6"/>
  <c r="U295" i="6"/>
  <c r="U296" i="6"/>
  <c r="U297" i="6"/>
  <c r="U298" i="6"/>
  <c r="U299" i="6"/>
  <c r="U300" i="6"/>
  <c r="U301" i="6"/>
  <c r="U302" i="6"/>
  <c r="U303" i="6"/>
  <c r="U304" i="6"/>
  <c r="U305" i="6"/>
  <c r="U307" i="6"/>
  <c r="U308" i="6"/>
  <c r="U309" i="6"/>
  <c r="U310" i="6"/>
  <c r="U311" i="6"/>
  <c r="U312" i="6"/>
  <c r="U313" i="6"/>
  <c r="U314" i="6"/>
  <c r="U315" i="6"/>
  <c r="U316" i="6"/>
  <c r="U318" i="6"/>
  <c r="U319" i="6"/>
  <c r="U320" i="6"/>
  <c r="U321" i="6"/>
  <c r="U322" i="6"/>
  <c r="U323" i="6"/>
  <c r="U324" i="6"/>
  <c r="U325" i="6"/>
  <c r="U326" i="6"/>
  <c r="U327" i="6"/>
  <c r="U328" i="6"/>
  <c r="U329" i="6"/>
  <c r="U330" i="6"/>
  <c r="U333" i="6"/>
  <c r="U335" i="6"/>
  <c r="U336" i="6"/>
  <c r="U337" i="6"/>
  <c r="U338" i="6"/>
  <c r="U339" i="6"/>
  <c r="U340" i="6"/>
  <c r="U341" i="6"/>
  <c r="U342" i="6"/>
  <c r="U343" i="6"/>
  <c r="U344" i="6"/>
  <c r="U345" i="6"/>
  <c r="U346" i="6"/>
  <c r="U347" i="6"/>
  <c r="U348" i="6"/>
  <c r="U349" i="6"/>
  <c r="U350" i="6"/>
  <c r="U351" i="6"/>
  <c r="U352" i="6"/>
  <c r="U353" i="6"/>
  <c r="U354" i="6"/>
  <c r="U355" i="6"/>
  <c r="U358" i="6"/>
  <c r="U359" i="6"/>
  <c r="U360" i="6"/>
  <c r="U361" i="6"/>
  <c r="U362" i="6"/>
  <c r="U363" i="6"/>
  <c r="U364" i="6"/>
  <c r="U365" i="6"/>
  <c r="U366" i="6"/>
  <c r="U367" i="6"/>
  <c r="U368" i="6"/>
  <c r="U369" i="6"/>
  <c r="U370" i="6"/>
  <c r="U371" i="6"/>
  <c r="U372" i="6"/>
  <c r="U373" i="6"/>
  <c r="U374" i="6"/>
  <c r="U375" i="6"/>
  <c r="U377" i="6"/>
  <c r="U379" i="6"/>
  <c r="U380" i="6"/>
  <c r="U381" i="6"/>
  <c r="U382" i="6"/>
  <c r="U383" i="6"/>
  <c r="U384" i="6"/>
  <c r="U385" i="6"/>
  <c r="U386" i="6"/>
  <c r="U387" i="6"/>
  <c r="U388" i="6"/>
  <c r="U389" i="6"/>
  <c r="U390" i="6"/>
  <c r="U391" i="6"/>
  <c r="U392" i="6"/>
  <c r="U393" i="6"/>
  <c r="U394" i="6"/>
  <c r="U395" i="6"/>
  <c r="U396" i="6"/>
  <c r="U397" i="6"/>
  <c r="U398" i="6"/>
  <c r="U399" i="6"/>
  <c r="U400" i="6"/>
  <c r="U401" i="6"/>
  <c r="U402" i="6"/>
  <c r="U403" i="6"/>
  <c r="U404" i="6"/>
  <c r="U405" i="6"/>
  <c r="U406" i="6"/>
  <c r="U407" i="6"/>
  <c r="U408" i="6"/>
  <c r="U409" i="6"/>
  <c r="U410" i="6"/>
  <c r="U411" i="6"/>
  <c r="U412" i="6"/>
  <c r="U413" i="6"/>
  <c r="U414" i="6"/>
  <c r="U415" i="6"/>
  <c r="U416" i="6"/>
  <c r="U417" i="6"/>
  <c r="U419" i="6"/>
  <c r="U420" i="6"/>
  <c r="U421" i="6"/>
  <c r="U422" i="6"/>
  <c r="U423" i="6"/>
  <c r="U424" i="6"/>
  <c r="U425" i="6"/>
  <c r="U426" i="6"/>
  <c r="U427" i="6"/>
  <c r="U428" i="6"/>
  <c r="U429" i="6"/>
  <c r="U430" i="6"/>
  <c r="U431" i="6"/>
  <c r="U432" i="6"/>
  <c r="U433" i="6"/>
  <c r="U434" i="6"/>
  <c r="U435" i="6"/>
  <c r="U436" i="6"/>
  <c r="U437" i="6"/>
  <c r="U438" i="6"/>
  <c r="U439" i="6"/>
  <c r="U440" i="6"/>
  <c r="U441" i="6"/>
  <c r="U442" i="6"/>
  <c r="U443" i="6"/>
  <c r="U444" i="6"/>
  <c r="U445" i="6"/>
  <c r="U446" i="6"/>
  <c r="U447" i="6"/>
  <c r="U3" i="6"/>
  <c r="Z4" i="6" l="1"/>
  <c r="Z5" i="6"/>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3" i="6"/>
  <c r="Z44" i="6"/>
  <c r="Z45" i="6"/>
  <c r="Z46" i="6"/>
  <c r="Z47" i="6"/>
  <c r="Z48" i="6"/>
  <c r="Z49" i="6"/>
  <c r="Z50" i="6"/>
  <c r="Z51" i="6"/>
  <c r="Z52" i="6"/>
  <c r="Z53" i="6"/>
  <c r="Z54" i="6"/>
  <c r="Z55" i="6"/>
  <c r="Z56" i="6"/>
  <c r="Z57" i="6"/>
  <c r="Z58" i="6"/>
  <c r="Z59" i="6"/>
  <c r="Z60" i="6"/>
  <c r="Z61" i="6"/>
  <c r="Z62" i="6"/>
  <c r="Z63" i="6"/>
  <c r="Z64" i="6"/>
  <c r="Z65" i="6"/>
  <c r="Z66" i="6"/>
  <c r="Z67" i="6"/>
  <c r="Z68" i="6"/>
  <c r="Z69" i="6"/>
  <c r="Z70" i="6"/>
  <c r="Z71" i="6"/>
  <c r="Z72" i="6"/>
  <c r="Z73" i="6"/>
  <c r="Z74" i="6"/>
  <c r="Z75" i="6"/>
  <c r="Z76" i="6"/>
  <c r="Z77" i="6"/>
  <c r="Z78" i="6"/>
  <c r="Z79" i="6"/>
  <c r="Z80" i="6"/>
  <c r="Z81" i="6"/>
  <c r="Z82" i="6"/>
  <c r="Z83" i="6"/>
  <c r="Z84" i="6"/>
  <c r="Z85" i="6"/>
  <c r="Z86" i="6"/>
  <c r="Z87" i="6"/>
  <c r="Z88" i="6"/>
  <c r="Z89" i="6"/>
  <c r="Z90" i="6"/>
  <c r="Z91" i="6"/>
  <c r="Z92" i="6"/>
  <c r="Z93" i="6"/>
  <c r="Z94" i="6"/>
  <c r="Z95" i="6"/>
  <c r="Z96" i="6"/>
  <c r="Z97" i="6"/>
  <c r="Z98" i="6"/>
  <c r="Z99" i="6"/>
  <c r="Z100" i="6"/>
  <c r="Z101" i="6"/>
  <c r="Z102" i="6"/>
  <c r="Z103" i="6"/>
  <c r="Z104" i="6"/>
  <c r="Z105" i="6"/>
  <c r="Z106" i="6"/>
  <c r="Z107" i="6"/>
  <c r="Z108" i="6"/>
  <c r="Z109" i="6"/>
  <c r="Z110" i="6"/>
  <c r="Z111" i="6"/>
  <c r="Z112" i="6"/>
  <c r="Z113" i="6"/>
  <c r="Z114" i="6"/>
  <c r="Z115" i="6"/>
  <c r="Z116" i="6"/>
  <c r="Z117" i="6"/>
  <c r="Z118" i="6"/>
  <c r="Z120" i="6"/>
  <c r="Z122" i="6"/>
  <c r="Z123" i="6"/>
  <c r="Z124" i="6"/>
  <c r="Z125" i="6"/>
  <c r="Z126" i="6"/>
  <c r="Z127" i="6"/>
  <c r="Z128" i="6"/>
  <c r="Z129" i="6"/>
  <c r="Z130" i="6"/>
  <c r="Z131" i="6"/>
  <c r="Z132" i="6"/>
  <c r="Z133" i="6"/>
  <c r="Z134" i="6"/>
  <c r="Z135" i="6"/>
  <c r="Z136" i="6"/>
  <c r="Z137" i="6"/>
  <c r="Z138" i="6"/>
  <c r="Z139" i="6"/>
  <c r="Z140" i="6"/>
  <c r="Z141" i="6"/>
  <c r="Z142" i="6"/>
  <c r="Z143" i="6"/>
  <c r="Z144" i="6"/>
  <c r="Z145" i="6"/>
  <c r="Z146" i="6"/>
  <c r="Z147" i="6"/>
  <c r="Z148" i="6"/>
  <c r="Z149" i="6"/>
  <c r="Z150" i="6"/>
  <c r="Z151" i="6"/>
  <c r="Z152" i="6"/>
  <c r="Z153" i="6"/>
  <c r="Z154" i="6"/>
  <c r="Z155" i="6"/>
  <c r="Z156" i="6"/>
  <c r="Z157" i="6"/>
  <c r="Z158" i="6"/>
  <c r="Z159" i="6"/>
  <c r="Z160" i="6"/>
  <c r="Z161" i="6"/>
  <c r="Z162" i="6"/>
  <c r="Z163" i="6"/>
  <c r="Z164" i="6"/>
  <c r="Z165" i="6"/>
  <c r="Z166" i="6"/>
  <c r="Z167" i="6"/>
  <c r="Z168" i="6"/>
  <c r="Z169" i="6"/>
  <c r="Z170" i="6"/>
  <c r="Z171" i="6"/>
  <c r="Z172" i="6"/>
  <c r="Z173" i="6"/>
  <c r="Z174" i="6"/>
  <c r="Z175" i="6"/>
  <c r="Z176" i="6"/>
  <c r="Z177" i="6"/>
  <c r="Z178" i="6"/>
  <c r="Z179" i="6"/>
  <c r="Z180" i="6"/>
  <c r="Z181" i="6"/>
  <c r="Z182" i="6"/>
  <c r="Z183" i="6"/>
  <c r="Z184" i="6"/>
  <c r="Z185" i="6"/>
  <c r="Z186" i="6"/>
  <c r="Z187" i="6"/>
  <c r="Z188" i="6"/>
  <c r="Z189" i="6"/>
  <c r="Z190" i="6"/>
  <c r="Z191" i="6"/>
  <c r="Z192" i="6"/>
  <c r="Z193" i="6"/>
  <c r="Z194" i="6"/>
  <c r="Z195" i="6"/>
  <c r="Z196" i="6"/>
  <c r="Z197" i="6"/>
  <c r="Z198" i="6"/>
  <c r="Z199" i="6"/>
  <c r="Z200" i="6"/>
  <c r="Z201" i="6"/>
  <c r="Z202" i="6"/>
  <c r="Z203" i="6"/>
  <c r="Z204" i="6"/>
  <c r="Z205" i="6"/>
  <c r="Z206" i="6"/>
  <c r="Z207" i="6"/>
  <c r="Z208" i="6"/>
  <c r="Z209" i="6"/>
  <c r="Z210" i="6"/>
  <c r="Z211" i="6"/>
  <c r="Z212" i="6"/>
  <c r="Z213" i="6"/>
  <c r="Z214" i="6"/>
  <c r="Z215" i="6"/>
  <c r="Z216" i="6"/>
  <c r="Z217" i="6"/>
  <c r="Z218" i="6"/>
  <c r="Z219" i="6"/>
  <c r="Z220" i="6"/>
  <c r="Z221" i="6"/>
  <c r="Z222" i="6"/>
  <c r="Z223" i="6"/>
  <c r="Z224" i="6"/>
  <c r="Z225" i="6"/>
  <c r="Z226" i="6"/>
  <c r="Z227" i="6"/>
  <c r="Z228" i="6"/>
  <c r="Z229" i="6"/>
  <c r="Z230" i="6"/>
  <c r="Z231" i="6"/>
  <c r="Z232" i="6"/>
  <c r="Z233" i="6"/>
  <c r="Z234" i="6"/>
  <c r="Z235" i="6"/>
  <c r="Z236" i="6"/>
  <c r="Z237" i="6"/>
  <c r="Z238" i="6"/>
  <c r="Z239" i="6"/>
  <c r="Z240" i="6"/>
  <c r="Z241" i="6"/>
  <c r="Z242" i="6"/>
  <c r="Z243" i="6"/>
  <c r="Z244" i="6"/>
  <c r="Z245" i="6"/>
  <c r="Z246" i="6"/>
  <c r="Z247" i="6"/>
  <c r="Z248" i="6"/>
  <c r="Z249" i="6"/>
  <c r="Z251" i="6"/>
  <c r="Z252" i="6"/>
  <c r="Z253" i="6"/>
  <c r="Z254" i="6"/>
  <c r="Z255" i="6"/>
  <c r="Z256" i="6"/>
  <c r="Z257" i="6"/>
  <c r="Z258" i="6"/>
  <c r="Z259" i="6"/>
  <c r="Z260" i="6"/>
  <c r="Z261" i="6"/>
  <c r="Z262" i="6"/>
  <c r="Z263" i="6"/>
  <c r="Z264" i="6"/>
  <c r="Z265" i="6"/>
  <c r="Z266" i="6"/>
  <c r="Z267" i="6"/>
  <c r="Z268" i="6"/>
  <c r="Z269" i="6"/>
  <c r="Z270" i="6"/>
  <c r="Z271" i="6"/>
  <c r="Z272" i="6"/>
  <c r="Z273" i="6"/>
  <c r="Z274" i="6"/>
  <c r="Z275" i="6"/>
  <c r="Z276" i="6"/>
  <c r="Z277" i="6"/>
  <c r="Z278" i="6"/>
  <c r="Z279" i="6"/>
  <c r="Z280" i="6"/>
  <c r="Z281" i="6"/>
  <c r="Z282" i="6"/>
  <c r="Z283" i="6"/>
  <c r="Z284" i="6"/>
  <c r="Z285" i="6"/>
  <c r="Z286" i="6"/>
  <c r="Z287" i="6"/>
  <c r="Z288" i="6"/>
  <c r="Z289" i="6"/>
  <c r="Z290" i="6"/>
  <c r="Z291" i="6"/>
  <c r="Z292" i="6"/>
  <c r="Z293" i="6"/>
  <c r="Z294" i="6"/>
  <c r="Z295" i="6"/>
  <c r="Z296" i="6"/>
  <c r="Z297" i="6"/>
  <c r="Z298" i="6"/>
  <c r="Z299" i="6"/>
  <c r="Z300" i="6"/>
  <c r="Z301" i="6"/>
  <c r="Z302" i="6"/>
  <c r="Z303" i="6"/>
  <c r="Z304" i="6"/>
  <c r="Z305" i="6"/>
  <c r="Z307" i="6"/>
  <c r="Z308" i="6"/>
  <c r="Z309" i="6"/>
  <c r="Z310" i="6"/>
  <c r="Z311" i="6"/>
  <c r="Z312" i="6"/>
  <c r="Z313" i="6"/>
  <c r="Z314" i="6"/>
  <c r="Z315" i="6"/>
  <c r="Z316" i="6"/>
  <c r="Z318" i="6"/>
  <c r="Z319" i="6"/>
  <c r="Z320" i="6"/>
  <c r="Z321" i="6"/>
  <c r="Z322" i="6"/>
  <c r="Z323" i="6"/>
  <c r="Z324" i="6"/>
  <c r="Z325" i="6"/>
  <c r="Z326" i="6"/>
  <c r="Z327" i="6"/>
  <c r="Z328" i="6"/>
  <c r="Z329" i="6"/>
  <c r="Z330" i="6"/>
  <c r="Z331" i="6"/>
  <c r="Z332" i="6"/>
  <c r="Z333" i="6"/>
  <c r="Z334" i="6"/>
  <c r="Z335" i="6"/>
  <c r="Z336" i="6"/>
  <c r="Z337" i="6"/>
  <c r="Z338" i="6"/>
  <c r="Z339" i="6"/>
  <c r="Z340" i="6"/>
  <c r="Z341" i="6"/>
  <c r="Z342" i="6"/>
  <c r="Z343" i="6"/>
  <c r="Z344" i="6"/>
  <c r="Z345" i="6"/>
  <c r="Z346" i="6"/>
  <c r="Z347" i="6"/>
  <c r="Z348" i="6"/>
  <c r="Z349" i="6"/>
  <c r="Z350" i="6"/>
  <c r="Z351" i="6"/>
  <c r="Z352" i="6"/>
  <c r="Z353" i="6"/>
  <c r="Z354" i="6"/>
  <c r="Z355" i="6"/>
  <c r="Z356" i="6"/>
  <c r="Z357" i="6"/>
  <c r="Z358" i="6"/>
  <c r="Z359" i="6"/>
  <c r="Z360" i="6"/>
  <c r="Z361" i="6"/>
  <c r="Z362" i="6"/>
  <c r="Z363" i="6"/>
  <c r="Z364" i="6"/>
  <c r="Z365" i="6"/>
  <c r="Z366" i="6"/>
  <c r="Z367" i="6"/>
  <c r="Z368" i="6"/>
  <c r="Z369" i="6"/>
  <c r="Z370" i="6"/>
  <c r="Z371" i="6"/>
  <c r="Z372" i="6"/>
  <c r="Z373" i="6"/>
  <c r="Z374" i="6"/>
  <c r="Z375" i="6"/>
  <c r="Z376" i="6"/>
  <c r="Z377" i="6"/>
  <c r="Z378" i="6"/>
  <c r="Z379" i="6"/>
  <c r="Z380" i="6"/>
  <c r="Z381" i="6"/>
  <c r="Z382" i="6"/>
  <c r="Z383" i="6"/>
  <c r="Z384" i="6"/>
  <c r="Z385" i="6"/>
  <c r="Z386" i="6"/>
  <c r="Z387" i="6"/>
  <c r="Z388" i="6"/>
  <c r="Z389" i="6"/>
  <c r="Z390" i="6"/>
  <c r="Z391" i="6"/>
  <c r="Z392" i="6"/>
  <c r="Z393" i="6"/>
  <c r="Z394" i="6"/>
  <c r="Z395" i="6"/>
  <c r="Z396" i="6"/>
  <c r="Z397" i="6"/>
  <c r="Z398" i="6"/>
  <c r="Z399" i="6"/>
  <c r="Z400" i="6"/>
  <c r="Z401" i="6"/>
  <c r="Z402" i="6"/>
  <c r="Z403" i="6"/>
  <c r="Z404" i="6"/>
  <c r="Z405" i="6"/>
  <c r="Z406" i="6"/>
  <c r="Z407" i="6"/>
  <c r="Z408" i="6"/>
  <c r="Z409" i="6"/>
  <c r="Z410" i="6"/>
  <c r="Z411" i="6"/>
  <c r="Z412" i="6"/>
  <c r="Z413" i="6"/>
  <c r="Z414" i="6"/>
  <c r="Z415" i="6"/>
  <c r="Z416" i="6"/>
  <c r="Z417" i="6"/>
  <c r="Z419" i="6"/>
  <c r="Z420" i="6"/>
  <c r="Z421" i="6"/>
  <c r="Z422" i="6"/>
  <c r="Z423" i="6"/>
  <c r="Z424" i="6"/>
  <c r="Z425" i="6"/>
  <c r="Z426" i="6"/>
  <c r="Z427" i="6"/>
  <c r="Z428" i="6"/>
  <c r="Z429" i="6"/>
  <c r="Z430" i="6"/>
  <c r="Z431" i="6"/>
  <c r="Z432" i="6"/>
  <c r="Z433" i="6"/>
  <c r="Z434" i="6"/>
  <c r="Z435" i="6"/>
  <c r="Z436" i="6"/>
  <c r="Z437" i="6"/>
  <c r="Z438" i="6"/>
  <c r="Z439" i="6"/>
  <c r="Z440" i="6"/>
  <c r="Z441" i="6"/>
  <c r="Z442" i="6"/>
  <c r="Z443" i="6"/>
  <c r="Z444" i="6"/>
  <c r="Z445" i="6"/>
  <c r="Z446" i="6"/>
  <c r="Z449" i="6"/>
  <c r="Z450" i="6"/>
  <c r="Z451" i="6"/>
  <c r="Z452" i="6"/>
  <c r="Z453" i="6"/>
  <c r="Z454" i="6"/>
  <c r="Z455" i="6"/>
  <c r="Z456" i="6"/>
  <c r="Z457" i="6"/>
  <c r="Z458" i="6"/>
  <c r="Z459" i="6"/>
  <c r="Z460" i="6"/>
  <c r="Z461" i="6"/>
  <c r="Z462" i="6"/>
  <c r="Z463" i="6"/>
  <c r="Z467" i="6"/>
  <c r="Z468" i="6"/>
  <c r="Z469" i="6"/>
  <c r="Z470" i="6"/>
  <c r="Z471" i="6"/>
  <c r="Z473" i="6"/>
  <c r="Z474" i="6"/>
  <c r="Z475" i="6"/>
  <c r="Z476" i="6"/>
  <c r="Z477" i="6"/>
  <c r="Z480" i="6"/>
  <c r="Z481" i="6"/>
  <c r="Z482" i="6"/>
  <c r="Z483" i="6"/>
  <c r="Z484" i="6"/>
  <c r="Z485" i="6"/>
  <c r="Z486" i="6"/>
  <c r="Z487" i="6"/>
  <c r="Z489" i="6"/>
  <c r="Z490" i="6"/>
  <c r="Z491" i="6"/>
  <c r="Z492" i="6"/>
  <c r="Z493" i="6"/>
  <c r="Z494" i="6"/>
  <c r="Z495" i="6"/>
  <c r="Z496" i="6"/>
  <c r="Z497" i="6"/>
  <c r="Z498" i="6"/>
  <c r="Z499" i="6"/>
  <c r="Z500" i="6"/>
  <c r="Z501" i="6"/>
  <c r="Z502" i="6"/>
  <c r="Z503" i="6"/>
  <c r="Z504" i="6"/>
  <c r="Z505" i="6"/>
  <c r="Z506" i="6"/>
  <c r="Z507" i="6"/>
  <c r="Z508" i="6"/>
  <c r="Z509" i="6"/>
  <c r="Z510" i="6"/>
  <c r="Z511" i="6"/>
  <c r="Z512" i="6"/>
  <c r="Z513" i="6"/>
  <c r="Z514" i="6"/>
  <c r="Z515" i="6"/>
  <c r="Z516" i="6"/>
  <c r="Z517" i="6"/>
  <c r="Z518" i="6"/>
  <c r="Z519" i="6"/>
  <c r="Z520" i="6"/>
  <c r="Z521" i="6"/>
  <c r="Z522" i="6"/>
  <c r="Z523" i="6"/>
  <c r="Z524" i="6"/>
  <c r="Z525" i="6"/>
  <c r="Z526" i="6"/>
  <c r="Z527" i="6"/>
  <c r="Z528" i="6"/>
  <c r="Z529" i="6"/>
  <c r="Z530" i="6"/>
  <c r="Z531" i="6"/>
  <c r="Z532" i="6"/>
  <c r="Z533" i="6"/>
  <c r="Z534" i="6"/>
  <c r="Z535" i="6"/>
  <c r="Z536" i="6"/>
  <c r="Z537" i="6"/>
  <c r="Z538" i="6"/>
  <c r="Z539" i="6"/>
  <c r="Z540" i="6"/>
  <c r="Z541" i="6"/>
  <c r="Z542" i="6"/>
  <c r="Z543" i="6"/>
  <c r="Z544" i="6"/>
  <c r="Z545" i="6"/>
  <c r="Z546" i="6"/>
  <c r="Z547" i="6"/>
  <c r="Z548" i="6"/>
  <c r="Z549" i="6"/>
  <c r="Z550" i="6"/>
  <c r="Z551" i="6"/>
  <c r="Z552" i="6"/>
  <c r="Z553" i="6"/>
  <c r="Z554" i="6"/>
  <c r="Z555" i="6"/>
  <c r="Z556" i="6"/>
  <c r="Z557" i="6"/>
  <c r="Z558" i="6"/>
  <c r="Z559" i="6"/>
  <c r="Z560" i="6"/>
  <c r="Z561" i="6"/>
  <c r="Z562" i="6"/>
  <c r="Z563" i="6"/>
  <c r="Z564" i="6"/>
  <c r="Z565" i="6"/>
  <c r="Z566" i="6"/>
  <c r="Z567" i="6"/>
  <c r="Z568" i="6"/>
  <c r="Z569" i="6"/>
  <c r="Z570" i="6"/>
  <c r="Z571" i="6"/>
  <c r="Z572" i="6"/>
  <c r="Z573" i="6"/>
  <c r="Z574" i="6"/>
  <c r="Z575" i="6"/>
  <c r="Z576" i="6"/>
  <c r="Z577" i="6"/>
  <c r="Z578" i="6"/>
  <c r="Z579" i="6"/>
  <c r="Z580" i="6"/>
  <c r="Z581" i="6"/>
  <c r="Z582" i="6"/>
  <c r="Z583" i="6"/>
  <c r="Z584" i="6"/>
  <c r="Z585" i="6"/>
  <c r="Z586" i="6"/>
  <c r="Z587" i="6"/>
  <c r="Z588" i="6"/>
  <c r="Z589" i="6"/>
  <c r="Z590" i="6"/>
  <c r="Z591" i="6"/>
  <c r="Z592" i="6"/>
  <c r="Z593" i="6"/>
  <c r="Z594" i="6"/>
  <c r="Z595" i="6"/>
  <c r="Z596" i="6"/>
  <c r="Z597" i="6"/>
  <c r="Z598" i="6"/>
  <c r="Z599" i="6"/>
  <c r="Z600" i="6"/>
  <c r="Z601" i="6"/>
  <c r="Z602" i="6"/>
  <c r="Z603" i="6"/>
  <c r="Z604" i="6"/>
  <c r="Z605" i="6"/>
  <c r="Z606" i="6"/>
  <c r="Z607" i="6"/>
  <c r="Z608" i="6"/>
  <c r="Z609" i="6"/>
  <c r="Z610" i="6"/>
  <c r="Z611" i="6"/>
  <c r="Z612" i="6"/>
  <c r="Z613" i="6"/>
  <c r="Z614" i="6"/>
  <c r="Z615" i="6"/>
  <c r="Z616" i="6"/>
  <c r="Z617" i="6"/>
  <c r="Z618" i="6"/>
  <c r="Z619" i="6"/>
  <c r="Z620" i="6"/>
  <c r="Z621" i="6"/>
  <c r="Z622" i="6"/>
  <c r="Z623" i="6"/>
  <c r="Z624" i="6"/>
  <c r="Z625" i="6"/>
  <c r="Z626" i="6"/>
  <c r="Z627" i="6"/>
  <c r="Z628" i="6"/>
  <c r="Z629" i="6"/>
  <c r="Z630" i="6"/>
  <c r="Z631" i="6"/>
  <c r="Z632" i="6"/>
  <c r="Z633" i="6"/>
  <c r="Z634" i="6"/>
  <c r="Z635" i="6"/>
  <c r="Z636" i="6"/>
  <c r="Z637" i="6"/>
  <c r="Z638" i="6"/>
  <c r="Z639" i="6"/>
  <c r="Z640" i="6"/>
  <c r="Z641" i="6"/>
  <c r="Z642" i="6"/>
  <c r="Z643" i="6"/>
  <c r="Z644" i="6"/>
  <c r="Z645" i="6"/>
  <c r="Z646" i="6"/>
  <c r="Z647" i="6"/>
  <c r="Z648" i="6"/>
  <c r="Z649" i="6"/>
  <c r="Z650" i="6"/>
  <c r="Z651" i="6"/>
  <c r="Z652" i="6"/>
  <c r="Z653" i="6"/>
  <c r="Z654" i="6"/>
  <c r="Z655" i="6"/>
  <c r="Z656" i="6"/>
  <c r="Z657" i="6"/>
  <c r="Z658" i="6"/>
  <c r="Z659" i="6"/>
  <c r="Z660" i="6"/>
  <c r="Z661" i="6"/>
  <c r="Z662" i="6"/>
  <c r="Z663" i="6"/>
  <c r="Z664" i="6"/>
  <c r="Z665" i="6"/>
  <c r="Z666" i="6"/>
  <c r="Z667" i="6"/>
  <c r="Z668" i="6"/>
  <c r="Z669" i="6"/>
  <c r="Z670" i="6"/>
  <c r="Z671" i="6"/>
  <c r="Z672" i="6"/>
  <c r="Z673" i="6"/>
  <c r="Z674" i="6"/>
  <c r="Z675" i="6"/>
  <c r="Z676" i="6"/>
  <c r="Z677" i="6"/>
  <c r="Z678" i="6"/>
  <c r="Z679" i="6"/>
  <c r="Z680" i="6"/>
  <c r="Z681" i="6"/>
  <c r="Z682" i="6"/>
  <c r="Z683" i="6"/>
  <c r="Z684" i="6"/>
  <c r="Z685" i="6"/>
  <c r="Z686" i="6"/>
  <c r="Z687" i="6"/>
  <c r="Z688" i="6"/>
  <c r="Z689" i="6"/>
  <c r="Z690" i="6"/>
  <c r="Z691" i="6"/>
  <c r="Z692" i="6"/>
  <c r="Z693" i="6"/>
  <c r="Z694" i="6"/>
  <c r="Z695" i="6"/>
  <c r="Z696" i="6"/>
  <c r="Z697" i="6"/>
  <c r="Z698" i="6"/>
  <c r="Z699" i="6"/>
  <c r="Z700" i="6"/>
  <c r="Z701" i="6"/>
  <c r="Z702" i="6"/>
  <c r="Z703" i="6"/>
  <c r="Z704" i="6"/>
  <c r="Z705" i="6"/>
  <c r="Z706" i="6"/>
  <c r="Z707" i="6"/>
  <c r="Z708" i="6"/>
  <c r="Z709" i="6"/>
  <c r="Z710" i="6"/>
  <c r="Z711" i="6"/>
  <c r="Z712" i="6"/>
  <c r="Z713" i="6"/>
  <c r="Z714" i="6"/>
  <c r="Z715" i="6"/>
  <c r="Z716" i="6"/>
  <c r="Z717" i="6"/>
  <c r="Z718" i="6"/>
  <c r="Z719" i="6"/>
  <c r="Z720" i="6"/>
  <c r="Z721" i="6"/>
  <c r="Z722" i="6"/>
  <c r="Z723" i="6"/>
  <c r="Z724" i="6"/>
  <c r="Z725" i="6"/>
  <c r="Z726" i="6"/>
  <c r="Z727" i="6"/>
  <c r="Z728" i="6"/>
  <c r="Z729" i="6"/>
  <c r="Z730" i="6"/>
  <c r="Z731" i="6"/>
  <c r="Z732" i="6"/>
  <c r="Z733" i="6"/>
  <c r="Z734" i="6"/>
  <c r="Z735" i="6"/>
  <c r="Z736" i="6"/>
  <c r="Z737" i="6"/>
  <c r="Z738" i="6"/>
  <c r="Z739" i="6"/>
  <c r="Z740" i="6"/>
  <c r="Z741" i="6"/>
  <c r="Z742" i="6"/>
  <c r="Z743" i="6"/>
  <c r="Z744" i="6"/>
  <c r="Z745" i="6"/>
  <c r="Z746" i="6"/>
  <c r="Z747" i="6"/>
  <c r="Z748" i="6"/>
  <c r="Z749" i="6"/>
  <c r="Z750" i="6"/>
  <c r="Z751" i="6"/>
  <c r="Z752" i="6"/>
  <c r="Z753" i="6"/>
  <c r="Z754" i="6"/>
  <c r="Z755" i="6"/>
  <c r="Z756" i="6"/>
  <c r="Z757" i="6"/>
  <c r="Z758" i="6"/>
  <c r="Z759" i="6"/>
  <c r="Z760" i="6"/>
  <c r="Z761" i="6"/>
  <c r="Z762" i="6"/>
  <c r="Z763" i="6"/>
  <c r="Z764" i="6"/>
  <c r="Z765" i="6"/>
  <c r="Z766" i="6"/>
  <c r="Z767" i="6"/>
  <c r="Z768" i="6"/>
  <c r="Z769" i="6"/>
  <c r="Z770" i="6"/>
  <c r="Z771" i="6"/>
  <c r="Z772" i="6"/>
  <c r="Z773" i="6"/>
  <c r="Z774" i="6"/>
  <c r="Z775" i="6"/>
  <c r="Z776" i="6"/>
  <c r="Z777" i="6"/>
  <c r="Z778" i="6"/>
  <c r="Z779" i="6"/>
  <c r="Z780" i="6"/>
  <c r="Z781" i="6"/>
  <c r="Z782" i="6"/>
  <c r="Z783" i="6"/>
  <c r="Z784" i="6"/>
  <c r="Z785" i="6"/>
  <c r="Z786" i="6"/>
  <c r="Z787" i="6"/>
  <c r="Z788" i="6"/>
  <c r="Z789" i="6"/>
  <c r="Z790" i="6"/>
  <c r="Z791" i="6"/>
  <c r="Z792" i="6"/>
  <c r="Z793" i="6"/>
  <c r="Z794" i="6"/>
  <c r="Z795" i="6"/>
  <c r="Z796" i="6"/>
  <c r="Z797" i="6"/>
  <c r="Z798" i="6"/>
  <c r="Z799" i="6"/>
  <c r="Z800" i="6"/>
  <c r="Z801" i="6"/>
  <c r="Z802" i="6"/>
  <c r="Z803" i="6"/>
  <c r="Z804" i="6"/>
  <c r="Z805" i="6"/>
  <c r="Z806" i="6"/>
  <c r="Z807" i="6"/>
  <c r="Z808" i="6"/>
  <c r="Z809" i="6"/>
  <c r="Z810" i="6"/>
  <c r="Z811" i="6"/>
  <c r="Z812" i="6"/>
  <c r="Z813" i="6"/>
  <c r="Z814" i="6"/>
  <c r="Z815" i="6"/>
  <c r="Z816" i="6"/>
  <c r="Z817" i="6"/>
  <c r="Z818" i="6"/>
  <c r="Z819" i="6"/>
  <c r="Z820" i="6"/>
  <c r="Z821" i="6"/>
  <c r="Z822" i="6"/>
  <c r="Z823" i="6"/>
  <c r="Z824" i="6"/>
  <c r="Z825" i="6"/>
  <c r="Z826" i="6"/>
  <c r="Z827" i="6"/>
  <c r="Z828" i="6"/>
  <c r="Z829" i="6"/>
  <c r="Z830" i="6"/>
  <c r="Z831" i="6"/>
  <c r="Z832" i="6"/>
  <c r="Z833" i="6"/>
  <c r="Z834" i="6"/>
  <c r="Z835" i="6"/>
  <c r="Z836" i="6"/>
  <c r="Z837" i="6"/>
  <c r="Z838" i="6"/>
  <c r="Z839" i="6"/>
  <c r="Z840" i="6"/>
  <c r="Z841" i="6"/>
  <c r="Z842" i="6"/>
  <c r="Z843" i="6"/>
  <c r="Z844" i="6"/>
  <c r="Z845" i="6"/>
  <c r="Z846" i="6"/>
  <c r="Z847" i="6"/>
  <c r="Z848" i="6"/>
  <c r="Z849" i="6"/>
  <c r="Z850" i="6"/>
  <c r="Z851" i="6"/>
  <c r="Z852" i="6"/>
  <c r="Z853" i="6"/>
  <c r="Z854" i="6"/>
  <c r="Z855" i="6"/>
  <c r="Z856" i="6"/>
  <c r="Z857" i="6"/>
  <c r="Z858" i="6"/>
  <c r="Z859" i="6"/>
  <c r="Z860" i="6"/>
  <c r="Z861" i="6"/>
  <c r="Z862" i="6"/>
  <c r="Z863" i="6"/>
  <c r="Z864" i="6"/>
  <c r="Z865" i="6"/>
  <c r="Z866" i="6"/>
  <c r="Z867" i="6"/>
  <c r="Z868" i="6"/>
  <c r="Z869" i="6"/>
  <c r="Z870" i="6"/>
  <c r="Z871" i="6"/>
  <c r="Z872" i="6"/>
  <c r="Z873" i="6"/>
  <c r="Z874" i="6"/>
  <c r="Z875" i="6"/>
  <c r="Z876" i="6"/>
  <c r="Z877" i="6"/>
  <c r="Z878" i="6"/>
  <c r="Z879" i="6"/>
  <c r="Z880" i="6"/>
  <c r="Z881" i="6"/>
  <c r="Z882" i="6"/>
  <c r="Z883" i="6"/>
  <c r="Z884" i="6"/>
  <c r="Z885" i="6"/>
  <c r="Z886" i="6"/>
  <c r="Z887" i="6"/>
  <c r="Z888" i="6"/>
  <c r="Z889" i="6"/>
  <c r="Z890" i="6"/>
  <c r="Z891" i="6"/>
  <c r="Z892" i="6"/>
  <c r="Z893" i="6"/>
  <c r="Z894" i="6"/>
  <c r="Z895" i="6"/>
  <c r="Z896" i="6"/>
  <c r="Z897" i="6"/>
  <c r="Z898" i="6"/>
  <c r="Z899" i="6"/>
  <c r="Z900" i="6"/>
  <c r="Z901" i="6"/>
  <c r="Z902" i="6"/>
  <c r="Z903" i="6"/>
  <c r="Z904" i="6"/>
  <c r="Z905" i="6"/>
  <c r="Z906" i="6"/>
  <c r="Z907" i="6"/>
  <c r="Z908" i="6"/>
  <c r="Z909" i="6"/>
  <c r="Z910" i="6"/>
  <c r="Z911" i="6"/>
  <c r="Z912" i="6"/>
  <c r="Z913" i="6"/>
  <c r="Z914" i="6"/>
  <c r="Z915" i="6"/>
  <c r="Z916" i="6"/>
  <c r="Z917" i="6"/>
  <c r="Z918" i="6"/>
  <c r="Z919" i="6"/>
  <c r="Z920" i="6"/>
  <c r="Z921" i="6"/>
  <c r="Z922" i="6"/>
  <c r="Z923" i="6"/>
  <c r="Z924" i="6"/>
  <c r="Z925" i="6"/>
  <c r="Z926" i="6"/>
  <c r="Z927" i="6"/>
  <c r="Z928" i="6"/>
  <c r="Z929" i="6"/>
  <c r="Z930" i="6"/>
  <c r="Z931" i="6"/>
  <c r="Z932" i="6"/>
  <c r="Z933" i="6"/>
  <c r="Z934" i="6"/>
  <c r="Z935" i="6"/>
  <c r="Z936" i="6"/>
  <c r="Z937" i="6"/>
  <c r="Z938" i="6"/>
  <c r="Z939" i="6"/>
  <c r="Z940" i="6"/>
  <c r="Z941" i="6"/>
  <c r="Z942" i="6"/>
  <c r="Z943" i="6"/>
  <c r="Z944" i="6"/>
  <c r="Z945" i="6"/>
  <c r="Z946" i="6"/>
  <c r="Z947" i="6"/>
  <c r="Z948" i="6"/>
  <c r="Z949" i="6"/>
  <c r="Z950" i="6"/>
  <c r="Z951" i="6"/>
  <c r="Z952" i="6"/>
  <c r="Z953" i="6"/>
  <c r="Z954" i="6"/>
  <c r="Z955" i="6"/>
  <c r="Z956" i="6"/>
  <c r="Z957" i="6"/>
  <c r="Z958" i="6"/>
  <c r="Z959" i="6"/>
  <c r="Z960" i="6"/>
  <c r="Z961" i="6"/>
  <c r="Z962" i="6"/>
  <c r="Z963" i="6"/>
  <c r="Z964" i="6"/>
  <c r="Z965" i="6"/>
  <c r="Z966" i="6"/>
  <c r="Z967" i="6"/>
  <c r="Z968" i="6"/>
  <c r="Z969" i="6"/>
  <c r="Z970" i="6"/>
  <c r="Z971" i="6"/>
  <c r="Z972" i="6"/>
  <c r="Z973" i="6"/>
  <c r="Z974" i="6"/>
  <c r="Z975" i="6"/>
  <c r="Z976" i="6"/>
  <c r="Z977" i="6"/>
  <c r="Z978" i="6"/>
  <c r="Z979" i="6"/>
  <c r="Z980" i="6"/>
  <c r="Z981" i="6"/>
  <c r="Z982" i="6"/>
  <c r="Z983" i="6"/>
  <c r="Z984" i="6"/>
  <c r="Z985" i="6"/>
  <c r="Z986" i="6"/>
  <c r="Z987" i="6"/>
  <c r="Z988" i="6"/>
  <c r="Z989" i="6"/>
  <c r="Z990" i="6"/>
  <c r="Z991" i="6"/>
  <c r="Z992" i="6"/>
  <c r="Z993" i="6"/>
  <c r="Z994" i="6"/>
  <c r="Z995" i="6"/>
  <c r="Z996" i="6"/>
  <c r="Z997" i="6"/>
  <c r="Z998" i="6"/>
  <c r="Z999" i="6"/>
  <c r="Z1000" i="6"/>
  <c r="Z1001" i="6"/>
  <c r="Z1002" i="6"/>
  <c r="Z1003" i="6"/>
  <c r="Z1004" i="6"/>
  <c r="Z1005" i="6"/>
  <c r="Z1006" i="6"/>
  <c r="Z1007" i="6"/>
  <c r="Z1008" i="6"/>
  <c r="Z1009" i="6"/>
  <c r="Z1010" i="6"/>
  <c r="Z1011" i="6"/>
  <c r="Z1012" i="6"/>
  <c r="Z1013" i="6"/>
  <c r="Z1014" i="6"/>
  <c r="Z1015" i="6"/>
  <c r="Z1016" i="6"/>
  <c r="Z1017" i="6"/>
  <c r="Z1018" i="6"/>
  <c r="Z1019" i="6"/>
  <c r="Z1020" i="6"/>
  <c r="Z1021" i="6"/>
  <c r="Z1022" i="6"/>
  <c r="Z1023" i="6"/>
  <c r="Z1024" i="6"/>
  <c r="Z1025" i="6"/>
  <c r="Z1026" i="6"/>
  <c r="Z1027" i="6"/>
  <c r="Z1028" i="6"/>
  <c r="Z1029" i="6"/>
  <c r="Z1030" i="6"/>
  <c r="Z1031" i="6"/>
  <c r="Z1032" i="6"/>
  <c r="Z1033" i="6"/>
  <c r="Z1034" i="6"/>
  <c r="Z1035" i="6"/>
  <c r="Z1036" i="6"/>
  <c r="Z1037" i="6"/>
  <c r="Z1038" i="6"/>
  <c r="Z1039" i="6"/>
  <c r="Z1040" i="6"/>
  <c r="Z1041" i="6"/>
  <c r="Z1042" i="6"/>
  <c r="Z1043" i="6"/>
  <c r="Z1044" i="6"/>
  <c r="Z1045" i="6"/>
  <c r="Z1046" i="6"/>
  <c r="Z1047" i="6"/>
  <c r="Z1048" i="6"/>
  <c r="Z1049" i="6"/>
  <c r="Z1050" i="6"/>
  <c r="Z1051" i="6"/>
  <c r="Z1052" i="6"/>
  <c r="Z1053" i="6"/>
  <c r="Z1054" i="6"/>
  <c r="Z1055" i="6"/>
  <c r="Z1056" i="6"/>
  <c r="Z1057" i="6"/>
  <c r="Z1058" i="6"/>
  <c r="Z1059" i="6"/>
  <c r="Z1060" i="6"/>
  <c r="Z1061" i="6"/>
  <c r="Z1062" i="6"/>
  <c r="Z1063" i="6"/>
  <c r="Z1064" i="6"/>
  <c r="Z1065" i="6"/>
  <c r="Z1066" i="6"/>
  <c r="Z1067" i="6"/>
  <c r="Z1068" i="6"/>
  <c r="Z1069" i="6"/>
  <c r="Z1070" i="6"/>
  <c r="Z1071" i="6"/>
  <c r="Z1072" i="6"/>
  <c r="Z1073" i="6"/>
  <c r="Z1074" i="6"/>
  <c r="Z1075" i="6"/>
  <c r="Z1076" i="6"/>
  <c r="Z1077" i="6"/>
  <c r="Z1078" i="6"/>
  <c r="Z1079" i="6"/>
  <c r="Z1080" i="6"/>
  <c r="Z1081" i="6"/>
  <c r="Z1082" i="6"/>
  <c r="Z1083" i="6"/>
  <c r="Z1084" i="6"/>
  <c r="Z1085" i="6"/>
  <c r="Z1086" i="6"/>
  <c r="Z1087" i="6"/>
  <c r="Z1088" i="6"/>
  <c r="Z1089" i="6"/>
  <c r="Z1090" i="6"/>
  <c r="Z1091" i="6"/>
  <c r="Z1092" i="6"/>
  <c r="Z1093" i="6"/>
  <c r="Z1094" i="6"/>
  <c r="Z1095" i="6"/>
  <c r="Z1096" i="6"/>
  <c r="Z1097" i="6"/>
  <c r="Z1098" i="6"/>
  <c r="Z1099" i="6"/>
  <c r="Z1100" i="6"/>
  <c r="Z1101" i="6"/>
  <c r="Z1102" i="6"/>
  <c r="Z1103" i="6"/>
  <c r="Z1104" i="6"/>
  <c r="Z1105" i="6"/>
  <c r="Z1106" i="6"/>
  <c r="Z1107" i="6"/>
  <c r="Z1108" i="6"/>
  <c r="Z1109" i="6"/>
  <c r="Z1110" i="6"/>
  <c r="Z1111" i="6"/>
  <c r="Z1112" i="6"/>
  <c r="Z1113" i="6"/>
  <c r="Z1114" i="6"/>
  <c r="Z1115" i="6"/>
  <c r="Z1116" i="6"/>
  <c r="Z1117" i="6"/>
  <c r="Z1118" i="6"/>
  <c r="Z1119" i="6"/>
  <c r="Z1120" i="6"/>
  <c r="Z1121" i="6"/>
  <c r="Z1122" i="6"/>
  <c r="Z1123" i="6"/>
  <c r="Z1124" i="6"/>
  <c r="Z1125" i="6"/>
  <c r="Z1126" i="6"/>
  <c r="Z1127" i="6"/>
  <c r="Z1128" i="6"/>
  <c r="Z1129" i="6"/>
  <c r="Z1130" i="6"/>
  <c r="Z1131" i="6"/>
  <c r="Z1132" i="6"/>
  <c r="Z1133" i="6"/>
  <c r="Z1134" i="6"/>
  <c r="Z1135" i="6"/>
  <c r="Z1136" i="6"/>
  <c r="Z1137" i="6"/>
  <c r="Z1138" i="6"/>
  <c r="Z1139" i="6"/>
  <c r="Z1140" i="6"/>
  <c r="Z1141" i="6"/>
  <c r="Z1142" i="6"/>
  <c r="Z1143" i="6"/>
  <c r="Z1144" i="6"/>
  <c r="Z1145" i="6"/>
  <c r="Z1146" i="6"/>
  <c r="Z1147" i="6"/>
  <c r="Z1148" i="6"/>
  <c r="Z1149" i="6"/>
  <c r="Z1150" i="6"/>
  <c r="Z1151" i="6"/>
  <c r="Z1152" i="6"/>
  <c r="Z1153" i="6"/>
  <c r="Z1154" i="6"/>
  <c r="Z1155" i="6"/>
  <c r="Z1156" i="6"/>
  <c r="Z1157" i="6"/>
  <c r="Z1158" i="6"/>
  <c r="Z1159" i="6"/>
  <c r="Z1160" i="6"/>
  <c r="Z1161" i="6"/>
  <c r="Z1162" i="6"/>
  <c r="Z1163" i="6"/>
  <c r="Z1164" i="6"/>
  <c r="Z1165" i="6"/>
  <c r="Z1166" i="6"/>
  <c r="Z1167" i="6"/>
  <c r="Z1169" i="6"/>
  <c r="Z1170" i="6"/>
  <c r="Z1171" i="6"/>
  <c r="Z1172" i="6"/>
  <c r="Z1173" i="6"/>
  <c r="Z1174" i="6"/>
  <c r="Z1175" i="6"/>
  <c r="Z1176" i="6"/>
  <c r="Z1177" i="6"/>
  <c r="Z1178" i="6"/>
  <c r="Z1179" i="6"/>
  <c r="Z1180" i="6"/>
  <c r="Z1181" i="6"/>
  <c r="Z1182" i="6"/>
  <c r="Z1183" i="6"/>
  <c r="Z1184" i="6"/>
  <c r="Z1185" i="6"/>
  <c r="Z1186" i="6"/>
  <c r="Z1187" i="6"/>
  <c r="Z1188" i="6"/>
  <c r="Z1189" i="6"/>
  <c r="Z1190" i="6"/>
  <c r="Z1191" i="6"/>
  <c r="Z1192" i="6"/>
  <c r="Z1193" i="6"/>
  <c r="Z1194" i="6"/>
  <c r="Z1195" i="6"/>
  <c r="Z1196" i="6"/>
  <c r="Z1197" i="6"/>
  <c r="Z1198" i="6"/>
  <c r="Z1199" i="6"/>
  <c r="Z1200" i="6"/>
  <c r="Z1201" i="6"/>
  <c r="Z1202" i="6"/>
  <c r="Z1203" i="6"/>
  <c r="Z1204" i="6"/>
  <c r="Z1206" i="6"/>
  <c r="Z1207" i="6"/>
  <c r="Z1208" i="6"/>
  <c r="Z1209" i="6"/>
  <c r="Z1210" i="6"/>
  <c r="Z1211" i="6"/>
  <c r="Z1212" i="6"/>
  <c r="Z1213" i="6"/>
  <c r="Z1214" i="6"/>
  <c r="Z1215" i="6"/>
  <c r="Z1216" i="6"/>
  <c r="Z1217" i="6"/>
  <c r="Z1218" i="6"/>
  <c r="Z1219" i="6"/>
  <c r="Z1220" i="6"/>
  <c r="Z1221" i="6"/>
  <c r="Z1222" i="6"/>
  <c r="Z1223" i="6"/>
  <c r="Z1224" i="6"/>
  <c r="Z1225" i="6"/>
  <c r="Z1226" i="6"/>
  <c r="Z1227" i="6"/>
  <c r="Z1228" i="6"/>
  <c r="Z1229" i="6"/>
  <c r="Z1230" i="6"/>
  <c r="Z1231" i="6"/>
  <c r="Z1232" i="6"/>
  <c r="Z1233" i="6"/>
  <c r="Z1234" i="6"/>
  <c r="Z1235" i="6"/>
  <c r="Z1236" i="6"/>
  <c r="Z1237" i="6"/>
  <c r="Z1238" i="6"/>
  <c r="Z1239" i="6"/>
  <c r="Z1240" i="6"/>
  <c r="Z1241" i="6"/>
  <c r="Z1242" i="6"/>
  <c r="Z1243" i="6"/>
  <c r="Z1244" i="6"/>
  <c r="Z1245" i="6"/>
  <c r="Z1246" i="6"/>
  <c r="Z1247" i="6"/>
  <c r="Z1248" i="6"/>
  <c r="Z1249" i="6"/>
  <c r="Z1250" i="6"/>
  <c r="Z1251" i="6"/>
  <c r="Z1252" i="6"/>
  <c r="Z1253" i="6"/>
  <c r="Z1254" i="6"/>
  <c r="Z1255" i="6"/>
  <c r="Z1256" i="6"/>
  <c r="Z1257" i="6"/>
  <c r="Z1258" i="6"/>
  <c r="Z1259" i="6"/>
  <c r="Z1260" i="6"/>
  <c r="Z1261" i="6"/>
  <c r="Z1262" i="6"/>
  <c r="Z1263" i="6"/>
  <c r="Z1264" i="6"/>
  <c r="Z1265" i="6"/>
  <c r="Z1266" i="6"/>
  <c r="Z1267" i="6"/>
  <c r="Z1268" i="6"/>
  <c r="Z1269" i="6"/>
  <c r="Z1270" i="6"/>
  <c r="Z1271" i="6"/>
  <c r="Z1272" i="6"/>
  <c r="Z1273" i="6"/>
  <c r="Z1274" i="6"/>
  <c r="Z1275" i="6"/>
  <c r="Z1276" i="6"/>
  <c r="Z1277" i="6"/>
  <c r="Z1278" i="6"/>
  <c r="Z1279" i="6"/>
  <c r="Z1280" i="6"/>
  <c r="Z1281" i="6"/>
  <c r="Z1282" i="6"/>
  <c r="Z1283" i="6"/>
  <c r="Z1284" i="6"/>
  <c r="Z1285" i="6"/>
  <c r="Z1286" i="6"/>
  <c r="Z1287" i="6"/>
  <c r="Z1288" i="6"/>
  <c r="Z1289" i="6"/>
  <c r="Z1290" i="6"/>
  <c r="Z1291" i="6"/>
  <c r="Z1292" i="6"/>
  <c r="Z1293" i="6"/>
  <c r="Z1294" i="6"/>
  <c r="Z1295" i="6"/>
  <c r="Z1296" i="6"/>
  <c r="Z1297" i="6"/>
  <c r="Z1298" i="6"/>
  <c r="Z1299" i="6"/>
  <c r="Z1300" i="6"/>
  <c r="Z1301" i="6"/>
  <c r="Z1302" i="6"/>
  <c r="Z1303" i="6"/>
  <c r="Z1304" i="6"/>
  <c r="Z1305" i="6"/>
  <c r="Z1306" i="6"/>
  <c r="Z1307" i="6"/>
  <c r="Z1308" i="6"/>
  <c r="Z1309" i="6"/>
  <c r="Z1310" i="6"/>
  <c r="Z1311" i="6"/>
  <c r="Z1312" i="6"/>
  <c r="Z1313" i="6"/>
  <c r="Z1314" i="6"/>
  <c r="Z1315" i="6"/>
  <c r="Z1316" i="6"/>
  <c r="Z1317" i="6"/>
  <c r="Z1318" i="6"/>
  <c r="Z1319" i="6"/>
  <c r="Z1320" i="6"/>
  <c r="Z1321" i="6"/>
  <c r="Z1322" i="6"/>
  <c r="Z1323" i="6"/>
  <c r="Z1324" i="6"/>
  <c r="Z1325" i="6"/>
  <c r="Z1326" i="6"/>
  <c r="Z1327" i="6"/>
  <c r="Z1328" i="6"/>
  <c r="Z1329" i="6"/>
  <c r="Z1330" i="6"/>
  <c r="Z1331" i="6"/>
  <c r="Z1332" i="6"/>
  <c r="Z1333" i="6"/>
  <c r="Z1334" i="6"/>
  <c r="Z1335" i="6"/>
  <c r="Z1336" i="6"/>
  <c r="Z1337" i="6"/>
  <c r="Z1338" i="6"/>
  <c r="Z1339" i="6"/>
  <c r="Z3" i="6"/>
  <c r="S562" i="6" l="1"/>
  <c r="S561" i="6"/>
  <c r="V539" i="6"/>
  <c r="U539" i="6" s="1"/>
  <c r="T447" i="6" l="1"/>
  <c r="Z447" i="6" s="1"/>
  <c r="V458" i="6" l="1"/>
  <c r="U458" i="6" s="1"/>
  <c r="V457" i="6"/>
  <c r="U457" i="6" s="1"/>
  <c r="S487" i="6"/>
  <c r="S486" i="6"/>
  <c r="S485" i="6"/>
  <c r="S477" i="6"/>
  <c r="S473" i="6"/>
  <c r="Y473" i="6" s="1"/>
  <c r="R488" i="6" l="1"/>
  <c r="U488" i="6" l="1"/>
  <c r="S488" i="6"/>
  <c r="Z488" i="6"/>
  <c r="X251" i="6" l="1"/>
  <c r="U251" i="6" s="1"/>
  <c r="Q124" i="6" l="1"/>
  <c r="S1318" i="6" l="1"/>
  <c r="S1317" i="6"/>
  <c r="S1316" i="6"/>
  <c r="S1293" i="6"/>
  <c r="S1280" i="6" l="1"/>
  <c r="V1106" i="6" l="1"/>
  <c r="U1106" i="6" s="1"/>
  <c r="P306" i="6" l="1"/>
  <c r="X306" i="6" l="1"/>
  <c r="Z306" i="6"/>
  <c r="R1168" i="6" l="1"/>
  <c r="Q1168" i="6"/>
  <c r="Z1168" i="6" l="1"/>
  <c r="U1168" i="6"/>
  <c r="Z119" i="6"/>
  <c r="P121" i="6" l="1"/>
  <c r="O121" i="6"/>
  <c r="U121" i="6" l="1"/>
  <c r="Z121" i="6"/>
  <c r="V376" i="6"/>
  <c r="V378" i="6"/>
  <c r="Y379" i="6"/>
  <c r="Y377" i="6"/>
  <c r="Y380" i="6"/>
  <c r="Y381" i="6"/>
  <c r="Y382" i="6"/>
  <c r="Y378" i="6" l="1"/>
  <c r="U378" i="6"/>
  <c r="Y376" i="6"/>
  <c r="U376" i="6"/>
  <c r="P418" i="6"/>
  <c r="S1169" i="6"/>
  <c r="R418" i="6" l="1"/>
  <c r="Z418" i="6" s="1"/>
  <c r="Q418" i="6"/>
  <c r="U418" i="6" l="1"/>
  <c r="P1205" i="6"/>
  <c r="O1205" i="6"/>
  <c r="S1205" i="6" l="1"/>
  <c r="U1205" i="6"/>
  <c r="Z1205" i="6"/>
  <c r="V357" i="6"/>
  <c r="U357" i="6" s="1"/>
  <c r="V356" i="6"/>
  <c r="U356" i="6" s="1"/>
  <c r="V334" i="6" l="1"/>
  <c r="U334" i="6" s="1"/>
  <c r="V332" i="6"/>
  <c r="U332" i="6" s="1"/>
  <c r="V331" i="6"/>
  <c r="U331" i="6" s="1"/>
  <c r="Y534" i="6" l="1"/>
  <c r="S556" i="6" l="1"/>
  <c r="F50" i="8" l="1"/>
  <c r="E50" i="8"/>
  <c r="F49" i="8"/>
  <c r="E49" i="8"/>
  <c r="J37" i="8"/>
  <c r="E37" i="8"/>
  <c r="H43" i="8" s="1"/>
  <c r="E58" i="8"/>
  <c r="Y251" i="6"/>
  <c r="J30" i="8"/>
  <c r="I38" i="8"/>
  <c r="J36" i="8"/>
  <c r="E36" i="8"/>
  <c r="H38" i="8" s="1"/>
  <c r="E35" i="8"/>
  <c r="I5" i="8"/>
  <c r="K5" i="8" s="1"/>
  <c r="F2" i="8"/>
  <c r="I2" i="8" s="1"/>
  <c r="J2" i="8" s="1"/>
  <c r="J3" i="8" s="1"/>
  <c r="G30" i="8"/>
  <c r="H5" i="8"/>
  <c r="H6" i="8"/>
  <c r="H7" i="8"/>
  <c r="H8" i="8"/>
  <c r="H9" i="8"/>
  <c r="H10" i="8"/>
  <c r="H11" i="8"/>
  <c r="H12" i="8"/>
  <c r="H13" i="8"/>
  <c r="H14" i="8"/>
  <c r="H15" i="8"/>
  <c r="H19" i="8"/>
  <c r="H20" i="8"/>
  <c r="H21" i="8"/>
  <c r="H22" i="8"/>
  <c r="H23" i="8"/>
  <c r="H24" i="8"/>
  <c r="H25" i="8"/>
  <c r="H26" i="8"/>
  <c r="H27" i="8"/>
  <c r="H28" i="8"/>
  <c r="H29" i="8"/>
  <c r="H2" i="8"/>
  <c r="I6" i="8"/>
  <c r="K6" i="8" s="1"/>
  <c r="I7" i="8"/>
  <c r="K7" i="8" s="1"/>
  <c r="I8" i="8"/>
  <c r="K8" i="8" s="1"/>
  <c r="I9" i="8"/>
  <c r="K9" i="8" s="1"/>
  <c r="I10" i="8"/>
  <c r="K10" i="8" s="1"/>
  <c r="I11" i="8"/>
  <c r="K11" i="8" s="1"/>
  <c r="I12" i="8"/>
  <c r="K12" i="8" s="1"/>
  <c r="I13" i="8"/>
  <c r="K13" i="8" s="1"/>
  <c r="I14" i="8"/>
  <c r="K14" i="8" s="1"/>
  <c r="I15" i="8"/>
  <c r="K15" i="8" s="1"/>
  <c r="I19" i="8"/>
  <c r="K19" i="8" s="1"/>
  <c r="I20" i="8"/>
  <c r="K20" i="8" s="1"/>
  <c r="I21" i="8"/>
  <c r="I22" i="8"/>
  <c r="L22" i="8" s="1"/>
  <c r="I23" i="8"/>
  <c r="L23" i="8" s="1"/>
  <c r="I24" i="8"/>
  <c r="L24" i="8" s="1"/>
  <c r="I25" i="8"/>
  <c r="I26" i="8"/>
  <c r="M26" i="8" s="1"/>
  <c r="I27" i="8"/>
  <c r="M27" i="8" s="1"/>
  <c r="I28" i="8"/>
  <c r="M28" i="8" s="1"/>
  <c r="I29" i="8"/>
  <c r="M29" i="8" s="1"/>
  <c r="C4" i="8"/>
  <c r="F4" i="8" s="1"/>
  <c r="I4" i="8" s="1"/>
  <c r="K4" i="8" s="1"/>
  <c r="C5" i="8"/>
  <c r="C6" i="8"/>
  <c r="C7" i="8"/>
  <c r="C8" i="8"/>
  <c r="C9" i="8"/>
  <c r="C10" i="8"/>
  <c r="C11" i="8"/>
  <c r="C12" i="8"/>
  <c r="C13" i="8"/>
  <c r="C14" i="8"/>
  <c r="C15" i="8"/>
  <c r="C16" i="8"/>
  <c r="C17" i="8"/>
  <c r="C18" i="8"/>
  <c r="C19" i="8"/>
  <c r="C20" i="8"/>
  <c r="C21" i="8"/>
  <c r="C22" i="8"/>
  <c r="C23" i="8"/>
  <c r="C24" i="8"/>
  <c r="C25" i="8"/>
  <c r="C26" i="8"/>
  <c r="C27" i="8"/>
  <c r="C28" i="8"/>
  <c r="C29" i="8"/>
  <c r="C3" i="8"/>
  <c r="F3" i="8" s="1"/>
  <c r="J38" i="8" l="1"/>
  <c r="E48" i="8"/>
  <c r="H42" i="8"/>
  <c r="E47" i="8"/>
  <c r="F47" i="8"/>
  <c r="F48" i="8"/>
  <c r="G38" i="8"/>
  <c r="F30" i="8"/>
  <c r="I3" i="8"/>
  <c r="H4" i="8"/>
  <c r="H3" i="8"/>
  <c r="I30" i="8" l="1"/>
  <c r="K3" i="8"/>
  <c r="H30" i="8"/>
  <c r="K21" i="8" l="1"/>
  <c r="L21" i="8" l="1"/>
  <c r="G42" i="8"/>
  <c r="K30" i="8"/>
  <c r="F58" i="8" s="1"/>
  <c r="S1300" i="6"/>
  <c r="H59" i="8" l="1"/>
  <c r="G59" i="8"/>
  <c r="G43" i="8"/>
  <c r="F43" i="8" s="1"/>
  <c r="F42" i="8"/>
  <c r="L25" i="8"/>
  <c r="M25" i="8" s="1"/>
  <c r="M30" i="8" s="1"/>
  <c r="L30" i="8"/>
  <c r="Q1188" i="6"/>
  <c r="K42" i="8" l="1"/>
  <c r="M42" i="8"/>
  <c r="J42" i="8"/>
  <c r="N42" i="8"/>
  <c r="L42" i="8"/>
  <c r="K43" i="8"/>
  <c r="E54" i="8" s="1"/>
  <c r="L43" i="8"/>
  <c r="F54" i="8" s="1"/>
  <c r="J43" i="8"/>
  <c r="N43" i="8"/>
  <c r="M43" i="8"/>
  <c r="E53" i="8"/>
  <c r="F53" i="8"/>
  <c r="E55" i="8" l="1"/>
  <c r="F55" i="8"/>
  <c r="V198" i="6" l="1"/>
  <c r="U198" i="6" s="1"/>
  <c r="V165" i="6" l="1"/>
  <c r="U165" i="6" s="1"/>
  <c r="V1155" i="6" l="1"/>
  <c r="U1155" i="6" s="1"/>
  <c r="S982" i="6"/>
  <c r="V983" i="6" l="1"/>
  <c r="U983" i="6" s="1"/>
  <c r="V1153" i="6"/>
  <c r="U1153" i="6" s="1"/>
  <c r="V830" i="6"/>
  <c r="U830" i="6" s="1"/>
  <c r="R472" i="6" l="1"/>
  <c r="R479" i="6"/>
  <c r="R478" i="6"/>
  <c r="Q479" i="6"/>
  <c r="Q478" i="6"/>
  <c r="U472" i="6" l="1"/>
  <c r="Z478" i="6"/>
  <c r="U478" i="6"/>
  <c r="Z479" i="6"/>
  <c r="U479" i="6"/>
  <c r="S472" i="6"/>
  <c r="Z472" i="6"/>
  <c r="Y488" i="6"/>
  <c r="R448" i="6" l="1"/>
  <c r="P448" i="6"/>
  <c r="R465" i="6"/>
  <c r="R466" i="6"/>
  <c r="R464" i="6"/>
  <c r="U448" i="6" l="1"/>
  <c r="Z448" i="6"/>
  <c r="U464" i="6"/>
  <c r="Z464" i="6"/>
  <c r="S464" i="6"/>
  <c r="U466" i="6"/>
  <c r="Z466" i="6"/>
  <c r="S466" i="6"/>
  <c r="U465" i="6"/>
  <c r="Z465" i="6"/>
  <c r="S465" i="6"/>
  <c r="Y465" i="6" s="1"/>
  <c r="S448" i="6"/>
  <c r="Y486" i="6"/>
  <c r="Y484" i="6"/>
  <c r="Y482" i="6"/>
  <c r="Y485" i="6"/>
  <c r="Y480" i="6"/>
  <c r="Y487" i="6"/>
  <c r="Y483" i="6"/>
  <c r="Y481" i="6"/>
  <c r="Y477" i="6"/>
  <c r="Y479" i="6"/>
  <c r="Y472" i="6"/>
  <c r="Y470" i="6"/>
  <c r="Y469" i="6"/>
  <c r="Y468" i="6"/>
  <c r="Y463" i="6"/>
  <c r="Q447" i="6" l="1"/>
  <c r="S489" i="6" l="1"/>
  <c r="S490" i="6"/>
  <c r="Y248" i="6" l="1"/>
  <c r="Y249" i="6"/>
  <c r="Y252" i="6"/>
  <c r="Y253" i="6"/>
  <c r="Y254" i="6"/>
  <c r="Y255" i="6"/>
  <c r="Y256" i="6"/>
  <c r="Y257" i="6"/>
  <c r="Y258" i="6"/>
  <c r="Y259" i="6"/>
  <c r="Y260" i="6"/>
  <c r="Y261" i="6"/>
  <c r="Y262" i="6"/>
  <c r="Y263" i="6"/>
  <c r="Y264" i="6"/>
  <c r="Y265" i="6"/>
  <c r="Y266" i="6"/>
  <c r="Y267" i="6"/>
  <c r="Y268" i="6"/>
  <c r="Y269" i="6"/>
  <c r="Y270" i="6"/>
  <c r="Y271" i="6"/>
  <c r="Y272" i="6"/>
  <c r="Y273" i="6"/>
  <c r="Y274" i="6"/>
  <c r="Y275" i="6"/>
  <c r="Y276" i="6"/>
  <c r="Y277" i="6"/>
  <c r="Y278" i="6"/>
  <c r="Y279" i="6"/>
  <c r="Y280" i="6"/>
  <c r="Y281" i="6"/>
  <c r="Y282" i="6"/>
  <c r="Y283" i="6"/>
  <c r="Y284" i="6"/>
  <c r="Y285" i="6"/>
  <c r="Y286" i="6"/>
  <c r="Y287" i="6"/>
  <c r="Y288" i="6"/>
  <c r="Y289" i="6"/>
  <c r="Y290" i="6"/>
  <c r="Y291" i="6"/>
  <c r="Y292" i="6"/>
  <c r="Y293" i="6"/>
  <c r="Y294" i="6"/>
  <c r="Y295" i="6"/>
  <c r="Y296" i="6"/>
  <c r="Y297" i="6"/>
  <c r="Y298" i="6"/>
  <c r="Y299" i="6"/>
  <c r="Y300" i="6"/>
  <c r="Y301" i="6"/>
  <c r="Y302" i="6"/>
  <c r="Y303" i="6"/>
  <c r="Y304" i="6"/>
  <c r="Y305" i="6"/>
  <c r="Y307" i="6"/>
  <c r="Y308" i="6"/>
  <c r="Y309" i="6"/>
  <c r="Y310" i="6"/>
  <c r="Y311" i="6"/>
  <c r="Y312" i="6"/>
  <c r="Y313" i="6"/>
  <c r="Y314" i="6"/>
  <c r="Y315" i="6"/>
  <c r="Y316" i="6"/>
  <c r="Y318" i="6"/>
  <c r="Y319" i="6"/>
  <c r="Y320" i="6"/>
  <c r="Y321" i="6"/>
  <c r="Y322" i="6"/>
  <c r="Y323" i="6"/>
  <c r="Y324" i="6"/>
  <c r="Y325" i="6"/>
  <c r="Y326" i="6"/>
  <c r="Y327" i="6"/>
  <c r="Y328" i="6"/>
  <c r="Y329" i="6"/>
  <c r="Y330" i="6"/>
  <c r="Y331" i="6"/>
  <c r="Y332" i="6"/>
  <c r="Y333" i="6"/>
  <c r="Y334" i="6"/>
  <c r="Y335" i="6"/>
  <c r="Y336" i="6"/>
  <c r="Y337" i="6"/>
  <c r="Y338" i="6"/>
  <c r="Y339" i="6"/>
  <c r="Y340" i="6"/>
  <c r="Y341" i="6"/>
  <c r="Y342" i="6"/>
  <c r="Y343" i="6"/>
  <c r="Y344" i="6"/>
  <c r="Y345" i="6"/>
  <c r="Y346" i="6"/>
  <c r="Y347" i="6"/>
  <c r="Y348" i="6"/>
  <c r="Y349" i="6"/>
  <c r="Y350" i="6"/>
  <c r="Y351" i="6"/>
  <c r="Y352" i="6"/>
  <c r="Y353" i="6"/>
  <c r="Y354" i="6"/>
  <c r="Y355" i="6"/>
  <c r="Y357" i="6"/>
  <c r="Y358" i="6"/>
  <c r="Y359" i="6"/>
  <c r="Y360" i="6"/>
  <c r="Y361" i="6"/>
  <c r="Y362" i="6"/>
  <c r="Y363" i="6"/>
  <c r="Y364" i="6"/>
  <c r="Y365" i="6"/>
  <c r="Y366" i="6"/>
  <c r="Y367" i="6"/>
  <c r="Y368" i="6"/>
  <c r="Y369" i="6"/>
  <c r="Y370" i="6"/>
  <c r="Y371" i="6"/>
  <c r="Y372" i="6"/>
  <c r="Y373" i="6"/>
  <c r="Y374" i="6"/>
  <c r="Y375" i="6"/>
  <c r="Y383" i="6"/>
  <c r="Y384" i="6"/>
  <c r="Y385" i="6"/>
  <c r="Y386" i="6"/>
  <c r="Y387" i="6"/>
  <c r="Y388" i="6"/>
  <c r="Y389" i="6"/>
  <c r="Y390" i="6"/>
  <c r="Y391" i="6"/>
  <c r="Y392" i="6"/>
  <c r="Y393" i="6"/>
  <c r="Y394" i="6"/>
  <c r="Y395" i="6"/>
  <c r="Y396" i="6"/>
  <c r="Y397" i="6"/>
  <c r="Y398" i="6"/>
  <c r="Y399" i="6"/>
  <c r="Y400" i="6"/>
  <c r="Y401" i="6"/>
  <c r="Y402" i="6"/>
  <c r="Y403" i="6"/>
  <c r="Y404" i="6"/>
  <c r="Y405" i="6"/>
  <c r="Y406" i="6"/>
  <c r="Y407" i="6"/>
  <c r="Y408" i="6"/>
  <c r="Y409" i="6"/>
  <c r="Y410" i="6"/>
  <c r="Y411" i="6"/>
  <c r="Y412" i="6"/>
  <c r="Y413" i="6"/>
  <c r="Y414" i="6"/>
  <c r="Y415" i="6"/>
  <c r="Y416" i="6"/>
  <c r="Y417" i="6"/>
  <c r="Y418" i="6"/>
  <c r="Y419" i="6"/>
  <c r="Y420" i="6"/>
  <c r="Y421" i="6"/>
  <c r="Y422" i="6"/>
  <c r="Y423" i="6"/>
  <c r="Y424" i="6"/>
  <c r="Y425" i="6"/>
  <c r="Y426" i="6"/>
  <c r="Y427" i="6"/>
  <c r="Y428" i="6"/>
  <c r="Y429" i="6"/>
  <c r="Y430" i="6"/>
  <c r="Y431" i="6"/>
  <c r="Y432" i="6"/>
  <c r="Y433" i="6"/>
  <c r="Y434" i="6"/>
  <c r="Y435" i="6"/>
  <c r="Y436" i="6"/>
  <c r="Y437" i="6"/>
  <c r="Y438" i="6"/>
  <c r="Y439" i="6"/>
  <c r="Y440" i="6"/>
  <c r="Y441" i="6"/>
  <c r="Y442" i="6"/>
  <c r="Y443" i="6"/>
  <c r="Y444" i="6"/>
  <c r="Y445" i="6"/>
  <c r="Y446" i="6"/>
  <c r="Y447" i="6"/>
  <c r="Y455" i="6"/>
  <c r="Y456" i="6"/>
  <c r="Y475" i="6"/>
  <c r="Y474" i="6"/>
  <c r="Y476" i="6"/>
  <c r="Y478" i="6"/>
  <c r="Y489" i="6"/>
  <c r="Y490" i="6" s="1"/>
  <c r="Y466" i="6"/>
  <c r="Y464" i="6"/>
  <c r="Y452" i="6"/>
  <c r="Y454" i="6"/>
  <c r="Y453" i="6"/>
  <c r="Y449" i="6"/>
  <c r="Y450" i="6"/>
  <c r="Y462" i="6"/>
  <c r="Y460" i="6"/>
  <c r="Y461" i="6"/>
  <c r="Y458" i="6"/>
  <c r="Y459" i="6"/>
  <c r="Y457" i="6"/>
  <c r="Y451" i="6"/>
  <c r="Y471" i="6"/>
  <c r="Y467" i="6"/>
  <c r="Y448" i="6"/>
  <c r="Y491" i="6"/>
  <c r="Y495" i="6"/>
  <c r="Y500" i="6"/>
  <c r="Y501" i="6"/>
  <c r="Y499" i="6"/>
  <c r="Y496" i="6"/>
  <c r="Y497" i="6"/>
  <c r="Y498" i="6"/>
  <c r="Y492" i="6"/>
  <c r="Y494" i="6"/>
  <c r="Y493" i="6"/>
  <c r="Y502" i="6"/>
  <c r="Y503" i="6"/>
  <c r="Y504" i="6"/>
  <c r="Y505" i="6"/>
  <c r="Y506" i="6"/>
  <c r="Y507" i="6"/>
  <c r="Y508" i="6"/>
  <c r="Y509" i="6"/>
  <c r="Y510" i="6"/>
  <c r="Y511" i="6"/>
  <c r="Y512" i="6"/>
  <c r="Y513" i="6"/>
  <c r="Y514" i="6"/>
  <c r="Y515" i="6"/>
  <c r="Y516" i="6"/>
  <c r="Y517" i="6"/>
  <c r="Y518" i="6"/>
  <c r="Y519" i="6"/>
  <c r="Y520" i="6"/>
  <c r="Y521" i="6"/>
  <c r="Y522" i="6"/>
  <c r="Y523" i="6"/>
  <c r="Y524" i="6"/>
  <c r="Y525" i="6"/>
  <c r="Y526" i="6"/>
  <c r="Y527" i="6"/>
  <c r="Y528" i="6"/>
  <c r="Y529" i="6"/>
  <c r="Y530" i="6"/>
  <c r="Y531" i="6"/>
  <c r="Y532" i="6"/>
  <c r="Y533" i="6"/>
  <c r="Y535" i="6"/>
  <c r="Y536" i="6"/>
  <c r="Y537" i="6"/>
  <c r="Y538" i="6"/>
  <c r="Y539" i="6"/>
  <c r="Y540" i="6"/>
  <c r="Y541" i="6"/>
  <c r="Y542" i="6"/>
  <c r="Y543" i="6"/>
  <c r="Y544" i="6"/>
  <c r="Y545" i="6"/>
  <c r="Y546" i="6"/>
  <c r="Y547" i="6"/>
  <c r="Y548" i="6"/>
  <c r="Y549" i="6"/>
  <c r="Y550" i="6"/>
  <c r="Y551" i="6"/>
  <c r="Y552" i="6"/>
  <c r="Y553" i="6"/>
  <c r="Y554" i="6"/>
  <c r="Y555" i="6"/>
  <c r="Y556" i="6"/>
  <c r="Y557" i="6"/>
  <c r="Y558" i="6"/>
  <c r="Y559" i="6"/>
  <c r="Y560" i="6"/>
  <c r="Y561" i="6"/>
  <c r="Y562" i="6"/>
  <c r="Y563" i="6"/>
  <c r="Y564" i="6"/>
  <c r="Y565" i="6"/>
  <c r="Y566" i="6"/>
  <c r="Y567" i="6"/>
  <c r="Y568" i="6"/>
  <c r="Y569" i="6"/>
  <c r="Y570" i="6"/>
  <c r="Y571" i="6"/>
  <c r="Y572" i="6"/>
  <c r="Y573" i="6"/>
  <c r="Y574" i="6"/>
  <c r="Y575" i="6"/>
  <c r="Y576" i="6"/>
  <c r="Y577" i="6"/>
  <c r="Y578" i="6"/>
  <c r="Y579" i="6"/>
  <c r="Y580" i="6"/>
  <c r="Y581" i="6"/>
  <c r="Y582" i="6"/>
  <c r="Y583" i="6"/>
  <c r="Y584" i="6"/>
  <c r="Y585" i="6"/>
  <c r="Y586" i="6"/>
  <c r="Y587" i="6"/>
  <c r="Y588" i="6"/>
  <c r="Y589" i="6"/>
  <c r="Y590" i="6"/>
  <c r="Y591" i="6"/>
  <c r="Y592" i="6"/>
  <c r="Y593" i="6"/>
  <c r="Y594" i="6"/>
  <c r="Y595" i="6"/>
  <c r="Y596" i="6"/>
  <c r="Y597" i="6"/>
  <c r="Y598" i="6"/>
  <c r="Y599" i="6"/>
  <c r="Y600" i="6"/>
  <c r="Y601" i="6"/>
  <c r="Y602" i="6"/>
  <c r="Y603" i="6"/>
  <c r="Y604" i="6"/>
  <c r="Y605" i="6"/>
  <c r="Y606" i="6"/>
  <c r="Y607" i="6"/>
  <c r="Y608" i="6"/>
  <c r="Y609" i="6"/>
  <c r="Y610" i="6"/>
  <c r="Y611" i="6"/>
  <c r="Y612" i="6"/>
  <c r="Y613" i="6"/>
  <c r="Y614" i="6"/>
  <c r="Y615" i="6"/>
  <c r="Y616" i="6"/>
  <c r="Y617" i="6"/>
  <c r="Y618" i="6"/>
  <c r="Y619" i="6"/>
  <c r="Y620" i="6"/>
  <c r="Y621" i="6"/>
  <c r="Y622" i="6"/>
  <c r="Y623" i="6"/>
  <c r="Y624" i="6"/>
  <c r="Y625" i="6"/>
  <c r="Y626" i="6"/>
  <c r="Y627" i="6"/>
  <c r="Y628" i="6"/>
  <c r="Y629" i="6"/>
  <c r="Y630" i="6"/>
  <c r="Y631" i="6"/>
  <c r="Y632" i="6"/>
  <c r="Y633" i="6"/>
  <c r="Y634" i="6"/>
  <c r="Y635" i="6"/>
  <c r="Y636" i="6"/>
  <c r="Y637" i="6"/>
  <c r="Y638" i="6"/>
  <c r="Y639" i="6"/>
  <c r="Y640" i="6"/>
  <c r="Y641" i="6"/>
  <c r="Y642" i="6"/>
  <c r="Y643" i="6"/>
  <c r="Y644" i="6"/>
  <c r="Y645" i="6"/>
  <c r="Y646" i="6"/>
  <c r="Y647" i="6"/>
  <c r="Y648" i="6"/>
  <c r="Y649" i="6"/>
  <c r="Y650" i="6"/>
  <c r="Y651" i="6"/>
  <c r="Y652" i="6"/>
  <c r="Y653" i="6"/>
  <c r="Y654" i="6"/>
  <c r="Y655" i="6"/>
  <c r="Y656" i="6"/>
  <c r="Y657" i="6"/>
  <c r="Y658" i="6"/>
  <c r="Y659" i="6"/>
  <c r="Y660" i="6"/>
  <c r="Y661" i="6"/>
  <c r="Y662" i="6"/>
  <c r="Y663" i="6"/>
  <c r="Y664" i="6"/>
  <c r="Y665" i="6"/>
  <c r="Y666" i="6"/>
  <c r="Y667" i="6"/>
  <c r="Y668" i="6"/>
  <c r="Y669" i="6"/>
  <c r="Y670" i="6"/>
  <c r="Y671" i="6"/>
  <c r="Y672" i="6"/>
  <c r="Y673" i="6"/>
  <c r="Y674" i="6"/>
  <c r="Y675" i="6"/>
  <c r="Y676" i="6"/>
  <c r="Y677" i="6"/>
  <c r="Y678" i="6"/>
  <c r="Y679" i="6"/>
  <c r="Y680" i="6"/>
  <c r="Y681" i="6"/>
  <c r="Y682" i="6"/>
  <c r="Y683" i="6"/>
  <c r="Y684" i="6"/>
  <c r="Y685" i="6"/>
  <c r="Y686" i="6"/>
  <c r="Y687" i="6"/>
  <c r="Y688" i="6"/>
  <c r="Y689" i="6"/>
  <c r="Y690" i="6"/>
  <c r="Y691" i="6"/>
  <c r="Y692" i="6"/>
  <c r="Y693" i="6"/>
  <c r="Y694" i="6"/>
  <c r="Y695" i="6"/>
  <c r="Y696" i="6"/>
  <c r="Y697" i="6"/>
  <c r="Y698" i="6"/>
  <c r="Y699" i="6"/>
  <c r="Y700" i="6"/>
  <c r="Y701" i="6"/>
  <c r="Y702" i="6"/>
  <c r="Y703" i="6"/>
  <c r="Y704" i="6"/>
  <c r="Y705" i="6"/>
  <c r="Y706" i="6"/>
  <c r="Y707" i="6"/>
  <c r="Y708" i="6"/>
  <c r="Y709" i="6"/>
  <c r="Y710" i="6"/>
  <c r="Y711" i="6"/>
  <c r="Y712" i="6"/>
  <c r="Y713" i="6"/>
  <c r="Y714" i="6"/>
  <c r="Y715" i="6"/>
  <c r="Y716" i="6"/>
  <c r="Y717" i="6"/>
  <c r="Y718" i="6"/>
  <c r="Y719" i="6"/>
  <c r="Y720" i="6"/>
  <c r="Y721" i="6"/>
  <c r="Y722" i="6"/>
  <c r="Y723" i="6"/>
  <c r="Y724" i="6"/>
  <c r="Y725" i="6"/>
  <c r="Y726" i="6"/>
  <c r="Y727" i="6"/>
  <c r="Y728" i="6"/>
  <c r="Y729" i="6"/>
  <c r="Y730" i="6"/>
  <c r="Y731" i="6"/>
  <c r="Y732" i="6"/>
  <c r="Y733" i="6"/>
  <c r="Y734" i="6"/>
  <c r="Y735" i="6"/>
  <c r="Y736" i="6"/>
  <c r="Y737" i="6"/>
  <c r="Y738" i="6"/>
  <c r="Y739" i="6"/>
  <c r="Y740" i="6"/>
  <c r="Y741" i="6"/>
  <c r="Y742" i="6"/>
  <c r="Y743" i="6"/>
  <c r="Y744" i="6"/>
  <c r="Y745" i="6"/>
  <c r="Y746" i="6"/>
  <c r="Y747" i="6"/>
  <c r="Y748" i="6"/>
  <c r="Y749" i="6"/>
  <c r="Y750" i="6"/>
  <c r="Y751" i="6"/>
  <c r="Y752" i="6"/>
  <c r="Y753" i="6"/>
  <c r="Y754" i="6"/>
  <c r="Y755" i="6"/>
  <c r="Y756" i="6"/>
  <c r="Y757" i="6"/>
  <c r="Y758" i="6"/>
  <c r="Y759" i="6"/>
  <c r="Y760" i="6"/>
  <c r="Y761" i="6"/>
  <c r="Y762" i="6"/>
  <c r="Y763" i="6"/>
  <c r="Y764" i="6"/>
  <c r="Y765" i="6"/>
  <c r="Y766" i="6"/>
  <c r="Y767" i="6"/>
  <c r="Y768" i="6"/>
  <c r="Y769" i="6"/>
  <c r="Y770" i="6"/>
  <c r="Y771" i="6"/>
  <c r="Y772" i="6"/>
  <c r="Y773" i="6"/>
  <c r="Y774" i="6"/>
  <c r="Y775" i="6"/>
  <c r="Y776" i="6"/>
  <c r="Y777" i="6"/>
  <c r="Y778" i="6"/>
  <c r="Y779" i="6"/>
  <c r="Y780" i="6"/>
  <c r="Y781" i="6"/>
  <c r="Y782" i="6"/>
  <c r="Y783" i="6"/>
  <c r="Y784" i="6"/>
  <c r="Y785" i="6"/>
  <c r="Y786" i="6"/>
  <c r="Y787" i="6"/>
  <c r="Y788" i="6"/>
  <c r="Y789" i="6"/>
  <c r="Y790" i="6"/>
  <c r="Y791" i="6"/>
  <c r="Y792" i="6"/>
  <c r="Y793" i="6"/>
  <c r="Y794" i="6"/>
  <c r="Y795" i="6"/>
  <c r="Y796" i="6"/>
  <c r="Y797" i="6"/>
  <c r="Y798" i="6"/>
  <c r="Y799" i="6"/>
  <c r="Y800" i="6"/>
  <c r="Y801" i="6"/>
  <c r="Y802" i="6"/>
  <c r="Y803" i="6"/>
  <c r="Y804" i="6"/>
  <c r="Y805" i="6"/>
  <c r="Y806" i="6"/>
  <c r="Y807" i="6"/>
  <c r="Y808" i="6"/>
  <c r="Y809" i="6"/>
  <c r="Y810" i="6"/>
  <c r="Y811" i="6"/>
  <c r="Y812" i="6"/>
  <c r="Y813" i="6"/>
  <c r="Y814" i="6"/>
  <c r="Y815" i="6"/>
  <c r="Y816" i="6"/>
  <c r="Y817" i="6"/>
  <c r="Y818" i="6"/>
  <c r="Y819" i="6"/>
  <c r="Y820" i="6"/>
  <c r="Y821" i="6"/>
  <c r="Y822" i="6"/>
  <c r="Y823" i="6"/>
  <c r="Y824" i="6"/>
  <c r="Y825" i="6"/>
  <c r="Y826" i="6"/>
  <c r="Y827" i="6"/>
  <c r="Y828" i="6"/>
  <c r="Y829" i="6"/>
  <c r="Y830" i="6"/>
  <c r="Y831" i="6"/>
  <c r="Y832" i="6"/>
  <c r="Y833" i="6"/>
  <c r="Y834" i="6"/>
  <c r="Y835" i="6"/>
  <c r="Y836" i="6"/>
  <c r="Y837" i="6"/>
  <c r="Y838" i="6"/>
  <c r="Y839" i="6"/>
  <c r="Y840" i="6"/>
  <c r="Y841" i="6"/>
  <c r="Y842" i="6"/>
  <c r="Y843" i="6"/>
  <c r="Y844" i="6"/>
  <c r="Y845" i="6"/>
  <c r="Y846" i="6"/>
  <c r="Y847" i="6"/>
  <c r="Y848" i="6"/>
  <c r="Y849" i="6"/>
  <c r="Y850" i="6"/>
  <c r="Y851" i="6"/>
  <c r="Y852" i="6"/>
  <c r="Y853" i="6"/>
  <c r="Y854" i="6"/>
  <c r="Y855" i="6"/>
  <c r="Y856" i="6"/>
  <c r="Y857" i="6"/>
  <c r="Y858" i="6"/>
  <c r="Y859" i="6"/>
  <c r="Y860" i="6"/>
  <c r="Y861" i="6"/>
  <c r="Y862" i="6"/>
  <c r="Y863" i="6"/>
  <c r="Y864" i="6"/>
  <c r="Y865" i="6"/>
  <c r="Y866" i="6"/>
  <c r="Y867" i="6"/>
  <c r="Y868" i="6"/>
  <c r="Y869" i="6"/>
  <c r="Y870" i="6"/>
  <c r="Y871" i="6"/>
  <c r="Y872" i="6"/>
  <c r="Y873" i="6"/>
  <c r="Y874" i="6"/>
  <c r="Y875" i="6"/>
  <c r="Y876" i="6"/>
  <c r="Y877" i="6"/>
  <c r="Y878" i="6"/>
  <c r="Y879" i="6"/>
  <c r="Y880" i="6"/>
  <c r="Y881" i="6"/>
  <c r="Y882" i="6"/>
  <c r="Y883" i="6"/>
  <c r="Y884" i="6"/>
  <c r="Y885" i="6"/>
  <c r="Y886" i="6"/>
  <c r="Y887" i="6"/>
  <c r="Y888" i="6"/>
  <c r="Y889" i="6"/>
  <c r="Y890" i="6"/>
  <c r="Y891" i="6"/>
  <c r="Y892" i="6"/>
  <c r="Y893" i="6"/>
  <c r="Y894" i="6"/>
  <c r="Y895" i="6"/>
  <c r="Y896" i="6"/>
  <c r="Y897" i="6"/>
  <c r="Y898" i="6"/>
  <c r="Y899" i="6"/>
  <c r="Y900" i="6"/>
  <c r="Y901" i="6"/>
  <c r="Y902" i="6"/>
  <c r="Y903" i="6"/>
  <c r="Y904" i="6"/>
  <c r="Y905" i="6"/>
  <c r="Y906" i="6"/>
  <c r="Y907" i="6"/>
  <c r="Y908" i="6"/>
  <c r="Y909" i="6"/>
  <c r="Y910" i="6"/>
  <c r="Y911" i="6"/>
  <c r="Y912" i="6"/>
  <c r="Y913" i="6"/>
  <c r="Y914" i="6"/>
  <c r="Y915" i="6"/>
  <c r="Y916" i="6"/>
  <c r="Y917" i="6"/>
  <c r="Y918" i="6"/>
  <c r="Y919" i="6"/>
  <c r="Y920" i="6"/>
  <c r="Y921" i="6"/>
  <c r="Y922" i="6"/>
  <c r="Y923" i="6"/>
  <c r="Y924" i="6"/>
  <c r="Y925" i="6"/>
  <c r="Y926" i="6"/>
  <c r="Y927" i="6"/>
  <c r="Y928" i="6"/>
  <c r="Y929" i="6"/>
  <c r="Y930" i="6"/>
  <c r="Y931" i="6"/>
  <c r="Y932" i="6"/>
  <c r="Y933" i="6"/>
  <c r="Y934" i="6"/>
  <c r="Y935" i="6"/>
  <c r="Y936" i="6"/>
  <c r="Y937" i="6"/>
  <c r="Y938" i="6"/>
  <c r="Y939" i="6"/>
  <c r="Y940" i="6"/>
  <c r="Y941" i="6"/>
  <c r="Y942" i="6"/>
  <c r="Y943" i="6"/>
  <c r="Y944" i="6"/>
  <c r="Y945" i="6"/>
  <c r="Y946" i="6"/>
  <c r="Y947" i="6"/>
  <c r="Y948" i="6"/>
  <c r="Y949" i="6"/>
  <c r="Y950" i="6"/>
  <c r="Y951" i="6"/>
  <c r="Y952" i="6"/>
  <c r="Y953" i="6"/>
  <c r="Y954" i="6"/>
  <c r="Y955" i="6"/>
  <c r="Y956" i="6"/>
  <c r="Y957" i="6"/>
  <c r="Y958" i="6"/>
  <c r="Y959" i="6"/>
  <c r="Y960" i="6"/>
  <c r="Y961" i="6"/>
  <c r="Y962" i="6"/>
  <c r="Y963" i="6"/>
  <c r="Y964" i="6"/>
  <c r="Y965" i="6"/>
  <c r="Y966" i="6"/>
  <c r="Y967" i="6"/>
  <c r="Y968" i="6"/>
  <c r="Y969" i="6"/>
  <c r="Y970" i="6"/>
  <c r="Y971" i="6"/>
  <c r="Y972" i="6"/>
  <c r="Y973" i="6"/>
  <c r="Y974" i="6"/>
  <c r="Y975" i="6"/>
  <c r="Y976" i="6"/>
  <c r="Y977" i="6"/>
  <c r="Y978" i="6"/>
  <c r="Y979" i="6"/>
  <c r="Y980" i="6"/>
  <c r="Y981" i="6"/>
  <c r="Y982" i="6"/>
  <c r="Y983" i="6"/>
  <c r="Y984" i="6"/>
  <c r="Y985" i="6"/>
  <c r="Y986" i="6"/>
  <c r="Y987" i="6"/>
  <c r="Y988" i="6"/>
  <c r="Y989" i="6"/>
  <c r="Y990" i="6"/>
  <c r="Y991" i="6"/>
  <c r="Y992" i="6"/>
  <c r="Y993" i="6"/>
  <c r="Y994" i="6"/>
  <c r="Y995" i="6"/>
  <c r="Y996" i="6"/>
  <c r="Y997" i="6"/>
  <c r="Y998" i="6"/>
  <c r="Y999" i="6"/>
  <c r="Y1000" i="6"/>
  <c r="Y1001" i="6"/>
  <c r="Y1002" i="6"/>
  <c r="Y1003" i="6"/>
  <c r="Y1004" i="6"/>
  <c r="Y1005" i="6"/>
  <c r="Y1006" i="6"/>
  <c r="Y1007" i="6"/>
  <c r="Y1008" i="6"/>
  <c r="Y1009" i="6"/>
  <c r="Y1010" i="6"/>
  <c r="Y1011" i="6"/>
  <c r="Y1012" i="6"/>
  <c r="Y1013" i="6"/>
  <c r="Y1014" i="6"/>
  <c r="Y1015" i="6"/>
  <c r="Y1016" i="6"/>
  <c r="Y1017" i="6"/>
  <c r="Y1018" i="6"/>
  <c r="Y1019" i="6"/>
  <c r="Y1020" i="6"/>
  <c r="Y1021" i="6"/>
  <c r="Y1022" i="6"/>
  <c r="Y1023" i="6"/>
  <c r="Y1024" i="6"/>
  <c r="Y1025" i="6"/>
  <c r="Y1026" i="6"/>
  <c r="Y1027" i="6"/>
  <c r="Y1028" i="6"/>
  <c r="Y1029" i="6"/>
  <c r="Y1030" i="6"/>
  <c r="Y1031" i="6"/>
  <c r="Y1032" i="6"/>
  <c r="Y1033" i="6"/>
  <c r="Y1034" i="6"/>
  <c r="Y1035" i="6"/>
  <c r="Y1036" i="6"/>
  <c r="Y1037" i="6"/>
  <c r="Y1038" i="6"/>
  <c r="Y1039" i="6"/>
  <c r="Y1040" i="6"/>
  <c r="Y1041" i="6"/>
  <c r="Y1042" i="6"/>
  <c r="Y1043" i="6"/>
  <c r="Y1044" i="6"/>
  <c r="Y1045" i="6"/>
  <c r="Y1046" i="6"/>
  <c r="Y1047" i="6"/>
  <c r="Y1048" i="6"/>
  <c r="Y1049" i="6"/>
  <c r="Y1050" i="6"/>
  <c r="Y1051" i="6"/>
  <c r="Y1052" i="6"/>
  <c r="Y1053" i="6"/>
  <c r="Y1054" i="6"/>
  <c r="Y1055" i="6"/>
  <c r="Y1056" i="6"/>
  <c r="Y1057" i="6"/>
  <c r="Y1058" i="6"/>
  <c r="Y1059" i="6"/>
  <c r="Y1060" i="6"/>
  <c r="Y1061" i="6"/>
  <c r="Y1062" i="6"/>
  <c r="Y1063" i="6"/>
  <c r="Y1064" i="6"/>
  <c r="Y1065" i="6"/>
  <c r="Y1066" i="6"/>
  <c r="Y1067" i="6"/>
  <c r="Y1068" i="6"/>
  <c r="Y1069" i="6"/>
  <c r="Y1070" i="6"/>
  <c r="Y1071" i="6"/>
  <c r="Y1072" i="6"/>
  <c r="Y1073" i="6"/>
  <c r="Y1074" i="6"/>
  <c r="Y1075" i="6"/>
  <c r="Y1076" i="6"/>
  <c r="Y1077" i="6"/>
  <c r="Y1078" i="6"/>
  <c r="Y1079" i="6"/>
  <c r="Y1080" i="6"/>
  <c r="Y1081" i="6"/>
  <c r="Y1082" i="6"/>
  <c r="Y1083" i="6"/>
  <c r="Y1084" i="6"/>
  <c r="Y1085" i="6"/>
  <c r="Y1086" i="6"/>
  <c r="Y1087" i="6"/>
  <c r="Y1088" i="6"/>
  <c r="Y1089" i="6"/>
  <c r="Y1090" i="6"/>
  <c r="Y1091" i="6"/>
  <c r="Y1092" i="6"/>
  <c r="Y1093" i="6"/>
  <c r="Y1094" i="6"/>
  <c r="Y1095" i="6"/>
  <c r="Y1096" i="6"/>
  <c r="Y1097" i="6"/>
  <c r="Y1098" i="6"/>
  <c r="Y1099" i="6"/>
  <c r="Y1100" i="6"/>
  <c r="Y1101" i="6"/>
  <c r="Y1102" i="6"/>
  <c r="Y1103" i="6"/>
  <c r="Y1104" i="6"/>
  <c r="Y1105" i="6"/>
  <c r="Y1106" i="6"/>
  <c r="Y1107" i="6"/>
  <c r="Y1108" i="6"/>
  <c r="Y1109" i="6"/>
  <c r="Y1110" i="6"/>
  <c r="Y1111" i="6"/>
  <c r="Y1112" i="6"/>
  <c r="Y1113" i="6"/>
  <c r="Y1114" i="6"/>
  <c r="Y1115" i="6"/>
  <c r="Y1116" i="6"/>
  <c r="Y1117" i="6"/>
  <c r="Y1118" i="6"/>
  <c r="Y1119" i="6"/>
  <c r="Y1120" i="6"/>
  <c r="Y1121" i="6"/>
  <c r="Y1122" i="6"/>
  <c r="Y1123" i="6"/>
  <c r="Y1124" i="6"/>
  <c r="Y1125" i="6"/>
  <c r="Y1126" i="6"/>
  <c r="Y1127" i="6"/>
  <c r="Y1128" i="6"/>
  <c r="Y1129" i="6"/>
  <c r="Y1130" i="6"/>
  <c r="Y1131" i="6"/>
  <c r="Y1132" i="6"/>
  <c r="Y1133" i="6"/>
  <c r="Y1134" i="6"/>
  <c r="Y1135" i="6"/>
  <c r="Y1136" i="6"/>
  <c r="Y1137" i="6"/>
  <c r="Y1138" i="6"/>
  <c r="Y1139" i="6"/>
  <c r="Y1140" i="6"/>
  <c r="Y1141" i="6"/>
  <c r="Y1142" i="6"/>
  <c r="Y1143" i="6"/>
  <c r="Y1144" i="6"/>
  <c r="Y1145" i="6"/>
  <c r="Y1146" i="6"/>
  <c r="Y1147" i="6"/>
  <c r="Y1148" i="6"/>
  <c r="Y1149" i="6"/>
  <c r="Y1150" i="6"/>
  <c r="Y1151" i="6"/>
  <c r="Y1152" i="6"/>
  <c r="Y1153" i="6"/>
  <c r="Y1154" i="6"/>
  <c r="Y1155" i="6"/>
  <c r="Y1156" i="6"/>
  <c r="Y1157" i="6"/>
  <c r="Y1158" i="6"/>
  <c r="Y1159" i="6"/>
  <c r="Y1160" i="6"/>
  <c r="Y1161" i="6"/>
  <c r="Y1162" i="6"/>
  <c r="Y1163" i="6"/>
  <c r="Y1164" i="6"/>
  <c r="Y1165" i="6"/>
  <c r="Y1166" i="6"/>
  <c r="Y1167" i="6"/>
  <c r="Y1168" i="6"/>
  <c r="Y1169" i="6"/>
  <c r="Y1170" i="6"/>
  <c r="Y1171" i="6"/>
  <c r="Y1172" i="6"/>
  <c r="Y1173" i="6"/>
  <c r="Y1174" i="6"/>
  <c r="Y1175" i="6"/>
  <c r="Y1176" i="6"/>
  <c r="Y1177" i="6"/>
  <c r="Y1178" i="6"/>
  <c r="Y1179" i="6"/>
  <c r="Y1180" i="6"/>
  <c r="Y1181" i="6"/>
  <c r="Y1182" i="6"/>
  <c r="Y1183" i="6"/>
  <c r="Y1184" i="6"/>
  <c r="Y1185" i="6"/>
  <c r="Y1186" i="6"/>
  <c r="Y1187" i="6"/>
  <c r="Y1188" i="6"/>
  <c r="Y1189" i="6"/>
  <c r="Y1190" i="6"/>
  <c r="Y1191" i="6"/>
  <c r="Y1192" i="6"/>
  <c r="Y1193" i="6"/>
  <c r="Y1194" i="6"/>
  <c r="Y1195" i="6"/>
  <c r="Y1196" i="6"/>
  <c r="Y1197" i="6"/>
  <c r="Y1198" i="6"/>
  <c r="Y1199" i="6"/>
  <c r="Y1200" i="6"/>
  <c r="Y1201" i="6"/>
  <c r="Y1202" i="6"/>
  <c r="Y1203" i="6"/>
  <c r="Y1204" i="6"/>
  <c r="Y1205" i="6"/>
  <c r="Y1206" i="6"/>
  <c r="Y1207" i="6"/>
  <c r="Y1208" i="6"/>
  <c r="Y1209" i="6"/>
  <c r="Y1210" i="6"/>
  <c r="Y1211" i="6"/>
  <c r="Y1212" i="6"/>
  <c r="Y1213" i="6"/>
  <c r="Y1214" i="6"/>
  <c r="Y1215" i="6"/>
  <c r="Y1216" i="6"/>
  <c r="Y1217" i="6"/>
  <c r="Y1218" i="6"/>
  <c r="Y1219" i="6"/>
  <c r="Y1220" i="6"/>
  <c r="Y1221" i="6"/>
  <c r="Y1222" i="6"/>
  <c r="Y1223" i="6"/>
  <c r="Y1224" i="6"/>
  <c r="Y1225" i="6"/>
  <c r="Y1226" i="6"/>
  <c r="Y1227" i="6"/>
  <c r="Y1228" i="6"/>
  <c r="Y1229" i="6"/>
  <c r="Y1230" i="6"/>
  <c r="Y1231" i="6"/>
  <c r="Y1232" i="6"/>
  <c r="Y1233" i="6"/>
  <c r="Y1234" i="6"/>
  <c r="Y1235" i="6"/>
  <c r="Y1236" i="6"/>
  <c r="Y1237" i="6"/>
  <c r="Y1238" i="6"/>
  <c r="Y1239" i="6"/>
  <c r="Y1240" i="6"/>
  <c r="Y1241" i="6"/>
  <c r="Y1242" i="6"/>
  <c r="Y1243" i="6"/>
  <c r="Y1244" i="6"/>
  <c r="Y1245" i="6"/>
  <c r="Y1246" i="6"/>
  <c r="Y1247" i="6"/>
  <c r="Y1248" i="6"/>
  <c r="Y1249" i="6"/>
  <c r="Y1250" i="6"/>
  <c r="Y1251" i="6"/>
  <c r="Y1252" i="6"/>
  <c r="Y1253" i="6"/>
  <c r="Y1254" i="6"/>
  <c r="Y1255" i="6"/>
  <c r="Y1256" i="6"/>
  <c r="Y1257" i="6"/>
  <c r="Y1258" i="6"/>
  <c r="Y1259" i="6"/>
  <c r="Y1260" i="6"/>
  <c r="Y1261" i="6"/>
  <c r="Y1262" i="6"/>
  <c r="Y1263" i="6"/>
  <c r="Y1264" i="6"/>
  <c r="Y1265" i="6"/>
  <c r="Y1266" i="6"/>
  <c r="Y1267" i="6"/>
  <c r="Y1268" i="6"/>
  <c r="Y1269" i="6"/>
  <c r="Y1270" i="6"/>
  <c r="Y1271" i="6"/>
  <c r="Y1272" i="6"/>
  <c r="Y1273" i="6"/>
  <c r="Y1274" i="6"/>
  <c r="Y1275" i="6"/>
  <c r="Y1276" i="6"/>
  <c r="Y1277" i="6"/>
  <c r="Y1278" i="6"/>
  <c r="Y1279" i="6"/>
  <c r="Y1280" i="6"/>
  <c r="Y1281" i="6"/>
  <c r="Y1282" i="6"/>
  <c r="Y1283" i="6"/>
  <c r="Y1284" i="6"/>
  <c r="Y1285" i="6"/>
  <c r="Y1286" i="6"/>
  <c r="Y1287" i="6"/>
  <c r="Y1288" i="6"/>
  <c r="Y1289" i="6"/>
  <c r="Y1290" i="6"/>
  <c r="Y1291" i="6"/>
  <c r="Y1292" i="6"/>
  <c r="Y1293" i="6"/>
  <c r="Y1294" i="6"/>
  <c r="Y1295" i="6"/>
  <c r="Y1296" i="6"/>
  <c r="Y1297" i="6"/>
  <c r="Y1298" i="6"/>
  <c r="Y1299" i="6"/>
  <c r="Y1300" i="6"/>
  <c r="Y1301" i="6"/>
  <c r="Y1302" i="6"/>
  <c r="Y1303" i="6"/>
  <c r="Y1304" i="6"/>
  <c r="Y1305" i="6"/>
  <c r="Y1306" i="6"/>
  <c r="Y1307" i="6"/>
  <c r="Y1308" i="6"/>
  <c r="Y1309" i="6"/>
  <c r="Y1310" i="6"/>
  <c r="Y1311" i="6"/>
  <c r="Y1312" i="6"/>
  <c r="Y1313" i="6"/>
  <c r="Y1314" i="6"/>
  <c r="Y1315" i="6"/>
  <c r="Y1316" i="6"/>
  <c r="Y1317" i="6"/>
  <c r="Y1318" i="6"/>
  <c r="Y1319" i="6"/>
  <c r="Y1320" i="6"/>
  <c r="Y1321" i="6"/>
  <c r="Y1322" i="6"/>
  <c r="Y1323" i="6"/>
  <c r="Y1324" i="6"/>
  <c r="Y1325" i="6"/>
  <c r="Y1326" i="6"/>
  <c r="Y1327" i="6"/>
  <c r="Y1328" i="6"/>
  <c r="Y1329" i="6"/>
  <c r="Y1330" i="6"/>
  <c r="Y1331" i="6"/>
  <c r="Y1332" i="6"/>
  <c r="Y1333" i="6"/>
  <c r="Y1334" i="6"/>
  <c r="Y1335" i="6"/>
  <c r="Y1336" i="6"/>
  <c r="Y1337" i="6"/>
  <c r="Y1338" i="6"/>
  <c r="Y1339" i="6"/>
  <c r="Y3" i="6"/>
  <c r="Y4" i="6"/>
  <c r="Y5" i="6"/>
  <c r="Y6" i="6"/>
  <c r="Y7" i="6"/>
  <c r="Y8" i="6"/>
  <c r="Y9" i="6"/>
  <c r="Y10" i="6"/>
  <c r="Y11"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Y43" i="6"/>
  <c r="Y44" i="6"/>
  <c r="Y45" i="6"/>
  <c r="Y46" i="6"/>
  <c r="Y47" i="6"/>
  <c r="Y48" i="6"/>
  <c r="Y49" i="6"/>
  <c r="Y50" i="6"/>
  <c r="Y51" i="6"/>
  <c r="Y52" i="6"/>
  <c r="Y53" i="6"/>
  <c r="Y54" i="6"/>
  <c r="Y55" i="6"/>
  <c r="Y56" i="6"/>
  <c r="Y57" i="6"/>
  <c r="Y58" i="6"/>
  <c r="Y59" i="6"/>
  <c r="Y60" i="6"/>
  <c r="Y61" i="6"/>
  <c r="Y62" i="6"/>
  <c r="Y63" i="6"/>
  <c r="Y64" i="6"/>
  <c r="Y65" i="6"/>
  <c r="Y66" i="6"/>
  <c r="Y67" i="6"/>
  <c r="Y68" i="6"/>
  <c r="Y69" i="6"/>
  <c r="Y70" i="6"/>
  <c r="Y71" i="6"/>
  <c r="Y72" i="6"/>
  <c r="Y73" i="6"/>
  <c r="Y74" i="6"/>
  <c r="Y75" i="6"/>
  <c r="Y76" i="6"/>
  <c r="Y77" i="6"/>
  <c r="Y78" i="6"/>
  <c r="Y79" i="6"/>
  <c r="Y80" i="6"/>
  <c r="Y81" i="6"/>
  <c r="Y82" i="6"/>
  <c r="Y83" i="6"/>
  <c r="Y84" i="6"/>
  <c r="Y85" i="6"/>
  <c r="Y86" i="6"/>
  <c r="Y87" i="6"/>
  <c r="Y88" i="6"/>
  <c r="Y89" i="6"/>
  <c r="Y90" i="6"/>
  <c r="Y91" i="6"/>
  <c r="Y92" i="6"/>
  <c r="Y93" i="6"/>
  <c r="Y94" i="6"/>
  <c r="Y95" i="6"/>
  <c r="Y96" i="6"/>
  <c r="Y97" i="6"/>
  <c r="Y98" i="6"/>
  <c r="Y99" i="6"/>
  <c r="Y100" i="6"/>
  <c r="Y101" i="6"/>
  <c r="Y102" i="6"/>
  <c r="Y103" i="6"/>
  <c r="Y104" i="6"/>
  <c r="Y105" i="6"/>
  <c r="Y106" i="6"/>
  <c r="Y107" i="6"/>
  <c r="Y108" i="6"/>
  <c r="Y109" i="6"/>
  <c r="Y110" i="6"/>
  <c r="Y111" i="6"/>
  <c r="Y112" i="6"/>
  <c r="Y113" i="6"/>
  <c r="Y114" i="6"/>
  <c r="Y115" i="6"/>
  <c r="Y116" i="6"/>
  <c r="Y117" i="6"/>
  <c r="Y118" i="6"/>
  <c r="Y119" i="6"/>
  <c r="Y120" i="6"/>
  <c r="Y121" i="6"/>
  <c r="Y122" i="6"/>
  <c r="Y123" i="6"/>
  <c r="Y124" i="6"/>
  <c r="Y125" i="6"/>
  <c r="Y126" i="6"/>
  <c r="Y127" i="6"/>
  <c r="Y128" i="6"/>
  <c r="Y129" i="6"/>
  <c r="Y130" i="6"/>
  <c r="Y131" i="6"/>
  <c r="Y132" i="6"/>
  <c r="Y133" i="6"/>
  <c r="Y134" i="6"/>
  <c r="Y135" i="6"/>
  <c r="Y136" i="6"/>
  <c r="Y137" i="6"/>
  <c r="Y138" i="6"/>
  <c r="Y139" i="6"/>
  <c r="Y140" i="6"/>
  <c r="Y141" i="6"/>
  <c r="Y142" i="6"/>
  <c r="Y214" i="6" l="1"/>
  <c r="Y215" i="6"/>
  <c r="Y216" i="6"/>
  <c r="Y217" i="6"/>
  <c r="Y218" i="6"/>
  <c r="Y219" i="6"/>
  <c r="Y220" i="6"/>
  <c r="Y221" i="6"/>
  <c r="Y222" i="6"/>
  <c r="Y208" i="6"/>
  <c r="Y207" i="6"/>
  <c r="Y209" i="6"/>
  <c r="Y223" i="6"/>
  <c r="U189" i="6" l="1"/>
  <c r="Y144" i="6" l="1"/>
  <c r="Y145" i="6"/>
  <c r="Y146" i="6"/>
  <c r="Y147" i="6"/>
  <c r="Y148" i="6"/>
  <c r="Y149" i="6"/>
  <c r="Y150" i="6"/>
  <c r="Y151" i="6"/>
  <c r="Y152" i="6"/>
  <c r="Y153" i="6"/>
  <c r="Y154" i="6"/>
  <c r="Y155" i="6"/>
  <c r="Y156" i="6"/>
  <c r="Y157" i="6"/>
  <c r="Y158" i="6"/>
  <c r="Y159" i="6"/>
  <c r="Y160" i="6"/>
  <c r="Y161" i="6"/>
  <c r="Y162" i="6"/>
  <c r="Y163" i="6"/>
  <c r="Y164" i="6"/>
  <c r="Y165" i="6"/>
  <c r="Y166" i="6"/>
  <c r="Y167" i="6"/>
  <c r="Y168" i="6"/>
  <c r="Y169" i="6"/>
  <c r="Y170" i="6"/>
  <c r="Y171" i="6"/>
  <c r="Y172" i="6"/>
  <c r="Y173" i="6"/>
  <c r="Y174" i="6"/>
  <c r="Y175" i="6"/>
  <c r="Y176" i="6"/>
  <c r="Y177" i="6"/>
  <c r="Y178" i="6"/>
  <c r="Y179" i="6"/>
  <c r="Y180" i="6"/>
  <c r="Y181" i="6"/>
  <c r="Y182" i="6"/>
  <c r="Y183" i="6"/>
  <c r="Y184" i="6"/>
  <c r="Y185" i="6"/>
  <c r="Y186" i="6"/>
  <c r="Y187" i="6"/>
  <c r="Y188" i="6"/>
  <c r="Y189" i="6"/>
  <c r="Y190" i="6"/>
  <c r="Y191" i="6"/>
  <c r="Y192" i="6"/>
  <c r="Y193" i="6"/>
  <c r="Y194" i="6"/>
  <c r="Y195" i="6"/>
  <c r="Y196" i="6"/>
  <c r="Y197" i="6"/>
  <c r="Y198" i="6"/>
  <c r="Y199" i="6"/>
  <c r="Y200" i="6"/>
  <c r="Y201" i="6"/>
  <c r="Y202" i="6"/>
  <c r="Y203" i="6"/>
  <c r="Y204" i="6"/>
  <c r="Y205" i="6"/>
  <c r="Y206" i="6"/>
  <c r="Y210" i="6"/>
  <c r="Y211" i="6"/>
  <c r="Y212" i="6"/>
  <c r="Y213" i="6"/>
  <c r="Y224" i="6"/>
  <c r="Y225" i="6"/>
  <c r="Y226" i="6"/>
  <c r="Y227" i="6"/>
  <c r="Y228" i="6"/>
  <c r="Y229" i="6"/>
  <c r="Y230" i="6"/>
  <c r="Y231" i="6"/>
  <c r="Y232" i="6"/>
  <c r="Y233" i="6"/>
  <c r="Y234" i="6"/>
  <c r="Y235" i="6"/>
  <c r="Y236" i="6"/>
  <c r="Y237" i="6"/>
  <c r="Y238" i="6"/>
  <c r="Y239" i="6"/>
  <c r="Y240" i="6"/>
  <c r="Y241" i="6"/>
  <c r="Y242" i="6"/>
  <c r="Y243" i="6"/>
  <c r="Y244" i="6"/>
  <c r="Y245" i="6"/>
  <c r="Y246" i="6"/>
  <c r="Y247" i="6"/>
  <c r="Y143" i="6"/>
  <c r="G930" i="5" l="1"/>
  <c r="G931" i="5"/>
  <c r="G932" i="5"/>
  <c r="G933" i="5"/>
  <c r="G934" i="5"/>
  <c r="G935" i="5"/>
  <c r="G936" i="5"/>
  <c r="G937" i="5"/>
  <c r="G938" i="5"/>
  <c r="G939" i="5"/>
  <c r="G940" i="5"/>
  <c r="G941" i="5"/>
  <c r="G942" i="5"/>
  <c r="G943" i="5"/>
  <c r="G944" i="5"/>
  <c r="G945" i="5"/>
  <c r="G946" i="5"/>
  <c r="G947" i="5"/>
  <c r="G948" i="5"/>
  <c r="G949" i="5"/>
  <c r="G950" i="5"/>
  <c r="G951" i="5"/>
  <c r="G952" i="5"/>
  <c r="G953" i="5"/>
  <c r="G954" i="5"/>
  <c r="G955" i="5"/>
  <c r="G956" i="5"/>
  <c r="G957" i="5"/>
  <c r="G958" i="5"/>
  <c r="G959" i="5"/>
  <c r="G960" i="5"/>
  <c r="G961" i="5"/>
  <c r="G962" i="5"/>
  <c r="G963" i="5"/>
  <c r="G964" i="5"/>
  <c r="G965" i="5"/>
  <c r="G966" i="5"/>
  <c r="G967" i="5"/>
  <c r="G968" i="5"/>
  <c r="G969" i="5"/>
  <c r="G970" i="5"/>
  <c r="G971" i="5"/>
  <c r="G972" i="5"/>
  <c r="G973" i="5"/>
  <c r="G974" i="5"/>
  <c r="G975" i="5"/>
  <c r="G976" i="5"/>
  <c r="G977" i="5"/>
  <c r="G978" i="5"/>
  <c r="G979" i="5"/>
  <c r="G980" i="5"/>
  <c r="G981" i="5"/>
  <c r="G982" i="5"/>
  <c r="G983" i="5"/>
  <c r="G984" i="5"/>
  <c r="G985" i="5"/>
  <c r="G986" i="5"/>
  <c r="G987" i="5"/>
  <c r="G988" i="5"/>
  <c r="G989" i="5"/>
  <c r="G990" i="5"/>
  <c r="G991" i="5"/>
  <c r="G992" i="5"/>
  <c r="G993" i="5"/>
  <c r="G994" i="5"/>
  <c r="G995" i="5"/>
  <c r="G996" i="5"/>
  <c r="G997" i="5"/>
  <c r="G998" i="5"/>
  <c r="G999" i="5"/>
  <c r="G1000" i="5"/>
  <c r="G1001" i="5"/>
  <c r="G1002" i="5"/>
  <c r="G1003" i="5"/>
  <c r="G1004" i="5"/>
  <c r="G1005" i="5"/>
  <c r="G1006" i="5"/>
  <c r="G1007" i="5"/>
  <c r="G1008" i="5"/>
  <c r="G1009" i="5"/>
  <c r="G1010" i="5"/>
  <c r="G1011" i="5"/>
  <c r="G1012" i="5"/>
  <c r="G1013" i="5"/>
  <c r="G1014" i="5"/>
  <c r="G1015" i="5"/>
  <c r="G1016" i="5"/>
  <c r="G1017" i="5"/>
  <c r="G1018" i="5"/>
  <c r="G1019" i="5"/>
  <c r="G1020" i="5"/>
  <c r="G1021" i="5"/>
  <c r="G1022" i="5"/>
  <c r="G1023" i="5"/>
  <c r="G1024" i="5"/>
  <c r="G1025" i="5"/>
  <c r="G1026" i="5"/>
  <c r="G1027" i="5"/>
  <c r="G1028" i="5"/>
  <c r="G1029" i="5"/>
  <c r="G1030" i="5"/>
  <c r="G1031" i="5"/>
  <c r="G1032" i="5"/>
  <c r="G1033" i="5"/>
  <c r="G1034" i="5"/>
  <c r="G1035" i="5"/>
  <c r="G1036" i="5"/>
  <c r="G1037" i="5"/>
  <c r="G1038" i="5"/>
  <c r="G1039" i="5"/>
  <c r="G1040" i="5"/>
  <c r="G1041" i="5"/>
  <c r="G1042" i="5"/>
  <c r="G1043" i="5"/>
  <c r="G1044" i="5"/>
  <c r="G1045" i="5"/>
  <c r="G1046" i="5"/>
  <c r="G1047" i="5"/>
  <c r="G1048" i="5"/>
  <c r="G1049" i="5"/>
  <c r="G1050" i="5"/>
  <c r="G1051" i="5"/>
  <c r="G1052" i="5"/>
  <c r="G1053" i="5"/>
  <c r="G1054" i="5"/>
  <c r="G1055" i="5"/>
  <c r="G1056" i="5"/>
  <c r="G1057" i="5"/>
  <c r="G1058" i="5"/>
  <c r="G1059" i="5"/>
  <c r="G1060" i="5"/>
  <c r="G1061" i="5"/>
  <c r="G1062" i="5"/>
  <c r="G1063" i="5"/>
  <c r="G1064" i="5"/>
  <c r="G1065" i="5"/>
  <c r="G1066" i="5"/>
  <c r="G1067" i="5"/>
  <c r="G1068" i="5"/>
  <c r="G1069" i="5"/>
  <c r="G1070" i="5"/>
  <c r="G1071" i="5"/>
  <c r="G1072" i="5"/>
  <c r="G1073" i="5"/>
  <c r="G1074" i="5"/>
  <c r="G1075" i="5"/>
  <c r="G1076" i="5"/>
  <c r="G1077" i="5"/>
  <c r="G1078" i="5"/>
  <c r="G1079" i="5"/>
  <c r="G1080" i="5"/>
  <c r="G1081" i="5"/>
  <c r="G1082" i="5"/>
  <c r="G1083" i="5"/>
  <c r="G1084" i="5"/>
  <c r="G1085" i="5"/>
  <c r="G1086" i="5"/>
  <c r="G1087" i="5"/>
  <c r="G1088" i="5"/>
  <c r="G1089" i="5"/>
  <c r="G1090" i="5"/>
  <c r="G1091" i="5"/>
  <c r="G1092" i="5"/>
  <c r="G1093" i="5"/>
  <c r="G1094" i="5"/>
  <c r="G1095" i="5"/>
  <c r="G1096" i="5"/>
  <c r="G1097" i="5"/>
  <c r="G1098" i="5"/>
  <c r="G1099" i="5"/>
  <c r="G1100" i="5"/>
  <c r="G1101" i="5"/>
  <c r="G1102" i="5"/>
  <c r="G1103" i="5"/>
  <c r="G1104" i="5"/>
  <c r="G1105" i="5"/>
  <c r="G1106" i="5"/>
  <c r="G1107" i="5"/>
  <c r="G1108" i="5"/>
  <c r="G1109" i="5"/>
  <c r="G1110" i="5"/>
  <c r="G1111" i="5"/>
  <c r="G1112" i="5"/>
  <c r="G1113" i="5"/>
  <c r="G1114" i="5"/>
  <c r="G1115" i="5"/>
  <c r="G1116" i="5"/>
  <c r="G1117" i="5"/>
  <c r="G1118" i="5"/>
  <c r="G1119" i="5"/>
  <c r="G1120" i="5"/>
  <c r="G1121" i="5"/>
  <c r="G1122" i="5"/>
  <c r="G1123" i="5"/>
  <c r="G1124" i="5"/>
  <c r="G1125" i="5"/>
  <c r="G1126" i="5"/>
  <c r="G1127" i="5"/>
  <c r="G1128" i="5"/>
  <c r="G1129" i="5"/>
  <c r="G1130" i="5"/>
  <c r="G1131" i="5"/>
  <c r="G1132" i="5"/>
  <c r="G1133" i="5"/>
  <c r="G1134" i="5"/>
  <c r="G1135" i="5"/>
  <c r="G1136" i="5"/>
  <c r="G1137" i="5"/>
  <c r="G1138" i="5"/>
  <c r="G1139" i="5"/>
  <c r="G1140" i="5"/>
  <c r="G1141" i="5"/>
  <c r="G1142" i="5"/>
  <c r="G1143" i="5"/>
  <c r="G1144" i="5"/>
  <c r="G1145" i="5"/>
  <c r="G1146" i="5"/>
  <c r="G1147" i="5"/>
  <c r="G1148" i="5"/>
  <c r="G1149" i="5"/>
  <c r="G1150" i="5"/>
  <c r="G1151" i="5"/>
  <c r="G1152" i="5"/>
  <c r="G1153" i="5"/>
  <c r="G1154" i="5"/>
  <c r="G1155" i="5"/>
  <c r="G1156" i="5"/>
  <c r="G1157" i="5"/>
  <c r="G1158" i="5"/>
  <c r="G1159" i="5"/>
  <c r="G1160" i="5"/>
  <c r="G1161" i="5"/>
  <c r="G1162" i="5"/>
  <c r="G1163" i="5"/>
  <c r="G1164" i="5"/>
  <c r="G1165" i="5"/>
  <c r="G1166" i="5"/>
  <c r="G1167" i="5"/>
  <c r="G1168" i="5"/>
  <c r="G1169" i="5"/>
  <c r="G1170" i="5"/>
  <c r="G1171" i="5"/>
  <c r="G1172" i="5"/>
  <c r="G1173" i="5"/>
  <c r="G1174" i="5"/>
  <c r="G1175" i="5"/>
  <c r="G1176" i="5"/>
  <c r="G1177" i="5"/>
  <c r="G1178" i="5"/>
  <c r="G1179" i="5"/>
  <c r="G1180" i="5"/>
  <c r="G1181" i="5"/>
  <c r="G1182" i="5"/>
  <c r="G1183" i="5"/>
  <c r="G1184" i="5"/>
  <c r="G1185" i="5"/>
  <c r="G1186" i="5"/>
  <c r="G1187" i="5"/>
  <c r="G1188" i="5"/>
  <c r="G1189" i="5"/>
  <c r="G1190" i="5"/>
  <c r="G1191" i="5"/>
  <c r="G1192" i="5"/>
  <c r="G1193" i="5"/>
  <c r="G1194" i="5"/>
  <c r="G1195" i="5"/>
  <c r="G1196" i="5"/>
  <c r="G1197" i="5"/>
  <c r="G1198" i="5"/>
  <c r="G1199" i="5"/>
  <c r="G1200" i="5"/>
  <c r="G1201" i="5"/>
  <c r="G1202" i="5"/>
  <c r="G1203" i="5"/>
  <c r="G1204" i="5"/>
  <c r="G1205" i="5"/>
  <c r="G1206" i="5"/>
  <c r="G1207" i="5"/>
  <c r="G1208" i="5"/>
  <c r="G1209" i="5"/>
  <c r="G1210" i="5"/>
  <c r="G1211" i="5"/>
  <c r="G1212" i="5"/>
  <c r="G1213" i="5"/>
  <c r="G1214" i="5"/>
  <c r="G1215" i="5"/>
  <c r="G1216" i="5"/>
  <c r="G1217" i="5"/>
  <c r="G1218" i="5"/>
  <c r="G1219" i="5"/>
  <c r="G1220" i="5"/>
  <c r="G1221" i="5"/>
  <c r="G1222" i="5"/>
  <c r="G1223" i="5"/>
  <c r="G1224" i="5"/>
  <c r="G1225" i="5"/>
  <c r="G1226" i="5"/>
  <c r="G1227" i="5"/>
  <c r="G1228" i="5"/>
  <c r="G1229" i="5"/>
  <c r="G1230" i="5"/>
  <c r="G1231" i="5"/>
  <c r="G1232" i="5"/>
  <c r="G1233" i="5"/>
  <c r="G1234" i="5"/>
  <c r="G1235" i="5"/>
  <c r="G1236" i="5"/>
  <c r="G1237" i="5"/>
  <c r="G1238" i="5"/>
  <c r="G1239" i="5"/>
  <c r="G1240" i="5"/>
  <c r="G1241" i="5"/>
  <c r="G1242" i="5"/>
  <c r="G1243" i="5"/>
  <c r="G1244" i="5"/>
  <c r="G1245" i="5"/>
  <c r="G1246" i="5"/>
  <c r="G1247" i="5"/>
  <c r="G1248" i="5"/>
  <c r="G1249" i="5"/>
  <c r="G1250" i="5"/>
  <c r="G1251" i="5"/>
  <c r="G1252" i="5"/>
  <c r="G1253" i="5"/>
  <c r="G1254" i="5"/>
  <c r="G1255" i="5"/>
  <c r="G1256" i="5"/>
  <c r="G1257" i="5"/>
  <c r="G1258" i="5"/>
  <c r="G1259" i="5"/>
  <c r="G1260" i="5"/>
  <c r="G1261" i="5"/>
  <c r="G1262" i="5"/>
  <c r="G1263" i="5"/>
  <c r="G1264" i="5"/>
  <c r="G1265" i="5"/>
  <c r="G1266" i="5"/>
  <c r="G1267" i="5"/>
  <c r="G1268" i="5"/>
  <c r="G1269" i="5"/>
  <c r="G1270" i="5"/>
  <c r="G1271" i="5"/>
  <c r="G1272" i="5"/>
  <c r="G1273" i="5"/>
  <c r="G1274" i="5"/>
  <c r="G1275" i="5"/>
  <c r="G1276" i="5"/>
  <c r="G1277" i="5"/>
  <c r="G1278" i="5"/>
  <c r="G1279" i="5"/>
  <c r="G1280" i="5"/>
  <c r="G1281" i="5"/>
  <c r="G1282" i="5"/>
  <c r="G1283" i="5"/>
  <c r="G1284" i="5"/>
  <c r="G1285" i="5"/>
  <c r="G1286" i="5"/>
  <c r="G1287" i="5"/>
  <c r="G1288" i="5"/>
  <c r="G1289" i="5"/>
  <c r="G1290" i="5"/>
  <c r="G1291" i="5"/>
  <c r="G1292" i="5"/>
  <c r="G1293" i="5"/>
  <c r="G1294" i="5"/>
  <c r="G1295" i="5"/>
  <c r="G1296" i="5"/>
  <c r="G1297" i="5"/>
  <c r="G1298" i="5"/>
  <c r="G1299" i="5"/>
  <c r="G1300" i="5"/>
  <c r="G1301" i="5"/>
  <c r="G1302" i="5"/>
  <c r="G1303" i="5"/>
  <c r="G1304" i="5"/>
  <c r="G1305" i="5"/>
  <c r="G1306" i="5"/>
  <c r="G1307" i="5"/>
  <c r="G1308" i="5"/>
  <c r="G1309" i="5"/>
  <c r="G1310" i="5"/>
  <c r="G1311" i="5"/>
  <c r="G1312" i="5"/>
  <c r="G1313" i="5"/>
  <c r="G1314" i="5"/>
  <c r="G1315" i="5"/>
  <c r="G1316" i="5"/>
  <c r="G1317" i="5"/>
  <c r="G1318" i="5"/>
  <c r="G1319" i="5"/>
  <c r="G1320" i="5"/>
  <c r="G1321" i="5"/>
  <c r="G1322" i="5"/>
  <c r="G1323" i="5"/>
  <c r="G1324" i="5"/>
  <c r="G1325" i="5"/>
  <c r="G1326" i="5"/>
  <c r="G1327" i="5"/>
  <c r="G1328" i="5"/>
  <c r="G1329" i="5"/>
  <c r="G1330" i="5"/>
  <c r="G1331" i="5"/>
  <c r="G1332" i="5"/>
  <c r="G1333" i="5"/>
  <c r="G1334" i="5"/>
  <c r="G1335" i="5"/>
  <c r="G1336" i="5"/>
  <c r="G1337" i="5"/>
  <c r="G1338" i="5"/>
  <c r="G1339" i="5"/>
  <c r="G1340" i="5"/>
  <c r="G1341" i="5"/>
  <c r="G1342" i="5"/>
  <c r="G1343" i="5"/>
  <c r="G1344" i="5"/>
  <c r="G1345" i="5"/>
  <c r="G1346" i="5"/>
  <c r="G1347" i="5"/>
  <c r="G1348" i="5"/>
  <c r="G1349" i="5"/>
  <c r="G1350" i="5"/>
  <c r="G1351" i="5"/>
  <c r="G1352" i="5"/>
  <c r="G1353" i="5"/>
  <c r="G1354" i="5"/>
  <c r="G1355" i="5"/>
  <c r="G1356" i="5"/>
  <c r="G1357" i="5"/>
  <c r="G1358" i="5"/>
  <c r="G1359" i="5"/>
  <c r="G1360" i="5"/>
  <c r="G1361" i="5"/>
  <c r="G1362" i="5"/>
  <c r="G1363" i="5"/>
  <c r="G1364" i="5"/>
  <c r="G1365" i="5"/>
  <c r="G1366" i="5"/>
  <c r="G1367" i="5"/>
  <c r="G1368" i="5"/>
  <c r="G1369" i="5"/>
  <c r="G1370" i="5"/>
  <c r="G1371" i="5"/>
  <c r="G1372" i="5"/>
  <c r="G1373" i="5"/>
  <c r="G1374" i="5"/>
  <c r="G1375" i="5"/>
  <c r="G1376" i="5"/>
  <c r="G1377" i="5"/>
  <c r="G1378" i="5"/>
  <c r="G1379" i="5"/>
  <c r="G1380" i="5"/>
  <c r="G1381" i="5"/>
  <c r="G1382" i="5"/>
  <c r="G1383" i="5"/>
  <c r="G1384" i="5"/>
  <c r="G1385" i="5"/>
  <c r="G1386" i="5"/>
  <c r="G1387" i="5"/>
  <c r="G1388" i="5"/>
  <c r="G1389" i="5"/>
  <c r="G1390" i="5"/>
  <c r="G1391" i="5"/>
  <c r="G1392" i="5"/>
  <c r="G1393" i="5"/>
  <c r="G1394" i="5"/>
  <c r="G1395" i="5"/>
  <c r="G1396" i="5"/>
  <c r="G1397" i="5"/>
  <c r="G1398" i="5"/>
  <c r="G1399" i="5"/>
  <c r="G1400" i="5"/>
  <c r="G1401" i="5"/>
  <c r="G1402" i="5"/>
  <c r="G1403" i="5"/>
  <c r="G1404" i="5"/>
  <c r="G1405" i="5"/>
  <c r="G1406" i="5"/>
  <c r="G1407" i="5"/>
  <c r="G1408" i="5"/>
  <c r="G1409" i="5"/>
  <c r="G1410" i="5"/>
  <c r="G1411" i="5"/>
  <c r="G1412" i="5"/>
  <c r="G1413" i="5"/>
  <c r="G1414" i="5"/>
  <c r="G1415" i="5"/>
  <c r="G1416" i="5"/>
  <c r="G1417" i="5"/>
  <c r="G1418" i="5"/>
  <c r="G1419" i="5"/>
  <c r="G1420" i="5"/>
  <c r="G1421" i="5"/>
  <c r="G1422" i="5"/>
  <c r="G1423" i="5"/>
  <c r="G1424" i="5"/>
  <c r="G1425" i="5"/>
  <c r="G1426" i="5"/>
  <c r="G1427" i="5"/>
  <c r="G1428" i="5"/>
  <c r="G1429" i="5"/>
  <c r="G1430" i="5"/>
  <c r="G1431" i="5"/>
  <c r="G1432" i="5"/>
  <c r="G1433" i="5"/>
  <c r="G1434" i="5"/>
  <c r="G1435" i="5"/>
  <c r="G1436" i="5"/>
  <c r="G1437" i="5"/>
  <c r="G1438" i="5"/>
  <c r="G1439" i="5"/>
  <c r="G1440" i="5"/>
  <c r="G1441" i="5"/>
  <c r="G1442" i="5"/>
  <c r="G1443" i="5"/>
  <c r="G1444" i="5"/>
  <c r="G1445" i="5"/>
  <c r="G1446" i="5"/>
  <c r="G1447" i="5"/>
  <c r="G1448" i="5"/>
  <c r="G1449" i="5"/>
  <c r="G1450" i="5"/>
  <c r="G1451" i="5"/>
  <c r="G1452" i="5"/>
  <c r="G1453" i="5"/>
  <c r="G1454" i="5"/>
  <c r="G1455" i="5"/>
  <c r="G1456" i="5"/>
  <c r="G1457" i="5"/>
  <c r="G1458" i="5"/>
  <c r="G1459" i="5"/>
  <c r="G1460" i="5"/>
  <c r="G1461" i="5"/>
  <c r="G1462" i="5"/>
  <c r="G1463" i="5"/>
  <c r="G1464" i="5"/>
  <c r="G1465" i="5"/>
  <c r="G1466" i="5"/>
  <c r="G1467" i="5"/>
  <c r="G1468" i="5"/>
  <c r="G1469" i="5"/>
  <c r="G1470" i="5"/>
  <c r="G1471" i="5"/>
  <c r="G1472" i="5"/>
  <c r="G1473" i="5"/>
  <c r="G1474" i="5"/>
  <c r="G1475" i="5"/>
  <c r="G1476" i="5"/>
  <c r="G1477" i="5"/>
  <c r="G1478" i="5"/>
  <c r="G1479" i="5"/>
  <c r="G1480" i="5"/>
  <c r="G1481" i="5"/>
  <c r="G1482" i="5"/>
  <c r="G1483" i="5"/>
  <c r="G1484" i="5"/>
  <c r="G1485" i="5"/>
  <c r="G1486" i="5"/>
  <c r="G1487" i="5"/>
  <c r="G1488" i="5"/>
  <c r="G1489" i="5"/>
  <c r="G1490" i="5"/>
  <c r="G1491" i="5"/>
  <c r="G1492" i="5"/>
  <c r="G1493" i="5"/>
  <c r="G1494" i="5"/>
  <c r="G1495" i="5"/>
  <c r="G1496" i="5"/>
  <c r="G1497" i="5"/>
  <c r="G1498" i="5"/>
  <c r="G1499" i="5"/>
  <c r="G1500" i="5"/>
  <c r="G1501" i="5"/>
  <c r="G1502" i="5"/>
  <c r="G1503" i="5"/>
  <c r="G1504" i="5"/>
  <c r="G1505" i="5"/>
  <c r="G1506" i="5"/>
  <c r="G1507" i="5"/>
  <c r="G1508" i="5"/>
  <c r="G1509" i="5"/>
  <c r="G1510" i="5"/>
  <c r="G1511" i="5"/>
  <c r="G1512" i="5"/>
  <c r="G1513" i="5"/>
  <c r="G1514" i="5"/>
  <c r="G1515" i="5"/>
  <c r="G1516" i="5"/>
  <c r="G1517" i="5"/>
  <c r="G1518" i="5"/>
  <c r="G1519" i="5"/>
  <c r="G1520" i="5"/>
  <c r="G1521" i="5"/>
  <c r="G1522" i="5"/>
  <c r="G1523" i="5"/>
  <c r="G1524" i="5"/>
  <c r="G1525" i="5"/>
  <c r="G1526" i="5"/>
  <c r="G1527" i="5"/>
  <c r="G1528" i="5"/>
  <c r="G1529" i="5"/>
  <c r="G1530" i="5"/>
  <c r="G1531" i="5"/>
  <c r="G1532" i="5"/>
  <c r="G1533" i="5"/>
  <c r="G1534" i="5"/>
  <c r="G1535" i="5"/>
  <c r="G1536" i="5"/>
  <c r="G1537" i="5"/>
  <c r="G1538" i="5"/>
  <c r="G1539" i="5"/>
  <c r="G1540" i="5"/>
  <c r="G1541" i="5"/>
  <c r="G1542" i="5"/>
  <c r="G1543" i="5"/>
  <c r="G1544" i="5"/>
  <c r="G1545" i="5"/>
  <c r="G1546" i="5"/>
  <c r="G1547" i="5"/>
  <c r="G1548" i="5"/>
  <c r="G1549" i="5"/>
  <c r="G1550" i="5"/>
  <c r="G1551" i="5"/>
  <c r="G1552" i="5"/>
  <c r="G1553" i="5"/>
  <c r="G1554" i="5"/>
  <c r="G1555" i="5"/>
  <c r="G1556" i="5"/>
  <c r="G1557" i="5"/>
  <c r="G1558" i="5"/>
  <c r="G1559" i="5"/>
  <c r="G1560" i="5"/>
  <c r="G1561" i="5"/>
  <c r="G1562" i="5"/>
  <c r="G1563" i="5"/>
  <c r="G1564" i="5"/>
  <c r="G1565" i="5"/>
  <c r="G1566" i="5"/>
  <c r="G1567" i="5"/>
  <c r="G1568" i="5"/>
  <c r="G1569" i="5"/>
  <c r="G1570" i="5"/>
  <c r="G1571" i="5"/>
  <c r="G1572" i="5"/>
  <c r="G1573" i="5"/>
  <c r="G1574" i="5"/>
  <c r="G1575" i="5"/>
  <c r="G1576" i="5"/>
  <c r="G1577" i="5"/>
  <c r="G1578" i="5"/>
  <c r="G1579" i="5"/>
  <c r="G1580" i="5"/>
  <c r="G1581" i="5"/>
  <c r="G1582" i="5"/>
  <c r="G1583" i="5"/>
  <c r="G1584" i="5"/>
  <c r="G1585" i="5"/>
  <c r="G1586" i="5"/>
  <c r="G1587" i="5"/>
  <c r="G1588" i="5"/>
  <c r="G1589" i="5"/>
  <c r="G1590" i="5"/>
  <c r="G1591" i="5"/>
  <c r="G1592" i="5"/>
  <c r="G1593" i="5"/>
  <c r="G1594" i="5"/>
  <c r="G1595" i="5"/>
  <c r="G1596" i="5"/>
  <c r="G1597" i="5"/>
  <c r="G1598" i="5"/>
  <c r="G1599" i="5"/>
  <c r="G1600" i="5"/>
  <c r="G1601" i="5"/>
  <c r="G1602" i="5"/>
  <c r="G1603" i="5"/>
  <c r="G1604" i="5"/>
  <c r="G1605" i="5"/>
  <c r="G1606" i="5"/>
  <c r="G1607" i="5"/>
  <c r="G1608" i="5"/>
  <c r="G1609" i="5"/>
  <c r="G1610" i="5"/>
  <c r="G1611" i="5"/>
  <c r="G1612" i="5"/>
  <c r="G1613" i="5"/>
  <c r="G1614" i="5"/>
  <c r="G1615" i="5"/>
  <c r="G1616" i="5"/>
  <c r="G1617" i="5"/>
  <c r="G1618" i="5"/>
  <c r="G1619" i="5"/>
  <c r="G1620" i="5"/>
  <c r="G1621" i="5"/>
  <c r="G1622" i="5"/>
  <c r="G1623" i="5"/>
  <c r="G1624" i="5"/>
  <c r="G1625" i="5"/>
  <c r="G1626" i="5"/>
  <c r="G1627" i="5"/>
  <c r="G1628" i="5"/>
  <c r="G1629" i="5"/>
  <c r="G1630" i="5"/>
  <c r="G1631" i="5"/>
  <c r="G1632" i="5"/>
  <c r="G1633" i="5"/>
  <c r="G1634" i="5"/>
  <c r="G1635" i="5"/>
  <c r="G1636" i="5"/>
  <c r="G1637" i="5"/>
  <c r="G1638" i="5"/>
  <c r="G1639" i="5"/>
  <c r="G1640" i="5"/>
  <c r="G1641" i="5"/>
  <c r="G1642" i="5"/>
  <c r="G1643" i="5"/>
  <c r="G1644" i="5"/>
  <c r="G1645" i="5"/>
  <c r="G1646" i="5"/>
  <c r="G1647" i="5"/>
  <c r="G1648" i="5"/>
  <c r="G1649" i="5"/>
  <c r="G1650" i="5"/>
  <c r="G1651" i="5"/>
  <c r="G1652" i="5"/>
  <c r="G1653" i="5"/>
  <c r="G1654" i="5"/>
  <c r="G1655" i="5"/>
  <c r="G1656" i="5"/>
  <c r="G1657" i="5"/>
  <c r="G1658" i="5"/>
  <c r="G1659" i="5"/>
  <c r="G1660" i="5"/>
  <c r="G1661" i="5"/>
  <c r="G1662" i="5"/>
  <c r="G1663" i="5"/>
  <c r="G1664" i="5"/>
  <c r="G1665" i="5"/>
  <c r="G1666" i="5"/>
  <c r="G1667" i="5"/>
  <c r="G1668" i="5"/>
  <c r="G1669" i="5"/>
  <c r="G1670" i="5"/>
  <c r="G1671" i="5"/>
  <c r="G1672" i="5"/>
  <c r="G1673" i="5"/>
  <c r="G1674" i="5"/>
  <c r="G1675" i="5"/>
  <c r="G1676" i="5"/>
  <c r="G1677" i="5"/>
  <c r="G1678" i="5"/>
  <c r="G1679" i="5"/>
  <c r="G1680" i="5"/>
  <c r="G1681" i="5"/>
  <c r="G1682" i="5"/>
  <c r="G1683" i="5"/>
  <c r="G1684" i="5"/>
  <c r="G1685" i="5"/>
  <c r="G1686" i="5"/>
  <c r="G1687" i="5"/>
  <c r="G1688" i="5"/>
  <c r="G1689" i="5"/>
  <c r="G1690" i="5"/>
  <c r="G1691" i="5"/>
  <c r="G1692" i="5"/>
  <c r="G1693" i="5"/>
  <c r="G1694" i="5"/>
  <c r="G1695" i="5"/>
  <c r="G1696" i="5"/>
  <c r="G1697" i="5"/>
  <c r="G1698" i="5"/>
  <c r="G1699" i="5"/>
  <c r="G1700" i="5"/>
  <c r="G1701" i="5"/>
  <c r="G1702" i="5"/>
  <c r="G1703" i="5"/>
  <c r="G1704" i="5"/>
  <c r="G1705" i="5"/>
  <c r="G1706" i="5"/>
  <c r="G1707" i="5"/>
  <c r="G1708" i="5"/>
  <c r="G1709" i="5"/>
  <c r="G1710" i="5"/>
  <c r="G1711" i="5"/>
  <c r="G1712" i="5"/>
  <c r="G1713" i="5"/>
  <c r="G893" i="5"/>
  <c r="G894" i="5"/>
  <c r="G895" i="5"/>
  <c r="G896" i="5"/>
  <c r="G897" i="5"/>
  <c r="G898" i="5"/>
  <c r="G899" i="5"/>
  <c r="G900" i="5"/>
  <c r="G901" i="5"/>
  <c r="G902" i="5"/>
  <c r="G903" i="5"/>
  <c r="G904" i="5"/>
  <c r="G905" i="5"/>
  <c r="G906" i="5"/>
  <c r="G907" i="5"/>
  <c r="G908" i="5"/>
  <c r="G909" i="5"/>
  <c r="G910" i="5"/>
  <c r="G911" i="5"/>
  <c r="G912" i="5"/>
  <c r="G913" i="5"/>
  <c r="G914" i="5"/>
  <c r="G915" i="5"/>
  <c r="G916" i="5"/>
  <c r="G917" i="5"/>
  <c r="G918" i="5"/>
  <c r="G919" i="5"/>
  <c r="G920" i="5"/>
  <c r="G921" i="5"/>
  <c r="G922" i="5"/>
  <c r="G923" i="5"/>
  <c r="G924" i="5"/>
  <c r="G925" i="5"/>
  <c r="G926" i="5"/>
  <c r="G927" i="5"/>
  <c r="G928" i="5"/>
  <c r="G929" i="5"/>
  <c r="G583" i="5" l="1"/>
  <c r="G584" i="5"/>
  <c r="G585" i="5"/>
  <c r="G586" i="5"/>
  <c r="G646" i="5"/>
  <c r="G647" i="5"/>
  <c r="G648" i="5"/>
  <c r="G649" i="5"/>
  <c r="G650" i="5"/>
  <c r="G25" i="5"/>
  <c r="G26" i="5"/>
  <c r="G27" i="5"/>
  <c r="G28" i="5"/>
  <c r="G29" i="5"/>
  <c r="G30" i="5"/>
  <c r="G31" i="5"/>
  <c r="G32" i="5"/>
  <c r="G33" i="5"/>
  <c r="G34" i="5"/>
  <c r="G35" i="5"/>
  <c r="G36" i="5"/>
  <c r="G37" i="5"/>
  <c r="G38" i="5"/>
  <c r="G39" i="5"/>
  <c r="G40" i="5"/>
  <c r="G41" i="5"/>
  <c r="G42" i="5"/>
  <c r="G43" i="5"/>
  <c r="G44" i="5"/>
  <c r="G45" i="5"/>
  <c r="G46" i="5"/>
  <c r="G47" i="5"/>
  <c r="G48" i="5"/>
  <c r="G49" i="5"/>
  <c r="G50" i="5"/>
  <c r="G62" i="5"/>
  <c r="G63" i="5"/>
  <c r="G84" i="5"/>
  <c r="G85" i="5"/>
  <c r="G86" i="5"/>
  <c r="G87" i="5"/>
  <c r="G88" i="5"/>
  <c r="G89" i="5"/>
  <c r="G90" i="5"/>
  <c r="G91" i="5"/>
  <c r="G92" i="5"/>
  <c r="G93" i="5"/>
  <c r="G94" i="5"/>
  <c r="G95" i="5"/>
  <c r="G96" i="5"/>
  <c r="G97" i="5"/>
  <c r="G98" i="5"/>
  <c r="G99" i="5"/>
  <c r="G100" i="5"/>
  <c r="G120" i="5"/>
  <c r="G121" i="5"/>
  <c r="G122" i="5"/>
  <c r="G123" i="5"/>
  <c r="G124" i="5"/>
  <c r="G125" i="5"/>
  <c r="G126" i="5"/>
  <c r="G127" i="5"/>
  <c r="G128" i="5"/>
  <c r="G129"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9" i="5"/>
  <c r="G170" i="5"/>
  <c r="G171" i="5"/>
  <c r="G172" i="5"/>
  <c r="G173" i="5"/>
  <c r="G174" i="5"/>
  <c r="G175" i="5"/>
  <c r="G176" i="5"/>
  <c r="G177" i="5"/>
  <c r="G178" i="5"/>
  <c r="G179" i="5"/>
  <c r="G206" i="5"/>
  <c r="G207" i="5"/>
  <c r="G208" i="5"/>
  <c r="G209" i="5"/>
  <c r="G210" i="5"/>
  <c r="G211" i="5"/>
  <c r="G212" i="5"/>
  <c r="G213" i="5"/>
  <c r="G214" i="5"/>
  <c r="G215" i="5"/>
  <c r="G216" i="5"/>
  <c r="G217" i="5"/>
  <c r="G218" i="5"/>
  <c r="G219" i="5"/>
  <c r="G220" i="5"/>
  <c r="G221" i="5"/>
  <c r="G222" i="5"/>
  <c r="G223" i="5"/>
  <c r="G224" i="5"/>
  <c r="G235" i="5"/>
  <c r="G236" i="5"/>
  <c r="G237" i="5"/>
  <c r="G238" i="5"/>
  <c r="G239" i="5"/>
  <c r="G240" i="5"/>
  <c r="G241" i="5"/>
  <c r="G242" i="5"/>
  <c r="G243" i="5"/>
  <c r="G266" i="5"/>
  <c r="G267" i="5"/>
  <c r="G268" i="5"/>
  <c r="G269" i="5"/>
  <c r="G270" i="5"/>
  <c r="G271" i="5"/>
  <c r="G272" i="5"/>
  <c r="G273" i="5"/>
  <c r="G274" i="5"/>
  <c r="G275" i="5"/>
  <c r="G276" i="5"/>
  <c r="G277" i="5"/>
  <c r="G278" i="5"/>
  <c r="G279" i="5"/>
  <c r="G280" i="5"/>
  <c r="G281" i="5"/>
  <c r="G282" i="5"/>
  <c r="G283" i="5"/>
  <c r="G284" i="5"/>
  <c r="G285" i="5"/>
  <c r="G301" i="5"/>
  <c r="G302" i="5"/>
  <c r="G303" i="5"/>
  <c r="G304" i="5"/>
  <c r="G305" i="5"/>
  <c r="G306" i="5"/>
  <c r="G307"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21" i="5"/>
  <c r="G422" i="5"/>
  <c r="G423"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524" i="5"/>
  <c r="G525" i="5"/>
  <c r="G526" i="5"/>
  <c r="G527" i="5"/>
  <c r="G528" i="5"/>
  <c r="G529" i="5"/>
  <c r="G530" i="5"/>
  <c r="G531" i="5"/>
  <c r="G532" i="5"/>
  <c r="G533" i="5"/>
  <c r="G534" i="5"/>
  <c r="G535" i="5"/>
  <c r="G536" i="5"/>
  <c r="G537" i="5"/>
  <c r="G538" i="5"/>
  <c r="G539" i="5"/>
  <c r="G540" i="5"/>
  <c r="G541" i="5"/>
  <c r="G542" i="5"/>
  <c r="G543" i="5"/>
  <c r="G544" i="5"/>
  <c r="G545" i="5"/>
  <c r="G546" i="5"/>
  <c r="G547" i="5"/>
  <c r="G548" i="5"/>
  <c r="G549" i="5"/>
  <c r="G550" i="5"/>
  <c r="G551" i="5"/>
  <c r="G552" i="5"/>
  <c r="G553" i="5"/>
  <c r="G554" i="5"/>
  <c r="G555" i="5"/>
  <c r="G556" i="5"/>
  <c r="G557" i="5"/>
  <c r="G558" i="5"/>
  <c r="G559" i="5"/>
  <c r="G560" i="5"/>
  <c r="G561" i="5"/>
  <c r="G562" i="5"/>
  <c r="G563" i="5"/>
  <c r="G564" i="5"/>
  <c r="G565" i="5"/>
  <c r="G566" i="5"/>
  <c r="G567" i="5"/>
  <c r="G568" i="5"/>
  <c r="G569" i="5"/>
  <c r="G570" i="5"/>
  <c r="G571" i="5"/>
  <c r="G572" i="5"/>
  <c r="G573" i="5"/>
  <c r="G574" i="5"/>
  <c r="G575" i="5"/>
  <c r="G576" i="5"/>
  <c r="G577" i="5"/>
  <c r="G578" i="5"/>
  <c r="G579" i="5"/>
  <c r="G580" i="5"/>
  <c r="G581" i="5"/>
  <c r="G582" i="5"/>
  <c r="G587" i="5"/>
  <c r="G588" i="5"/>
  <c r="G589" i="5"/>
  <c r="G590" i="5"/>
  <c r="G591" i="5"/>
  <c r="G592" i="5"/>
  <c r="G593" i="5"/>
  <c r="G594" i="5"/>
  <c r="G595" i="5"/>
  <c r="G596" i="5"/>
  <c r="G597" i="5"/>
  <c r="G598" i="5"/>
  <c r="G599" i="5"/>
  <c r="G600" i="5"/>
  <c r="G601" i="5"/>
  <c r="G602" i="5"/>
  <c r="G603" i="5"/>
  <c r="G604" i="5"/>
  <c r="G605" i="5"/>
  <c r="G606" i="5"/>
  <c r="G607" i="5"/>
  <c r="G608" i="5"/>
  <c r="G609" i="5"/>
  <c r="G610" i="5"/>
  <c r="G611" i="5"/>
  <c r="G612" i="5"/>
  <c r="G613" i="5"/>
  <c r="G614" i="5"/>
  <c r="G615" i="5"/>
  <c r="G616" i="5"/>
  <c r="G617" i="5"/>
  <c r="G618" i="5"/>
  <c r="G619" i="5"/>
  <c r="G620" i="5"/>
  <c r="G621" i="5"/>
  <c r="G622" i="5"/>
  <c r="G623" i="5"/>
  <c r="G624" i="5"/>
  <c r="G625" i="5"/>
  <c r="G626" i="5"/>
  <c r="G627" i="5"/>
  <c r="G628" i="5"/>
  <c r="G629" i="5"/>
  <c r="G630" i="5"/>
  <c r="G631" i="5"/>
  <c r="G632" i="5"/>
  <c r="G633" i="5"/>
  <c r="G634" i="5"/>
  <c r="G635" i="5"/>
  <c r="G636" i="5"/>
  <c r="G637" i="5"/>
  <c r="G638" i="5"/>
  <c r="G639" i="5"/>
  <c r="G640" i="5"/>
  <c r="G641" i="5"/>
  <c r="G642" i="5"/>
  <c r="G643" i="5"/>
  <c r="G644" i="5"/>
  <c r="G645" i="5"/>
  <c r="G651" i="5"/>
  <c r="G652" i="5"/>
  <c r="G653" i="5"/>
  <c r="G654" i="5"/>
  <c r="G655" i="5"/>
  <c r="G656" i="5"/>
  <c r="G657" i="5"/>
  <c r="G658" i="5"/>
  <c r="G659" i="5"/>
  <c r="G660" i="5"/>
  <c r="G661" i="5"/>
  <c r="G662" i="5"/>
  <c r="G663" i="5"/>
  <c r="G664" i="5"/>
  <c r="G665" i="5"/>
  <c r="G666" i="5"/>
  <c r="G667" i="5"/>
  <c r="G668" i="5"/>
  <c r="G669" i="5"/>
  <c r="G670" i="5"/>
  <c r="G671" i="5"/>
  <c r="G672" i="5"/>
  <c r="G673" i="5"/>
  <c r="G674" i="5"/>
  <c r="G675" i="5"/>
  <c r="G676" i="5"/>
  <c r="G677" i="5"/>
  <c r="G678" i="5"/>
  <c r="G679" i="5"/>
  <c r="G680" i="5"/>
  <c r="G681" i="5"/>
  <c r="G682" i="5"/>
  <c r="G683" i="5"/>
  <c r="G684" i="5"/>
  <c r="G685" i="5"/>
  <c r="G686" i="5"/>
  <c r="G687" i="5"/>
  <c r="G688" i="5"/>
  <c r="G689" i="5"/>
  <c r="G690" i="5"/>
  <c r="G691" i="5"/>
  <c r="G692" i="5"/>
  <c r="G693" i="5"/>
  <c r="G694" i="5"/>
  <c r="G695" i="5"/>
  <c r="G696" i="5"/>
  <c r="G697" i="5"/>
  <c r="G698" i="5"/>
  <c r="G699" i="5"/>
  <c r="G700" i="5"/>
  <c r="G701" i="5"/>
  <c r="G702" i="5"/>
  <c r="G703" i="5"/>
  <c r="G704" i="5"/>
  <c r="G705" i="5"/>
  <c r="G706" i="5"/>
  <c r="G707" i="5"/>
  <c r="G708" i="5"/>
  <c r="G709" i="5"/>
  <c r="G710" i="5"/>
  <c r="G711" i="5"/>
  <c r="G712" i="5"/>
  <c r="G713" i="5"/>
  <c r="G714" i="5"/>
  <c r="G715" i="5"/>
  <c r="G716" i="5"/>
  <c r="G717" i="5"/>
  <c r="G718" i="5"/>
  <c r="G719" i="5"/>
  <c r="G720" i="5"/>
  <c r="G721" i="5"/>
  <c r="G722" i="5"/>
  <c r="G723" i="5"/>
  <c r="G724" i="5"/>
  <c r="G725" i="5"/>
  <c r="G726" i="5"/>
  <c r="G727" i="5"/>
  <c r="G728" i="5"/>
  <c r="G729" i="5"/>
  <c r="G730" i="5"/>
  <c r="G731" i="5"/>
  <c r="G732" i="5"/>
  <c r="G733" i="5"/>
  <c r="G734" i="5"/>
  <c r="G735" i="5"/>
  <c r="G736" i="5"/>
  <c r="G737" i="5"/>
  <c r="G738" i="5"/>
  <c r="G739" i="5"/>
  <c r="G740" i="5"/>
  <c r="G741" i="5"/>
  <c r="G742" i="5"/>
  <c r="G743" i="5"/>
  <c r="G744" i="5"/>
  <c r="G745" i="5"/>
  <c r="G746" i="5"/>
  <c r="G747" i="5"/>
  <c r="G748" i="5"/>
  <c r="G749" i="5"/>
  <c r="G750" i="5"/>
  <c r="G751" i="5"/>
  <c r="G752" i="5"/>
  <c r="G753" i="5"/>
  <c r="G754" i="5"/>
  <c r="G755" i="5"/>
  <c r="G756" i="5"/>
  <c r="G757" i="5"/>
  <c r="G758" i="5"/>
  <c r="G759" i="5"/>
  <c r="G760" i="5"/>
  <c r="G761" i="5"/>
  <c r="G762" i="5"/>
  <c r="G763" i="5"/>
  <c r="G764" i="5"/>
  <c r="G765" i="5"/>
  <c r="G766" i="5"/>
  <c r="G767" i="5"/>
  <c r="G768" i="5"/>
  <c r="G769" i="5"/>
  <c r="G770" i="5"/>
  <c r="G771" i="5"/>
  <c r="G772" i="5"/>
  <c r="G773" i="5"/>
  <c r="G774" i="5"/>
  <c r="G775" i="5"/>
  <c r="G776" i="5"/>
  <c r="G777" i="5"/>
  <c r="G778" i="5"/>
  <c r="G779" i="5"/>
  <c r="G780" i="5"/>
  <c r="G781" i="5"/>
  <c r="G782" i="5"/>
  <c r="G783" i="5"/>
  <c r="G784" i="5"/>
  <c r="G785" i="5"/>
  <c r="G786" i="5"/>
  <c r="G787" i="5"/>
  <c r="G788" i="5"/>
  <c r="G789" i="5"/>
  <c r="G790" i="5"/>
  <c r="G791" i="5"/>
  <c r="G792" i="5"/>
  <c r="G793" i="5"/>
  <c r="G794" i="5"/>
  <c r="G795" i="5"/>
  <c r="G796" i="5"/>
  <c r="G797" i="5"/>
  <c r="G798" i="5"/>
  <c r="G799" i="5"/>
  <c r="G800" i="5"/>
  <c r="G801" i="5"/>
  <c r="G802" i="5"/>
  <c r="G803" i="5"/>
  <c r="G804" i="5"/>
  <c r="G805" i="5"/>
  <c r="G806" i="5"/>
  <c r="G807" i="5"/>
  <c r="G808" i="5"/>
  <c r="G809" i="5"/>
  <c r="G810" i="5"/>
  <c r="G811" i="5"/>
  <c r="G812" i="5"/>
  <c r="G813" i="5"/>
  <c r="G814" i="5"/>
  <c r="G815" i="5"/>
  <c r="G816" i="5"/>
  <c r="G817" i="5"/>
  <c r="G818" i="5"/>
  <c r="G819" i="5"/>
  <c r="G820" i="5"/>
  <c r="G821" i="5"/>
  <c r="G822" i="5"/>
  <c r="G823" i="5"/>
  <c r="G824" i="5"/>
  <c r="G825" i="5"/>
  <c r="G826" i="5"/>
  <c r="G827" i="5"/>
  <c r="G828" i="5"/>
  <c r="G829" i="5"/>
  <c r="G830" i="5"/>
  <c r="G831" i="5"/>
  <c r="G832" i="5"/>
  <c r="G833" i="5"/>
  <c r="G834" i="5"/>
  <c r="G835" i="5"/>
  <c r="G836" i="5"/>
  <c r="G837" i="5"/>
  <c r="G838" i="5"/>
  <c r="G839" i="5"/>
  <c r="G840" i="5"/>
  <c r="G841" i="5"/>
  <c r="G842" i="5"/>
  <c r="G843" i="5"/>
  <c r="G844" i="5"/>
  <c r="G845" i="5"/>
  <c r="G846" i="5"/>
  <c r="G847" i="5"/>
  <c r="G848" i="5"/>
  <c r="G849" i="5"/>
  <c r="G850" i="5"/>
  <c r="G851" i="5"/>
  <c r="G852" i="5"/>
  <c r="G853" i="5"/>
  <c r="G854" i="5"/>
  <c r="G855" i="5"/>
  <c r="G856" i="5"/>
  <c r="G857" i="5"/>
  <c r="G858" i="5"/>
  <c r="G859" i="5"/>
  <c r="G860" i="5"/>
  <c r="G861" i="5"/>
  <c r="G862" i="5"/>
  <c r="G863" i="5"/>
  <c r="G864" i="5"/>
  <c r="G865" i="5"/>
  <c r="G866" i="5"/>
  <c r="G867" i="5"/>
  <c r="G868" i="5"/>
  <c r="G869" i="5"/>
  <c r="G870" i="5"/>
  <c r="G871" i="5"/>
  <c r="G872" i="5"/>
  <c r="G873" i="5"/>
  <c r="G874" i="5"/>
  <c r="G875" i="5"/>
  <c r="G876" i="5"/>
  <c r="G877" i="5"/>
  <c r="G878" i="5"/>
  <c r="G879" i="5"/>
  <c r="G880" i="5"/>
  <c r="G881" i="5"/>
  <c r="G882" i="5"/>
  <c r="G883" i="5"/>
  <c r="G884" i="5"/>
  <c r="G885" i="5"/>
  <c r="G886" i="5"/>
  <c r="G887" i="5"/>
  <c r="G888" i="5"/>
  <c r="G889" i="5"/>
  <c r="G890" i="5"/>
  <c r="G891" i="5"/>
  <c r="G892" i="5"/>
  <c r="F102" i="5" l="1"/>
  <c r="G102" i="5" s="1"/>
  <c r="F425" i="5" l="1"/>
  <c r="G425" i="5" s="1"/>
  <c r="F424" i="5"/>
  <c r="G424" i="5" s="1"/>
  <c r="F420" i="5"/>
  <c r="G420" i="5" s="1"/>
  <c r="F419" i="5"/>
  <c r="G419" i="5" s="1"/>
  <c r="F418" i="5"/>
  <c r="G418" i="5" s="1"/>
  <c r="F373" i="5"/>
  <c r="G373" i="5" s="1"/>
  <c r="F372" i="5"/>
  <c r="G372" i="5" s="1"/>
  <c r="F371" i="5"/>
  <c r="G371" i="5" s="1"/>
  <c r="F370" i="5"/>
  <c r="G370" i="5" s="1"/>
  <c r="F369" i="5"/>
  <c r="G369" i="5" s="1"/>
  <c r="F368" i="5"/>
  <c r="G368" i="5" s="1"/>
  <c r="F367" i="5"/>
  <c r="G367" i="5" s="1"/>
  <c r="F366" i="5"/>
  <c r="G366" i="5" s="1"/>
  <c r="F365" i="5"/>
  <c r="G365" i="5" s="1"/>
  <c r="F364" i="5"/>
  <c r="G364" i="5" s="1"/>
  <c r="F363" i="5"/>
  <c r="G363" i="5" s="1"/>
  <c r="F362" i="5"/>
  <c r="G362" i="5" s="1"/>
  <c r="F361" i="5"/>
  <c r="G361" i="5" s="1"/>
  <c r="F360" i="5"/>
  <c r="G360" i="5" s="1"/>
  <c r="F359" i="5"/>
  <c r="G359" i="5" s="1"/>
  <c r="F358" i="5"/>
  <c r="G358" i="5" s="1"/>
  <c r="F357" i="5"/>
  <c r="G357" i="5" s="1"/>
  <c r="F326" i="5"/>
  <c r="G326" i="5" s="1"/>
  <c r="F325" i="5"/>
  <c r="G325" i="5" s="1"/>
  <c r="F324" i="5"/>
  <c r="G324" i="5" s="1"/>
  <c r="F323" i="5"/>
  <c r="G323" i="5" s="1"/>
  <c r="F322" i="5"/>
  <c r="G322" i="5" s="1"/>
  <c r="F321" i="5"/>
  <c r="G321" i="5" s="1"/>
  <c r="F320" i="5"/>
  <c r="G320" i="5" s="1"/>
  <c r="F319" i="5"/>
  <c r="G319" i="5" s="1"/>
  <c r="F318" i="5"/>
  <c r="G318" i="5" s="1"/>
  <c r="F317" i="5"/>
  <c r="G317" i="5" s="1"/>
  <c r="F316" i="5"/>
  <c r="G316" i="5" s="1"/>
  <c r="F315" i="5"/>
  <c r="G315" i="5" s="1"/>
  <c r="F314" i="5"/>
  <c r="G314" i="5" s="1"/>
  <c r="F313" i="5"/>
  <c r="G313" i="5" s="1"/>
  <c r="F312" i="5"/>
  <c r="G312" i="5" s="1"/>
  <c r="F311" i="5"/>
  <c r="G311" i="5" s="1"/>
  <c r="F310" i="5"/>
  <c r="G310" i="5" s="1"/>
  <c r="F309" i="5"/>
  <c r="G309" i="5" s="1"/>
  <c r="F308" i="5"/>
  <c r="G308" i="5" s="1"/>
  <c r="F300" i="5"/>
  <c r="G300" i="5" s="1"/>
  <c r="F299" i="5"/>
  <c r="G299" i="5" s="1"/>
  <c r="F298" i="5"/>
  <c r="G298" i="5" s="1"/>
  <c r="F297" i="5"/>
  <c r="G297" i="5" s="1"/>
  <c r="F296" i="5"/>
  <c r="G296" i="5" s="1"/>
  <c r="F295" i="5"/>
  <c r="G295" i="5" s="1"/>
  <c r="F294" i="5"/>
  <c r="G294" i="5" s="1"/>
  <c r="F293" i="5"/>
  <c r="G293" i="5" s="1"/>
  <c r="F292" i="5"/>
  <c r="G292" i="5" s="1"/>
  <c r="F291" i="5"/>
  <c r="G291" i="5" s="1"/>
  <c r="F290" i="5"/>
  <c r="G290" i="5" s="1"/>
  <c r="F289" i="5"/>
  <c r="G289" i="5" s="1"/>
  <c r="F288" i="5"/>
  <c r="G288" i="5" s="1"/>
  <c r="F287" i="5"/>
  <c r="G287" i="5" s="1"/>
  <c r="F286" i="5"/>
  <c r="G286" i="5" s="1"/>
  <c r="F265" i="5"/>
  <c r="G265" i="5" s="1"/>
  <c r="F264" i="5"/>
  <c r="G264" i="5" s="1"/>
  <c r="F263" i="5"/>
  <c r="G263" i="5" s="1"/>
  <c r="F262" i="5"/>
  <c r="G262" i="5" s="1"/>
  <c r="F261" i="5"/>
  <c r="G261" i="5" s="1"/>
  <c r="F260" i="5"/>
  <c r="G260" i="5" s="1"/>
  <c r="F259" i="5"/>
  <c r="G259" i="5" s="1"/>
  <c r="F258" i="5"/>
  <c r="G258" i="5" s="1"/>
  <c r="F257" i="5"/>
  <c r="G257" i="5" s="1"/>
  <c r="F256" i="5"/>
  <c r="G256" i="5" s="1"/>
  <c r="F255" i="5"/>
  <c r="G255" i="5" s="1"/>
  <c r="F254" i="5"/>
  <c r="G254" i="5" s="1"/>
  <c r="F253" i="5"/>
  <c r="G253" i="5" s="1"/>
  <c r="F252" i="5"/>
  <c r="G252" i="5" s="1"/>
  <c r="F251" i="5"/>
  <c r="G251" i="5" s="1"/>
  <c r="F250" i="5"/>
  <c r="G250" i="5" s="1"/>
  <c r="F249" i="5"/>
  <c r="G249" i="5" s="1"/>
  <c r="F248" i="5"/>
  <c r="G248" i="5" s="1"/>
  <c r="F247" i="5"/>
  <c r="G247" i="5" s="1"/>
  <c r="F246" i="5"/>
  <c r="G246" i="5" s="1"/>
  <c r="F245" i="5"/>
  <c r="G245" i="5" s="1"/>
  <c r="F244" i="5"/>
  <c r="G244" i="5" s="1"/>
  <c r="F234" i="5"/>
  <c r="G234" i="5" s="1"/>
  <c r="F233" i="5"/>
  <c r="G233" i="5" s="1"/>
  <c r="F232" i="5"/>
  <c r="G232" i="5" s="1"/>
  <c r="F231" i="5"/>
  <c r="G231" i="5" s="1"/>
  <c r="F230" i="5"/>
  <c r="G230" i="5" s="1"/>
  <c r="F229" i="5"/>
  <c r="G229" i="5" s="1"/>
  <c r="F228" i="5"/>
  <c r="G228" i="5" s="1"/>
  <c r="F227" i="5"/>
  <c r="G227" i="5" s="1"/>
  <c r="F226" i="5"/>
  <c r="G226" i="5" s="1"/>
  <c r="F225" i="5"/>
  <c r="G225" i="5" s="1"/>
  <c r="F205" i="5"/>
  <c r="G205" i="5" s="1"/>
  <c r="F204" i="5"/>
  <c r="G204" i="5" s="1"/>
  <c r="F203" i="5"/>
  <c r="G203" i="5" s="1"/>
  <c r="F202" i="5"/>
  <c r="G202" i="5" s="1"/>
  <c r="F201" i="5"/>
  <c r="G201" i="5" s="1"/>
  <c r="F200" i="5"/>
  <c r="G200" i="5" s="1"/>
  <c r="F199" i="5"/>
  <c r="G199" i="5" s="1"/>
  <c r="F198" i="5"/>
  <c r="G198" i="5" s="1"/>
  <c r="F197" i="5"/>
  <c r="G197" i="5" s="1"/>
  <c r="F196" i="5"/>
  <c r="G196" i="5" s="1"/>
  <c r="F195" i="5"/>
  <c r="G195" i="5" s="1"/>
  <c r="F194" i="5"/>
  <c r="G194" i="5" s="1"/>
  <c r="F193" i="5"/>
  <c r="G193" i="5" s="1"/>
  <c r="F192" i="5"/>
  <c r="G192" i="5" s="1"/>
  <c r="F191" i="5"/>
  <c r="G191" i="5" s="1"/>
  <c r="F190" i="5"/>
  <c r="G190" i="5" s="1"/>
  <c r="F189" i="5"/>
  <c r="G189" i="5" s="1"/>
  <c r="F188" i="5"/>
  <c r="G188" i="5" s="1"/>
  <c r="F187" i="5"/>
  <c r="G187" i="5" s="1"/>
  <c r="F186" i="5"/>
  <c r="G186" i="5" s="1"/>
  <c r="F185" i="5"/>
  <c r="G185" i="5" s="1"/>
  <c r="F184" i="5"/>
  <c r="G184" i="5" s="1"/>
  <c r="F183" i="5"/>
  <c r="G183" i="5" s="1"/>
  <c r="F182" i="5"/>
  <c r="G182" i="5" s="1"/>
  <c r="F181" i="5"/>
  <c r="G181" i="5" s="1"/>
  <c r="F180" i="5"/>
  <c r="G180" i="5" s="1"/>
  <c r="F168" i="5"/>
  <c r="G168" i="5" s="1"/>
  <c r="F167" i="5"/>
  <c r="G167" i="5" s="1"/>
  <c r="F166" i="5"/>
  <c r="G166" i="5" s="1"/>
  <c r="F165" i="5"/>
  <c r="G165" i="5" s="1"/>
  <c r="F164" i="5"/>
  <c r="G164" i="5" s="1"/>
  <c r="F163" i="5"/>
  <c r="G163" i="5" s="1"/>
  <c r="F162" i="5"/>
  <c r="G162" i="5" s="1"/>
  <c r="F161" i="5"/>
  <c r="G161" i="5" s="1"/>
  <c r="F130" i="5"/>
  <c r="G130" i="5" s="1"/>
  <c r="F119" i="5"/>
  <c r="G119" i="5" s="1"/>
  <c r="F118" i="5"/>
  <c r="G118" i="5" s="1"/>
  <c r="F117" i="5"/>
  <c r="G117" i="5" s="1"/>
  <c r="F116" i="5"/>
  <c r="G116" i="5" s="1"/>
  <c r="F115" i="5"/>
  <c r="G115" i="5" s="1"/>
  <c r="F114" i="5"/>
  <c r="G114" i="5" s="1"/>
  <c r="F113" i="5"/>
  <c r="G113" i="5" s="1"/>
  <c r="F112" i="5"/>
  <c r="G112" i="5" s="1"/>
  <c r="F111" i="5"/>
  <c r="G111" i="5" s="1"/>
  <c r="F110" i="5"/>
  <c r="G110" i="5" s="1"/>
  <c r="F109" i="5"/>
  <c r="G109" i="5" s="1"/>
  <c r="F108" i="5"/>
  <c r="G108" i="5" s="1"/>
  <c r="F107" i="5"/>
  <c r="G107" i="5" s="1"/>
  <c r="F106" i="5"/>
  <c r="G106" i="5" s="1"/>
  <c r="F105" i="5"/>
  <c r="G105" i="5" s="1"/>
  <c r="F104" i="5"/>
  <c r="G104" i="5" s="1"/>
  <c r="F103" i="5"/>
  <c r="G103" i="5" s="1"/>
  <c r="F101" i="5"/>
  <c r="G101" i="5" s="1"/>
  <c r="F83" i="5"/>
  <c r="G83" i="5" s="1"/>
  <c r="F82" i="5"/>
  <c r="G82" i="5" s="1"/>
  <c r="F81" i="5"/>
  <c r="G81" i="5" s="1"/>
  <c r="F80" i="5"/>
  <c r="G80" i="5" s="1"/>
  <c r="F79" i="5"/>
  <c r="G79" i="5" s="1"/>
  <c r="F78" i="5"/>
  <c r="G78" i="5" s="1"/>
  <c r="F77" i="5"/>
  <c r="G77" i="5" s="1"/>
  <c r="F76" i="5"/>
  <c r="G76" i="5" s="1"/>
  <c r="F75" i="5"/>
  <c r="G75" i="5" s="1"/>
  <c r="F74" i="5"/>
  <c r="G74" i="5" s="1"/>
  <c r="F73" i="5"/>
  <c r="G73" i="5" s="1"/>
  <c r="F72" i="5"/>
  <c r="G72" i="5" s="1"/>
  <c r="F71" i="5"/>
  <c r="G71" i="5" s="1"/>
  <c r="F70" i="5"/>
  <c r="G70" i="5" s="1"/>
  <c r="F69" i="5"/>
  <c r="G69" i="5" s="1"/>
  <c r="F68" i="5"/>
  <c r="G68" i="5" s="1"/>
  <c r="F67" i="5"/>
  <c r="G67" i="5" s="1"/>
  <c r="F66" i="5"/>
  <c r="G66" i="5" s="1"/>
  <c r="F65" i="5"/>
  <c r="G65" i="5" s="1"/>
  <c r="F64" i="5"/>
  <c r="G64" i="5" s="1"/>
  <c r="F61" i="5"/>
  <c r="G61" i="5" s="1"/>
  <c r="F60" i="5"/>
  <c r="G60" i="5" s="1"/>
  <c r="F59" i="5"/>
  <c r="G59" i="5" s="1"/>
  <c r="F58" i="5"/>
  <c r="G58" i="5" s="1"/>
  <c r="F57" i="5"/>
  <c r="G57" i="5" s="1"/>
  <c r="F56" i="5"/>
  <c r="G56" i="5" s="1"/>
  <c r="F55" i="5"/>
  <c r="G55" i="5" s="1"/>
  <c r="F54" i="5"/>
  <c r="G54" i="5" s="1"/>
  <c r="F53" i="5"/>
  <c r="G53" i="5" s="1"/>
  <c r="F52" i="5"/>
  <c r="G52" i="5" s="1"/>
  <c r="F51" i="5"/>
  <c r="G51" i="5" s="1"/>
  <c r="F24" i="5"/>
  <c r="G24" i="5" s="1"/>
  <c r="F23" i="5"/>
  <c r="G23" i="5" s="1"/>
  <c r="F22" i="5"/>
  <c r="G22" i="5" s="1"/>
  <c r="F21" i="5"/>
  <c r="G21" i="5" s="1"/>
  <c r="F20" i="5"/>
  <c r="G20" i="5" s="1"/>
  <c r="F19" i="5"/>
  <c r="G19" i="5" s="1"/>
  <c r="F18" i="5"/>
  <c r="G18" i="5" s="1"/>
  <c r="F17" i="5"/>
  <c r="G17" i="5" s="1"/>
  <c r="F16" i="5"/>
  <c r="G16" i="5" s="1"/>
  <c r="F15" i="5"/>
  <c r="G15" i="5" s="1"/>
  <c r="F14" i="5"/>
  <c r="G14" i="5" s="1"/>
  <c r="F13" i="5"/>
  <c r="G13" i="5" s="1"/>
  <c r="F12" i="5"/>
  <c r="G12" i="5" s="1"/>
  <c r="F11" i="5"/>
  <c r="G11" i="5" s="1"/>
  <c r="F10" i="5"/>
  <c r="G10" i="5" s="1"/>
  <c r="F9" i="5"/>
  <c r="G9" i="5" s="1"/>
  <c r="F8" i="5"/>
  <c r="G8" i="5" s="1"/>
  <c r="F7" i="5"/>
  <c r="G7" i="5" s="1"/>
  <c r="F6" i="5"/>
  <c r="G6" i="5" s="1"/>
  <c r="F5" i="5"/>
  <c r="G5" i="5" s="1"/>
  <c r="F4" i="5"/>
  <c r="G4" i="5" s="1"/>
  <c r="F3" i="5"/>
  <c r="G3" i="5" s="1"/>
  <c r="D160" i="6" l="1"/>
  <c r="D250" i="6"/>
  <c r="E251" i="6"/>
  <c r="E250" i="6"/>
  <c r="D252" i="6"/>
  <c r="D251" i="6"/>
  <c r="E252" i="6"/>
  <c r="C206" i="6"/>
  <c r="C248" i="6"/>
  <c r="A468" i="6"/>
  <c r="C380" i="6"/>
  <c r="C474" i="6"/>
  <c r="C385" i="6"/>
  <c r="C486" i="6"/>
  <c r="A376" i="6"/>
  <c r="A378" i="6"/>
  <c r="A382" i="6"/>
  <c r="C376" i="6"/>
  <c r="C378" i="6"/>
  <c r="B382" i="6"/>
  <c r="C382" i="6"/>
  <c r="A377" i="6"/>
  <c r="F381" i="6"/>
  <c r="C381" i="6"/>
  <c r="B378" i="6"/>
  <c r="B377" i="6"/>
  <c r="F382" i="6"/>
  <c r="F377" i="6"/>
  <c r="F376" i="6"/>
  <c r="C377" i="6"/>
  <c r="A381" i="6"/>
  <c r="B381" i="6"/>
  <c r="B376" i="6"/>
  <c r="F378" i="6"/>
  <c r="D320" i="6"/>
  <c r="D249" i="6"/>
  <c r="E249" i="6"/>
  <c r="F488" i="6"/>
  <c r="B488" i="6"/>
  <c r="A488" i="6"/>
  <c r="C488" i="6"/>
  <c r="C480" i="6"/>
  <c r="F482" i="6"/>
  <c r="F491" i="6"/>
  <c r="B482" i="6"/>
  <c r="F484" i="6"/>
  <c r="A482" i="6"/>
  <c r="B487" i="6"/>
  <c r="F477" i="6"/>
  <c r="B479" i="6"/>
  <c r="F470" i="6"/>
  <c r="B469" i="6"/>
  <c r="F463" i="6"/>
  <c r="F465" i="6"/>
  <c r="C484" i="6"/>
  <c r="F480" i="6"/>
  <c r="A487" i="6"/>
  <c r="C477" i="6"/>
  <c r="A479" i="6"/>
  <c r="C470" i="6"/>
  <c r="A469" i="6"/>
  <c r="C463" i="6"/>
  <c r="F486" i="6"/>
  <c r="B480" i="6"/>
  <c r="F481" i="6"/>
  <c r="B477" i="6"/>
  <c r="F472" i="6"/>
  <c r="B470" i="6"/>
  <c r="B463" i="6"/>
  <c r="B484" i="6"/>
  <c r="A484" i="6"/>
  <c r="F485" i="6"/>
  <c r="A480" i="6"/>
  <c r="C481" i="6"/>
  <c r="A477" i="6"/>
  <c r="C472" i="6"/>
  <c r="A470" i="6"/>
  <c r="C465" i="6"/>
  <c r="A463" i="6"/>
  <c r="B486" i="6"/>
  <c r="C485" i="6"/>
  <c r="F483" i="6"/>
  <c r="B481" i="6"/>
  <c r="F473" i="6"/>
  <c r="B472" i="6"/>
  <c r="F468" i="6"/>
  <c r="B465" i="6"/>
  <c r="C482" i="6"/>
  <c r="B483" i="6"/>
  <c r="B473" i="6"/>
  <c r="B468" i="6"/>
  <c r="A483" i="6"/>
  <c r="A473" i="6"/>
  <c r="A486" i="6"/>
  <c r="B485" i="6"/>
  <c r="C483" i="6"/>
  <c r="A481" i="6"/>
  <c r="C473" i="6"/>
  <c r="A472" i="6"/>
  <c r="C468" i="6"/>
  <c r="A465" i="6"/>
  <c r="A485" i="6"/>
  <c r="F487" i="6"/>
  <c r="F479" i="6"/>
  <c r="F469" i="6"/>
  <c r="C487" i="6"/>
  <c r="C479" i="6"/>
  <c r="C469" i="6"/>
  <c r="C144" i="6"/>
  <c r="D245" i="6"/>
  <c r="F246" i="6"/>
  <c r="B144" i="6"/>
  <c r="D145" i="6"/>
  <c r="F146" i="6"/>
  <c r="B148" i="6"/>
  <c r="D149" i="6"/>
  <c r="F150" i="6"/>
  <c r="B152" i="6"/>
  <c r="D153" i="6"/>
  <c r="F154" i="6"/>
  <c r="B156" i="6"/>
  <c r="D157" i="6"/>
  <c r="F158" i="6"/>
  <c r="B160" i="6"/>
  <c r="D161" i="6"/>
  <c r="F224" i="6"/>
  <c r="B203" i="6"/>
  <c r="D193" i="6"/>
  <c r="F184" i="6"/>
  <c r="B220" i="6"/>
  <c r="D223" i="6"/>
  <c r="F181" i="6"/>
  <c r="B212" i="6"/>
  <c r="D213" i="6"/>
  <c r="F208" i="6"/>
  <c r="B210" i="6"/>
  <c r="D211" i="6"/>
  <c r="F196" i="6"/>
  <c r="B188" i="6"/>
  <c r="D200" i="6"/>
  <c r="B222" i="6"/>
  <c r="F189" i="6"/>
  <c r="B168" i="6"/>
  <c r="D169" i="6"/>
  <c r="F170" i="6"/>
  <c r="D172" i="6"/>
  <c r="F173" i="6"/>
  <c r="B175" i="6"/>
  <c r="D176" i="6"/>
  <c r="F131" i="6"/>
  <c r="B130" i="6"/>
  <c r="D129" i="6"/>
  <c r="B384" i="6"/>
  <c r="D398" i="6"/>
  <c r="F386" i="6"/>
  <c r="B389" i="6"/>
  <c r="D390" i="6"/>
  <c r="F391" i="6"/>
  <c r="B393" i="6"/>
  <c r="D394" i="6"/>
  <c r="F395" i="6"/>
  <c r="B388" i="6"/>
  <c r="D396" i="6"/>
  <c r="F383" i="6"/>
  <c r="B380" i="6"/>
  <c r="D366" i="6"/>
  <c r="F373" i="6"/>
  <c r="B367" i="6"/>
  <c r="D370" i="6"/>
  <c r="F372" i="6"/>
  <c r="B371" i="6"/>
  <c r="F379" i="6"/>
  <c r="B365" i="6"/>
  <c r="D405" i="6"/>
  <c r="F401" i="6"/>
  <c r="B402" i="6"/>
  <c r="D400" i="6"/>
  <c r="F403" i="6"/>
  <c r="B495" i="6"/>
  <c r="E245" i="6"/>
  <c r="A247" i="6"/>
  <c r="E145" i="6"/>
  <c r="A147" i="6"/>
  <c r="C148" i="6"/>
  <c r="E149" i="6"/>
  <c r="A151" i="6"/>
  <c r="C152" i="6"/>
  <c r="E153" i="6"/>
  <c r="A155" i="6"/>
  <c r="C156" i="6"/>
  <c r="E157" i="6"/>
  <c r="A159" i="6"/>
  <c r="C160" i="6"/>
  <c r="E161" i="6"/>
  <c r="A225" i="6"/>
  <c r="C203" i="6"/>
  <c r="E193" i="6"/>
  <c r="A201" i="6"/>
  <c r="C220" i="6"/>
  <c r="E223" i="6"/>
  <c r="A221" i="6"/>
  <c r="C212" i="6"/>
  <c r="E213" i="6"/>
  <c r="A205" i="6"/>
  <c r="C210" i="6"/>
  <c r="E211" i="6"/>
  <c r="A197" i="6"/>
  <c r="C188" i="6"/>
  <c r="E200" i="6"/>
  <c r="A199" i="6"/>
  <c r="C222" i="6"/>
  <c r="A180" i="6"/>
  <c r="C168" i="6"/>
  <c r="E169" i="6"/>
  <c r="A171" i="6"/>
  <c r="E172" i="6"/>
  <c r="A174" i="6"/>
  <c r="C175" i="6"/>
  <c r="E176" i="6"/>
  <c r="A132" i="6"/>
  <c r="C130" i="6"/>
  <c r="E129" i="6"/>
  <c r="A121" i="6"/>
  <c r="C384" i="6"/>
  <c r="E398" i="6"/>
  <c r="A387" i="6"/>
  <c r="C389" i="6"/>
  <c r="E390" i="6"/>
  <c r="A392" i="6"/>
  <c r="C393" i="6"/>
  <c r="E394" i="6"/>
  <c r="A385" i="6"/>
  <c r="C388" i="6"/>
  <c r="E396" i="6"/>
  <c r="A397" i="6"/>
  <c r="E366" i="6"/>
  <c r="A368" i="6"/>
  <c r="C367" i="6"/>
  <c r="E370" i="6"/>
  <c r="A369" i="6"/>
  <c r="C371" i="6"/>
  <c r="A374" i="6"/>
  <c r="C365" i="6"/>
  <c r="E405" i="6"/>
  <c r="A399" i="6"/>
  <c r="C402" i="6"/>
  <c r="E400" i="6"/>
  <c r="A404" i="6"/>
  <c r="C495" i="6"/>
  <c r="E493" i="6"/>
  <c r="A491" i="6"/>
  <c r="C492" i="6"/>
  <c r="E494" i="6"/>
  <c r="A497" i="6"/>
  <c r="C499" i="6"/>
  <c r="E500" i="6"/>
  <c r="A449" i="6"/>
  <c r="C450" i="6"/>
  <c r="E451" i="6"/>
  <c r="A453" i="6"/>
  <c r="C454" i="6"/>
  <c r="F245" i="6"/>
  <c r="B247" i="6"/>
  <c r="D144" i="6"/>
  <c r="F145" i="6"/>
  <c r="B147" i="6"/>
  <c r="D148" i="6"/>
  <c r="F149" i="6"/>
  <c r="B151" i="6"/>
  <c r="D152" i="6"/>
  <c r="F153" i="6"/>
  <c r="B155" i="6"/>
  <c r="D156" i="6"/>
  <c r="F157" i="6"/>
  <c r="B159" i="6"/>
  <c r="F161" i="6"/>
  <c r="B225" i="6"/>
  <c r="D203" i="6"/>
  <c r="F193" i="6"/>
  <c r="B201" i="6"/>
  <c r="D220" i="6"/>
  <c r="F223" i="6"/>
  <c r="B221" i="6"/>
  <c r="D212" i="6"/>
  <c r="F213" i="6"/>
  <c r="B205" i="6"/>
  <c r="D210" i="6"/>
  <c r="F211" i="6"/>
  <c r="B197" i="6"/>
  <c r="D188" i="6"/>
  <c r="F200" i="6"/>
  <c r="B199" i="6"/>
  <c r="D222" i="6"/>
  <c r="B180" i="6"/>
  <c r="D168" i="6"/>
  <c r="F169" i="6"/>
  <c r="B171" i="6"/>
  <c r="F172" i="6"/>
  <c r="B174" i="6"/>
  <c r="D175" i="6"/>
  <c r="F176" i="6"/>
  <c r="B132" i="6"/>
  <c r="D130" i="6"/>
  <c r="F129" i="6"/>
  <c r="B121" i="6"/>
  <c r="D384" i="6"/>
  <c r="F398" i="6"/>
  <c r="B387" i="6"/>
  <c r="D389" i="6"/>
  <c r="F390" i="6"/>
  <c r="B392" i="6"/>
  <c r="D393" i="6"/>
  <c r="F394" i="6"/>
  <c r="B385" i="6"/>
  <c r="D388" i="6"/>
  <c r="F396" i="6"/>
  <c r="B397" i="6"/>
  <c r="F366" i="6"/>
  <c r="B368" i="6"/>
  <c r="D367" i="6"/>
  <c r="A246" i="6"/>
  <c r="C247" i="6"/>
  <c r="E144" i="6"/>
  <c r="A146" i="6"/>
  <c r="C147" i="6"/>
  <c r="E148" i="6"/>
  <c r="A150" i="6"/>
  <c r="C151" i="6"/>
  <c r="E152" i="6"/>
  <c r="A154" i="6"/>
  <c r="C155" i="6"/>
  <c r="E156" i="6"/>
  <c r="A158" i="6"/>
  <c r="C159" i="6"/>
  <c r="E160" i="6"/>
  <c r="A224" i="6"/>
  <c r="C225" i="6"/>
  <c r="E203" i="6"/>
  <c r="A184" i="6"/>
  <c r="C201" i="6"/>
  <c r="E220" i="6"/>
  <c r="A181" i="6"/>
  <c r="C221" i="6"/>
  <c r="E212" i="6"/>
  <c r="A208" i="6"/>
  <c r="C205" i="6"/>
  <c r="E210" i="6"/>
  <c r="A196" i="6"/>
  <c r="C197" i="6"/>
  <c r="E188" i="6"/>
  <c r="C199" i="6"/>
  <c r="E222" i="6"/>
  <c r="A189" i="6"/>
  <c r="C180" i="6"/>
  <c r="E168" i="6"/>
  <c r="A170" i="6"/>
  <c r="C171" i="6"/>
  <c r="A173" i="6"/>
  <c r="C174" i="6"/>
  <c r="E175" i="6"/>
  <c r="A131" i="6"/>
  <c r="C132" i="6"/>
  <c r="E130" i="6"/>
  <c r="A119" i="6"/>
  <c r="C121" i="6"/>
  <c r="E384" i="6"/>
  <c r="A386" i="6"/>
  <c r="C387" i="6"/>
  <c r="E389" i="6"/>
  <c r="A391" i="6"/>
  <c r="C392" i="6"/>
  <c r="E393" i="6"/>
  <c r="A395" i="6"/>
  <c r="E388" i="6"/>
  <c r="A383" i="6"/>
  <c r="C397" i="6"/>
  <c r="A373" i="6"/>
  <c r="C368" i="6"/>
  <c r="E367" i="6"/>
  <c r="A372" i="6"/>
  <c r="C369" i="6"/>
  <c r="E371" i="6"/>
  <c r="A379" i="6"/>
  <c r="C374" i="6"/>
  <c r="E365" i="6"/>
  <c r="A401" i="6"/>
  <c r="B246" i="6"/>
  <c r="D247" i="6"/>
  <c r="F144" i="6"/>
  <c r="B146" i="6"/>
  <c r="D147" i="6"/>
  <c r="F148" i="6"/>
  <c r="B150" i="6"/>
  <c r="D151" i="6"/>
  <c r="F152" i="6"/>
  <c r="B154" i="6"/>
  <c r="D155" i="6"/>
  <c r="F156" i="6"/>
  <c r="B158" i="6"/>
  <c r="D159" i="6"/>
  <c r="F160" i="6"/>
  <c r="B224" i="6"/>
  <c r="D225" i="6"/>
  <c r="F203" i="6"/>
  <c r="B184" i="6"/>
  <c r="D201" i="6"/>
  <c r="F220" i="6"/>
  <c r="B181" i="6"/>
  <c r="D221" i="6"/>
  <c r="F212" i="6"/>
  <c r="B208" i="6"/>
  <c r="D205" i="6"/>
  <c r="F210" i="6"/>
  <c r="B196" i="6"/>
  <c r="D197" i="6"/>
  <c r="F188" i="6"/>
  <c r="D199" i="6"/>
  <c r="F222" i="6"/>
  <c r="B189" i="6"/>
  <c r="D180" i="6"/>
  <c r="F168" i="6"/>
  <c r="B170" i="6"/>
  <c r="D171" i="6"/>
  <c r="B173" i="6"/>
  <c r="D174" i="6"/>
  <c r="F175" i="6"/>
  <c r="B131" i="6"/>
  <c r="D132" i="6"/>
  <c r="F130" i="6"/>
  <c r="B119" i="6"/>
  <c r="D121" i="6"/>
  <c r="F384" i="6"/>
  <c r="B386" i="6"/>
  <c r="D387" i="6"/>
  <c r="F389" i="6"/>
  <c r="B391" i="6"/>
  <c r="D392" i="6"/>
  <c r="F393" i="6"/>
  <c r="B395" i="6"/>
  <c r="D385" i="6"/>
  <c r="F388" i="6"/>
  <c r="B383" i="6"/>
  <c r="B245" i="6"/>
  <c r="D246" i="6"/>
  <c r="F247" i="6"/>
  <c r="B145" i="6"/>
  <c r="D146" i="6"/>
  <c r="F147" i="6"/>
  <c r="B149" i="6"/>
  <c r="D150" i="6"/>
  <c r="F151" i="6"/>
  <c r="B153" i="6"/>
  <c r="D154" i="6"/>
  <c r="F155" i="6"/>
  <c r="B157" i="6"/>
  <c r="D158" i="6"/>
  <c r="F159" i="6"/>
  <c r="B161" i="6"/>
  <c r="D224" i="6"/>
  <c r="F225" i="6"/>
  <c r="B193" i="6"/>
  <c r="D184" i="6"/>
  <c r="F201" i="6"/>
  <c r="B223" i="6"/>
  <c r="D181" i="6"/>
  <c r="F221" i="6"/>
  <c r="B213" i="6"/>
  <c r="D208" i="6"/>
  <c r="F205" i="6"/>
  <c r="B211" i="6"/>
  <c r="D196" i="6"/>
  <c r="F197" i="6"/>
  <c r="B200" i="6"/>
  <c r="F199" i="6"/>
  <c r="D189" i="6"/>
  <c r="F180" i="6"/>
  <c r="B169" i="6"/>
  <c r="D170" i="6"/>
  <c r="F171" i="6"/>
  <c r="B172" i="6"/>
  <c r="D173" i="6"/>
  <c r="F174" i="6"/>
  <c r="B176" i="6"/>
  <c r="D131" i="6"/>
  <c r="F132" i="6"/>
  <c r="B129" i="6"/>
  <c r="D119" i="6"/>
  <c r="B398" i="6"/>
  <c r="D386" i="6"/>
  <c r="F387" i="6"/>
  <c r="B390" i="6"/>
  <c r="D391" i="6"/>
  <c r="F392" i="6"/>
  <c r="B394" i="6"/>
  <c r="D395" i="6"/>
  <c r="F385" i="6"/>
  <c r="B396" i="6"/>
  <c r="D383" i="6"/>
  <c r="F397" i="6"/>
  <c r="B366" i="6"/>
  <c r="D373" i="6"/>
  <c r="F368" i="6"/>
  <c r="B370" i="6"/>
  <c r="D372" i="6"/>
  <c r="F369" i="6"/>
  <c r="B375" i="6"/>
  <c r="F374" i="6"/>
  <c r="B405" i="6"/>
  <c r="D401" i="6"/>
  <c r="F399" i="6"/>
  <c r="B400" i="6"/>
  <c r="D403" i="6"/>
  <c r="F404" i="6"/>
  <c r="B493" i="6"/>
  <c r="D498" i="6"/>
  <c r="B494" i="6"/>
  <c r="D496" i="6"/>
  <c r="F497" i="6"/>
  <c r="B500" i="6"/>
  <c r="D501" i="6"/>
  <c r="F449" i="6"/>
  <c r="B451" i="6"/>
  <c r="D452" i="6"/>
  <c r="F453" i="6"/>
  <c r="B474" i="6"/>
  <c r="E247" i="6"/>
  <c r="A149" i="6"/>
  <c r="C154" i="6"/>
  <c r="E159" i="6"/>
  <c r="A193" i="6"/>
  <c r="C181" i="6"/>
  <c r="E205" i="6"/>
  <c r="A200" i="6"/>
  <c r="C189" i="6"/>
  <c r="E171" i="6"/>
  <c r="A176" i="6"/>
  <c r="C119" i="6"/>
  <c r="E387" i="6"/>
  <c r="A394" i="6"/>
  <c r="C383" i="6"/>
  <c r="B373" i="6"/>
  <c r="C370" i="6"/>
  <c r="A371" i="6"/>
  <c r="C405" i="6"/>
  <c r="E399" i="6"/>
  <c r="A403" i="6"/>
  <c r="A495" i="6"/>
  <c r="A498" i="6"/>
  <c r="D494" i="6"/>
  <c r="C497" i="6"/>
  <c r="A500" i="6"/>
  <c r="F501" i="6"/>
  <c r="E450" i="6"/>
  <c r="C452" i="6"/>
  <c r="B454" i="6"/>
  <c r="F474" i="6"/>
  <c r="B455" i="6"/>
  <c r="D456" i="6"/>
  <c r="F448" i="6"/>
  <c r="B458" i="6"/>
  <c r="D459" i="6"/>
  <c r="F460" i="6"/>
  <c r="B462" i="6"/>
  <c r="F466" i="6"/>
  <c r="B471" i="6"/>
  <c r="F476" i="6"/>
  <c r="B502" i="6"/>
  <c r="D516" i="6"/>
  <c r="F517" i="6"/>
  <c r="B514" i="6"/>
  <c r="D503" i="6"/>
  <c r="F504" i="6"/>
  <c r="B508" i="6"/>
  <c r="D509" i="6"/>
  <c r="F510" i="6"/>
  <c r="B512" i="6"/>
  <c r="D507" i="6"/>
  <c r="F506" i="6"/>
  <c r="B530" i="6"/>
  <c r="D531" i="6"/>
  <c r="F532" i="6"/>
  <c r="B539" i="6"/>
  <c r="D519" i="6"/>
  <c r="F521" i="6"/>
  <c r="B537" i="6"/>
  <c r="D518" i="6"/>
  <c r="F520" i="6"/>
  <c r="B523" i="6"/>
  <c r="D524" i="6"/>
  <c r="F525" i="6"/>
  <c r="B527" i="6"/>
  <c r="D528" i="6"/>
  <c r="F529" i="6"/>
  <c r="B534" i="6"/>
  <c r="D535" i="6"/>
  <c r="F561" i="6"/>
  <c r="B562" i="6"/>
  <c r="D541" i="6"/>
  <c r="F559" i="6"/>
  <c r="B547" i="6"/>
  <c r="D548" i="6"/>
  <c r="F544" i="6"/>
  <c r="B556" i="6"/>
  <c r="D557" i="6"/>
  <c r="F558" i="6"/>
  <c r="B550" i="6"/>
  <c r="D551" i="6"/>
  <c r="F552" i="6"/>
  <c r="B554" i="6"/>
  <c r="D555" i="6"/>
  <c r="F545" i="6"/>
  <c r="B542" i="6"/>
  <c r="D540" i="6"/>
  <c r="F564" i="6"/>
  <c r="B1181" i="6"/>
  <c r="D1157" i="6"/>
  <c r="F1162" i="6"/>
  <c r="B1159" i="6"/>
  <c r="D1161" i="6"/>
  <c r="F1158" i="6"/>
  <c r="B1174" i="6"/>
  <c r="D1173" i="6"/>
  <c r="F1172" i="6"/>
  <c r="B1165" i="6"/>
  <c r="D1166" i="6"/>
  <c r="F1168" i="6"/>
  <c r="B1156" i="6"/>
  <c r="D1187" i="6"/>
  <c r="F1184" i="6"/>
  <c r="B1185" i="6"/>
  <c r="D1186" i="6"/>
  <c r="F445" i="6"/>
  <c r="B407" i="6"/>
  <c r="D408" i="6"/>
  <c r="F409" i="6"/>
  <c r="B411" i="6"/>
  <c r="D412" i="6"/>
  <c r="F413" i="6"/>
  <c r="B415" i="6"/>
  <c r="D416" i="6"/>
  <c r="F417" i="6"/>
  <c r="B420" i="6"/>
  <c r="D421" i="6"/>
  <c r="F435" i="6"/>
  <c r="B437" i="6"/>
  <c r="D442" i="6"/>
  <c r="F444" i="6"/>
  <c r="B438" i="6"/>
  <c r="D440" i="6"/>
  <c r="F439" i="6"/>
  <c r="B424" i="6"/>
  <c r="D423" i="6"/>
  <c r="F433" i="6"/>
  <c r="B427" i="6"/>
  <c r="D428" i="6"/>
  <c r="F429" i="6"/>
  <c r="B431" i="6"/>
  <c r="A144" i="6"/>
  <c r="C149" i="6"/>
  <c r="E154" i="6"/>
  <c r="A160" i="6"/>
  <c r="C193" i="6"/>
  <c r="E181" i="6"/>
  <c r="A210" i="6"/>
  <c r="C200" i="6"/>
  <c r="E189" i="6"/>
  <c r="C176" i="6"/>
  <c r="E119" i="6"/>
  <c r="A389" i="6"/>
  <c r="C394" i="6"/>
  <c r="E383" i="6"/>
  <c r="C373" i="6"/>
  <c r="F370" i="6"/>
  <c r="D371" i="6"/>
  <c r="B374" i="6"/>
  <c r="F405" i="6"/>
  <c r="A402" i="6"/>
  <c r="B403" i="6"/>
  <c r="D495" i="6"/>
  <c r="B498" i="6"/>
  <c r="A492" i="6"/>
  <c r="F494" i="6"/>
  <c r="D497" i="6"/>
  <c r="C500" i="6"/>
  <c r="B449" i="6"/>
  <c r="F450" i="6"/>
  <c r="E452" i="6"/>
  <c r="D454" i="6"/>
  <c r="A475" i="6"/>
  <c r="C455" i="6"/>
  <c r="E456" i="6"/>
  <c r="A457" i="6"/>
  <c r="C458" i="6"/>
  <c r="E459" i="6"/>
  <c r="A461" i="6"/>
  <c r="C462" i="6"/>
  <c r="A467" i="6"/>
  <c r="C471" i="6"/>
  <c r="A447" i="6"/>
  <c r="C502" i="6"/>
  <c r="E516" i="6"/>
  <c r="A515" i="6"/>
  <c r="C514" i="6"/>
  <c r="E503" i="6"/>
  <c r="A513" i="6"/>
  <c r="C508" i="6"/>
  <c r="E509" i="6"/>
  <c r="A511" i="6"/>
  <c r="C512" i="6"/>
  <c r="E507" i="6"/>
  <c r="A505" i="6"/>
  <c r="C530" i="6"/>
  <c r="E531" i="6"/>
  <c r="A538" i="6"/>
  <c r="C539" i="6"/>
  <c r="E519" i="6"/>
  <c r="A536" i="6"/>
  <c r="C537" i="6"/>
  <c r="E518" i="6"/>
  <c r="A522" i="6"/>
  <c r="C523" i="6"/>
  <c r="E524" i="6"/>
  <c r="A526" i="6"/>
  <c r="C527" i="6"/>
  <c r="E528" i="6"/>
  <c r="A533" i="6"/>
  <c r="C534" i="6"/>
  <c r="E535" i="6"/>
  <c r="A563" i="6"/>
  <c r="C562" i="6"/>
  <c r="E541" i="6"/>
  <c r="A560" i="6"/>
  <c r="C547" i="6"/>
  <c r="E548" i="6"/>
  <c r="A543" i="6"/>
  <c r="C556" i="6"/>
  <c r="E557" i="6"/>
  <c r="A549" i="6"/>
  <c r="C550" i="6"/>
  <c r="E551" i="6"/>
  <c r="A553" i="6"/>
  <c r="C554" i="6"/>
  <c r="E555" i="6"/>
  <c r="A546" i="6"/>
  <c r="C542" i="6"/>
  <c r="E540" i="6"/>
  <c r="A1182" i="6"/>
  <c r="C1181" i="6"/>
  <c r="E1157" i="6"/>
  <c r="A1160" i="6"/>
  <c r="C1159" i="6"/>
  <c r="E1161" i="6"/>
  <c r="A1175" i="6"/>
  <c r="C1174" i="6"/>
  <c r="E1173" i="6"/>
  <c r="A1167" i="6"/>
  <c r="C1165" i="6"/>
  <c r="E1166" i="6"/>
  <c r="A1169" i="6"/>
  <c r="C1156" i="6"/>
  <c r="E1187" i="6"/>
  <c r="A1183" i="6"/>
  <c r="C1185" i="6"/>
  <c r="E1186" i="6"/>
  <c r="A422" i="6"/>
  <c r="C407" i="6"/>
  <c r="E408" i="6"/>
  <c r="A410" i="6"/>
  <c r="C411" i="6"/>
  <c r="E412" i="6"/>
  <c r="A414" i="6"/>
  <c r="C415" i="6"/>
  <c r="E416" i="6"/>
  <c r="A419" i="6"/>
  <c r="C420" i="6"/>
  <c r="E421" i="6"/>
  <c r="A436" i="6"/>
  <c r="C437" i="6"/>
  <c r="E442" i="6"/>
  <c r="A443" i="6"/>
  <c r="C438" i="6"/>
  <c r="E440" i="6"/>
  <c r="A425" i="6"/>
  <c r="C424" i="6"/>
  <c r="E423" i="6"/>
  <c r="A426" i="6"/>
  <c r="C427" i="6"/>
  <c r="A145" i="6"/>
  <c r="C150" i="6"/>
  <c r="E155" i="6"/>
  <c r="A161" i="6"/>
  <c r="C184" i="6"/>
  <c r="E221" i="6"/>
  <c r="A211" i="6"/>
  <c r="E180" i="6"/>
  <c r="A172" i="6"/>
  <c r="C131" i="6"/>
  <c r="E121" i="6"/>
  <c r="A390" i="6"/>
  <c r="C395" i="6"/>
  <c r="D397" i="6"/>
  <c r="E373" i="6"/>
  <c r="B372" i="6"/>
  <c r="F371" i="6"/>
  <c r="B401" i="6"/>
  <c r="D402" i="6"/>
  <c r="C403" i="6"/>
  <c r="E495" i="6"/>
  <c r="C498" i="6"/>
  <c r="B492" i="6"/>
  <c r="A496" i="6"/>
  <c r="E497" i="6"/>
  <c r="D500" i="6"/>
  <c r="C449" i="6"/>
  <c r="A451" i="6"/>
  <c r="F452" i="6"/>
  <c r="E454" i="6"/>
  <c r="B475" i="6"/>
  <c r="D455" i="6"/>
  <c r="F456" i="6"/>
  <c r="B457" i="6"/>
  <c r="D458" i="6"/>
  <c r="F459" i="6"/>
  <c r="B461" i="6"/>
  <c r="D462" i="6"/>
  <c r="F464" i="6"/>
  <c r="B467" i="6"/>
  <c r="F478" i="6"/>
  <c r="B447" i="6"/>
  <c r="D502" i="6"/>
  <c r="F516" i="6"/>
  <c r="B515" i="6"/>
  <c r="D514" i="6"/>
  <c r="F503" i="6"/>
  <c r="B513" i="6"/>
  <c r="F509" i="6"/>
  <c r="B511" i="6"/>
  <c r="D512" i="6"/>
  <c r="F507" i="6"/>
  <c r="B505" i="6"/>
  <c r="D530" i="6"/>
  <c r="F531" i="6"/>
  <c r="B538" i="6"/>
  <c r="D539" i="6"/>
  <c r="F519" i="6"/>
  <c r="B536" i="6"/>
  <c r="D537" i="6"/>
  <c r="F518" i="6"/>
  <c r="B522" i="6"/>
  <c r="D523" i="6"/>
  <c r="F524" i="6"/>
  <c r="B526" i="6"/>
  <c r="D527" i="6"/>
  <c r="F528" i="6"/>
  <c r="B533" i="6"/>
  <c r="D534" i="6"/>
  <c r="F535" i="6"/>
  <c r="B563" i="6"/>
  <c r="D562" i="6"/>
  <c r="F541" i="6"/>
  <c r="B560" i="6"/>
  <c r="D547" i="6"/>
  <c r="F548" i="6"/>
  <c r="B543" i="6"/>
  <c r="D556" i="6"/>
  <c r="F557" i="6"/>
  <c r="B549" i="6"/>
  <c r="D550" i="6"/>
  <c r="F551" i="6"/>
  <c r="B553" i="6"/>
  <c r="D554" i="6"/>
  <c r="F555" i="6"/>
  <c r="B546" i="6"/>
  <c r="D542" i="6"/>
  <c r="F540" i="6"/>
  <c r="B1182" i="6"/>
  <c r="D1181" i="6"/>
  <c r="F1157" i="6"/>
  <c r="B1160" i="6"/>
  <c r="D1159" i="6"/>
  <c r="F1161" i="6"/>
  <c r="B1175" i="6"/>
  <c r="D1174" i="6"/>
  <c r="F1173" i="6"/>
  <c r="B1167" i="6"/>
  <c r="D1165" i="6"/>
  <c r="F1166" i="6"/>
  <c r="B1169" i="6"/>
  <c r="D1156" i="6"/>
  <c r="F1187" i="6"/>
  <c r="B1183" i="6"/>
  <c r="D1185" i="6"/>
  <c r="F1186" i="6"/>
  <c r="B422" i="6"/>
  <c r="D407" i="6"/>
  <c r="F408" i="6"/>
  <c r="B410" i="6"/>
  <c r="D411" i="6"/>
  <c r="F412" i="6"/>
  <c r="B414" i="6"/>
  <c r="D415" i="6"/>
  <c r="F416" i="6"/>
  <c r="B419" i="6"/>
  <c r="D420" i="6"/>
  <c r="F421" i="6"/>
  <c r="B436" i="6"/>
  <c r="D437" i="6"/>
  <c r="F442" i="6"/>
  <c r="B443" i="6"/>
  <c r="D438" i="6"/>
  <c r="F440" i="6"/>
  <c r="B425" i="6"/>
  <c r="D424" i="6"/>
  <c r="F423" i="6"/>
  <c r="B426" i="6"/>
  <c r="D427" i="6"/>
  <c r="F428" i="6"/>
  <c r="B430" i="6"/>
  <c r="D431" i="6"/>
  <c r="F432" i="6"/>
  <c r="B446" i="6"/>
  <c r="D1206" i="6"/>
  <c r="F1207" i="6"/>
  <c r="B1204" i="6"/>
  <c r="D1203" i="6"/>
  <c r="F1202" i="6"/>
  <c r="C145" i="6"/>
  <c r="E150" i="6"/>
  <c r="A156" i="6"/>
  <c r="C161" i="6"/>
  <c r="E184" i="6"/>
  <c r="A212" i="6"/>
  <c r="C211" i="6"/>
  <c r="A168" i="6"/>
  <c r="C172" i="6"/>
  <c r="E131" i="6"/>
  <c r="A384" i="6"/>
  <c r="C390" i="6"/>
  <c r="E395" i="6"/>
  <c r="E397" i="6"/>
  <c r="D368" i="6"/>
  <c r="C372" i="6"/>
  <c r="A375" i="6"/>
  <c r="C401" i="6"/>
  <c r="E402" i="6"/>
  <c r="E403" i="6"/>
  <c r="F495" i="6"/>
  <c r="E498" i="6"/>
  <c r="B496" i="6"/>
  <c r="A499" i="6"/>
  <c r="F500" i="6"/>
  <c r="C451" i="6"/>
  <c r="B453" i="6"/>
  <c r="F454" i="6"/>
  <c r="C475" i="6"/>
  <c r="E455" i="6"/>
  <c r="A448" i="6"/>
  <c r="C457" i="6"/>
  <c r="E458" i="6"/>
  <c r="A460" i="6"/>
  <c r="C461" i="6"/>
  <c r="E462" i="6"/>
  <c r="A466" i="6"/>
  <c r="C467" i="6"/>
  <c r="A476" i="6"/>
  <c r="C447" i="6"/>
  <c r="E502" i="6"/>
  <c r="A517" i="6"/>
  <c r="C515" i="6"/>
  <c r="E514" i="6"/>
  <c r="A504" i="6"/>
  <c r="C513" i="6"/>
  <c r="A510" i="6"/>
  <c r="C511" i="6"/>
  <c r="E512" i="6"/>
  <c r="A506" i="6"/>
  <c r="C505" i="6"/>
  <c r="E530" i="6"/>
  <c r="A532" i="6"/>
  <c r="C538" i="6"/>
  <c r="E539" i="6"/>
  <c r="A521" i="6"/>
  <c r="C536" i="6"/>
  <c r="E537" i="6"/>
  <c r="A520" i="6"/>
  <c r="C522" i="6"/>
  <c r="E523" i="6"/>
  <c r="A525" i="6"/>
  <c r="C526" i="6"/>
  <c r="E527" i="6"/>
  <c r="A529" i="6"/>
  <c r="C533" i="6"/>
  <c r="E534" i="6"/>
  <c r="A561" i="6"/>
  <c r="C563" i="6"/>
  <c r="E562" i="6"/>
  <c r="A559" i="6"/>
  <c r="C560" i="6"/>
  <c r="E547" i="6"/>
  <c r="A544" i="6"/>
  <c r="C543" i="6"/>
  <c r="E556" i="6"/>
  <c r="A558" i="6"/>
  <c r="C549" i="6"/>
  <c r="E550" i="6"/>
  <c r="A552" i="6"/>
  <c r="C553" i="6"/>
  <c r="E554" i="6"/>
  <c r="A545" i="6"/>
  <c r="C546" i="6"/>
  <c r="E542" i="6"/>
  <c r="A564" i="6"/>
  <c r="C1182" i="6"/>
  <c r="E1181" i="6"/>
  <c r="A1162" i="6"/>
  <c r="C1160" i="6"/>
  <c r="E1159" i="6"/>
  <c r="A1158" i="6"/>
  <c r="C1175" i="6"/>
  <c r="E1174" i="6"/>
  <c r="A1172" i="6"/>
  <c r="C1167" i="6"/>
  <c r="E1165" i="6"/>
  <c r="A1168" i="6"/>
  <c r="C1169" i="6"/>
  <c r="E1156" i="6"/>
  <c r="A1184" i="6"/>
  <c r="C1183" i="6"/>
  <c r="E1185" i="6"/>
  <c r="A445" i="6"/>
  <c r="C422" i="6"/>
  <c r="E407" i="6"/>
  <c r="A409" i="6"/>
  <c r="C410" i="6"/>
  <c r="E411" i="6"/>
  <c r="A413" i="6"/>
  <c r="C414" i="6"/>
  <c r="E415" i="6"/>
  <c r="A417" i="6"/>
  <c r="C419" i="6"/>
  <c r="E420" i="6"/>
  <c r="A435" i="6"/>
  <c r="C436" i="6"/>
  <c r="E437" i="6"/>
  <c r="A444" i="6"/>
  <c r="C443" i="6"/>
  <c r="E438" i="6"/>
  <c r="A439" i="6"/>
  <c r="C425" i="6"/>
  <c r="E424" i="6"/>
  <c r="A433" i="6"/>
  <c r="C426" i="6"/>
  <c r="E427" i="6"/>
  <c r="A429" i="6"/>
  <c r="C430" i="6"/>
  <c r="E431" i="6"/>
  <c r="A406" i="6"/>
  <c r="C446" i="6"/>
  <c r="E1206" i="6"/>
  <c r="A1208" i="6"/>
  <c r="C1204" i="6"/>
  <c r="E1203" i="6"/>
  <c r="A1205" i="6"/>
  <c r="C1201" i="6"/>
  <c r="E1200" i="6"/>
  <c r="A1189" i="6"/>
  <c r="C1191" i="6"/>
  <c r="E1192" i="6"/>
  <c r="A1194" i="6"/>
  <c r="A245" i="6"/>
  <c r="C146" i="6"/>
  <c r="E151" i="6"/>
  <c r="A157" i="6"/>
  <c r="C224" i="6"/>
  <c r="E201" i="6"/>
  <c r="A213" i="6"/>
  <c r="C196" i="6"/>
  <c r="E199" i="6"/>
  <c r="A169" i="6"/>
  <c r="C173" i="6"/>
  <c r="E132" i="6"/>
  <c r="A398" i="6"/>
  <c r="C391" i="6"/>
  <c r="E385" i="6"/>
  <c r="A380" i="6"/>
  <c r="E368" i="6"/>
  <c r="E372" i="6"/>
  <c r="C375" i="6"/>
  <c r="A365" i="6"/>
  <c r="E401" i="6"/>
  <c r="F402" i="6"/>
  <c r="B404" i="6"/>
  <c r="A493" i="6"/>
  <c r="F498" i="6"/>
  <c r="C496" i="6"/>
  <c r="B499" i="6"/>
  <c r="A501" i="6"/>
  <c r="D451" i="6"/>
  <c r="C453" i="6"/>
  <c r="A474" i="6"/>
  <c r="D475" i="6"/>
  <c r="F455" i="6"/>
  <c r="B448" i="6"/>
  <c r="F458" i="6"/>
  <c r="B460" i="6"/>
  <c r="F462" i="6"/>
  <c r="B466" i="6"/>
  <c r="F471" i="6"/>
  <c r="B476" i="6"/>
  <c r="D447" i="6"/>
  <c r="F502" i="6"/>
  <c r="B517" i="6"/>
  <c r="D515" i="6"/>
  <c r="F514" i="6"/>
  <c r="B504" i="6"/>
  <c r="D513" i="6"/>
  <c r="F508" i="6"/>
  <c r="B510" i="6"/>
  <c r="D511" i="6"/>
  <c r="F512" i="6"/>
  <c r="B506" i="6"/>
  <c r="D505" i="6"/>
  <c r="F530" i="6"/>
  <c r="B532" i="6"/>
  <c r="D538" i="6"/>
  <c r="F539" i="6"/>
  <c r="B521" i="6"/>
  <c r="D536" i="6"/>
  <c r="F537" i="6"/>
  <c r="B520" i="6"/>
  <c r="D522" i="6"/>
  <c r="F523" i="6"/>
  <c r="B525" i="6"/>
  <c r="D526" i="6"/>
  <c r="F527" i="6"/>
  <c r="B529" i="6"/>
  <c r="D533" i="6"/>
  <c r="F534" i="6"/>
  <c r="B561" i="6"/>
  <c r="D563" i="6"/>
  <c r="F562" i="6"/>
  <c r="B559" i="6"/>
  <c r="D560" i="6"/>
  <c r="F547" i="6"/>
  <c r="B544" i="6"/>
  <c r="D543" i="6"/>
  <c r="F556" i="6"/>
  <c r="B558" i="6"/>
  <c r="D549" i="6"/>
  <c r="F550" i="6"/>
  <c r="B552" i="6"/>
  <c r="D553" i="6"/>
  <c r="F554" i="6"/>
  <c r="B545" i="6"/>
  <c r="D546" i="6"/>
  <c r="F542" i="6"/>
  <c r="B564" i="6"/>
  <c r="D1182" i="6"/>
  <c r="F1181" i="6"/>
  <c r="B1162" i="6"/>
  <c r="D1160" i="6"/>
  <c r="F1159" i="6"/>
  <c r="B1158" i="6"/>
  <c r="D1175" i="6"/>
  <c r="F1174" i="6"/>
  <c r="B1172" i="6"/>
  <c r="D1167" i="6"/>
  <c r="F1165" i="6"/>
  <c r="B1168" i="6"/>
  <c r="D1169" i="6"/>
  <c r="F1156" i="6"/>
  <c r="B1184" i="6"/>
  <c r="D1183" i="6"/>
  <c r="F1185" i="6"/>
  <c r="B445" i="6"/>
  <c r="D422" i="6"/>
  <c r="F407" i="6"/>
  <c r="B409" i="6"/>
  <c r="D410" i="6"/>
  <c r="F411" i="6"/>
  <c r="B413" i="6"/>
  <c r="D414" i="6"/>
  <c r="F415" i="6"/>
  <c r="B417" i="6"/>
  <c r="D419" i="6"/>
  <c r="F420" i="6"/>
  <c r="B435" i="6"/>
  <c r="D436" i="6"/>
  <c r="F437" i="6"/>
  <c r="C245" i="6"/>
  <c r="E146" i="6"/>
  <c r="A152" i="6"/>
  <c r="C157" i="6"/>
  <c r="E224" i="6"/>
  <c r="A220" i="6"/>
  <c r="C213" i="6"/>
  <c r="E196" i="6"/>
  <c r="A222" i="6"/>
  <c r="C169" i="6"/>
  <c r="E173" i="6"/>
  <c r="A130" i="6"/>
  <c r="C398" i="6"/>
  <c r="E391" i="6"/>
  <c r="A388" i="6"/>
  <c r="F380" i="6"/>
  <c r="A367" i="6"/>
  <c r="B369" i="6"/>
  <c r="F375" i="6"/>
  <c r="D365" i="6"/>
  <c r="B399" i="6"/>
  <c r="A400" i="6"/>
  <c r="C404" i="6"/>
  <c r="C493" i="6"/>
  <c r="B491" i="6"/>
  <c r="F492" i="6"/>
  <c r="E496" i="6"/>
  <c r="D499" i="6"/>
  <c r="B501" i="6"/>
  <c r="A450" i="6"/>
  <c r="F451" i="6"/>
  <c r="D453" i="6"/>
  <c r="E475" i="6"/>
  <c r="A456" i="6"/>
  <c r="C448" i="6"/>
  <c r="A459" i="6"/>
  <c r="C460" i="6"/>
  <c r="A464" i="6"/>
  <c r="C466" i="6"/>
  <c r="A478" i="6"/>
  <c r="C476" i="6"/>
  <c r="E447" i="6"/>
  <c r="A516" i="6"/>
  <c r="C517" i="6"/>
  <c r="E515" i="6"/>
  <c r="A503" i="6"/>
  <c r="C504" i="6"/>
  <c r="E513" i="6"/>
  <c r="A509" i="6"/>
  <c r="C510" i="6"/>
  <c r="E511" i="6"/>
  <c r="A507" i="6"/>
  <c r="C506" i="6"/>
  <c r="E505" i="6"/>
  <c r="A531" i="6"/>
  <c r="C532" i="6"/>
  <c r="E538" i="6"/>
  <c r="A519" i="6"/>
  <c r="C521" i="6"/>
  <c r="E536" i="6"/>
  <c r="A518" i="6"/>
  <c r="C520" i="6"/>
  <c r="E522" i="6"/>
  <c r="A524" i="6"/>
  <c r="C525" i="6"/>
  <c r="E526" i="6"/>
  <c r="A528" i="6"/>
  <c r="C529" i="6"/>
  <c r="E533" i="6"/>
  <c r="A535" i="6"/>
  <c r="C561" i="6"/>
  <c r="E563" i="6"/>
  <c r="A541" i="6"/>
  <c r="C559" i="6"/>
  <c r="E560" i="6"/>
  <c r="A548" i="6"/>
  <c r="C544" i="6"/>
  <c r="E543" i="6"/>
  <c r="A557" i="6"/>
  <c r="C558" i="6"/>
  <c r="E549" i="6"/>
  <c r="A551" i="6"/>
  <c r="C552" i="6"/>
  <c r="E553" i="6"/>
  <c r="A555" i="6"/>
  <c r="C545" i="6"/>
  <c r="E546" i="6"/>
  <c r="A540" i="6"/>
  <c r="C564" i="6"/>
  <c r="E1182" i="6"/>
  <c r="A1157" i="6"/>
  <c r="C1162" i="6"/>
  <c r="E1160" i="6"/>
  <c r="A1161" i="6"/>
  <c r="C1158" i="6"/>
  <c r="E1175" i="6"/>
  <c r="A1173" i="6"/>
  <c r="C1172" i="6"/>
  <c r="E1167" i="6"/>
  <c r="A1166" i="6"/>
  <c r="C1168" i="6"/>
  <c r="E1169" i="6"/>
  <c r="A1187" i="6"/>
  <c r="C1184" i="6"/>
  <c r="E1183" i="6"/>
  <c r="A1186" i="6"/>
  <c r="C445" i="6"/>
  <c r="E422" i="6"/>
  <c r="A408" i="6"/>
  <c r="C409" i="6"/>
  <c r="E410" i="6"/>
  <c r="A412" i="6"/>
  <c r="C413" i="6"/>
  <c r="E414" i="6"/>
  <c r="A416" i="6"/>
  <c r="C417" i="6"/>
  <c r="E419" i="6"/>
  <c r="A421" i="6"/>
  <c r="C435" i="6"/>
  <c r="E436" i="6"/>
  <c r="A442" i="6"/>
  <c r="C444" i="6"/>
  <c r="E443" i="6"/>
  <c r="A440" i="6"/>
  <c r="C439" i="6"/>
  <c r="E425" i="6"/>
  <c r="A423" i="6"/>
  <c r="C433" i="6"/>
  <c r="E426" i="6"/>
  <c r="A428" i="6"/>
  <c r="C429" i="6"/>
  <c r="E430" i="6"/>
  <c r="A432" i="6"/>
  <c r="C406" i="6"/>
  <c r="E446" i="6"/>
  <c r="A1207" i="6"/>
  <c r="C1208" i="6"/>
  <c r="E1204" i="6"/>
  <c r="A1202" i="6"/>
  <c r="C1205" i="6"/>
  <c r="E1201" i="6"/>
  <c r="A1190" i="6"/>
  <c r="C1189" i="6"/>
  <c r="E1191" i="6"/>
  <c r="A1198" i="6"/>
  <c r="C1194" i="6"/>
  <c r="C246" i="6"/>
  <c r="E225" i="6"/>
  <c r="C386" i="6"/>
  <c r="F367" i="6"/>
  <c r="C399" i="6"/>
  <c r="C491" i="6"/>
  <c r="C501" i="6"/>
  <c r="D474" i="6"/>
  <c r="F457" i="6"/>
  <c r="B464" i="6"/>
  <c r="D476" i="6"/>
  <c r="F515" i="6"/>
  <c r="B509" i="6"/>
  <c r="D506" i="6"/>
  <c r="F538" i="6"/>
  <c r="B518" i="6"/>
  <c r="D525" i="6"/>
  <c r="F533" i="6"/>
  <c r="B541" i="6"/>
  <c r="F549" i="6"/>
  <c r="B555" i="6"/>
  <c r="D564" i="6"/>
  <c r="F1160" i="6"/>
  <c r="B1173" i="6"/>
  <c r="D1168" i="6"/>
  <c r="F1183" i="6"/>
  <c r="B408" i="6"/>
  <c r="D413" i="6"/>
  <c r="F419" i="6"/>
  <c r="B442" i="6"/>
  <c r="F438" i="6"/>
  <c r="A424" i="6"/>
  <c r="F426" i="6"/>
  <c r="E429" i="6"/>
  <c r="C432" i="6"/>
  <c r="D446" i="6"/>
  <c r="D1207" i="6"/>
  <c r="F1204" i="6"/>
  <c r="E1202" i="6"/>
  <c r="F1201" i="6"/>
  <c r="D1190" i="6"/>
  <c r="B1191" i="6"/>
  <c r="B1198" i="6"/>
  <c r="F1194" i="6"/>
  <c r="B1199" i="6"/>
  <c r="D1197" i="6"/>
  <c r="F1195" i="6"/>
  <c r="B1188" i="6"/>
  <c r="D349" i="6"/>
  <c r="F348" i="6"/>
  <c r="B350" i="6"/>
  <c r="D352" i="6"/>
  <c r="F353" i="6"/>
  <c r="B355" i="6"/>
  <c r="D356" i="6"/>
  <c r="F357" i="6"/>
  <c r="B310" i="6"/>
  <c r="D312" i="6"/>
  <c r="F313" i="6"/>
  <c r="B316" i="6"/>
  <c r="D315" i="6"/>
  <c r="F317" i="6"/>
  <c r="B319" i="6"/>
  <c r="F321" i="6"/>
  <c r="B336" i="6"/>
  <c r="D337" i="6"/>
  <c r="F343" i="6"/>
  <c r="B323" i="6"/>
  <c r="D324" i="6"/>
  <c r="F325" i="6"/>
  <c r="B327" i="6"/>
  <c r="D328" i="6"/>
  <c r="F329" i="6"/>
  <c r="B331" i="6"/>
  <c r="D332" i="6"/>
  <c r="F333" i="6"/>
  <c r="B338" i="6"/>
  <c r="D339" i="6"/>
  <c r="F340" i="6"/>
  <c r="B342" i="6"/>
  <c r="D344" i="6"/>
  <c r="F345" i="6"/>
  <c r="B347" i="6"/>
  <c r="D298" i="6"/>
  <c r="F301" i="6"/>
  <c r="B303" i="6"/>
  <c r="D304" i="6"/>
  <c r="F305" i="6"/>
  <c r="B307" i="6"/>
  <c r="D308" i="6"/>
  <c r="F309" i="6"/>
  <c r="B300" i="6"/>
  <c r="F250" i="6"/>
  <c r="B252" i="6"/>
  <c r="D253" i="6"/>
  <c r="F254" i="6"/>
  <c r="B256" i="6"/>
  <c r="D257" i="6"/>
  <c r="F258" i="6"/>
  <c r="B260" i="6"/>
  <c r="D261" i="6"/>
  <c r="F262" i="6"/>
  <c r="B264" i="6"/>
  <c r="D265" i="6"/>
  <c r="F266" i="6"/>
  <c r="B268" i="6"/>
  <c r="D269" i="6"/>
  <c r="F270" i="6"/>
  <c r="B272" i="6"/>
  <c r="D273" i="6"/>
  <c r="F274" i="6"/>
  <c r="B276" i="6"/>
  <c r="D277" i="6"/>
  <c r="F278" i="6"/>
  <c r="B280" i="6"/>
  <c r="D281" i="6"/>
  <c r="F282" i="6"/>
  <c r="B288" i="6"/>
  <c r="D289" i="6"/>
  <c r="F290" i="6"/>
  <c r="B292" i="6"/>
  <c r="D293" i="6"/>
  <c r="F294" i="6"/>
  <c r="B296" i="6"/>
  <c r="D297" i="6"/>
  <c r="F284" i="6"/>
  <c r="B286" i="6"/>
  <c r="D287" i="6"/>
  <c r="F248" i="6"/>
  <c r="B362" i="6"/>
  <c r="D358" i="6"/>
  <c r="F360" i="6"/>
  <c r="B363" i="6"/>
  <c r="D364" i="6"/>
  <c r="F241" i="6"/>
  <c r="B243" i="6"/>
  <c r="D242" i="6"/>
  <c r="F133" i="6"/>
  <c r="B135" i="6"/>
  <c r="D140" i="6"/>
  <c r="F1327" i="6"/>
  <c r="B1329" i="6"/>
  <c r="D1300" i="6"/>
  <c r="F1292" i="6"/>
  <c r="B1290" i="6"/>
  <c r="D1289" i="6"/>
  <c r="F1252" i="6"/>
  <c r="B1254" i="6"/>
  <c r="D1255" i="6"/>
  <c r="F1256" i="6"/>
  <c r="B1155" i="6"/>
  <c r="D1153" i="6"/>
  <c r="F1154" i="6"/>
  <c r="B1164" i="6"/>
  <c r="D418" i="6"/>
  <c r="F187" i="6"/>
  <c r="B209" i="6"/>
  <c r="D185" i="6"/>
  <c r="B206" i="6"/>
  <c r="E246" i="6"/>
  <c r="A203" i="6"/>
  <c r="E386" i="6"/>
  <c r="A370" i="6"/>
  <c r="D399" i="6"/>
  <c r="E501" i="6"/>
  <c r="E474" i="6"/>
  <c r="A458" i="6"/>
  <c r="C464" i="6"/>
  <c r="E476" i="6"/>
  <c r="A514" i="6"/>
  <c r="C509" i="6"/>
  <c r="E506" i="6"/>
  <c r="A539" i="6"/>
  <c r="C518" i="6"/>
  <c r="E525" i="6"/>
  <c r="A534" i="6"/>
  <c r="C541" i="6"/>
  <c r="A550" i="6"/>
  <c r="C555" i="6"/>
  <c r="E564" i="6"/>
  <c r="A1159" i="6"/>
  <c r="C1173" i="6"/>
  <c r="E1168" i="6"/>
  <c r="A1185" i="6"/>
  <c r="C408" i="6"/>
  <c r="E413" i="6"/>
  <c r="A420" i="6"/>
  <c r="C442" i="6"/>
  <c r="B440" i="6"/>
  <c r="F424" i="6"/>
  <c r="A427" i="6"/>
  <c r="A430" i="6"/>
  <c r="D432" i="6"/>
  <c r="F446" i="6"/>
  <c r="E1207" i="6"/>
  <c r="A1203" i="6"/>
  <c r="B1205" i="6"/>
  <c r="A1200" i="6"/>
  <c r="E1190" i="6"/>
  <c r="D1191" i="6"/>
  <c r="C1198" i="6"/>
  <c r="A1196" i="6"/>
  <c r="C1199" i="6"/>
  <c r="E1197" i="6"/>
  <c r="A1193" i="6"/>
  <c r="C1188" i="6"/>
  <c r="E349" i="6"/>
  <c r="A351" i="6"/>
  <c r="C350" i="6"/>
  <c r="E352" i="6"/>
  <c r="A354" i="6"/>
  <c r="C355" i="6"/>
  <c r="E356" i="6"/>
  <c r="A311" i="6"/>
  <c r="C310" i="6"/>
  <c r="E312" i="6"/>
  <c r="A314" i="6"/>
  <c r="C316" i="6"/>
  <c r="E315" i="6"/>
  <c r="A318" i="6"/>
  <c r="C319" i="6"/>
  <c r="E320" i="6"/>
  <c r="A335" i="6"/>
  <c r="C336" i="6"/>
  <c r="E337" i="6"/>
  <c r="A322" i="6"/>
  <c r="C323" i="6"/>
  <c r="E324" i="6"/>
  <c r="A326" i="6"/>
  <c r="C327" i="6"/>
  <c r="E328" i="6"/>
  <c r="A330" i="6"/>
  <c r="C331" i="6"/>
  <c r="E332" i="6"/>
  <c r="A334" i="6"/>
  <c r="C338" i="6"/>
  <c r="E339" i="6"/>
  <c r="A341" i="6"/>
  <c r="C342" i="6"/>
  <c r="E344" i="6"/>
  <c r="A346" i="6"/>
  <c r="C347" i="6"/>
  <c r="E298" i="6"/>
  <c r="A302" i="6"/>
  <c r="C303" i="6"/>
  <c r="E304" i="6"/>
  <c r="A306" i="6"/>
  <c r="C307" i="6"/>
  <c r="E308" i="6"/>
  <c r="A299" i="6"/>
  <c r="C300" i="6"/>
  <c r="A251" i="6"/>
  <c r="C252" i="6"/>
  <c r="E253" i="6"/>
  <c r="A255" i="6"/>
  <c r="C256" i="6"/>
  <c r="E257" i="6"/>
  <c r="A259" i="6"/>
  <c r="C260" i="6"/>
  <c r="E261" i="6"/>
  <c r="A263" i="6"/>
  <c r="C264" i="6"/>
  <c r="E265" i="6"/>
  <c r="A267" i="6"/>
  <c r="C268" i="6"/>
  <c r="E269" i="6"/>
  <c r="A271" i="6"/>
  <c r="C272" i="6"/>
  <c r="E273" i="6"/>
  <c r="A275" i="6"/>
  <c r="C276" i="6"/>
  <c r="E277" i="6"/>
  <c r="A279" i="6"/>
  <c r="C280" i="6"/>
  <c r="E281" i="6"/>
  <c r="A283" i="6"/>
  <c r="C288" i="6"/>
  <c r="E289" i="6"/>
  <c r="A291" i="6"/>
  <c r="C292" i="6"/>
  <c r="E293" i="6"/>
  <c r="A295" i="6"/>
  <c r="C296" i="6"/>
  <c r="E297" i="6"/>
  <c r="A285" i="6"/>
  <c r="C286" i="6"/>
  <c r="E287" i="6"/>
  <c r="A361" i="6"/>
  <c r="C362" i="6"/>
  <c r="E358" i="6"/>
  <c r="A359" i="6"/>
  <c r="C363" i="6"/>
  <c r="E364" i="6"/>
  <c r="A240" i="6"/>
  <c r="C243" i="6"/>
  <c r="E242" i="6"/>
  <c r="A138" i="6"/>
  <c r="C135" i="6"/>
  <c r="E140" i="6"/>
  <c r="A1328" i="6"/>
  <c r="C1329" i="6"/>
  <c r="E1300" i="6"/>
  <c r="A1291" i="6"/>
  <c r="C1290" i="6"/>
  <c r="E1289" i="6"/>
  <c r="A1253" i="6"/>
  <c r="C1254" i="6"/>
  <c r="E1255" i="6"/>
  <c r="A1257" i="6"/>
  <c r="C1155" i="6"/>
  <c r="E1153" i="6"/>
  <c r="A162" i="6"/>
  <c r="C1164" i="6"/>
  <c r="E418" i="6"/>
  <c r="A177" i="6"/>
  <c r="C209" i="6"/>
  <c r="E185" i="6"/>
  <c r="A186" i="6"/>
  <c r="E147" i="6"/>
  <c r="A223" i="6"/>
  <c r="C170" i="6"/>
  <c r="E392" i="6"/>
  <c r="D369" i="6"/>
  <c r="C400" i="6"/>
  <c r="A494" i="6"/>
  <c r="B450" i="6"/>
  <c r="F475" i="6"/>
  <c r="B459" i="6"/>
  <c r="F447" i="6"/>
  <c r="B503" i="6"/>
  <c r="D510" i="6"/>
  <c r="F505" i="6"/>
  <c r="B519" i="6"/>
  <c r="D520" i="6"/>
  <c r="F526" i="6"/>
  <c r="B535" i="6"/>
  <c r="D559" i="6"/>
  <c r="F543" i="6"/>
  <c r="B551" i="6"/>
  <c r="D545" i="6"/>
  <c r="F1182" i="6"/>
  <c r="B1161" i="6"/>
  <c r="D1172" i="6"/>
  <c r="F1169" i="6"/>
  <c r="B1186" i="6"/>
  <c r="D409" i="6"/>
  <c r="F414" i="6"/>
  <c r="B421" i="6"/>
  <c r="B444" i="6"/>
  <c r="C440" i="6"/>
  <c r="B423" i="6"/>
  <c r="F427" i="6"/>
  <c r="D430" i="6"/>
  <c r="E432" i="6"/>
  <c r="A1206" i="6"/>
  <c r="B1208" i="6"/>
  <c r="B1203" i="6"/>
  <c r="D1205" i="6"/>
  <c r="B1200" i="6"/>
  <c r="F1190" i="6"/>
  <c r="F1191" i="6"/>
  <c r="D1198" i="6"/>
  <c r="B1196" i="6"/>
  <c r="D1199" i="6"/>
  <c r="F1197" i="6"/>
  <c r="B1193" i="6"/>
  <c r="D1188" i="6"/>
  <c r="F349" i="6"/>
  <c r="B351" i="6"/>
  <c r="D350" i="6"/>
  <c r="F352" i="6"/>
  <c r="B354" i="6"/>
  <c r="D355" i="6"/>
  <c r="F356" i="6"/>
  <c r="B311" i="6"/>
  <c r="D310" i="6"/>
  <c r="F312" i="6"/>
  <c r="B314" i="6"/>
  <c r="D316" i="6"/>
  <c r="F315" i="6"/>
  <c r="B318" i="6"/>
  <c r="D319" i="6"/>
  <c r="F320" i="6"/>
  <c r="B335" i="6"/>
  <c r="D336" i="6"/>
  <c r="F337" i="6"/>
  <c r="B322" i="6"/>
  <c r="D323" i="6"/>
  <c r="F324" i="6"/>
  <c r="B326" i="6"/>
  <c r="D327" i="6"/>
  <c r="F328" i="6"/>
  <c r="B330" i="6"/>
  <c r="D331" i="6"/>
  <c r="F332" i="6"/>
  <c r="B334" i="6"/>
  <c r="D338" i="6"/>
  <c r="F339" i="6"/>
  <c r="B341" i="6"/>
  <c r="D342" i="6"/>
  <c r="F344" i="6"/>
  <c r="B346" i="6"/>
  <c r="D347" i="6"/>
  <c r="F298" i="6"/>
  <c r="B302" i="6"/>
  <c r="D303" i="6"/>
  <c r="F304" i="6"/>
  <c r="B306" i="6"/>
  <c r="D307" i="6"/>
  <c r="F308" i="6"/>
  <c r="B299" i="6"/>
  <c r="D300" i="6"/>
  <c r="F249" i="6"/>
  <c r="B251" i="6"/>
  <c r="F253" i="6"/>
  <c r="B255" i="6"/>
  <c r="D256" i="6"/>
  <c r="F257" i="6"/>
  <c r="B259" i="6"/>
  <c r="D260" i="6"/>
  <c r="F261" i="6"/>
  <c r="B263" i="6"/>
  <c r="D264" i="6"/>
  <c r="F265" i="6"/>
  <c r="B267" i="6"/>
  <c r="D268" i="6"/>
  <c r="F269" i="6"/>
  <c r="B271" i="6"/>
  <c r="D272" i="6"/>
  <c r="F273" i="6"/>
  <c r="B275" i="6"/>
  <c r="D276" i="6"/>
  <c r="F277" i="6"/>
  <c r="B279" i="6"/>
  <c r="D280" i="6"/>
  <c r="F281" i="6"/>
  <c r="B283" i="6"/>
  <c r="D288" i="6"/>
  <c r="F289" i="6"/>
  <c r="B291" i="6"/>
  <c r="D292" i="6"/>
  <c r="F293" i="6"/>
  <c r="B295" i="6"/>
  <c r="D296" i="6"/>
  <c r="F297" i="6"/>
  <c r="B285" i="6"/>
  <c r="D286" i="6"/>
  <c r="F287" i="6"/>
  <c r="B361" i="6"/>
  <c r="D362" i="6"/>
  <c r="F358" i="6"/>
  <c r="B359" i="6"/>
  <c r="D363" i="6"/>
  <c r="F364" i="6"/>
  <c r="B240" i="6"/>
  <c r="D243" i="6"/>
  <c r="F242" i="6"/>
  <c r="B138" i="6"/>
  <c r="D135" i="6"/>
  <c r="F140" i="6"/>
  <c r="B1328" i="6"/>
  <c r="D1329" i="6"/>
  <c r="F1300" i="6"/>
  <c r="B1291" i="6"/>
  <c r="D1290" i="6"/>
  <c r="F1289" i="6"/>
  <c r="B1253" i="6"/>
  <c r="D1254" i="6"/>
  <c r="F1255" i="6"/>
  <c r="B1257" i="6"/>
  <c r="D1155" i="6"/>
  <c r="F1153" i="6"/>
  <c r="B162" i="6"/>
  <c r="D1164" i="6"/>
  <c r="F418" i="6"/>
  <c r="B177" i="6"/>
  <c r="A148" i="6"/>
  <c r="C223" i="6"/>
  <c r="E170" i="6"/>
  <c r="A393" i="6"/>
  <c r="E369" i="6"/>
  <c r="F400" i="6"/>
  <c r="C494" i="6"/>
  <c r="D450" i="6"/>
  <c r="A455" i="6"/>
  <c r="C459" i="6"/>
  <c r="A502" i="6"/>
  <c r="C503" i="6"/>
  <c r="E510" i="6"/>
  <c r="A530" i="6"/>
  <c r="C519" i="6"/>
  <c r="E520" i="6"/>
  <c r="A527" i="6"/>
  <c r="C535" i="6"/>
  <c r="E559" i="6"/>
  <c r="A556" i="6"/>
  <c r="C551" i="6"/>
  <c r="E545" i="6"/>
  <c r="A1181" i="6"/>
  <c r="C1161" i="6"/>
  <c r="E1172" i="6"/>
  <c r="A1156" i="6"/>
  <c r="C1186" i="6"/>
  <c r="E409" i="6"/>
  <c r="A415" i="6"/>
  <c r="C421" i="6"/>
  <c r="D444" i="6"/>
  <c r="B439" i="6"/>
  <c r="C423" i="6"/>
  <c r="B428" i="6"/>
  <c r="F430" i="6"/>
  <c r="B406" i="6"/>
  <c r="B1206" i="6"/>
  <c r="D1208" i="6"/>
  <c r="C1203" i="6"/>
  <c r="E1205" i="6"/>
  <c r="C1200" i="6"/>
  <c r="B1189" i="6"/>
  <c r="A1192" i="6"/>
  <c r="E1198" i="6"/>
  <c r="C1196" i="6"/>
  <c r="E1199" i="6"/>
  <c r="A1195" i="6"/>
  <c r="C1193" i="6"/>
  <c r="E1188" i="6"/>
  <c r="A348" i="6"/>
  <c r="C351" i="6"/>
  <c r="E350" i="6"/>
  <c r="A353" i="6"/>
  <c r="C354" i="6"/>
  <c r="E355" i="6"/>
  <c r="A357" i="6"/>
  <c r="C311" i="6"/>
  <c r="E310" i="6"/>
  <c r="A313" i="6"/>
  <c r="C314" i="6"/>
  <c r="E316" i="6"/>
  <c r="A317" i="6"/>
  <c r="C318" i="6"/>
  <c r="E319" i="6"/>
  <c r="A321" i="6"/>
  <c r="C335" i="6"/>
  <c r="E336" i="6"/>
  <c r="A343" i="6"/>
  <c r="C322" i="6"/>
  <c r="E323" i="6"/>
  <c r="A325" i="6"/>
  <c r="C326" i="6"/>
  <c r="E327" i="6"/>
  <c r="A329" i="6"/>
  <c r="C330" i="6"/>
  <c r="E331" i="6"/>
  <c r="A333" i="6"/>
  <c r="C334" i="6"/>
  <c r="E338" i="6"/>
  <c r="A340" i="6"/>
  <c r="C341" i="6"/>
  <c r="E342" i="6"/>
  <c r="A345" i="6"/>
  <c r="C346" i="6"/>
  <c r="E347" i="6"/>
  <c r="A301" i="6"/>
  <c r="C302" i="6"/>
  <c r="E303" i="6"/>
  <c r="A305" i="6"/>
  <c r="C306" i="6"/>
  <c r="E307" i="6"/>
  <c r="A309" i="6"/>
  <c r="C299" i="6"/>
  <c r="E300" i="6"/>
  <c r="A250" i="6"/>
  <c r="C251" i="6"/>
  <c r="A254" i="6"/>
  <c r="C255" i="6"/>
  <c r="E256" i="6"/>
  <c r="A258" i="6"/>
  <c r="C259" i="6"/>
  <c r="E260" i="6"/>
  <c r="A262" i="6"/>
  <c r="C263" i="6"/>
  <c r="E264" i="6"/>
  <c r="A266" i="6"/>
  <c r="C267" i="6"/>
  <c r="E268" i="6"/>
  <c r="A270" i="6"/>
  <c r="C271" i="6"/>
  <c r="E272" i="6"/>
  <c r="A274" i="6"/>
  <c r="C275" i="6"/>
  <c r="E276" i="6"/>
  <c r="A278" i="6"/>
  <c r="C279" i="6"/>
  <c r="E280" i="6"/>
  <c r="A282" i="6"/>
  <c r="C283" i="6"/>
  <c r="E288" i="6"/>
  <c r="A290" i="6"/>
  <c r="C291" i="6"/>
  <c r="E292" i="6"/>
  <c r="A294" i="6"/>
  <c r="C295" i="6"/>
  <c r="E296" i="6"/>
  <c r="A284" i="6"/>
  <c r="C285" i="6"/>
  <c r="E286" i="6"/>
  <c r="A248" i="6"/>
  <c r="C361" i="6"/>
  <c r="E362" i="6"/>
  <c r="A360" i="6"/>
  <c r="C359" i="6"/>
  <c r="E363" i="6"/>
  <c r="A241" i="6"/>
  <c r="C240" i="6"/>
  <c r="E243" i="6"/>
  <c r="A133" i="6"/>
  <c r="C138" i="6"/>
  <c r="E135" i="6"/>
  <c r="A1327" i="6"/>
  <c r="C1328" i="6"/>
  <c r="E1329" i="6"/>
  <c r="A1292" i="6"/>
  <c r="C1291" i="6"/>
  <c r="E1290" i="6"/>
  <c r="A1252" i="6"/>
  <c r="C1253" i="6"/>
  <c r="E1254" i="6"/>
  <c r="A1256" i="6"/>
  <c r="C1257" i="6"/>
  <c r="E1155" i="6"/>
  <c r="A1154" i="6"/>
  <c r="C162" i="6"/>
  <c r="A153" i="6"/>
  <c r="C208" i="6"/>
  <c r="E174" i="6"/>
  <c r="A396" i="6"/>
  <c r="B379" i="6"/>
  <c r="D404" i="6"/>
  <c r="F496" i="6"/>
  <c r="A452" i="6"/>
  <c r="B456" i="6"/>
  <c r="F467" i="6"/>
  <c r="B516" i="6"/>
  <c r="D504" i="6"/>
  <c r="F511" i="6"/>
  <c r="B531" i="6"/>
  <c r="D521" i="6"/>
  <c r="F522" i="6"/>
  <c r="B528" i="6"/>
  <c r="D561" i="6"/>
  <c r="F560" i="6"/>
  <c r="B557" i="6"/>
  <c r="D552" i="6"/>
  <c r="F546" i="6"/>
  <c r="B1157" i="6"/>
  <c r="D1158" i="6"/>
  <c r="F1167" i="6"/>
  <c r="B1187" i="6"/>
  <c r="D445" i="6"/>
  <c r="F410" i="6"/>
  <c r="B416" i="6"/>
  <c r="D435" i="6"/>
  <c r="E444" i="6"/>
  <c r="D439" i="6"/>
  <c r="B433" i="6"/>
  <c r="C428" i="6"/>
  <c r="A431" i="6"/>
  <c r="D406" i="6"/>
  <c r="C1206" i="6"/>
  <c r="E1208" i="6"/>
  <c r="F1203" i="6"/>
  <c r="F1205" i="6"/>
  <c r="D1200" i="6"/>
  <c r="D1189" i="6"/>
  <c r="B1192" i="6"/>
  <c r="F1198" i="6"/>
  <c r="D1196" i="6"/>
  <c r="F1199" i="6"/>
  <c r="B1195" i="6"/>
  <c r="D1193" i="6"/>
  <c r="F1188" i="6"/>
  <c r="B348" i="6"/>
  <c r="D351" i="6"/>
  <c r="F350" i="6"/>
  <c r="B353" i="6"/>
  <c r="D354" i="6"/>
  <c r="F355" i="6"/>
  <c r="B357" i="6"/>
  <c r="D311" i="6"/>
  <c r="F310" i="6"/>
  <c r="B313" i="6"/>
  <c r="D314" i="6"/>
  <c r="F316" i="6"/>
  <c r="B317" i="6"/>
  <c r="D318" i="6"/>
  <c r="F319" i="6"/>
  <c r="B321" i="6"/>
  <c r="D335" i="6"/>
  <c r="F336" i="6"/>
  <c r="B343" i="6"/>
  <c r="D322" i="6"/>
  <c r="F323" i="6"/>
  <c r="B325" i="6"/>
  <c r="D326" i="6"/>
  <c r="F327" i="6"/>
  <c r="B329" i="6"/>
  <c r="D330" i="6"/>
  <c r="F331" i="6"/>
  <c r="B333" i="6"/>
  <c r="D334" i="6"/>
  <c r="F338" i="6"/>
  <c r="B340" i="6"/>
  <c r="D341" i="6"/>
  <c r="F342" i="6"/>
  <c r="B345" i="6"/>
  <c r="D346" i="6"/>
  <c r="F347" i="6"/>
  <c r="B301" i="6"/>
  <c r="D302" i="6"/>
  <c r="F303" i="6"/>
  <c r="B305" i="6"/>
  <c r="D306" i="6"/>
  <c r="F307" i="6"/>
  <c r="B309" i="6"/>
  <c r="D299" i="6"/>
  <c r="F300" i="6"/>
  <c r="B250" i="6"/>
  <c r="F252" i="6"/>
  <c r="B254" i="6"/>
  <c r="D255" i="6"/>
  <c r="F256" i="6"/>
  <c r="B258" i="6"/>
  <c r="D259" i="6"/>
  <c r="F260" i="6"/>
  <c r="B262" i="6"/>
  <c r="D263" i="6"/>
  <c r="F264" i="6"/>
  <c r="B266" i="6"/>
  <c r="D267" i="6"/>
  <c r="F268" i="6"/>
  <c r="B270" i="6"/>
  <c r="D271" i="6"/>
  <c r="F272" i="6"/>
  <c r="B274" i="6"/>
  <c r="D275" i="6"/>
  <c r="F276" i="6"/>
  <c r="B278" i="6"/>
  <c r="D279" i="6"/>
  <c r="F280" i="6"/>
  <c r="B282" i="6"/>
  <c r="D283" i="6"/>
  <c r="F288" i="6"/>
  <c r="B290" i="6"/>
  <c r="D291" i="6"/>
  <c r="F292" i="6"/>
  <c r="B294" i="6"/>
  <c r="D295" i="6"/>
  <c r="F296" i="6"/>
  <c r="B284" i="6"/>
  <c r="D285" i="6"/>
  <c r="F286" i="6"/>
  <c r="B248" i="6"/>
  <c r="D361" i="6"/>
  <c r="F362" i="6"/>
  <c r="B360" i="6"/>
  <c r="D359" i="6"/>
  <c r="F363" i="6"/>
  <c r="B241" i="6"/>
  <c r="D240" i="6"/>
  <c r="F243" i="6"/>
  <c r="B133" i="6"/>
  <c r="D138" i="6"/>
  <c r="F135" i="6"/>
  <c r="B1327" i="6"/>
  <c r="C158" i="6"/>
  <c r="E197" i="6"/>
  <c r="A129" i="6"/>
  <c r="A366" i="6"/>
  <c r="F365" i="6"/>
  <c r="D493" i="6"/>
  <c r="E499" i="6"/>
  <c r="E453" i="6"/>
  <c r="D448" i="6"/>
  <c r="F461" i="6"/>
  <c r="B478" i="6"/>
  <c r="D517" i="6"/>
  <c r="F513" i="6"/>
  <c r="B507" i="6"/>
  <c r="D532" i="6"/>
  <c r="F536" i="6"/>
  <c r="B524" i="6"/>
  <c r="D529" i="6"/>
  <c r="F563" i="6"/>
  <c r="B548" i="6"/>
  <c r="D558" i="6"/>
  <c r="F553" i="6"/>
  <c r="B540" i="6"/>
  <c r="D1162" i="6"/>
  <c r="F1175" i="6"/>
  <c r="B1166" i="6"/>
  <c r="D1184" i="6"/>
  <c r="F422" i="6"/>
  <c r="B412" i="6"/>
  <c r="D417" i="6"/>
  <c r="F436" i="6"/>
  <c r="F443" i="6"/>
  <c r="D425" i="6"/>
  <c r="E433" i="6"/>
  <c r="B429" i="6"/>
  <c r="F431" i="6"/>
  <c r="F406" i="6"/>
  <c r="B1207" i="6"/>
  <c r="A1204" i="6"/>
  <c r="C1202" i="6"/>
  <c r="B1201" i="6"/>
  <c r="B1190" i="6"/>
  <c r="F1189" i="6"/>
  <c r="D1192" i="6"/>
  <c r="D1194" i="6"/>
  <c r="F1196" i="6"/>
  <c r="B1197" i="6"/>
  <c r="D1195" i="6"/>
  <c r="F1193" i="6"/>
  <c r="B349" i="6"/>
  <c r="D348" i="6"/>
  <c r="F351" i="6"/>
  <c r="B352" i="6"/>
  <c r="D353" i="6"/>
  <c r="F354" i="6"/>
  <c r="B356" i="6"/>
  <c r="D357" i="6"/>
  <c r="F311" i="6"/>
  <c r="B312" i="6"/>
  <c r="D313" i="6"/>
  <c r="F314" i="6"/>
  <c r="B315" i="6"/>
  <c r="D317" i="6"/>
  <c r="F318" i="6"/>
  <c r="B320" i="6"/>
  <c r="D321" i="6"/>
  <c r="F335" i="6"/>
  <c r="B337" i="6"/>
  <c r="D343" i="6"/>
  <c r="F322" i="6"/>
  <c r="B324" i="6"/>
  <c r="D325" i="6"/>
  <c r="F326" i="6"/>
  <c r="B328" i="6"/>
  <c r="D329" i="6"/>
  <c r="F330" i="6"/>
  <c r="B332" i="6"/>
  <c r="D333" i="6"/>
  <c r="F334" i="6"/>
  <c r="B339" i="6"/>
  <c r="D340" i="6"/>
  <c r="F341" i="6"/>
  <c r="B344" i="6"/>
  <c r="D345" i="6"/>
  <c r="F346" i="6"/>
  <c r="B298" i="6"/>
  <c r="D301" i="6"/>
  <c r="F302" i="6"/>
  <c r="B304" i="6"/>
  <c r="D305" i="6"/>
  <c r="F306" i="6"/>
  <c r="B308" i="6"/>
  <c r="D309" i="6"/>
  <c r="F299" i="6"/>
  <c r="B249" i="6"/>
  <c r="F251" i="6"/>
  <c r="B253" i="6"/>
  <c r="D254" i="6"/>
  <c r="F255" i="6"/>
  <c r="B257" i="6"/>
  <c r="D258" i="6"/>
  <c r="F259" i="6"/>
  <c r="B261" i="6"/>
  <c r="D262" i="6"/>
  <c r="F263" i="6"/>
  <c r="B265" i="6"/>
  <c r="D266" i="6"/>
  <c r="F267" i="6"/>
  <c r="B269" i="6"/>
  <c r="D270" i="6"/>
  <c r="F271" i="6"/>
  <c r="B273" i="6"/>
  <c r="D274" i="6"/>
  <c r="F275" i="6"/>
  <c r="B277" i="6"/>
  <c r="D278" i="6"/>
  <c r="F279" i="6"/>
  <c r="B281" i="6"/>
  <c r="D282" i="6"/>
  <c r="F283" i="6"/>
  <c r="B289" i="6"/>
  <c r="D290" i="6"/>
  <c r="F291" i="6"/>
  <c r="B293" i="6"/>
  <c r="D294" i="6"/>
  <c r="F295" i="6"/>
  <c r="B297" i="6"/>
  <c r="D284" i="6"/>
  <c r="F285" i="6"/>
  <c r="B287" i="6"/>
  <c r="D248" i="6"/>
  <c r="F361" i="6"/>
  <c r="B358" i="6"/>
  <c r="D360" i="6"/>
  <c r="F359" i="6"/>
  <c r="B364" i="6"/>
  <c r="D241" i="6"/>
  <c r="F240" i="6"/>
  <c r="B242" i="6"/>
  <c r="D133" i="6"/>
  <c r="F138" i="6"/>
  <c r="B140" i="6"/>
  <c r="D1327" i="6"/>
  <c r="F1328" i="6"/>
  <c r="B1300" i="6"/>
  <c r="D1292" i="6"/>
  <c r="F1291" i="6"/>
  <c r="B1289" i="6"/>
  <c r="D1252" i="6"/>
  <c r="F1253" i="6"/>
  <c r="B1255" i="6"/>
  <c r="D1256" i="6"/>
  <c r="F1257" i="6"/>
  <c r="B1153" i="6"/>
  <c r="D1154" i="6"/>
  <c r="F162" i="6"/>
  <c r="B418" i="6"/>
  <c r="D187" i="6"/>
  <c r="F177" i="6"/>
  <c r="B185" i="6"/>
  <c r="F186" i="6"/>
  <c r="C396" i="6"/>
  <c r="B452" i="6"/>
  <c r="C516" i="6"/>
  <c r="E521" i="6"/>
  <c r="A547" i="6"/>
  <c r="C1157" i="6"/>
  <c r="E445" i="6"/>
  <c r="D443" i="6"/>
  <c r="C431" i="6"/>
  <c r="B1202" i="6"/>
  <c r="C1192" i="6"/>
  <c r="C1195" i="6"/>
  <c r="E351" i="6"/>
  <c r="A356" i="6"/>
  <c r="C313" i="6"/>
  <c r="E318" i="6"/>
  <c r="A337" i="6"/>
  <c r="C325" i="6"/>
  <c r="E330" i="6"/>
  <c r="A339" i="6"/>
  <c r="C345" i="6"/>
  <c r="E302" i="6"/>
  <c r="A308" i="6"/>
  <c r="C250" i="6"/>
  <c r="E255" i="6"/>
  <c r="A261" i="6"/>
  <c r="C266" i="6"/>
  <c r="E271" i="6"/>
  <c r="A277" i="6"/>
  <c r="C282" i="6"/>
  <c r="E291" i="6"/>
  <c r="A297" i="6"/>
  <c r="E359" i="6"/>
  <c r="A242" i="6"/>
  <c r="C1327" i="6"/>
  <c r="B1292" i="6"/>
  <c r="C1289" i="6"/>
  <c r="A1255" i="6"/>
  <c r="F1155" i="6"/>
  <c r="A1164" i="6"/>
  <c r="E187" i="6"/>
  <c r="A185" i="6"/>
  <c r="C186" i="6"/>
  <c r="F244" i="6"/>
  <c r="B497" i="6"/>
  <c r="A324" i="6"/>
  <c r="A249" i="6"/>
  <c r="E275" i="6"/>
  <c r="E240" i="6"/>
  <c r="D162" i="6"/>
  <c r="C129" i="6"/>
  <c r="A437" i="6"/>
  <c r="E348" i="6"/>
  <c r="A336" i="6"/>
  <c r="A307" i="6"/>
  <c r="A276" i="6"/>
  <c r="E360" i="6"/>
  <c r="F1254" i="6"/>
  <c r="E244" i="6"/>
  <c r="C366" i="6"/>
  <c r="A454" i="6"/>
  <c r="E517" i="6"/>
  <c r="A537" i="6"/>
  <c r="C548" i="6"/>
  <c r="E1162" i="6"/>
  <c r="A407" i="6"/>
  <c r="A438" i="6"/>
  <c r="B432" i="6"/>
  <c r="D1202" i="6"/>
  <c r="F1192" i="6"/>
  <c r="E1195" i="6"/>
  <c r="A350" i="6"/>
  <c r="C356" i="6"/>
  <c r="E313" i="6"/>
  <c r="A319" i="6"/>
  <c r="C337" i="6"/>
  <c r="E325" i="6"/>
  <c r="A331" i="6"/>
  <c r="C339" i="6"/>
  <c r="E345" i="6"/>
  <c r="A303" i="6"/>
  <c r="C308" i="6"/>
  <c r="A256" i="6"/>
  <c r="C261" i="6"/>
  <c r="E266" i="6"/>
  <c r="A272" i="6"/>
  <c r="C277" i="6"/>
  <c r="E282" i="6"/>
  <c r="A292" i="6"/>
  <c r="C297" i="6"/>
  <c r="E248" i="6"/>
  <c r="A363" i="6"/>
  <c r="C242" i="6"/>
  <c r="E1327" i="6"/>
  <c r="C1292" i="6"/>
  <c r="B1252" i="6"/>
  <c r="C1255" i="6"/>
  <c r="A1153" i="6"/>
  <c r="E1164" i="6"/>
  <c r="C177" i="6"/>
  <c r="C185" i="6"/>
  <c r="D186" i="6"/>
  <c r="A244" i="6"/>
  <c r="A175" i="6"/>
  <c r="A1197" i="6"/>
  <c r="E354" i="6"/>
  <c r="C317" i="6"/>
  <c r="A344" i="6"/>
  <c r="E259" i="6"/>
  <c r="E295" i="6"/>
  <c r="A1300" i="6"/>
  <c r="B187" i="6"/>
  <c r="D244" i="6"/>
  <c r="C540" i="6"/>
  <c r="D1204" i="6"/>
  <c r="C312" i="6"/>
  <c r="C344" i="6"/>
  <c r="C265" i="6"/>
  <c r="E290" i="6"/>
  <c r="C1300" i="6"/>
  <c r="C187" i="6"/>
  <c r="C153" i="6"/>
  <c r="C379" i="6"/>
  <c r="C456" i="6"/>
  <c r="E504" i="6"/>
  <c r="A523" i="6"/>
  <c r="C557" i="6"/>
  <c r="E1158" i="6"/>
  <c r="A411" i="6"/>
  <c r="E439" i="6"/>
  <c r="E406" i="6"/>
  <c r="A1201" i="6"/>
  <c r="B1194" i="6"/>
  <c r="E1193" i="6"/>
  <c r="A352" i="6"/>
  <c r="C357" i="6"/>
  <c r="E314" i="6"/>
  <c r="A320" i="6"/>
  <c r="C343" i="6"/>
  <c r="E326" i="6"/>
  <c r="A332" i="6"/>
  <c r="C340" i="6"/>
  <c r="E346" i="6"/>
  <c r="A304" i="6"/>
  <c r="C309" i="6"/>
  <c r="A257" i="6"/>
  <c r="C262" i="6"/>
  <c r="E267" i="6"/>
  <c r="A273" i="6"/>
  <c r="C278" i="6"/>
  <c r="E283" i="6"/>
  <c r="A293" i="6"/>
  <c r="C284" i="6"/>
  <c r="E361" i="6"/>
  <c r="A364" i="6"/>
  <c r="C133" i="6"/>
  <c r="D1328" i="6"/>
  <c r="E1292" i="6"/>
  <c r="C1252" i="6"/>
  <c r="B1256" i="6"/>
  <c r="C1153" i="6"/>
  <c r="F1164" i="6"/>
  <c r="D177" i="6"/>
  <c r="F185" i="6"/>
  <c r="E186" i="6"/>
  <c r="C531" i="6"/>
  <c r="C301" i="6"/>
  <c r="C290" i="6"/>
  <c r="A1254" i="6"/>
  <c r="F206" i="6"/>
  <c r="A562" i="6"/>
  <c r="E329" i="6"/>
  <c r="A260" i="6"/>
  <c r="C140" i="6"/>
  <c r="F209" i="6"/>
  <c r="E158" i="6"/>
  <c r="A405" i="6"/>
  <c r="E448" i="6"/>
  <c r="A508" i="6"/>
  <c r="C524" i="6"/>
  <c r="E558" i="6"/>
  <c r="A1174" i="6"/>
  <c r="C412" i="6"/>
  <c r="F425" i="6"/>
  <c r="A446" i="6"/>
  <c r="D1201" i="6"/>
  <c r="E1194" i="6"/>
  <c r="A1188" i="6"/>
  <c r="C352" i="6"/>
  <c r="E357" i="6"/>
  <c r="A316" i="6"/>
  <c r="C320" i="6"/>
  <c r="E343" i="6"/>
  <c r="A327" i="6"/>
  <c r="C332" i="6"/>
  <c r="E340" i="6"/>
  <c r="A347" i="6"/>
  <c r="C304" i="6"/>
  <c r="E309" i="6"/>
  <c r="A252" i="6"/>
  <c r="C257" i="6"/>
  <c r="E262" i="6"/>
  <c r="A268" i="6"/>
  <c r="C273" i="6"/>
  <c r="E278" i="6"/>
  <c r="A288" i="6"/>
  <c r="C293" i="6"/>
  <c r="E284" i="6"/>
  <c r="A362" i="6"/>
  <c r="C364" i="6"/>
  <c r="E133" i="6"/>
  <c r="E1328" i="6"/>
  <c r="D1291" i="6"/>
  <c r="E1252" i="6"/>
  <c r="C1256" i="6"/>
  <c r="B1154" i="6"/>
  <c r="A418" i="6"/>
  <c r="E177" i="6"/>
  <c r="A206" i="6"/>
  <c r="A471" i="6"/>
  <c r="E335" i="6"/>
  <c r="C254" i="6"/>
  <c r="A281" i="6"/>
  <c r="C360" i="6"/>
  <c r="E1257" i="6"/>
  <c r="F499" i="6"/>
  <c r="D429" i="6"/>
  <c r="C1197" i="6"/>
  <c r="C324" i="6"/>
  <c r="C249" i="6"/>
  <c r="C281" i="6"/>
  <c r="A243" i="6"/>
  <c r="A1155" i="6"/>
  <c r="E208" i="6"/>
  <c r="E404" i="6"/>
  <c r="A512" i="6"/>
  <c r="C528" i="6"/>
  <c r="E552" i="6"/>
  <c r="A1165" i="6"/>
  <c r="C416" i="6"/>
  <c r="D433" i="6"/>
  <c r="F1206" i="6"/>
  <c r="F1200" i="6"/>
  <c r="E1196" i="6"/>
  <c r="A349" i="6"/>
  <c r="C353" i="6"/>
  <c r="E311" i="6"/>
  <c r="A315" i="6"/>
  <c r="C321" i="6"/>
  <c r="E322" i="6"/>
  <c r="A328" i="6"/>
  <c r="C333" i="6"/>
  <c r="E341" i="6"/>
  <c r="A298" i="6"/>
  <c r="C305" i="6"/>
  <c r="E299" i="6"/>
  <c r="A253" i="6"/>
  <c r="C258" i="6"/>
  <c r="E263" i="6"/>
  <c r="A269" i="6"/>
  <c r="C274" i="6"/>
  <c r="E279" i="6"/>
  <c r="A289" i="6"/>
  <c r="C294" i="6"/>
  <c r="E285" i="6"/>
  <c r="A358" i="6"/>
  <c r="C241" i="6"/>
  <c r="E138" i="6"/>
  <c r="A1329" i="6"/>
  <c r="E1291" i="6"/>
  <c r="D1253" i="6"/>
  <c r="E1256" i="6"/>
  <c r="C1154" i="6"/>
  <c r="C418" i="6"/>
  <c r="A209" i="6"/>
  <c r="D206" i="6"/>
  <c r="B244" i="6"/>
  <c r="A542" i="6"/>
  <c r="E334" i="6"/>
  <c r="C270" i="6"/>
  <c r="A140" i="6"/>
  <c r="C478" i="6"/>
  <c r="A355" i="6"/>
  <c r="A338" i="6"/>
  <c r="E254" i="6"/>
  <c r="C287" i="6"/>
  <c r="E162" i="6"/>
  <c r="A188" i="6"/>
  <c r="F493" i="6"/>
  <c r="A462" i="6"/>
  <c r="C507" i="6"/>
  <c r="E529" i="6"/>
  <c r="A554" i="6"/>
  <c r="C1166" i="6"/>
  <c r="E417" i="6"/>
  <c r="D426" i="6"/>
  <c r="C1207" i="6"/>
  <c r="C1190" i="6"/>
  <c r="A1199" i="6"/>
  <c r="C349" i="6"/>
  <c r="E353" i="6"/>
  <c r="A310" i="6"/>
  <c r="C315" i="6"/>
  <c r="E321" i="6"/>
  <c r="A323" i="6"/>
  <c r="C328" i="6"/>
  <c r="E333" i="6"/>
  <c r="A342" i="6"/>
  <c r="C298" i="6"/>
  <c r="E305" i="6"/>
  <c r="A300" i="6"/>
  <c r="C253" i="6"/>
  <c r="E258" i="6"/>
  <c r="A264" i="6"/>
  <c r="C269" i="6"/>
  <c r="E274" i="6"/>
  <c r="A280" i="6"/>
  <c r="C289" i="6"/>
  <c r="E294" i="6"/>
  <c r="A286" i="6"/>
  <c r="C358" i="6"/>
  <c r="E241" i="6"/>
  <c r="A135" i="6"/>
  <c r="F1329" i="6"/>
  <c r="A1290" i="6"/>
  <c r="E1253" i="6"/>
  <c r="D1257" i="6"/>
  <c r="E1154" i="6"/>
  <c r="A187" i="6"/>
  <c r="D209" i="6"/>
  <c r="E206" i="6"/>
  <c r="C244" i="6"/>
  <c r="E561" i="6"/>
  <c r="C1187" i="6"/>
  <c r="E435" i="6"/>
  <c r="E428" i="6"/>
  <c r="F1208" i="6"/>
  <c r="E1189" i="6"/>
  <c r="C348" i="6"/>
  <c r="A312" i="6"/>
  <c r="C329" i="6"/>
  <c r="E306" i="6"/>
  <c r="A265" i="6"/>
  <c r="A287" i="6"/>
  <c r="F1290" i="6"/>
  <c r="E209" i="6"/>
  <c r="E532" i="6"/>
  <c r="E1184" i="6"/>
  <c r="A1191" i="6"/>
  <c r="E317" i="6"/>
  <c r="E301" i="6"/>
  <c r="E270" i="6"/>
  <c r="A296" i="6"/>
  <c r="A1289" i="6"/>
  <c r="B186" i="6"/>
  <c r="G462" i="5"/>
  <c r="I3" i="6" s="1" a="1"/>
  <c r="I3" i="6" s="1"/>
  <c r="C1180" i="6" l="1"/>
  <c r="P250" i="6"/>
  <c r="S317" i="6"/>
  <c r="T317" i="6"/>
  <c r="V317" i="6"/>
  <c r="Q317" i="6"/>
  <c r="P317" i="6"/>
  <c r="R317" i="6"/>
  <c r="N3" i="6" a="1"/>
  <c r="N3" i="6" s="1"/>
  <c r="H3" i="6" a="1"/>
  <c r="H3" i="6" s="1"/>
  <c r="M3" i="6" a="1"/>
  <c r="M3" i="6" s="1"/>
  <c r="L3" i="6" a="1"/>
  <c r="L3" i="6" s="1"/>
  <c r="K3" i="6" a="1"/>
  <c r="K3" i="6" s="1"/>
  <c r="J3" i="6" a="1"/>
  <c r="J3" i="6" s="1"/>
  <c r="F784" i="6"/>
  <c r="C1136" i="6"/>
  <c r="D1332" i="6"/>
  <c r="C226" i="6"/>
  <c r="E810" i="6"/>
  <c r="B80" i="6"/>
  <c r="B1301" i="6"/>
  <c r="B98" i="6"/>
  <c r="A239" i="6"/>
  <c r="F1130" i="6"/>
  <c r="F1264" i="6"/>
  <c r="F768" i="6"/>
  <c r="E1336" i="6"/>
  <c r="D1105" i="6"/>
  <c r="C105" i="6"/>
  <c r="D1135" i="6"/>
  <c r="B778" i="6"/>
  <c r="B83" i="6"/>
  <c r="A1134" i="6"/>
  <c r="F797" i="6"/>
  <c r="C1133" i="6"/>
  <c r="F800" i="6"/>
  <c r="E1313" i="6"/>
  <c r="D1324" i="6"/>
  <c r="E794" i="6"/>
  <c r="C768" i="6"/>
  <c r="F1266" i="6"/>
  <c r="D767" i="6"/>
  <c r="F1287" i="6"/>
  <c r="D1319" i="6"/>
  <c r="B1116" i="6"/>
  <c r="E805" i="6"/>
  <c r="A1130" i="6"/>
  <c r="B1307" i="6"/>
  <c r="B1131" i="6"/>
  <c r="D1298" i="6"/>
  <c r="E231" i="6"/>
  <c r="F790" i="6"/>
  <c r="A1310" i="6"/>
  <c r="B1265" i="6"/>
  <c r="D1309" i="6"/>
  <c r="A231" i="6"/>
  <c r="B772" i="6"/>
  <c r="C81" i="6"/>
  <c r="B1312" i="6"/>
  <c r="C114" i="6"/>
  <c r="E1325" i="6"/>
  <c r="F808" i="6"/>
  <c r="A793" i="6"/>
  <c r="B1102" i="6"/>
  <c r="E98" i="6"/>
  <c r="A1325" i="6"/>
  <c r="B767" i="6"/>
  <c r="C88" i="6"/>
  <c r="C1325" i="6"/>
  <c r="B226" i="6"/>
  <c r="C799" i="6"/>
  <c r="D1104" i="6"/>
  <c r="E1335" i="6"/>
  <c r="A1322" i="6"/>
  <c r="B779" i="6"/>
  <c r="E770" i="6"/>
  <c r="F1100" i="6"/>
  <c r="B1298" i="6"/>
  <c r="C1138" i="6"/>
  <c r="B1135" i="6"/>
  <c r="D1287" i="6"/>
  <c r="E235" i="6"/>
  <c r="F767" i="6"/>
  <c r="A1314" i="6"/>
  <c r="F1104" i="6"/>
  <c r="C115" i="6"/>
  <c r="E1330" i="6"/>
  <c r="F803" i="6"/>
  <c r="A93" i="6"/>
  <c r="C1302" i="6"/>
  <c r="B807" i="6"/>
  <c r="C83" i="6"/>
  <c r="D1131" i="6"/>
  <c r="F1298" i="6"/>
  <c r="A236" i="6"/>
  <c r="B796" i="6"/>
  <c r="E112" i="6"/>
  <c r="F85" i="6"/>
  <c r="B1338" i="6"/>
  <c r="C1098" i="6"/>
  <c r="D1305" i="6"/>
  <c r="E104" i="6"/>
  <c r="A1334" i="6"/>
  <c r="B227" i="6"/>
  <c r="C770" i="6"/>
  <c r="D1311" i="6"/>
  <c r="F1304" i="6"/>
  <c r="A85" i="6"/>
  <c r="C1337" i="6"/>
  <c r="D226" i="6"/>
  <c r="E799" i="6"/>
  <c r="F1312" i="6"/>
  <c r="C84" i="6"/>
  <c r="E1334" i="6"/>
  <c r="B231" i="6"/>
  <c r="F782" i="6"/>
  <c r="C792" i="6"/>
  <c r="E1304" i="6"/>
  <c r="B1120" i="6"/>
  <c r="A1127" i="6"/>
  <c r="B816" i="6"/>
  <c r="E90" i="6"/>
  <c r="A570" i="6"/>
  <c r="D1314" i="6"/>
  <c r="D765" i="6"/>
  <c r="A91" i="6"/>
  <c r="C27" i="6"/>
  <c r="F1138" i="6"/>
  <c r="E813" i="6"/>
  <c r="F107" i="6"/>
  <c r="C113" i="6"/>
  <c r="E15" i="6"/>
  <c r="D587" i="6"/>
  <c r="A1117" i="6"/>
  <c r="B93" i="6"/>
  <c r="E87" i="6"/>
  <c r="A568" i="6"/>
  <c r="C767" i="6"/>
  <c r="B787" i="6"/>
  <c r="E574" i="6"/>
  <c r="F198" i="6"/>
  <c r="E126" i="6"/>
  <c r="D1178" i="6"/>
  <c r="D1248" i="6"/>
  <c r="D982" i="6"/>
  <c r="F1106" i="6"/>
  <c r="C1242" i="6"/>
  <c r="E1214" i="6"/>
  <c r="B1238" i="6"/>
  <c r="E1294" i="6"/>
  <c r="A489" i="6"/>
  <c r="D1250" i="6"/>
  <c r="A1234" i="6"/>
  <c r="C1177" i="6"/>
  <c r="C1283" i="6"/>
  <c r="C1263" i="6"/>
  <c r="E1023" i="6"/>
  <c r="F1217" i="6"/>
  <c r="F1295" i="6"/>
  <c r="E1246" i="6"/>
  <c r="E179" i="6"/>
  <c r="A1262" i="6"/>
  <c r="C1243" i="6"/>
  <c r="F1011" i="6"/>
  <c r="D1318" i="6"/>
  <c r="C1245" i="6"/>
  <c r="B1218" i="6"/>
  <c r="B1009" i="6"/>
  <c r="E1316" i="6"/>
  <c r="B1294" i="6"/>
  <c r="F1215" i="6"/>
  <c r="B1261" i="6"/>
  <c r="A1011" i="6"/>
  <c r="D233" i="6"/>
  <c r="A1178" i="6"/>
  <c r="C1260" i="6"/>
  <c r="D1293" i="6"/>
  <c r="B26" i="6"/>
  <c r="D137" i="6"/>
  <c r="F139" i="6"/>
  <c r="A993" i="6"/>
  <c r="C1293" i="6"/>
  <c r="C1217" i="6"/>
  <c r="F76" i="6"/>
  <c r="A1263" i="6"/>
  <c r="B1213" i="6"/>
  <c r="C1239" i="6"/>
  <c r="D441" i="6"/>
  <c r="A96" i="6"/>
  <c r="F489" i="6"/>
  <c r="A1009" i="6"/>
  <c r="E1177" i="6"/>
  <c r="E56" i="6"/>
  <c r="B111" i="6"/>
  <c r="C1171" i="6"/>
  <c r="D111" i="6"/>
  <c r="D1221" i="6"/>
  <c r="C1280" i="6"/>
  <c r="B1137" i="6"/>
  <c r="F110" i="6"/>
  <c r="C490" i="6"/>
  <c r="D1259" i="6"/>
  <c r="F95" i="6"/>
  <c r="C194" i="6"/>
  <c r="B1295" i="6"/>
  <c r="E233" i="6"/>
  <c r="C1234" i="6"/>
  <c r="D1294" i="6"/>
  <c r="B1293" i="6"/>
  <c r="A198" i="6"/>
  <c r="F1220" i="6"/>
  <c r="C1295" i="6"/>
  <c r="A1233" i="6"/>
  <c r="F142" i="6"/>
  <c r="F830" i="6"/>
  <c r="E29" i="6"/>
  <c r="D1219" i="6"/>
  <c r="B127" i="6"/>
  <c r="A1318" i="6"/>
  <c r="F1262" i="6"/>
  <c r="D1213" i="6"/>
  <c r="D1215" i="6"/>
  <c r="C28" i="6"/>
  <c r="B993" i="6"/>
  <c r="F1180" i="6"/>
  <c r="C124" i="6"/>
  <c r="D1163" i="6"/>
  <c r="C1259" i="6"/>
  <c r="B1317" i="6"/>
  <c r="A56" i="6"/>
  <c r="C1163" i="6"/>
  <c r="D1233" i="6"/>
  <c r="A134" i="6"/>
  <c r="B1246" i="6"/>
  <c r="D1280" i="6"/>
  <c r="D1177" i="6"/>
  <c r="A1295" i="6"/>
  <c r="F1283" i="6"/>
  <c r="B1242" i="6"/>
  <c r="A65" i="6"/>
  <c r="E1179" i="6"/>
  <c r="A1163" i="6"/>
  <c r="E1178" i="6"/>
  <c r="A55" i="6"/>
  <c r="F1260" i="6"/>
  <c r="F490" i="6"/>
  <c r="A1237" i="6"/>
  <c r="E65" i="6"/>
  <c r="C1316" i="6"/>
  <c r="A142" i="6"/>
  <c r="F1233" i="6"/>
  <c r="E1171" i="6"/>
  <c r="F1171" i="6"/>
  <c r="B233" i="6"/>
  <c r="F441" i="6"/>
  <c r="D1108" i="6"/>
  <c r="E1241" i="6"/>
  <c r="B1260" i="6"/>
  <c r="A110" i="6"/>
  <c r="A840" i="6"/>
  <c r="F879" i="6"/>
  <c r="D708" i="6"/>
  <c r="B970" i="6"/>
  <c r="C835" i="6"/>
  <c r="A695" i="6"/>
  <c r="B55" i="6"/>
  <c r="B1233" i="6"/>
  <c r="A1259" i="6"/>
  <c r="E1221" i="6"/>
  <c r="B137" i="6"/>
  <c r="E1242" i="6"/>
  <c r="E1011" i="6"/>
  <c r="D136" i="6"/>
  <c r="C1250" i="6"/>
  <c r="B1023" i="6"/>
  <c r="A76" i="6"/>
  <c r="B1170" i="6"/>
  <c r="E194" i="6"/>
  <c r="E1234" i="6"/>
  <c r="B232" i="6"/>
  <c r="A1248" i="6"/>
  <c r="F1010" i="6"/>
  <c r="B141" i="6"/>
  <c r="C830" i="6"/>
  <c r="C198" i="6"/>
  <c r="C192" i="6"/>
  <c r="B1171" i="6"/>
  <c r="E1263" i="6"/>
  <c r="D1009" i="6"/>
  <c r="F1214" i="6"/>
  <c r="A1215" i="6"/>
  <c r="C1221" i="6"/>
  <c r="C165" i="6"/>
  <c r="C982" i="6"/>
  <c r="C1262" i="6"/>
  <c r="F192" i="6"/>
  <c r="C1294" i="6"/>
  <c r="A1283" i="6"/>
  <c r="F1221" i="6"/>
  <c r="A1010" i="6"/>
  <c r="B1214" i="6"/>
  <c r="A26" i="6"/>
  <c r="F1216" i="6"/>
  <c r="A441" i="6"/>
  <c r="F993" i="6"/>
  <c r="D1317" i="6"/>
  <c r="E1109" i="6"/>
  <c r="E993" i="6"/>
  <c r="E1009" i="6"/>
  <c r="B1250" i="6"/>
  <c r="A1110" i="6"/>
  <c r="E1283" i="6"/>
  <c r="B830" i="6"/>
  <c r="B56" i="6"/>
  <c r="E1262" i="6"/>
  <c r="B126" i="6"/>
  <c r="B489" i="6"/>
  <c r="A165" i="6"/>
  <c r="D1218" i="6"/>
  <c r="B76" i="6"/>
  <c r="A434" i="6"/>
  <c r="F1163" i="6"/>
  <c r="E1216" i="6"/>
  <c r="C1178" i="6"/>
  <c r="D1249" i="6"/>
  <c r="D1216" i="6"/>
  <c r="C233" i="6"/>
  <c r="E202" i="6"/>
  <c r="D1024" i="6"/>
  <c r="C1233" i="6"/>
  <c r="A136" i="6"/>
  <c r="E871" i="6"/>
  <c r="B876" i="6"/>
  <c r="F703" i="6"/>
  <c r="F1037" i="6"/>
  <c r="E844" i="6"/>
  <c r="C689" i="6"/>
  <c r="D883" i="6"/>
  <c r="B637" i="6"/>
  <c r="D914" i="6"/>
  <c r="C849" i="6"/>
  <c r="A693" i="6"/>
  <c r="A623" i="6"/>
  <c r="D651" i="6"/>
  <c r="B678" i="6"/>
  <c r="C882" i="6"/>
  <c r="B139" i="6"/>
  <c r="F1250" i="6"/>
  <c r="E1215" i="6"/>
  <c r="E142" i="6"/>
  <c r="D434" i="6"/>
  <c r="A192" i="6"/>
  <c r="A1179" i="6"/>
  <c r="E1176" i="6"/>
  <c r="C110" i="6"/>
  <c r="B1245" i="6"/>
  <c r="B982" i="6"/>
  <c r="A1108" i="6"/>
  <c r="F1170" i="6"/>
  <c r="A1293" i="6"/>
  <c r="F55" i="6"/>
  <c r="A29" i="6"/>
  <c r="C983" i="6"/>
  <c r="E1250" i="6"/>
  <c r="F1317" i="6"/>
  <c r="E1295" i="6"/>
  <c r="D76" i="6"/>
  <c r="A1106" i="6"/>
  <c r="F1282" i="6"/>
  <c r="A1317" i="6"/>
  <c r="F1108" i="6"/>
  <c r="E1220" i="6"/>
  <c r="F1177" i="6"/>
  <c r="B1216" i="6"/>
  <c r="A1249" i="6"/>
  <c r="D1238" i="6"/>
  <c r="E1260" i="6"/>
  <c r="D1241" i="6"/>
  <c r="C137" i="6"/>
  <c r="B1177" i="6"/>
  <c r="E1218" i="6"/>
  <c r="C26" i="6"/>
  <c r="C1110" i="6"/>
  <c r="B136" i="6"/>
  <c r="E111" i="6"/>
  <c r="E490" i="6"/>
  <c r="B1243" i="6"/>
  <c r="F1239" i="6"/>
  <c r="A1294" i="6"/>
  <c r="B1241" i="6"/>
  <c r="B194" i="6"/>
  <c r="D1234" i="6"/>
  <c r="F434" i="6"/>
  <c r="C1261" i="6"/>
  <c r="D993" i="6"/>
  <c r="E26" i="6"/>
  <c r="F1249" i="6"/>
  <c r="E1243" i="6"/>
  <c r="C179" i="6"/>
  <c r="C1011" i="6"/>
  <c r="A1219" i="6"/>
  <c r="B1239" i="6"/>
  <c r="E1106" i="6"/>
  <c r="D1246" i="6"/>
  <c r="C1282" i="6"/>
  <c r="A1176" i="6"/>
  <c r="A869" i="6"/>
  <c r="D852" i="6"/>
  <c r="B699" i="6"/>
  <c r="C727" i="6"/>
  <c r="A727" i="6"/>
  <c r="E683" i="6"/>
  <c r="F840" i="6"/>
  <c r="D631" i="6"/>
  <c r="C936" i="6"/>
  <c r="E857" i="6"/>
  <c r="C617" i="6"/>
  <c r="B165" i="6"/>
  <c r="D142" i="6"/>
  <c r="E1217" i="6"/>
  <c r="B1220" i="6"/>
  <c r="D179" i="6"/>
  <c r="C1109" i="6"/>
  <c r="B1106" i="6"/>
  <c r="C136" i="6"/>
  <c r="B28" i="6"/>
  <c r="A126" i="6"/>
  <c r="C1170" i="6"/>
  <c r="C96" i="6"/>
  <c r="F96" i="6"/>
  <c r="A232" i="6"/>
  <c r="F165" i="6"/>
  <c r="D1282" i="6"/>
  <c r="A111" i="6"/>
  <c r="B490" i="6"/>
  <c r="C1215" i="6"/>
  <c r="B1110" i="6"/>
  <c r="B1179" i="6"/>
  <c r="D1261" i="6"/>
  <c r="F1024" i="6"/>
  <c r="F232" i="6"/>
  <c r="A1214" i="6"/>
  <c r="F111" i="6"/>
  <c r="E1010" i="6"/>
  <c r="F1318" i="6"/>
  <c r="B1219" i="6"/>
  <c r="E139" i="6"/>
  <c r="D202" i="6"/>
  <c r="C1219" i="6"/>
  <c r="D1176" i="6"/>
  <c r="E1280" i="6"/>
  <c r="E28" i="6"/>
  <c r="F1242" i="6"/>
  <c r="C232" i="6"/>
  <c r="C134" i="6"/>
  <c r="D165" i="6"/>
  <c r="E137" i="6"/>
  <c r="B1249" i="6"/>
  <c r="B1259" i="6"/>
  <c r="D490" i="6"/>
  <c r="F1176" i="6"/>
  <c r="A202" i="6"/>
  <c r="B110" i="6"/>
  <c r="F194" i="6"/>
  <c r="E1318" i="6"/>
  <c r="D65" i="6"/>
  <c r="C1218" i="6"/>
  <c r="D1243" i="6"/>
  <c r="F1294" i="6"/>
  <c r="E192" i="6"/>
  <c r="F1218" i="6"/>
  <c r="A137" i="6"/>
  <c r="B1109" i="6"/>
  <c r="E95" i="6"/>
  <c r="D29" i="6"/>
  <c r="D983" i="6"/>
  <c r="C881" i="6"/>
  <c r="F849" i="6"/>
  <c r="D693" i="6"/>
  <c r="A625" i="6"/>
  <c r="C722" i="6"/>
  <c r="A610" i="6"/>
  <c r="B875" i="6"/>
  <c r="F625" i="6"/>
  <c r="E713" i="6"/>
  <c r="A1137" i="6"/>
  <c r="B1282" i="6"/>
  <c r="B1217" i="6"/>
  <c r="D1011" i="6"/>
  <c r="D1010" i="6"/>
  <c r="E1258" i="6"/>
  <c r="E96" i="6"/>
  <c r="C1176" i="6"/>
  <c r="B1262" i="6"/>
  <c r="E1233" i="6"/>
  <c r="F28" i="6"/>
  <c r="E134" i="6"/>
  <c r="D126" i="6"/>
  <c r="E1317" i="6"/>
  <c r="F983" i="6"/>
  <c r="D1260" i="6"/>
  <c r="C1024" i="6"/>
  <c r="A1171" i="6"/>
  <c r="C142" i="6"/>
  <c r="B1234" i="6"/>
  <c r="D1180" i="6"/>
  <c r="A982" i="6"/>
  <c r="B1258" i="6"/>
  <c r="A1023" i="6"/>
  <c r="B1283" i="6"/>
  <c r="E1245" i="6"/>
  <c r="F1246" i="6"/>
  <c r="C1010" i="6"/>
  <c r="C1238" i="6"/>
  <c r="F137" i="6"/>
  <c r="E55" i="6"/>
  <c r="C1237" i="6"/>
  <c r="E110" i="6"/>
  <c r="F1234" i="6"/>
  <c r="B983" i="6"/>
  <c r="E124" i="6"/>
  <c r="D1106" i="6"/>
  <c r="C1009" i="6"/>
  <c r="D1239" i="6"/>
  <c r="E136" i="6"/>
  <c r="D1109" i="6"/>
  <c r="C441" i="6"/>
  <c r="A127" i="6"/>
  <c r="D1179" i="6"/>
  <c r="D1217" i="6"/>
  <c r="D1171" i="6"/>
  <c r="B192" i="6"/>
  <c r="F1280" i="6"/>
  <c r="E1219" i="6"/>
  <c r="B1176" i="6"/>
  <c r="B1108" i="6"/>
  <c r="A141" i="6"/>
  <c r="A233" i="6"/>
  <c r="D1110" i="6"/>
  <c r="C993" i="6"/>
  <c r="E1282" i="6"/>
  <c r="F233" i="6"/>
  <c r="C1106" i="6"/>
  <c r="F1178" i="6"/>
  <c r="A95" i="6"/>
  <c r="A1243" i="6"/>
  <c r="B142" i="6"/>
  <c r="E141" i="6"/>
  <c r="D1263" i="6"/>
  <c r="C127" i="6"/>
  <c r="A1177" i="6"/>
  <c r="E648" i="6"/>
  <c r="B858" i="6"/>
  <c r="F617" i="6"/>
  <c r="D938" i="6"/>
  <c r="E715" i="6"/>
  <c r="D660" i="6"/>
  <c r="D845" i="6"/>
  <c r="B691" i="6"/>
  <c r="C616" i="6"/>
  <c r="C720" i="6"/>
  <c r="A608" i="6"/>
  <c r="F867" i="6"/>
  <c r="D706" i="6"/>
  <c r="B1097" i="6"/>
  <c r="C846" i="6"/>
  <c r="C1248" i="6"/>
  <c r="F179" i="6"/>
  <c r="B1280" i="6"/>
  <c r="F1245" i="6"/>
  <c r="A1024" i="6"/>
  <c r="A1316" i="6"/>
  <c r="F1241" i="6"/>
  <c r="F1109" i="6"/>
  <c r="F1316" i="6"/>
  <c r="E1163" i="6"/>
  <c r="A1241" i="6"/>
  <c r="A1213" i="6"/>
  <c r="D1242" i="6"/>
  <c r="F1261" i="6"/>
  <c r="D139" i="6"/>
  <c r="C1246" i="6"/>
  <c r="B1010" i="6"/>
  <c r="E441" i="6"/>
  <c r="B198" i="6"/>
  <c r="B95" i="6"/>
  <c r="B134" i="6"/>
  <c r="A1245" i="6"/>
  <c r="E982" i="6"/>
  <c r="C434" i="6"/>
  <c r="D28" i="6"/>
  <c r="D1316" i="6"/>
  <c r="F1179" i="6"/>
  <c r="E165" i="6"/>
  <c r="B1263" i="6"/>
  <c r="C1249" i="6"/>
  <c r="A1246" i="6"/>
  <c r="D1283" i="6"/>
  <c r="D95" i="6"/>
  <c r="C76" i="6"/>
  <c r="A1238" i="6"/>
  <c r="A830" i="6"/>
  <c r="E198" i="6"/>
  <c r="A124" i="6"/>
  <c r="B96" i="6"/>
  <c r="B1163" i="6"/>
  <c r="A983" i="6"/>
  <c r="C1214" i="6"/>
  <c r="F202" i="6"/>
  <c r="C126" i="6"/>
  <c r="C1220" i="6"/>
  <c r="F1213" i="6"/>
  <c r="E1249" i="6"/>
  <c r="E1238" i="6"/>
  <c r="D194" i="6"/>
  <c r="C489" i="6"/>
  <c r="B441" i="6"/>
  <c r="E1259" i="6"/>
  <c r="F1137" i="6"/>
  <c r="F65" i="6"/>
  <c r="C1258" i="6"/>
  <c r="B29" i="6"/>
  <c r="F1248" i="6"/>
  <c r="C1317" i="6"/>
  <c r="B1215" i="6"/>
  <c r="C620" i="6"/>
  <c r="E41" i="6"/>
  <c r="F1076" i="6"/>
  <c r="F679" i="6"/>
  <c r="E644" i="6"/>
  <c r="E724" i="6"/>
  <c r="B642" i="6"/>
  <c r="E635" i="6"/>
  <c r="C709" i="6"/>
  <c r="B950" i="6"/>
  <c r="D648" i="6"/>
  <c r="B675" i="6"/>
  <c r="C864" i="6"/>
  <c r="A704" i="6"/>
  <c r="B1041" i="6"/>
  <c r="F651" i="6"/>
  <c r="D678" i="6"/>
  <c r="A880" i="6"/>
  <c r="E707" i="6"/>
  <c r="D955" i="6"/>
  <c r="B860" i="6"/>
  <c r="F695" i="6"/>
  <c r="A702" i="6"/>
  <c r="E723" i="6"/>
  <c r="A878" i="6"/>
  <c r="B847" i="6"/>
  <c r="F621" i="6"/>
  <c r="C618" i="6"/>
  <c r="E720" i="6"/>
  <c r="C608" i="6"/>
  <c r="D860" i="6"/>
  <c r="B624" i="6"/>
  <c r="C636" i="6"/>
  <c r="C652" i="6"/>
  <c r="A611" i="6"/>
  <c r="F870" i="6"/>
  <c r="D709" i="6"/>
  <c r="B1222" i="6"/>
  <c r="C862" i="6"/>
  <c r="E875" i="6"/>
  <c r="F883" i="6"/>
  <c r="D637" i="6"/>
  <c r="B918" i="6"/>
  <c r="C848" i="6"/>
  <c r="A622" i="6"/>
  <c r="B871" i="6"/>
  <c r="F709" i="6"/>
  <c r="F1224" i="6"/>
  <c r="A875" i="6"/>
  <c r="E625" i="6"/>
  <c r="E710" i="6"/>
  <c r="D124" i="6"/>
  <c r="A28" i="6"/>
  <c r="F136" i="6"/>
  <c r="A1220" i="6"/>
  <c r="C1179" i="6"/>
  <c r="F1293" i="6"/>
  <c r="F56" i="6"/>
  <c r="D1258" i="6"/>
  <c r="C95" i="6"/>
  <c r="F26" i="6"/>
  <c r="F1237" i="6"/>
  <c r="D971" i="6"/>
  <c r="C871" i="6"/>
  <c r="A716" i="6"/>
  <c r="C673" i="6"/>
  <c r="A708" i="6"/>
  <c r="D666" i="6"/>
  <c r="F701" i="6"/>
  <c r="A679" i="6"/>
  <c r="C29" i="6"/>
  <c r="D56" i="6"/>
  <c r="F1110" i="6"/>
  <c r="D489" i="6"/>
  <c r="C1108" i="6"/>
  <c r="C56" i="6"/>
  <c r="D1237" i="6"/>
  <c r="D134" i="6"/>
  <c r="C141" i="6"/>
  <c r="E1248" i="6"/>
  <c r="C1241" i="6"/>
  <c r="D885" i="6"/>
  <c r="E865" i="6"/>
  <c r="B889" i="6"/>
  <c r="F1232" i="6"/>
  <c r="C703" i="6"/>
  <c r="D873" i="6"/>
  <c r="B696" i="6"/>
  <c r="A888" i="6"/>
  <c r="C863" i="6"/>
  <c r="D880" i="6"/>
  <c r="B639" i="6"/>
  <c r="D959" i="6"/>
  <c r="A834" i="6"/>
  <c r="E694" i="6"/>
  <c r="F873" i="6"/>
  <c r="D642" i="6"/>
  <c r="B602" i="6"/>
  <c r="E878" i="6"/>
  <c r="C698" i="6"/>
  <c r="C719" i="6"/>
  <c r="F727" i="6"/>
  <c r="D684" i="6"/>
  <c r="E874" i="6"/>
  <c r="A640" i="6"/>
  <c r="C614" i="6"/>
  <c r="F652" i="6"/>
  <c r="D611" i="6"/>
  <c r="E879" i="6"/>
  <c r="C708" i="6"/>
  <c r="F968" i="6"/>
  <c r="B728" i="6"/>
  <c r="F684" i="6"/>
  <c r="C888" i="6"/>
  <c r="A713" i="6"/>
  <c r="B166" i="6"/>
  <c r="D854" i="6"/>
  <c r="B700" i="6"/>
  <c r="E728" i="6"/>
  <c r="A656" i="6"/>
  <c r="C886" i="6"/>
  <c r="D875" i="6"/>
  <c r="B697" i="6"/>
  <c r="A644" i="6"/>
  <c r="A653" i="6"/>
  <c r="E681" i="6"/>
  <c r="F854" i="6"/>
  <c r="D700" i="6"/>
  <c r="E859" i="6"/>
  <c r="E729" i="6"/>
  <c r="C615" i="6"/>
  <c r="B884" i="6"/>
  <c r="F714" i="6"/>
  <c r="C731" i="6"/>
  <c r="E855" i="6"/>
  <c r="B1011" i="6"/>
  <c r="B1024" i="6"/>
  <c r="E1137" i="6"/>
  <c r="D127" i="6"/>
  <c r="D192" i="6"/>
  <c r="A1258" i="6"/>
  <c r="A873" i="6"/>
  <c r="D868" i="6"/>
  <c r="B636" i="6"/>
  <c r="D903" i="6"/>
  <c r="A847" i="6"/>
  <c r="E621" i="6"/>
  <c r="F869" i="6"/>
  <c r="D640" i="6"/>
  <c r="B978" i="6"/>
  <c r="E862" i="6"/>
  <c r="C696" i="6"/>
  <c r="A707" i="6"/>
  <c r="F653" i="6"/>
  <c r="D232" i="6"/>
  <c r="B179" i="6"/>
  <c r="D1023" i="6"/>
  <c r="A1170" i="6"/>
  <c r="C1213" i="6"/>
  <c r="F1258" i="6"/>
  <c r="D96" i="6"/>
  <c r="A1280" i="6"/>
  <c r="E434" i="6"/>
  <c r="A1217" i="6"/>
  <c r="A194" i="6"/>
  <c r="D726" i="6"/>
  <c r="A855" i="6"/>
  <c r="F729" i="6"/>
  <c r="A885" i="6"/>
  <c r="E627" i="6"/>
  <c r="B839" i="6"/>
  <c r="D690" i="6"/>
  <c r="E856" i="6"/>
  <c r="A866" i="6"/>
  <c r="F843" i="6"/>
  <c r="D633" i="6"/>
  <c r="B895" i="6"/>
  <c r="C859" i="6"/>
  <c r="A618" i="6"/>
  <c r="B868" i="6"/>
  <c r="F706" i="6"/>
  <c r="F899" i="6"/>
  <c r="A848" i="6"/>
  <c r="E692" i="6"/>
  <c r="E691" i="6"/>
  <c r="B650" i="6"/>
  <c r="F610" i="6"/>
  <c r="A883" i="6"/>
  <c r="D919" i="6"/>
  <c r="B719" i="6"/>
  <c r="D674" i="6"/>
  <c r="A876" i="6"/>
  <c r="E703" i="6"/>
  <c r="D1033" i="6"/>
  <c r="D650" i="6"/>
  <c r="B677" i="6"/>
  <c r="E882" i="6"/>
  <c r="C638" i="6"/>
  <c r="F944" i="6"/>
  <c r="F834" i="6"/>
  <c r="D623" i="6"/>
  <c r="C699" i="6"/>
  <c r="A1282" i="6"/>
  <c r="D1262" i="6"/>
  <c r="A1221" i="6"/>
  <c r="A1218" i="6"/>
  <c r="D1214" i="6"/>
  <c r="F134" i="6"/>
  <c r="A1109" i="6"/>
  <c r="D26" i="6"/>
  <c r="B1178" i="6"/>
  <c r="A1250" i="6"/>
  <c r="F720" i="6"/>
  <c r="A641" i="6"/>
  <c r="B724" i="6"/>
  <c r="C879" i="6"/>
  <c r="E612" i="6"/>
  <c r="D862" i="6"/>
  <c r="F614" i="6"/>
  <c r="A877" i="6"/>
  <c r="C876" i="6"/>
  <c r="B851" i="6"/>
  <c r="F698" i="6"/>
  <c r="C723" i="6"/>
  <c r="E654" i="6"/>
  <c r="C613" i="6"/>
  <c r="D839" i="6"/>
  <c r="B630" i="6"/>
  <c r="C6" i="6"/>
  <c r="C837" i="6"/>
  <c r="A687" i="6"/>
  <c r="F960" i="6"/>
  <c r="D716" i="6"/>
  <c r="F595" i="6"/>
  <c r="C840" i="6"/>
  <c r="J244" i="6" a="1"/>
  <c r="J244" i="6" s="1"/>
  <c r="F1263" i="6"/>
  <c r="C1023" i="6"/>
  <c r="D1220" i="6"/>
  <c r="B1316" i="6"/>
  <c r="C111" i="6"/>
  <c r="E1261" i="6"/>
  <c r="F1023" i="6"/>
  <c r="D55" i="6"/>
  <c r="B714" i="6"/>
  <c r="C635" i="6"/>
  <c r="D647" i="6"/>
  <c r="E861" i="6"/>
  <c r="D40" i="6"/>
  <c r="F833" i="6"/>
  <c r="B596" i="6"/>
  <c r="E657" i="6"/>
  <c r="E842" i="6"/>
  <c r="D848" i="6"/>
  <c r="B622" i="6"/>
  <c r="C622" i="6"/>
  <c r="A721" i="6"/>
  <c r="E609" i="6"/>
  <c r="F862" i="6"/>
  <c r="D696" i="6"/>
  <c r="C641" i="6"/>
  <c r="E725" i="6"/>
  <c r="C681" i="6"/>
  <c r="B872" i="6"/>
  <c r="F641" i="6"/>
  <c r="F828" i="6"/>
  <c r="E863" i="6"/>
  <c r="E889" i="6"/>
  <c r="B881" i="6"/>
  <c r="F638" i="6"/>
  <c r="F948" i="6"/>
  <c r="E849" i="6"/>
  <c r="C693" i="6"/>
  <c r="D872" i="6"/>
  <c r="B710" i="6"/>
  <c r="D664" i="6"/>
  <c r="C877" i="6"/>
  <c r="A626" i="6"/>
  <c r="C714" i="6"/>
  <c r="D655" i="6"/>
  <c r="B683" i="6"/>
  <c r="C873" i="6"/>
  <c r="A638" i="6"/>
  <c r="E611" i="6"/>
  <c r="D724" i="6"/>
  <c r="E1024" i="6"/>
  <c r="C55" i="6"/>
  <c r="D141" i="6"/>
  <c r="F982" i="6"/>
  <c r="B1180" i="6"/>
  <c r="B1221" i="6"/>
  <c r="A1216" i="6"/>
  <c r="D198" i="6"/>
  <c r="A139" i="6"/>
  <c r="B682" i="6"/>
  <c r="E700" i="6"/>
  <c r="F711" i="6"/>
  <c r="A852" i="6"/>
  <c r="B966" i="6"/>
  <c r="B656" i="6"/>
  <c r="D668" i="6"/>
  <c r="A652" i="6"/>
  <c r="E645" i="6"/>
  <c r="F837" i="6"/>
  <c r="D687" i="6"/>
  <c r="E884" i="6"/>
  <c r="C645" i="6"/>
  <c r="E658" i="6"/>
  <c r="B850" i="6"/>
  <c r="F690" i="6"/>
  <c r="E613" i="6"/>
  <c r="A648" i="6"/>
  <c r="E607" i="6"/>
  <c r="D866" i="6"/>
  <c r="B705" i="6"/>
  <c r="D1083" i="6"/>
  <c r="A845" i="6"/>
  <c r="C855" i="6"/>
  <c r="D842" i="6"/>
  <c r="B632" i="6"/>
  <c r="D1019" i="6"/>
  <c r="A858" i="6"/>
  <c r="E617" i="6"/>
  <c r="F866" i="6"/>
  <c r="D705" i="6"/>
  <c r="B1086" i="6"/>
  <c r="E846" i="6"/>
  <c r="C621" i="6"/>
  <c r="A688" i="6"/>
  <c r="F721" i="6"/>
  <c r="D676" i="6"/>
  <c r="E867" i="6"/>
  <c r="F904" i="6"/>
  <c r="F647" i="6"/>
  <c r="F673" i="6"/>
  <c r="E843" i="6"/>
  <c r="C633" i="6"/>
  <c r="F893" i="6"/>
  <c r="B722" i="6"/>
  <c r="F676" i="6"/>
  <c r="C883" i="6"/>
  <c r="A637" i="6"/>
  <c r="B912" i="6"/>
  <c r="D836" i="6"/>
  <c r="B694" i="6"/>
  <c r="E624" i="6"/>
  <c r="A650" i="6"/>
  <c r="D110" i="6"/>
  <c r="E1170" i="6"/>
  <c r="F1259" i="6"/>
  <c r="E489" i="6"/>
  <c r="F1238" i="6"/>
  <c r="C704" i="6"/>
  <c r="F656" i="6"/>
  <c r="D685" i="6"/>
  <c r="E888" i="6"/>
  <c r="C713" i="6"/>
  <c r="B859" i="6"/>
  <c r="F688" i="6"/>
  <c r="F659" i="6"/>
  <c r="A717" i="6"/>
  <c r="C596" i="6"/>
  <c r="D861" i="6"/>
  <c r="B703" i="6"/>
  <c r="D941" i="6"/>
  <c r="A490" i="6"/>
  <c r="E1239" i="6"/>
  <c r="C1137" i="6"/>
  <c r="F1009" i="6"/>
  <c r="B1237" i="6"/>
  <c r="E76" i="6"/>
  <c r="A1180" i="6"/>
  <c r="E983" i="6"/>
  <c r="E1110" i="6"/>
  <c r="D1295" i="6"/>
  <c r="L244" i="6" a="1"/>
  <c r="L244" i="6" s="1"/>
  <c r="B1226" i="6"/>
  <c r="B886" i="6"/>
  <c r="C628" i="6"/>
  <c r="C843" i="6"/>
  <c r="B619" i="6"/>
  <c r="F877" i="6"/>
  <c r="C852" i="6"/>
  <c r="F832" i="6"/>
  <c r="A730" i="6"/>
  <c r="B844" i="6"/>
  <c r="E833" i="6"/>
  <c r="B856" i="6"/>
  <c r="D1211" i="6"/>
  <c r="E643" i="6"/>
  <c r="D865" i="6"/>
  <c r="D683" i="6"/>
  <c r="A724" i="6"/>
  <c r="E897" i="6"/>
  <c r="B640" i="6"/>
  <c r="A725" i="6"/>
  <c r="C634" i="6"/>
  <c r="B124" i="6"/>
  <c r="E830" i="6"/>
  <c r="D830" i="6"/>
  <c r="C139" i="6"/>
  <c r="A832" i="6"/>
  <c r="D717" i="6"/>
  <c r="C207" i="6"/>
  <c r="A719" i="6"/>
  <c r="B1018" i="6"/>
  <c r="F634" i="6"/>
  <c r="A629" i="6"/>
  <c r="E706" i="6"/>
  <c r="A612" i="6"/>
  <c r="F639" i="6"/>
  <c r="C721" i="6"/>
  <c r="C655" i="6"/>
  <c r="E864" i="6"/>
  <c r="D838" i="6"/>
  <c r="B701" i="6"/>
  <c r="E848" i="6"/>
  <c r="A657" i="6"/>
  <c r="E615" i="6"/>
  <c r="F861" i="6"/>
  <c r="D703" i="6"/>
  <c r="B1032" i="6"/>
  <c r="E832" i="6"/>
  <c r="C619" i="6"/>
  <c r="A676" i="6"/>
  <c r="F719" i="6"/>
  <c r="D607" i="6"/>
  <c r="E876" i="6"/>
  <c r="D120" i="6"/>
  <c r="D722" i="6"/>
  <c r="B610" i="6"/>
  <c r="C868" i="6"/>
  <c r="A636" i="6"/>
  <c r="B902" i="6"/>
  <c r="F725" i="6"/>
  <c r="D681" i="6"/>
  <c r="A871" i="6"/>
  <c r="E709" i="6"/>
  <c r="D1223" i="6"/>
  <c r="B877" i="6"/>
  <c r="F697" i="6"/>
  <c r="C712" i="6"/>
  <c r="E653" i="6"/>
  <c r="E885" i="6"/>
  <c r="F853" i="6"/>
  <c r="D628" i="6"/>
  <c r="A857" i="6"/>
  <c r="C728" i="6"/>
  <c r="A614" i="6"/>
  <c r="B842" i="6"/>
  <c r="F702" i="6"/>
  <c r="F1016" i="6"/>
  <c r="A859" i="6"/>
  <c r="E688" i="6"/>
  <c r="F1275" i="6"/>
  <c r="B647" i="6"/>
  <c r="F663" i="6"/>
  <c r="A843" i="6"/>
  <c r="C706" i="6"/>
  <c r="F1092" i="6"/>
  <c r="D615" i="6"/>
  <c r="B653" i="6"/>
  <c r="D979" i="6"/>
  <c r="C643" i="6"/>
  <c r="C858" i="6"/>
  <c r="D730" i="6"/>
  <c r="C726" i="6"/>
  <c r="F716" i="6"/>
  <c r="E718" i="6"/>
  <c r="B715" i="6"/>
  <c r="C651" i="6"/>
  <c r="F845" i="6"/>
  <c r="E1059" i="6"/>
  <c r="A639" i="6"/>
  <c r="B835" i="6"/>
  <c r="C660" i="6"/>
  <c r="C647" i="6"/>
  <c r="E685" i="6"/>
  <c r="D634" i="6"/>
  <c r="F1228" i="6"/>
  <c r="F1219" i="6"/>
  <c r="C1216" i="6"/>
  <c r="B202" i="6"/>
  <c r="D1170" i="6"/>
  <c r="E1213" i="6"/>
  <c r="C610" i="6"/>
  <c r="F642" i="6"/>
  <c r="A709" i="6"/>
  <c r="E638" i="6"/>
  <c r="D884" i="6"/>
  <c r="B628" i="6"/>
  <c r="E873" i="6"/>
  <c r="A630" i="6"/>
  <c r="F886" i="6"/>
  <c r="D627" i="6"/>
  <c r="A692" i="6"/>
  <c r="E721" i="6"/>
  <c r="A861" i="6"/>
  <c r="F860" i="6"/>
  <c r="D624" i="6"/>
  <c r="A706" i="6"/>
  <c r="C724" i="6"/>
  <c r="A680" i="6"/>
  <c r="B852" i="6"/>
  <c r="F627" i="6"/>
  <c r="C653" i="6"/>
  <c r="A728" i="6"/>
  <c r="E684" i="6"/>
  <c r="D887" i="6"/>
  <c r="B643" i="6"/>
  <c r="D1270" i="6"/>
  <c r="A853" i="6"/>
  <c r="A726" i="6"/>
  <c r="F643" i="6"/>
  <c r="E637" i="6"/>
  <c r="A633" i="6"/>
  <c r="C675" i="6"/>
  <c r="D713" i="6"/>
  <c r="A714" i="6"/>
  <c r="F629" i="6"/>
  <c r="E702" i="6"/>
  <c r="F704" i="6"/>
  <c r="C716" i="6"/>
  <c r="B657" i="6"/>
  <c r="A684" i="6"/>
  <c r="E698" i="6"/>
  <c r="D844" i="6"/>
  <c r="D1075" i="6"/>
  <c r="E711" i="6"/>
  <c r="D869" i="6"/>
  <c r="F699" i="6"/>
  <c r="A872" i="6"/>
  <c r="D1245" i="6"/>
  <c r="E232" i="6"/>
  <c r="E1293" i="6"/>
  <c r="E1237" i="6"/>
  <c r="B1090" i="6"/>
  <c r="D630" i="6"/>
  <c r="C680" i="6"/>
  <c r="A632" i="6"/>
  <c r="B864" i="6"/>
  <c r="D694" i="6"/>
  <c r="A868" i="6"/>
  <c r="E690" i="6"/>
  <c r="B879" i="6"/>
  <c r="F622" i="6"/>
  <c r="F1065" i="6"/>
  <c r="E714" i="6"/>
  <c r="E730" i="6"/>
  <c r="B833" i="6"/>
  <c r="F619" i="6"/>
  <c r="E608" i="6"/>
  <c r="E647" i="6"/>
  <c r="D673" i="6"/>
  <c r="D849" i="6"/>
  <c r="B693" i="6"/>
  <c r="C697" i="6"/>
  <c r="C650" i="6"/>
  <c r="A677" i="6"/>
  <c r="F881" i="6"/>
  <c r="D707" i="6"/>
  <c r="B954" i="6"/>
  <c r="C836" i="6"/>
  <c r="C874" i="6"/>
  <c r="D871" i="6"/>
  <c r="B641" i="6"/>
  <c r="D1227" i="6"/>
  <c r="A863" i="6"/>
  <c r="E696" i="6"/>
  <c r="F887" i="6"/>
  <c r="D643" i="6"/>
  <c r="B1273" i="6"/>
  <c r="E854" i="6"/>
  <c r="C700" i="6"/>
  <c r="C657" i="6"/>
  <c r="F657" i="6"/>
  <c r="D686" i="6"/>
  <c r="E886" i="6"/>
  <c r="A643" i="6"/>
  <c r="A651" i="6"/>
  <c r="D859" i="6"/>
  <c r="B618" i="6"/>
  <c r="F1212" i="6"/>
  <c r="A646" i="6"/>
  <c r="F661" i="6"/>
  <c r="F846" i="6"/>
  <c r="D621" i="6"/>
  <c r="A690" i="6"/>
  <c r="E649" i="6"/>
  <c r="C609" i="6"/>
  <c r="B883" i="6"/>
  <c r="F636" i="6"/>
  <c r="F910" i="6"/>
  <c r="E847" i="6"/>
  <c r="A696" i="6"/>
  <c r="B869" i="6"/>
  <c r="F708" i="6"/>
  <c r="F942" i="6"/>
  <c r="F681" i="6"/>
  <c r="D656" i="6"/>
  <c r="F1271" i="6"/>
  <c r="C729" i="6"/>
  <c r="D626" i="6"/>
  <c r="A699" i="6"/>
  <c r="D619" i="6"/>
  <c r="E686" i="6"/>
  <c r="F618" i="6"/>
  <c r="F646" i="6"/>
  <c r="C1275" i="6"/>
  <c r="B717" i="6"/>
  <c r="B1047" i="6"/>
  <c r="E646" i="6"/>
  <c r="B616" i="6"/>
  <c r="A682" i="6"/>
  <c r="D661" i="6"/>
  <c r="F606" i="6"/>
  <c r="F732" i="6"/>
  <c r="E835" i="6"/>
  <c r="F631" i="6"/>
  <c r="C880" i="6"/>
  <c r="A675" i="6"/>
  <c r="D715" i="6"/>
  <c r="F674" i="6"/>
  <c r="A691" i="6"/>
  <c r="B853" i="6"/>
  <c r="F682" i="6"/>
  <c r="A860" i="6"/>
  <c r="B1248" i="6"/>
  <c r="A1239" i="6"/>
  <c r="F1243" i="6"/>
  <c r="F839" i="6"/>
  <c r="B620" i="6"/>
  <c r="C842" i="6"/>
  <c r="A616" i="6"/>
  <c r="F836" i="6"/>
  <c r="D609" i="6"/>
  <c r="A850" i="6"/>
  <c r="C678" i="6"/>
  <c r="B849" i="6"/>
  <c r="D612" i="6"/>
  <c r="A865" i="6"/>
  <c r="B663" i="6"/>
  <c r="F650" i="6"/>
  <c r="D677" i="6"/>
  <c r="E883" i="6"/>
  <c r="C637" i="6"/>
  <c r="F915" i="6"/>
  <c r="B726" i="6"/>
  <c r="F612" i="6"/>
  <c r="C872" i="6"/>
  <c r="A710" i="6"/>
  <c r="B123" i="6"/>
  <c r="D878" i="6"/>
  <c r="B698" i="6"/>
  <c r="C646" i="6"/>
  <c r="A654" i="6"/>
  <c r="A854" i="6"/>
  <c r="A846" i="6"/>
  <c r="A870" i="6"/>
  <c r="B685" i="6"/>
  <c r="F855" i="6"/>
  <c r="E852" i="6"/>
  <c r="B128" i="6"/>
  <c r="F38" i="6"/>
  <c r="C847" i="6"/>
  <c r="D1015" i="6"/>
  <c r="F1072" i="6"/>
  <c r="C834" i="6"/>
  <c r="D691" i="6"/>
  <c r="A851" i="6"/>
  <c r="D1274" i="6"/>
  <c r="B635" i="6"/>
  <c r="A889" i="6"/>
  <c r="E679" i="6"/>
  <c r="F858" i="6"/>
  <c r="B609" i="6"/>
  <c r="C832" i="6"/>
  <c r="F141" i="6"/>
  <c r="C65" i="6"/>
  <c r="B65" i="6"/>
  <c r="A1242" i="6"/>
  <c r="A882" i="6"/>
  <c r="B863" i="6"/>
  <c r="F678" i="6"/>
  <c r="E877" i="6"/>
  <c r="C611" i="6"/>
  <c r="D654" i="6"/>
  <c r="D658" i="6"/>
  <c r="C656" i="6"/>
  <c r="F601" i="6"/>
  <c r="D857" i="6"/>
  <c r="F675" i="6"/>
  <c r="C854" i="6"/>
  <c r="C718" i="6"/>
  <c r="E853" i="6"/>
  <c r="D596" i="6"/>
  <c r="D832" i="6"/>
  <c r="A711" i="6"/>
  <c r="A718" i="6"/>
  <c r="B39" i="6"/>
  <c r="E677" i="6"/>
  <c r="B1038" i="6"/>
  <c r="B595" i="6"/>
  <c r="C639" i="6"/>
  <c r="F615" i="6"/>
  <c r="E837" i="6"/>
  <c r="B958" i="6"/>
  <c r="F623" i="6"/>
  <c r="E840" i="6"/>
  <c r="B673" i="6"/>
  <c r="B654" i="6"/>
  <c r="D975" i="6"/>
  <c r="E727" i="6"/>
  <c r="B434" i="6"/>
  <c r="A1261" i="6"/>
  <c r="D1137" i="6"/>
  <c r="C202" i="6"/>
  <c r="C870" i="6"/>
  <c r="D850" i="6"/>
  <c r="A663" i="6"/>
  <c r="C730" i="6"/>
  <c r="C674" i="6"/>
  <c r="F649" i="6"/>
  <c r="F1039" i="6"/>
  <c r="E651" i="6"/>
  <c r="D898" i="6"/>
  <c r="B720" i="6"/>
  <c r="A40" i="6"/>
  <c r="E834" i="6"/>
  <c r="C856" i="6"/>
  <c r="F872" i="6"/>
  <c r="D710" i="6"/>
  <c r="B598" i="6"/>
  <c r="C875" i="6"/>
  <c r="A697" i="6"/>
  <c r="B885" i="6"/>
  <c r="F644" i="6"/>
  <c r="C38" i="6"/>
  <c r="A838" i="6"/>
  <c r="E629" i="6"/>
  <c r="C833" i="6"/>
  <c r="B837" i="6"/>
  <c r="F616" i="6"/>
  <c r="A884" i="6"/>
  <c r="C644" i="6"/>
  <c r="A655" i="6"/>
  <c r="F844" i="6"/>
  <c r="D689" i="6"/>
  <c r="B662" i="6"/>
  <c r="C717" i="6"/>
  <c r="F596" i="6"/>
  <c r="B848" i="6"/>
  <c r="F692" i="6"/>
  <c r="E693" i="6"/>
  <c r="A722" i="6"/>
  <c r="E676" i="6"/>
  <c r="D882" i="6"/>
  <c r="B638" i="6"/>
  <c r="D943" i="6"/>
  <c r="A849" i="6"/>
  <c r="E868" i="6"/>
  <c r="B870" i="6"/>
  <c r="F640" i="6"/>
  <c r="F980" i="6"/>
  <c r="E860" i="6"/>
  <c r="C624" i="6"/>
  <c r="D888" i="6"/>
  <c r="B713" i="6"/>
  <c r="D125" i="6"/>
  <c r="C853" i="6"/>
  <c r="A628" i="6"/>
  <c r="E726" i="6"/>
  <c r="D729" i="6"/>
  <c r="B615" i="6"/>
  <c r="C887" i="6"/>
  <c r="E712" i="6"/>
  <c r="F662" i="6"/>
  <c r="D858" i="6"/>
  <c r="B688" i="6"/>
  <c r="D608" i="6"/>
  <c r="E687" i="6"/>
  <c r="E640" i="6"/>
  <c r="E887" i="6"/>
  <c r="D629" i="6"/>
  <c r="F888" i="6"/>
  <c r="C885" i="6"/>
  <c r="B838" i="6"/>
  <c r="A842" i="6"/>
  <c r="B865" i="6"/>
  <c r="A839" i="6"/>
  <c r="D889" i="6"/>
  <c r="B680" i="6"/>
  <c r="C648" i="6"/>
  <c r="F1043" i="6"/>
  <c r="B689" i="6"/>
  <c r="C845" i="6"/>
  <c r="D1231" i="6"/>
  <c r="D649" i="6"/>
  <c r="B1026" i="6"/>
  <c r="A715" i="6"/>
  <c r="A179" i="6"/>
  <c r="C1318" i="6"/>
  <c r="B1318" i="6"/>
  <c r="E1108" i="6"/>
  <c r="E880" i="6"/>
  <c r="B723" i="6"/>
  <c r="F603" i="6"/>
  <c r="E652" i="6"/>
  <c r="D947" i="6"/>
  <c r="B645" i="6"/>
  <c r="A729" i="6"/>
  <c r="C642" i="6"/>
  <c r="A836" i="6"/>
  <c r="D644" i="6"/>
  <c r="F964" i="6"/>
  <c r="A844" i="6"/>
  <c r="C867" i="6"/>
  <c r="B867" i="6"/>
  <c r="F705" i="6"/>
  <c r="F1088" i="6"/>
  <c r="E845" i="6"/>
  <c r="C691" i="6"/>
  <c r="D879" i="6"/>
  <c r="B708" i="6"/>
  <c r="D967" i="6"/>
  <c r="C860" i="6"/>
  <c r="A624" i="6"/>
  <c r="A634" i="6"/>
  <c r="D725" i="6"/>
  <c r="B681" i="6"/>
  <c r="C869" i="6"/>
  <c r="E699" i="6"/>
  <c r="A627" i="6"/>
  <c r="B727" i="6"/>
  <c r="F683" i="6"/>
  <c r="A886" i="6"/>
  <c r="F29" i="6"/>
  <c r="C626" i="6"/>
  <c r="C702" i="6"/>
  <c r="A856" i="6"/>
  <c r="B608" i="6"/>
  <c r="F847" i="6"/>
  <c r="E838" i="6"/>
  <c r="F700" i="6"/>
  <c r="C850" i="6"/>
  <c r="D670" i="6"/>
  <c r="B633" i="6"/>
  <c r="C865" i="6"/>
  <c r="C683" i="6"/>
  <c r="B652" i="6"/>
  <c r="D1013" i="6"/>
  <c r="B834" i="6"/>
  <c r="B659" i="6"/>
  <c r="C710" i="6"/>
  <c r="F882" i="6"/>
  <c r="B611" i="6"/>
  <c r="C654" i="6"/>
  <c r="D1027" i="6"/>
  <c r="B631" i="6"/>
  <c r="E881" i="6"/>
  <c r="E614" i="6"/>
  <c r="B649" i="6"/>
  <c r="F972" i="6"/>
  <c r="E828" i="6"/>
  <c r="C1083" i="6"/>
  <c r="B1274" i="6"/>
  <c r="F957" i="6"/>
  <c r="D893" i="6"/>
  <c r="C1228" i="6"/>
  <c r="A1079" i="6"/>
  <c r="E695" i="6"/>
  <c r="F880" i="6"/>
  <c r="D639" i="6"/>
  <c r="B962" i="6"/>
  <c r="C827" i="6"/>
  <c r="A1082" i="6"/>
  <c r="F1272" i="6"/>
  <c r="D956" i="6"/>
  <c r="B1049" i="6"/>
  <c r="A1227" i="6"/>
  <c r="E1077" i="6"/>
  <c r="E618" i="6"/>
  <c r="F842" i="6"/>
  <c r="D632" i="6"/>
  <c r="B901" i="6"/>
  <c r="C1095" i="6"/>
  <c r="A1070" i="6"/>
  <c r="F167" i="6"/>
  <c r="D944" i="6"/>
  <c r="B1015" i="6"/>
  <c r="A979" i="6"/>
  <c r="C1039" i="6"/>
  <c r="D42" i="6"/>
  <c r="D657" i="6"/>
  <c r="B686" i="6"/>
  <c r="C120" i="6"/>
  <c r="A950" i="6"/>
  <c r="E1020" i="6"/>
  <c r="D828" i="6"/>
  <c r="B1083" i="6"/>
  <c r="A125" i="6"/>
  <c r="E945" i="6"/>
  <c r="A747" i="6"/>
  <c r="B36" i="6"/>
  <c r="B729" i="6"/>
  <c r="F685" i="6"/>
  <c r="A128" i="6"/>
  <c r="E948" i="6"/>
  <c r="C1019" i="6"/>
  <c r="B827" i="6"/>
  <c r="F1081" i="6"/>
  <c r="E167" i="6"/>
  <c r="C944" i="6"/>
  <c r="E991" i="6"/>
  <c r="B1269" i="6"/>
  <c r="F728" i="6"/>
  <c r="D614" i="6"/>
  <c r="E118" i="6"/>
  <c r="C947" i="6"/>
  <c r="A1018" i="6"/>
  <c r="F825" i="6"/>
  <c r="C687" i="6"/>
  <c r="E127" i="6"/>
  <c r="D853" i="6"/>
  <c r="E630" i="6"/>
  <c r="A712" i="6"/>
  <c r="B604" i="6"/>
  <c r="F632" i="6"/>
  <c r="C851" i="6"/>
  <c r="B695" i="6"/>
  <c r="E656" i="6"/>
  <c r="C752" i="6"/>
  <c r="D698" i="6"/>
  <c r="A835" i="6"/>
  <c r="B660" i="6"/>
  <c r="D718" i="6"/>
  <c r="A686" i="6"/>
  <c r="M244" i="6" a="1"/>
  <c r="M244" i="6" s="1"/>
  <c r="F655" i="6"/>
  <c r="B613" i="6"/>
  <c r="D1079" i="6"/>
  <c r="E631" i="6"/>
  <c r="E866" i="6"/>
  <c r="D692" i="6"/>
  <c r="A1281" i="6"/>
  <c r="F660" i="6"/>
  <c r="A723" i="6"/>
  <c r="B880" i="6"/>
  <c r="B687" i="6"/>
  <c r="C844" i="6"/>
  <c r="B1074" i="6"/>
  <c r="F712" i="6"/>
  <c r="A879" i="6"/>
  <c r="A862" i="6"/>
  <c r="B721" i="6"/>
  <c r="E628" i="6"/>
  <c r="A701" i="6"/>
  <c r="B730" i="6"/>
  <c r="B929" i="6"/>
  <c r="C640" i="6"/>
  <c r="F874" i="6"/>
  <c r="F620" i="6"/>
  <c r="A837" i="6"/>
  <c r="B600" i="6"/>
  <c r="B634" i="6"/>
  <c r="E596" i="6"/>
  <c r="C975" i="6"/>
  <c r="A1026" i="6"/>
  <c r="F1209" i="6"/>
  <c r="D915" i="6"/>
  <c r="C1030" i="6"/>
  <c r="A971" i="6"/>
  <c r="C1037" i="6"/>
  <c r="C684" i="6"/>
  <c r="D851" i="6"/>
  <c r="B627" i="6"/>
  <c r="C662" i="6"/>
  <c r="A974" i="6"/>
  <c r="E1029" i="6"/>
  <c r="D1232" i="6"/>
  <c r="B914" i="6"/>
  <c r="E890" i="6"/>
  <c r="E969" i="6"/>
  <c r="E1031" i="6"/>
  <c r="C676" i="6"/>
  <c r="D847" i="6"/>
  <c r="B692" i="6"/>
  <c r="C40" i="6"/>
  <c r="A962" i="6"/>
  <c r="E939" i="6"/>
  <c r="D601" i="6"/>
  <c r="B898" i="6"/>
  <c r="A1274" i="6"/>
  <c r="E957" i="6"/>
  <c r="C913" i="6"/>
  <c r="F1029" i="6"/>
  <c r="B718" i="6"/>
  <c r="B606" i="6"/>
  <c r="A604" i="6"/>
  <c r="E904" i="6"/>
  <c r="E183" i="6"/>
  <c r="B975" i="6"/>
  <c r="F1025" i="6"/>
  <c r="E669" i="6"/>
  <c r="C899" i="6"/>
  <c r="A703" i="6"/>
  <c r="B940" i="6"/>
  <c r="F717" i="6"/>
  <c r="D663" i="6"/>
  <c r="E603" i="6"/>
  <c r="C903" i="6"/>
  <c r="A1036" i="6"/>
  <c r="F973" i="6"/>
  <c r="D1029" i="6"/>
  <c r="C601" i="6"/>
  <c r="A898" i="6"/>
  <c r="E632" i="6"/>
  <c r="D905" i="6"/>
  <c r="D646" i="6"/>
  <c r="D662" i="6"/>
  <c r="C670" i="6"/>
  <c r="A902" i="6"/>
  <c r="E633" i="6"/>
  <c r="A1260" i="6"/>
  <c r="C839" i="6"/>
  <c r="D728" i="6"/>
  <c r="B1210" i="6"/>
  <c r="E716" i="6"/>
  <c r="F913" i="6"/>
  <c r="F865" i="6"/>
  <c r="B1078" i="6"/>
  <c r="E642" i="6"/>
  <c r="D843" i="6"/>
  <c r="F607" i="6"/>
  <c r="E655" i="6"/>
  <c r="C701" i="6"/>
  <c r="D702" i="6"/>
  <c r="C861" i="6"/>
  <c r="A887" i="6"/>
  <c r="D645" i="6"/>
  <c r="E872" i="6"/>
  <c r="E619" i="6"/>
  <c r="D652" i="6"/>
  <c r="E717" i="6"/>
  <c r="E634" i="6"/>
  <c r="D840" i="6"/>
  <c r="D679" i="6"/>
  <c r="C725" i="6"/>
  <c r="F885" i="6"/>
  <c r="D699" i="6"/>
  <c r="A39" i="6"/>
  <c r="E964" i="6"/>
  <c r="C941" i="6"/>
  <c r="B670" i="6"/>
  <c r="F900" i="6"/>
  <c r="C1006" i="6"/>
  <c r="C960" i="6"/>
  <c r="A1049" i="6"/>
  <c r="E610" i="6"/>
  <c r="F848" i="6"/>
  <c r="D622" i="6"/>
  <c r="E38" i="6"/>
  <c r="C963" i="6"/>
  <c r="A940" i="6"/>
  <c r="F669" i="6"/>
  <c r="D899" i="6"/>
  <c r="B8" i="6"/>
  <c r="A959" i="6"/>
  <c r="E1045" i="6"/>
  <c r="D732" i="6"/>
  <c r="F730" i="6"/>
  <c r="D616" i="6"/>
  <c r="E1276" i="6"/>
  <c r="C631" i="6"/>
  <c r="E1180" i="6"/>
  <c r="A685" i="6"/>
  <c r="B646" i="6"/>
  <c r="A1048" i="6"/>
  <c r="C705" i="6"/>
  <c r="E689" i="6"/>
  <c r="B855" i="6"/>
  <c r="E850" i="6"/>
  <c r="C630" i="6"/>
  <c r="F878" i="6"/>
  <c r="F956" i="6"/>
  <c r="C715" i="6"/>
  <c r="A606" i="6"/>
  <c r="B621" i="6"/>
  <c r="E851" i="6"/>
  <c r="C695" i="6"/>
  <c r="B704" i="6"/>
  <c r="A867" i="6"/>
  <c r="C677" i="6"/>
  <c r="F718" i="6"/>
  <c r="C884" i="6"/>
  <c r="C694" i="6"/>
  <c r="F863" i="6"/>
  <c r="B1230" i="6"/>
  <c r="E719" i="6"/>
  <c r="D876" i="6"/>
  <c r="F693" i="6"/>
  <c r="C1270" i="6"/>
  <c r="A954" i="6"/>
  <c r="E913" i="6"/>
  <c r="D597" i="6"/>
  <c r="B1087" i="6"/>
  <c r="A120" i="6"/>
  <c r="E949" i="6"/>
  <c r="C1064" i="6"/>
  <c r="E595" i="6"/>
  <c r="B857" i="6"/>
  <c r="F687" i="6"/>
  <c r="A1269" i="6"/>
  <c r="E952" i="6"/>
  <c r="C905" i="6"/>
  <c r="B664" i="6"/>
  <c r="F1085" i="6"/>
  <c r="E122" i="6"/>
  <c r="C948" i="6"/>
  <c r="E1055" i="6"/>
  <c r="F1094" i="6"/>
  <c r="B725" i="6"/>
  <c r="F611" i="6"/>
  <c r="A824" i="6"/>
  <c r="E920" i="6"/>
  <c r="A984" i="6"/>
  <c r="B1223" i="6"/>
  <c r="F1073" i="6"/>
  <c r="E1209" i="6"/>
  <c r="C915" i="6"/>
  <c r="A694" i="6"/>
  <c r="B882" i="6"/>
  <c r="F637" i="6"/>
  <c r="F920" i="6"/>
  <c r="E1228" i="6"/>
  <c r="C1079" i="6"/>
  <c r="B1270" i="6"/>
  <c r="F953" i="6"/>
  <c r="D913" i="6"/>
  <c r="C1224" i="6"/>
  <c r="A1075" i="6"/>
  <c r="E622" i="6"/>
  <c r="F868" i="6"/>
  <c r="D636" i="6"/>
  <c r="B907" i="6"/>
  <c r="C1227" i="6"/>
  <c r="A1078" i="6"/>
  <c r="F1268" i="6"/>
  <c r="D952" i="6"/>
  <c r="B905" i="6"/>
  <c r="A1223" i="6"/>
  <c r="E1073" i="6"/>
  <c r="C692" i="6"/>
  <c r="D867" i="6"/>
  <c r="B706" i="6"/>
  <c r="D1091" i="6"/>
  <c r="A1226" i="6"/>
  <c r="E1076" i="6"/>
  <c r="F876" i="6"/>
  <c r="B874" i="6"/>
  <c r="F851" i="6"/>
  <c r="B614" i="6"/>
  <c r="F857" i="6"/>
  <c r="B661" i="6"/>
  <c r="E858" i="6"/>
  <c r="D835" i="6"/>
  <c r="C632" i="6"/>
  <c r="A620" i="6"/>
  <c r="D837" i="6"/>
  <c r="D1049" i="6"/>
  <c r="A635" i="6"/>
  <c r="B888" i="6"/>
  <c r="F680" i="6"/>
  <c r="C857" i="6"/>
  <c r="B1096" i="6"/>
  <c r="F694" i="6"/>
  <c r="C838" i="6"/>
  <c r="F597" i="6"/>
  <c r="D638" i="6"/>
  <c r="E869" i="6"/>
  <c r="A613" i="6"/>
  <c r="B845" i="6"/>
  <c r="A737" i="6"/>
  <c r="A642" i="6"/>
  <c r="F852" i="6"/>
  <c r="D682" i="6"/>
  <c r="E841" i="6"/>
  <c r="C943" i="6"/>
  <c r="C1013" i="6"/>
  <c r="F1225" i="6"/>
  <c r="D1076" i="6"/>
  <c r="C1212" i="6"/>
  <c r="A919" i="6"/>
  <c r="E641" i="6"/>
  <c r="D827" i="6"/>
  <c r="D653" i="6"/>
  <c r="B612" i="6"/>
  <c r="C831" i="6"/>
  <c r="A922" i="6"/>
  <c r="E986" i="6"/>
  <c r="D1224" i="6"/>
  <c r="B1075" i="6"/>
  <c r="A1211" i="6"/>
  <c r="E916" i="6"/>
  <c r="E704" i="6"/>
  <c r="D1071" i="6"/>
  <c r="D719" i="6"/>
  <c r="A607" i="6"/>
  <c r="C672" i="6"/>
  <c r="A907" i="6"/>
  <c r="C59" i="6"/>
  <c r="D976" i="6"/>
  <c r="D688" i="6"/>
  <c r="F696" i="6"/>
  <c r="B617" i="6"/>
  <c r="A662" i="6"/>
  <c r="D720" i="6"/>
  <c r="F1084" i="6"/>
  <c r="C649" i="6"/>
  <c r="F715" i="6"/>
  <c r="A874" i="6"/>
  <c r="C685" i="6"/>
  <c r="B648" i="6"/>
  <c r="E722" i="6"/>
  <c r="E623" i="6"/>
  <c r="F856" i="6"/>
  <c r="E606" i="6"/>
  <c r="A720" i="6"/>
  <c r="F884" i="6"/>
  <c r="D613" i="6"/>
  <c r="A833" i="6"/>
  <c r="D1087" i="6"/>
  <c r="B626" i="6"/>
  <c r="A864" i="6"/>
  <c r="F731" i="6"/>
  <c r="F723" i="6"/>
  <c r="E708" i="6"/>
  <c r="E701" i="6"/>
  <c r="B836" i="6"/>
  <c r="F608" i="6"/>
  <c r="A1230" i="6"/>
  <c r="E910" i="6"/>
  <c r="E745" i="6"/>
  <c r="B979" i="6"/>
  <c r="F1040" i="6"/>
  <c r="E671" i="6"/>
  <c r="C904" i="6"/>
  <c r="A705" i="6"/>
  <c r="B1082" i="6"/>
  <c r="F648" i="6"/>
  <c r="D675" i="6"/>
  <c r="E605" i="6"/>
  <c r="C908" i="6"/>
  <c r="A52" i="6"/>
  <c r="F977" i="6"/>
  <c r="D1039" i="6"/>
  <c r="C603" i="6"/>
  <c r="A903" i="6"/>
  <c r="A700" i="6"/>
  <c r="B887" i="6"/>
  <c r="F713" i="6"/>
  <c r="F1276" i="6"/>
  <c r="E599" i="6"/>
  <c r="C1091" i="6"/>
  <c r="B42" i="6"/>
  <c r="F965" i="6"/>
  <c r="D942" i="6"/>
  <c r="C597" i="6"/>
  <c r="A1087" i="6"/>
  <c r="E682" i="6"/>
  <c r="F875" i="6"/>
  <c r="D697" i="6"/>
  <c r="E660" i="6"/>
  <c r="C971" i="6"/>
  <c r="A1038" i="6"/>
  <c r="F1229" i="6"/>
  <c r="D910" i="6"/>
  <c r="C748" i="6"/>
  <c r="A967" i="6"/>
  <c r="A941" i="6"/>
  <c r="C612" i="6"/>
  <c r="D863" i="6"/>
  <c r="B625" i="6"/>
  <c r="C732" i="6"/>
  <c r="A970" i="6"/>
  <c r="E1037" i="6"/>
  <c r="D605" i="6"/>
  <c r="B908" i="6"/>
  <c r="E75" i="6"/>
  <c r="E965" i="6"/>
  <c r="E935" i="6"/>
  <c r="A681" i="6"/>
  <c r="B862" i="6"/>
  <c r="F624" i="6"/>
  <c r="A659" i="6"/>
  <c r="E968" i="6"/>
  <c r="C1033" i="6"/>
  <c r="B672" i="6"/>
  <c r="B712" i="6"/>
  <c r="C866" i="6"/>
  <c r="A881" i="6"/>
  <c r="E870" i="6"/>
  <c r="C889" i="6"/>
  <c r="D617" i="6"/>
  <c r="B843" i="6"/>
  <c r="E839" i="6"/>
  <c r="D864" i="6"/>
  <c r="F686" i="6"/>
  <c r="C682" i="6"/>
  <c r="C668" i="6"/>
  <c r="B1033" i="6"/>
  <c r="D886" i="6"/>
  <c r="E1092" i="6"/>
  <c r="E665" i="6"/>
  <c r="B707" i="6"/>
  <c r="C1028" i="6"/>
  <c r="B1027" i="6"/>
  <c r="E900" i="6"/>
  <c r="D856" i="6"/>
  <c r="B984" i="6"/>
  <c r="E1043" i="6"/>
  <c r="B943" i="6"/>
  <c r="E977" i="6"/>
  <c r="A617" i="6"/>
  <c r="F630" i="6"/>
  <c r="E980" i="6"/>
  <c r="B831" i="6"/>
  <c r="B986" i="6"/>
  <c r="E1025" i="6"/>
  <c r="F838" i="6"/>
  <c r="E674" i="6"/>
  <c r="A1041" i="6"/>
  <c r="B1095" i="6"/>
  <c r="F1069" i="6"/>
  <c r="E1229" i="6"/>
  <c r="C910" i="6"/>
  <c r="A621" i="6"/>
  <c r="B866" i="6"/>
  <c r="F635" i="6"/>
  <c r="F1080" i="6"/>
  <c r="E1224" i="6"/>
  <c r="C1075" i="6"/>
  <c r="B120" i="6"/>
  <c r="F949" i="6"/>
  <c r="D1020" i="6"/>
  <c r="C1094" i="6"/>
  <c r="A1071" i="6"/>
  <c r="A631" i="6"/>
  <c r="C53" i="6"/>
  <c r="F645" i="6"/>
  <c r="A732" i="6"/>
  <c r="E601" i="6"/>
  <c r="C898" i="6"/>
  <c r="B732" i="6"/>
  <c r="F969" i="6"/>
  <c r="D1037" i="6"/>
  <c r="C599" i="6"/>
  <c r="A1091" i="6"/>
  <c r="B118" i="6"/>
  <c r="F929" i="6"/>
  <c r="D1017" i="6"/>
  <c r="E598" i="6"/>
  <c r="C1089" i="6"/>
  <c r="F40" i="6"/>
  <c r="D962" i="6"/>
  <c r="B935" i="6"/>
  <c r="A671" i="6"/>
  <c r="E903" i="6"/>
  <c r="B746" i="6"/>
  <c r="D669" i="6"/>
  <c r="B899" i="6"/>
  <c r="C607" i="6"/>
  <c r="A980" i="6"/>
  <c r="E1041" i="6"/>
  <c r="B823" i="6"/>
  <c r="F919" i="6"/>
  <c r="A1067" i="6"/>
  <c r="C1226" i="6"/>
  <c r="A1077" i="6"/>
  <c r="E937" i="6"/>
  <c r="B976" i="6"/>
  <c r="F1026" i="6"/>
  <c r="A118" i="6"/>
  <c r="E929" i="6"/>
  <c r="C1017" i="6"/>
  <c r="F1227" i="6"/>
  <c r="D1078" i="6"/>
  <c r="C1273" i="6"/>
  <c r="A957" i="6"/>
  <c r="A1017" i="6"/>
  <c r="C74" i="6"/>
  <c r="F974" i="6"/>
  <c r="E678" i="6"/>
  <c r="F654" i="6"/>
  <c r="B674" i="6"/>
  <c r="C878" i="6"/>
  <c r="A1222" i="6"/>
  <c r="F1017" i="6"/>
  <c r="B861" i="6"/>
  <c r="C1071" i="6"/>
  <c r="C980" i="6"/>
  <c r="F626" i="6"/>
  <c r="A901" i="6"/>
  <c r="F1045" i="6"/>
  <c r="C1076" i="6"/>
  <c r="B846" i="6"/>
  <c r="A36" i="6"/>
  <c r="C938" i="6"/>
  <c r="F1093" i="6"/>
  <c r="C956" i="6"/>
  <c r="E675" i="6"/>
  <c r="D620" i="6"/>
  <c r="C959" i="6"/>
  <c r="F667" i="6"/>
  <c r="C1271" i="6"/>
  <c r="A1019" i="6"/>
  <c r="D833" i="6"/>
  <c r="C1274" i="6"/>
  <c r="E893" i="6"/>
  <c r="D972" i="6"/>
  <c r="B1028" i="6"/>
  <c r="A668" i="6"/>
  <c r="E1093" i="6"/>
  <c r="C686" i="6"/>
  <c r="D855" i="6"/>
  <c r="B629" i="6"/>
  <c r="C606" i="6"/>
  <c r="A978" i="6"/>
  <c r="E1039" i="6"/>
  <c r="D1212" i="6"/>
  <c r="B919" i="6"/>
  <c r="A1065" i="6"/>
  <c r="E973" i="6"/>
  <c r="A1028" i="6"/>
  <c r="C625" i="6"/>
  <c r="D870" i="6"/>
  <c r="B709" i="6"/>
  <c r="D1095" i="6"/>
  <c r="A123" i="6"/>
  <c r="E1084" i="6"/>
  <c r="D1275" i="6"/>
  <c r="B959" i="6"/>
  <c r="F894" i="6"/>
  <c r="E825" i="6"/>
  <c r="C1080" i="6"/>
  <c r="D1209" i="6"/>
  <c r="B915" i="6"/>
  <c r="E930" i="6"/>
  <c r="A1228" i="6"/>
  <c r="E1078" i="6"/>
  <c r="B1268" i="6"/>
  <c r="F951" i="6"/>
  <c r="D901" i="6"/>
  <c r="C598" i="6"/>
  <c r="A1089" i="6"/>
  <c r="D183" i="6"/>
  <c r="D1085" i="6"/>
  <c r="E659" i="6"/>
  <c r="C969" i="6"/>
  <c r="A1037" i="6"/>
  <c r="D604" i="6"/>
  <c r="B906" i="6"/>
  <c r="E64" i="6"/>
  <c r="E979" i="6"/>
  <c r="C1041" i="6"/>
  <c r="F39" i="6"/>
  <c r="D965" i="6"/>
  <c r="B942" i="6"/>
  <c r="C1209" i="6"/>
  <c r="A915" i="6"/>
  <c r="C934" i="6"/>
  <c r="B981" i="6"/>
  <c r="F1042" i="6"/>
  <c r="F707" i="6"/>
  <c r="F609" i="6"/>
  <c r="E836" i="6"/>
  <c r="C690" i="6"/>
  <c r="A1097" i="6"/>
  <c r="A666" i="6"/>
  <c r="B644" i="6"/>
  <c r="D731" i="6"/>
  <c r="C1088" i="6"/>
  <c r="D951" i="6"/>
  <c r="D1271" i="6"/>
  <c r="A744" i="6"/>
  <c r="C942" i="6"/>
  <c r="F724" i="6"/>
  <c r="E1212" i="6"/>
  <c r="E1065" i="6"/>
  <c r="D1072" i="6"/>
  <c r="A914" i="6"/>
  <c r="D963" i="6"/>
  <c r="B679" i="6"/>
  <c r="A918" i="6"/>
  <c r="D1094" i="6"/>
  <c r="A1231" i="6"/>
  <c r="C707" i="6"/>
  <c r="B651" i="6"/>
  <c r="A1210" i="6"/>
  <c r="E1044" i="6"/>
  <c r="F961" i="6"/>
  <c r="D939" i="6"/>
  <c r="C828" i="6"/>
  <c r="A1083" i="6"/>
  <c r="E680" i="6"/>
  <c r="F835" i="6"/>
  <c r="D695" i="6"/>
  <c r="E731" i="6"/>
  <c r="C967" i="6"/>
  <c r="A1032" i="6"/>
  <c r="F671" i="6"/>
  <c r="D904" i="6"/>
  <c r="C182" i="6"/>
  <c r="A963" i="6"/>
  <c r="A938" i="6"/>
  <c r="E620" i="6"/>
  <c r="F864" i="6"/>
  <c r="D704" i="6"/>
  <c r="B1070" i="6"/>
  <c r="C1223" i="6"/>
  <c r="A1074" i="6"/>
  <c r="D948" i="6"/>
  <c r="B1019" i="6"/>
  <c r="A1095" i="6"/>
  <c r="E1069" i="6"/>
  <c r="F602" i="6"/>
  <c r="D900" i="6"/>
  <c r="A67" i="6"/>
  <c r="C981" i="6"/>
  <c r="A1043" i="6"/>
  <c r="D824" i="6"/>
  <c r="B921" i="6"/>
  <c r="F984" i="6"/>
  <c r="E1227" i="6"/>
  <c r="C1078" i="6"/>
  <c r="C1044" i="6"/>
  <c r="B1224" i="6"/>
  <c r="F1074" i="6"/>
  <c r="A1275" i="6"/>
  <c r="E958" i="6"/>
  <c r="C894" i="6"/>
  <c r="F666" i="6"/>
  <c r="D1090" i="6"/>
  <c r="C659" i="6"/>
  <c r="A969" i="6"/>
  <c r="A1031" i="6"/>
  <c r="B1271" i="6"/>
  <c r="F954" i="6"/>
  <c r="D1045" i="6"/>
  <c r="E602" i="6"/>
  <c r="C900" i="6"/>
  <c r="C591" i="6"/>
  <c r="D970" i="6"/>
  <c r="B1034" i="6"/>
  <c r="A1209" i="6"/>
  <c r="E914" i="6"/>
  <c r="D1044" i="6"/>
  <c r="F1269" i="6"/>
  <c r="F1020" i="6"/>
  <c r="D1042" i="6"/>
  <c r="A645" i="6"/>
  <c r="A678" i="6"/>
  <c r="E1072" i="6"/>
  <c r="E981" i="6"/>
  <c r="F633" i="6"/>
  <c r="B125" i="6"/>
  <c r="A1042" i="6"/>
  <c r="A661" i="6"/>
  <c r="B1231" i="6"/>
  <c r="C118" i="6"/>
  <c r="C927" i="6"/>
  <c r="D712" i="6"/>
  <c r="C666" i="6"/>
  <c r="F41" i="6"/>
  <c r="B941" i="6"/>
  <c r="E1085" i="6"/>
  <c r="D874" i="6"/>
  <c r="D672" i="6"/>
  <c r="E1088" i="6"/>
  <c r="B963" i="6"/>
  <c r="E829" i="6"/>
  <c r="A698" i="6"/>
  <c r="F710" i="6"/>
  <c r="E597" i="6"/>
  <c r="A754" i="6"/>
  <c r="B951" i="6"/>
  <c r="F1021" i="6"/>
  <c r="E3" i="6"/>
  <c r="C1072" i="6"/>
  <c r="D606" i="6"/>
  <c r="B832" i="6"/>
  <c r="F689" i="6"/>
  <c r="A1273" i="6"/>
  <c r="E956" i="6"/>
  <c r="C1049" i="6"/>
  <c r="B666" i="6"/>
  <c r="F1089" i="6"/>
  <c r="E1268" i="6"/>
  <c r="C952" i="6"/>
  <c r="A1015" i="6"/>
  <c r="A615" i="6"/>
  <c r="B854" i="6"/>
  <c r="F628" i="6"/>
  <c r="A673" i="6"/>
  <c r="E976" i="6"/>
  <c r="C1027" i="6"/>
  <c r="B1211" i="6"/>
  <c r="F916" i="6"/>
  <c r="A1057" i="6"/>
  <c r="C972" i="6"/>
  <c r="E1034" i="6"/>
  <c r="B597" i="6"/>
  <c r="F1086" i="6"/>
  <c r="A660" i="6"/>
  <c r="E970" i="6"/>
  <c r="C1034" i="6"/>
  <c r="F672" i="6"/>
  <c r="D907" i="6"/>
  <c r="C50" i="6"/>
  <c r="A981" i="6"/>
  <c r="E1042" i="6"/>
  <c r="E757" i="6"/>
  <c r="D977" i="6"/>
  <c r="B1039" i="6"/>
  <c r="C122" i="6"/>
  <c r="A948" i="6"/>
  <c r="E1018" i="6"/>
  <c r="B825" i="6"/>
  <c r="F1079" i="6"/>
  <c r="E1274" i="6"/>
  <c r="C958" i="6"/>
  <c r="E1019" i="6"/>
  <c r="D167" i="6"/>
  <c r="B944" i="6"/>
  <c r="F1014" i="6"/>
  <c r="A597" i="6"/>
  <c r="E1086" i="6"/>
  <c r="B37" i="6"/>
  <c r="F959" i="6"/>
  <c r="D895" i="6"/>
  <c r="C602" i="6"/>
  <c r="A900" i="6"/>
  <c r="D745" i="6"/>
  <c r="A689" i="6"/>
  <c r="E650" i="6"/>
  <c r="F976" i="6"/>
  <c r="F726" i="6"/>
  <c r="F658" i="6"/>
  <c r="E1089" i="6"/>
  <c r="E37" i="6"/>
  <c r="B967" i="6"/>
  <c r="C623" i="6"/>
  <c r="A826" i="6"/>
  <c r="F829" i="6"/>
  <c r="A670" i="6"/>
  <c r="C688" i="6"/>
  <c r="B702" i="6"/>
  <c r="A1096" i="6"/>
  <c r="D841" i="6"/>
  <c r="F1012" i="6"/>
  <c r="A1027" i="6"/>
  <c r="B840" i="6"/>
  <c r="E43" i="6"/>
  <c r="C1042" i="6"/>
  <c r="F921" i="6"/>
  <c r="C976" i="6"/>
  <c r="E616" i="6"/>
  <c r="D701" i="6"/>
  <c r="C979" i="6"/>
  <c r="B40" i="6"/>
  <c r="D920" i="6"/>
  <c r="D1068" i="6"/>
  <c r="A975" i="6"/>
  <c r="C1029" i="6"/>
  <c r="D831" i="6"/>
  <c r="D727" i="6"/>
  <c r="B684" i="6"/>
  <c r="C125" i="6"/>
  <c r="A929" i="6"/>
  <c r="E1016" i="6"/>
  <c r="D1228" i="6"/>
  <c r="B1079" i="6"/>
  <c r="A831" i="6"/>
  <c r="E921" i="6"/>
  <c r="C679" i="6"/>
  <c r="D834" i="6"/>
  <c r="B623" i="6"/>
  <c r="C42" i="6"/>
  <c r="A966" i="6"/>
  <c r="E942" i="6"/>
  <c r="D603" i="6"/>
  <c r="B903" i="6"/>
  <c r="C896" i="6"/>
  <c r="E961" i="6"/>
  <c r="E894" i="6"/>
  <c r="D1225" i="6"/>
  <c r="B1076" i="6"/>
  <c r="C37" i="6"/>
  <c r="A960" i="6"/>
  <c r="E895" i="6"/>
  <c r="B667" i="6"/>
  <c r="F1091" i="6"/>
  <c r="E732" i="6"/>
  <c r="C970" i="6"/>
  <c r="C1032" i="6"/>
  <c r="B731" i="6"/>
  <c r="F966" i="6"/>
  <c r="D1031" i="6"/>
  <c r="E1210" i="6"/>
  <c r="C916" i="6"/>
  <c r="A1053" i="6"/>
  <c r="D1096" i="6"/>
  <c r="B1069" i="6"/>
  <c r="A122" i="6"/>
  <c r="E947" i="6"/>
  <c r="E214" i="6"/>
  <c r="F1230" i="6"/>
  <c r="D911" i="6"/>
  <c r="C756" i="6"/>
  <c r="C1225" i="6"/>
  <c r="A1076" i="6"/>
  <c r="D128" i="6"/>
  <c r="B949" i="6"/>
  <c r="F1019" i="6"/>
  <c r="D846" i="6"/>
  <c r="E705" i="6"/>
  <c r="E626" i="6"/>
  <c r="D714" i="6"/>
  <c r="D118" i="6"/>
  <c r="C1043" i="6"/>
  <c r="F939" i="6"/>
  <c r="F945" i="6"/>
  <c r="A683" i="6"/>
  <c r="E972" i="6"/>
  <c r="B955" i="6"/>
  <c r="E1225" i="6"/>
  <c r="A609" i="6"/>
  <c r="F691" i="6"/>
  <c r="E960" i="6"/>
  <c r="B668" i="6"/>
  <c r="E1272" i="6"/>
  <c r="C1020" i="6"/>
  <c r="F850" i="6"/>
  <c r="E1275" i="6"/>
  <c r="A895" i="6"/>
  <c r="D1092" i="6"/>
  <c r="A955" i="6"/>
  <c r="B607" i="6"/>
  <c r="B690" i="6"/>
  <c r="A958" i="6"/>
  <c r="D1276" i="6"/>
  <c r="F906" i="6"/>
  <c r="A58" i="6"/>
  <c r="C964" i="6"/>
  <c r="C939" i="6"/>
  <c r="B922" i="6"/>
  <c r="F722" i="6"/>
  <c r="D610" i="6"/>
  <c r="E1232" i="6"/>
  <c r="C914" i="6"/>
  <c r="A946" i="6"/>
  <c r="F981" i="6"/>
  <c r="D1043" i="6"/>
  <c r="C605" i="6"/>
  <c r="A908" i="6"/>
  <c r="A647" i="6"/>
  <c r="E663" i="6"/>
  <c r="F859" i="6"/>
  <c r="D618" i="6"/>
  <c r="E1271" i="6"/>
  <c r="C955" i="6"/>
  <c r="A1047" i="6"/>
  <c r="F665" i="6"/>
  <c r="D1088" i="6"/>
  <c r="C1276" i="6"/>
  <c r="A951" i="6"/>
  <c r="E1012" i="6"/>
  <c r="F978" i="6"/>
  <c r="D1040" i="6"/>
  <c r="E128" i="6"/>
  <c r="C949" i="6"/>
  <c r="A1020" i="6"/>
  <c r="D826" i="6"/>
  <c r="B1081" i="6"/>
  <c r="A37" i="6"/>
  <c r="E959" i="6"/>
  <c r="C901" i="6"/>
  <c r="D1272" i="6"/>
  <c r="B956" i="6"/>
  <c r="F1047" i="6"/>
  <c r="A603" i="6"/>
  <c r="E902" i="6"/>
  <c r="A988" i="6"/>
  <c r="F971" i="6"/>
  <c r="D1038" i="6"/>
  <c r="C1210" i="6"/>
  <c r="A916" i="6"/>
  <c r="B1050" i="6"/>
  <c r="B601" i="6"/>
  <c r="F1097" i="6"/>
  <c r="A674" i="6"/>
  <c r="E978" i="6"/>
  <c r="C1040" i="6"/>
  <c r="F1211" i="6"/>
  <c r="D918" i="6"/>
  <c r="C1062" i="6"/>
  <c r="A1225" i="6"/>
  <c r="E1075" i="6"/>
  <c r="A746" i="6"/>
  <c r="F841" i="6"/>
  <c r="A649" i="6"/>
  <c r="D711" i="6"/>
  <c r="A42" i="6"/>
  <c r="D968" i="6"/>
  <c r="C629" i="6"/>
  <c r="A600" i="6"/>
  <c r="F1031" i="6"/>
  <c r="D881" i="6"/>
  <c r="C951" i="6"/>
  <c r="F911" i="6"/>
  <c r="C968" i="6"/>
  <c r="B974" i="6"/>
  <c r="D680" i="6"/>
  <c r="C919" i="6"/>
  <c r="F3" i="6"/>
  <c r="C1232" i="6"/>
  <c r="E639" i="6"/>
  <c r="D723" i="6"/>
  <c r="C1211" i="6"/>
  <c r="C1058" i="6"/>
  <c r="B1071" i="6"/>
  <c r="E911" i="6"/>
  <c r="F952" i="6"/>
  <c r="F677" i="6"/>
  <c r="E915" i="6"/>
  <c r="F823" i="6"/>
  <c r="B1091" i="6"/>
  <c r="A1270" i="6"/>
  <c r="E953" i="6"/>
  <c r="C1016" i="6"/>
  <c r="F986" i="6"/>
  <c r="B716" i="6"/>
  <c r="D595" i="6"/>
  <c r="A602" i="6"/>
  <c r="E899" i="6"/>
  <c r="A116" i="6"/>
  <c r="B971" i="6"/>
  <c r="F1034" i="6"/>
  <c r="E667" i="6"/>
  <c r="C1092" i="6"/>
  <c r="C711" i="6"/>
  <c r="F605" i="6"/>
  <c r="B655" i="6"/>
  <c r="F613" i="6"/>
  <c r="A166" i="6"/>
  <c r="E944" i="6"/>
  <c r="C1015" i="6"/>
  <c r="B1227" i="6"/>
  <c r="F1077" i="6"/>
  <c r="E823" i="6"/>
  <c r="C920" i="6"/>
  <c r="B88" i="6"/>
  <c r="B968" i="6"/>
  <c r="F1032" i="6"/>
  <c r="A1212" i="6"/>
  <c r="E918" i="6"/>
  <c r="A1063" i="6"/>
  <c r="F1095" i="6"/>
  <c r="D1070" i="6"/>
  <c r="C128" i="6"/>
  <c r="A949" i="6"/>
  <c r="A49" i="6"/>
  <c r="F166" i="6"/>
  <c r="D945" i="6"/>
  <c r="B1016" i="6"/>
  <c r="C665" i="6"/>
  <c r="A1088" i="6"/>
  <c r="D36" i="6"/>
  <c r="B961" i="6"/>
  <c r="F938" i="6"/>
  <c r="E670" i="6"/>
  <c r="C902" i="6"/>
  <c r="D757" i="6"/>
  <c r="D829" i="6"/>
  <c r="B1084" i="6"/>
  <c r="C658" i="6"/>
  <c r="A968" i="6"/>
  <c r="E1032" i="6"/>
  <c r="B671" i="6"/>
  <c r="F903" i="6"/>
  <c r="A215" i="6"/>
  <c r="C978" i="6"/>
  <c r="A1040" i="6"/>
  <c r="A905" i="6"/>
  <c r="B828" i="6"/>
  <c r="D635" i="6"/>
  <c r="E697" i="6"/>
  <c r="D877" i="6"/>
  <c r="D625" i="6"/>
  <c r="D1028" i="6"/>
  <c r="B947" i="6"/>
  <c r="A619" i="6"/>
  <c r="E1094" i="6"/>
  <c r="D1016" i="6"/>
  <c r="B878" i="6"/>
  <c r="E1080" i="6"/>
  <c r="D1084" i="6"/>
  <c r="A947" i="6"/>
  <c r="F889" i="6"/>
  <c r="B824" i="6"/>
  <c r="A1090" i="6"/>
  <c r="D964" i="6"/>
  <c r="A664" i="6"/>
  <c r="C627" i="6"/>
  <c r="B711" i="6"/>
  <c r="A598" i="6"/>
  <c r="D38" i="6"/>
  <c r="F935" i="6"/>
  <c r="C1084" i="6"/>
  <c r="B873" i="6"/>
  <c r="F599" i="6"/>
  <c r="C1087" i="6"/>
  <c r="D599" i="6"/>
  <c r="D1080" i="6"/>
  <c r="C841" i="6"/>
  <c r="A943" i="6"/>
  <c r="D37" i="6"/>
  <c r="F871" i="6"/>
  <c r="D641" i="6"/>
  <c r="B826" i="6"/>
  <c r="C664" i="6"/>
  <c r="A1086" i="6"/>
  <c r="F37" i="6"/>
  <c r="D960" i="6"/>
  <c r="B938" i="6"/>
  <c r="A827" i="6"/>
  <c r="E1081" i="6"/>
  <c r="E636" i="6"/>
  <c r="D908" i="6"/>
  <c r="D721" i="6"/>
  <c r="B676" i="6"/>
  <c r="C1231" i="6"/>
  <c r="A912" i="6"/>
  <c r="C746" i="6"/>
  <c r="D980" i="6"/>
  <c r="B1042" i="6"/>
  <c r="A672" i="6"/>
  <c r="E906" i="6"/>
  <c r="F1273" i="6"/>
  <c r="D957" i="6"/>
  <c r="B893" i="6"/>
  <c r="C671" i="6"/>
  <c r="A904" i="6"/>
  <c r="C218" i="6"/>
  <c r="B973" i="6"/>
  <c r="F1028" i="6"/>
  <c r="E1211" i="6"/>
  <c r="C918" i="6"/>
  <c r="D1055" i="6"/>
  <c r="B1232" i="6"/>
  <c r="F912" i="6"/>
  <c r="A926" i="6"/>
  <c r="E1226" i="6"/>
  <c r="C1077" i="6"/>
  <c r="D950" i="6"/>
  <c r="B1021" i="6"/>
  <c r="A665" i="6"/>
  <c r="E1087" i="6"/>
  <c r="F219" i="6"/>
  <c r="F1222" i="6"/>
  <c r="D1073" i="6"/>
  <c r="E1273" i="6"/>
  <c r="C957" i="6"/>
  <c r="A893" i="6"/>
  <c r="D598" i="6"/>
  <c r="B1089" i="6"/>
  <c r="A658" i="6"/>
  <c r="E967" i="6"/>
  <c r="E941" i="6"/>
  <c r="E664" i="6"/>
  <c r="D1229" i="6"/>
  <c r="F1082" i="6"/>
  <c r="A731" i="6"/>
  <c r="E966" i="6"/>
  <c r="C1031" i="6"/>
  <c r="F670" i="6"/>
  <c r="D902" i="6"/>
  <c r="A1244" i="6"/>
  <c r="A977" i="6"/>
  <c r="E1027" i="6"/>
  <c r="E1021" i="6"/>
  <c r="F826" i="6"/>
  <c r="D1081" i="6"/>
  <c r="E39" i="6"/>
  <c r="C965" i="6"/>
  <c r="A942" i="6"/>
  <c r="D602" i="6"/>
  <c r="B900" i="6"/>
  <c r="E577" i="6"/>
  <c r="E975" i="6"/>
  <c r="C1026" i="6"/>
  <c r="A204" i="6"/>
  <c r="B972" i="6"/>
  <c r="F1038" i="6"/>
  <c r="A841" i="6"/>
  <c r="E922" i="6"/>
  <c r="A1012" i="6"/>
  <c r="F1223" i="6"/>
  <c r="D1074" i="6"/>
  <c r="C1269" i="6"/>
  <c r="A953" i="6"/>
  <c r="A1061" i="6"/>
  <c r="F598" i="6"/>
  <c r="D1089" i="6"/>
  <c r="E661" i="6"/>
  <c r="C973" i="6"/>
  <c r="A1029" i="6"/>
  <c r="D1230" i="6"/>
  <c r="B911" i="6"/>
  <c r="E740" i="6"/>
  <c r="E1095" i="6"/>
  <c r="C1070" i="6"/>
  <c r="C183" i="6"/>
  <c r="D122" i="6"/>
  <c r="B948" i="6"/>
  <c r="F1018" i="6"/>
  <c r="A599" i="6"/>
  <c r="E1090" i="6"/>
  <c r="B41" i="6"/>
  <c r="F963" i="6"/>
  <c r="D940" i="6"/>
  <c r="C604" i="6"/>
  <c r="A906" i="6"/>
  <c r="F909" i="6"/>
  <c r="E1247" i="6"/>
  <c r="C736" i="6"/>
  <c r="B931" i="6"/>
  <c r="C16" i="6"/>
  <c r="E204" i="6"/>
  <c r="F756" i="6"/>
  <c r="A1064" i="6"/>
  <c r="E218" i="6"/>
  <c r="D74" i="6"/>
  <c r="A1021" i="6"/>
  <c r="F735" i="6"/>
  <c r="C1059" i="6"/>
  <c r="A207" i="6"/>
  <c r="F52" i="6"/>
  <c r="E926" i="6"/>
  <c r="F1013" i="6"/>
  <c r="D69" i="6"/>
  <c r="E923" i="6"/>
  <c r="B1065" i="6"/>
  <c r="E1303" i="6"/>
  <c r="D937" i="6"/>
  <c r="D1115" i="6"/>
  <c r="A216" i="6"/>
  <c r="B741" i="6"/>
  <c r="C1061" i="6"/>
  <c r="A217" i="6"/>
  <c r="B58" i="6"/>
  <c r="C1018" i="6"/>
  <c r="B748" i="6"/>
  <c r="E1056" i="6"/>
  <c r="A896" i="6"/>
  <c r="B75" i="6"/>
  <c r="C929" i="6"/>
  <c r="F600" i="6"/>
  <c r="B1072" i="6"/>
  <c r="C1272" i="6"/>
  <c r="A956" i="6"/>
  <c r="E1047" i="6"/>
  <c r="B665" i="6"/>
  <c r="F1087" i="6"/>
  <c r="E42" i="6"/>
  <c r="C966" i="6"/>
  <c r="C940" i="6"/>
  <c r="C1068" i="6"/>
  <c r="B1094" i="6"/>
  <c r="F1070" i="6"/>
  <c r="A1271" i="6"/>
  <c r="E954" i="6"/>
  <c r="C1045" i="6"/>
  <c r="F664" i="6"/>
  <c r="D1086" i="6"/>
  <c r="C39" i="6"/>
  <c r="A965" i="6"/>
  <c r="A935" i="6"/>
  <c r="F36" i="6"/>
  <c r="D961" i="6"/>
  <c r="B939" i="6"/>
  <c r="C1229" i="6"/>
  <c r="A910" i="6"/>
  <c r="C733" i="6"/>
  <c r="B977" i="6"/>
  <c r="F1027" i="6"/>
  <c r="E831" i="6"/>
  <c r="C922" i="6"/>
  <c r="B1066" i="6"/>
  <c r="B1228" i="6"/>
  <c r="F1078" i="6"/>
  <c r="A38" i="6"/>
  <c r="E962" i="6"/>
  <c r="C935" i="6"/>
  <c r="F668" i="6"/>
  <c r="D1097" i="6"/>
  <c r="C661" i="6"/>
  <c r="A973" i="6"/>
  <c r="E1028" i="6"/>
  <c r="E1040" i="6"/>
  <c r="F1210" i="6"/>
  <c r="D916" i="6"/>
  <c r="C1054" i="6"/>
  <c r="C825" i="6"/>
  <c r="A1080" i="6"/>
  <c r="D1269" i="6"/>
  <c r="B953" i="6"/>
  <c r="F905" i="6"/>
  <c r="E666" i="6"/>
  <c r="C1090" i="6"/>
  <c r="D73" i="6"/>
  <c r="E22" i="6"/>
  <c r="E44" i="6"/>
  <c r="D909" i="6"/>
  <c r="C1056" i="6"/>
  <c r="D992" i="6"/>
  <c r="B759" i="6"/>
  <c r="C1053" i="6"/>
  <c r="D988" i="6"/>
  <c r="C1244" i="6"/>
  <c r="C1066" i="6"/>
  <c r="B53" i="6"/>
  <c r="E1046" i="6"/>
  <c r="C751" i="6"/>
  <c r="B43" i="6"/>
  <c r="A757" i="6"/>
  <c r="B1064" i="6"/>
  <c r="F218" i="6"/>
  <c r="A741" i="6"/>
  <c r="D1054" i="6"/>
  <c r="E32" i="6"/>
  <c r="F744" i="6"/>
  <c r="E1053" i="6"/>
  <c r="A989" i="6"/>
  <c r="D742" i="6"/>
  <c r="E1050" i="6"/>
  <c r="D1235" i="6"/>
  <c r="A580" i="6"/>
  <c r="C1050" i="6"/>
  <c r="D75" i="6"/>
  <c r="A1030" i="6"/>
  <c r="C1086" i="6"/>
  <c r="D3" i="6"/>
  <c r="D1025" i="6"/>
  <c r="E166" i="6"/>
  <c r="C945" i="6"/>
  <c r="A1016" i="6"/>
  <c r="D1226" i="6"/>
  <c r="B1077" i="6"/>
  <c r="A1272" i="6"/>
  <c r="E955" i="6"/>
  <c r="A1014" i="6"/>
  <c r="E73" i="6"/>
  <c r="D973" i="6"/>
  <c r="B1029" i="6"/>
  <c r="C167" i="6"/>
  <c r="A944" i="6"/>
  <c r="E1014" i="6"/>
  <c r="B1225" i="6"/>
  <c r="F1075" i="6"/>
  <c r="E1270" i="6"/>
  <c r="C954" i="6"/>
  <c r="E984" i="6"/>
  <c r="B1276" i="6"/>
  <c r="F950" i="6"/>
  <c r="D1021" i="6"/>
  <c r="E600" i="6"/>
  <c r="C1093" i="6"/>
  <c r="F42" i="6"/>
  <c r="D966" i="6"/>
  <c r="B1031" i="6"/>
  <c r="A1229" i="6"/>
  <c r="E908" i="6"/>
  <c r="F937" i="6"/>
  <c r="D981" i="6"/>
  <c r="B1043" i="6"/>
  <c r="C1268" i="6"/>
  <c r="A952" i="6"/>
  <c r="E901" i="6"/>
  <c r="B829" i="6"/>
  <c r="F1083" i="6"/>
  <c r="E40" i="6"/>
  <c r="C962" i="6"/>
  <c r="E1049" i="6"/>
  <c r="A1033" i="6"/>
  <c r="B603" i="6"/>
  <c r="F902" i="6"/>
  <c r="F989" i="6"/>
  <c r="E1096" i="6"/>
  <c r="C1069" i="6"/>
  <c r="F831" i="6"/>
  <c r="D922" i="6"/>
  <c r="D987" i="6"/>
  <c r="A825" i="6"/>
  <c r="E1079" i="6"/>
  <c r="A1058" i="6"/>
  <c r="C986" i="6"/>
  <c r="A62" i="6"/>
  <c r="F737" i="6"/>
  <c r="E1022" i="6"/>
  <c r="A999" i="6"/>
  <c r="D72" i="6"/>
  <c r="E934" i="6"/>
  <c r="A819" i="6"/>
  <c r="D1002" i="6"/>
  <c r="C62" i="6"/>
  <c r="D43" i="6"/>
  <c r="A936" i="6"/>
  <c r="E25" i="6"/>
  <c r="D195" i="6"/>
  <c r="C759" i="6"/>
  <c r="D1053" i="6"/>
  <c r="E988" i="6"/>
  <c r="C742" i="6"/>
  <c r="F930" i="6"/>
  <c r="F586" i="6"/>
  <c r="B745" i="6"/>
  <c r="A930" i="6"/>
  <c r="E821" i="6"/>
  <c r="F50" i="6"/>
  <c r="A932" i="6"/>
  <c r="E571" i="6"/>
  <c r="B1277" i="6"/>
  <c r="A1235" i="6"/>
  <c r="F57" i="6"/>
  <c r="C890" i="6"/>
  <c r="B1149" i="6"/>
  <c r="A24" i="6"/>
  <c r="B964" i="6"/>
  <c r="F940" i="6"/>
  <c r="A1232" i="6"/>
  <c r="E912" i="6"/>
  <c r="E924" i="6"/>
  <c r="F979" i="6"/>
  <c r="D1041" i="6"/>
  <c r="C166" i="6"/>
  <c r="A945" i="6"/>
  <c r="D986" i="6"/>
  <c r="B38" i="6"/>
  <c r="F962" i="6"/>
  <c r="D935" i="6"/>
  <c r="E1230" i="6"/>
  <c r="C911" i="6"/>
  <c r="A755" i="6"/>
  <c r="D978" i="6"/>
  <c r="B1040" i="6"/>
  <c r="A167" i="6"/>
  <c r="E943" i="6"/>
  <c r="F1068" i="6"/>
  <c r="D823" i="6"/>
  <c r="B920" i="6"/>
  <c r="E1067" i="6"/>
  <c r="A828" i="6"/>
  <c r="E1082" i="6"/>
  <c r="B1272" i="6"/>
  <c r="F955" i="6"/>
  <c r="D1047" i="6"/>
  <c r="C600" i="6"/>
  <c r="A1093" i="6"/>
  <c r="B74" i="6"/>
  <c r="F970" i="6"/>
  <c r="D1034" i="6"/>
  <c r="E824" i="6"/>
  <c r="C921" i="6"/>
  <c r="C985" i="6"/>
  <c r="D1222" i="6"/>
  <c r="B1073" i="6"/>
  <c r="A1268" i="6"/>
  <c r="E951" i="6"/>
  <c r="E931" i="6"/>
  <c r="C893" i="6"/>
  <c r="D665" i="6"/>
  <c r="B1088" i="6"/>
  <c r="C595" i="6"/>
  <c r="A972" i="6"/>
  <c r="E1038" i="6"/>
  <c r="B1229" i="6"/>
  <c r="F908" i="6"/>
  <c r="A742" i="6"/>
  <c r="C1096" i="6"/>
  <c r="A1069" i="6"/>
  <c r="B739" i="6"/>
  <c r="E1060" i="6"/>
  <c r="C214" i="6"/>
  <c r="B736" i="6"/>
  <c r="A890" i="6"/>
  <c r="F1152" i="6"/>
  <c r="F70" i="6"/>
  <c r="A925" i="6"/>
  <c r="D1066" i="6"/>
  <c r="D1148" i="6"/>
  <c r="B985" i="6"/>
  <c r="F195" i="6"/>
  <c r="C897" i="6"/>
  <c r="B1059" i="6"/>
  <c r="F1036" i="6"/>
  <c r="E72" i="6"/>
  <c r="F934" i="6"/>
  <c r="C820" i="6"/>
  <c r="E50" i="6"/>
  <c r="F924" i="6"/>
  <c r="E1035" i="6"/>
  <c r="D51" i="6"/>
  <c r="C925" i="6"/>
  <c r="D1012" i="6"/>
  <c r="B68" i="6"/>
  <c r="C917" i="6"/>
  <c r="F1063" i="6"/>
  <c r="C734" i="6"/>
  <c r="D1067" i="6"/>
  <c r="B182" i="6"/>
  <c r="E743" i="6"/>
  <c r="F1035" i="6"/>
  <c r="D953" i="6"/>
  <c r="B913" i="6"/>
  <c r="C669" i="6"/>
  <c r="A899" i="6"/>
  <c r="D659" i="6"/>
  <c r="B969" i="6"/>
  <c r="F1033" i="6"/>
  <c r="E1231" i="6"/>
  <c r="C912" i="6"/>
  <c r="F1003" i="6"/>
  <c r="D1268" i="6"/>
  <c r="B952" i="6"/>
  <c r="F901" i="6"/>
  <c r="A601" i="6"/>
  <c r="E1097" i="6"/>
  <c r="B658" i="6"/>
  <c r="F967" i="6"/>
  <c r="D1032" i="6"/>
  <c r="C1230" i="6"/>
  <c r="A911" i="6"/>
  <c r="D931" i="6"/>
  <c r="F604" i="6"/>
  <c r="D906" i="6"/>
  <c r="C70" i="6"/>
  <c r="C3" i="6"/>
  <c r="A1072" i="6"/>
  <c r="D166" i="6"/>
  <c r="B945" i="6"/>
  <c r="F1015" i="6"/>
  <c r="E827" i="6"/>
  <c r="C1082" i="6"/>
  <c r="B143" i="6"/>
  <c r="B960" i="6"/>
  <c r="F895" i="6"/>
  <c r="A605" i="6"/>
  <c r="E907" i="6"/>
  <c r="E54" i="6"/>
  <c r="F975" i="6"/>
  <c r="D1026" i="6"/>
  <c r="C824" i="6"/>
  <c r="A921" i="6"/>
  <c r="F1060" i="6"/>
  <c r="E1017" i="6"/>
  <c r="F1226" i="6"/>
  <c r="D1077" i="6"/>
  <c r="E36" i="6"/>
  <c r="C961" i="6"/>
  <c r="A939" i="6"/>
  <c r="D600" i="6"/>
  <c r="B1093" i="6"/>
  <c r="A595" i="6"/>
  <c r="E971" i="6"/>
  <c r="A1034" i="6"/>
  <c r="D736" i="6"/>
  <c r="A1050" i="6"/>
  <c r="B1247" i="6"/>
  <c r="D44" i="6"/>
  <c r="C743" i="6"/>
  <c r="D1065" i="6"/>
  <c r="B219" i="6"/>
  <c r="C755" i="6"/>
  <c r="F1055" i="6"/>
  <c r="C22" i="6"/>
  <c r="D1059" i="6"/>
  <c r="B207" i="6"/>
  <c r="E735" i="6"/>
  <c r="D1046" i="6"/>
  <c r="A751" i="6"/>
  <c r="A73" i="6"/>
  <c r="B925" i="6"/>
  <c r="C1012" i="6"/>
  <c r="A68" i="6"/>
  <c r="F745" i="6"/>
  <c r="C48" i="6"/>
  <c r="F58" i="6"/>
  <c r="E755" i="6"/>
  <c r="F1062" i="6"/>
  <c r="D215" i="6"/>
  <c r="E739" i="6"/>
  <c r="B1053" i="6"/>
  <c r="F575" i="6"/>
  <c r="F1056" i="6"/>
  <c r="B896" i="6"/>
  <c r="A748" i="6"/>
  <c r="F1022" i="6"/>
  <c r="C1001" i="6"/>
  <c r="A986" i="6"/>
  <c r="F922" i="6"/>
  <c r="B1012" i="6"/>
  <c r="E123" i="6"/>
  <c r="C1085" i="6"/>
  <c r="F1274" i="6"/>
  <c r="D958" i="6"/>
  <c r="B894" i="6"/>
  <c r="A669" i="6"/>
  <c r="E898" i="6"/>
  <c r="F759" i="6"/>
  <c r="F824" i="6"/>
  <c r="D921" i="6"/>
  <c r="D985" i="6"/>
  <c r="C829" i="6"/>
  <c r="A1084" i="6"/>
  <c r="D1273" i="6"/>
  <c r="B957" i="6"/>
  <c r="F1049" i="6"/>
  <c r="E668" i="6"/>
  <c r="C1097" i="6"/>
  <c r="F51" i="6"/>
  <c r="B599" i="6"/>
  <c r="F1090" i="6"/>
  <c r="A596" i="6"/>
  <c r="E974" i="6"/>
  <c r="C1025" i="6"/>
  <c r="F1231" i="6"/>
  <c r="D912" i="6"/>
  <c r="C923" i="6"/>
  <c r="A3" i="6"/>
  <c r="E1071" i="6"/>
  <c r="A59" i="6"/>
  <c r="D949" i="6"/>
  <c r="B1020" i="6"/>
  <c r="C667" i="6"/>
  <c r="A1092" i="6"/>
  <c r="D39" i="6"/>
  <c r="B965" i="6"/>
  <c r="F941" i="6"/>
  <c r="E672" i="6"/>
  <c r="C907" i="6"/>
  <c r="B927" i="6"/>
  <c r="A1022" i="6"/>
  <c r="B980" i="6"/>
  <c r="F1041" i="6"/>
  <c r="A1276" i="6"/>
  <c r="E950" i="6"/>
  <c r="C1021" i="6"/>
  <c r="F827" i="6"/>
  <c r="D1082" i="6"/>
  <c r="C36" i="6"/>
  <c r="A961" i="6"/>
  <c r="A1045" i="6"/>
  <c r="F44" i="6"/>
  <c r="C931" i="6"/>
  <c r="C21" i="6"/>
  <c r="F1281" i="6"/>
  <c r="E747" i="6"/>
  <c r="F1054" i="6"/>
  <c r="D990" i="6"/>
  <c r="E733" i="6"/>
  <c r="B1022" i="6"/>
  <c r="D822" i="6"/>
  <c r="F1046" i="6"/>
  <c r="A752" i="6"/>
  <c r="A53" i="6"/>
  <c r="F946" i="6"/>
  <c r="E569" i="6"/>
  <c r="C219" i="6"/>
  <c r="D755" i="6"/>
  <c r="E1062" i="6"/>
  <c r="C215" i="6"/>
  <c r="D50" i="6"/>
  <c r="D574" i="6"/>
  <c r="B183" i="6"/>
  <c r="A758" i="6"/>
  <c r="B1052" i="6"/>
  <c r="A891" i="6"/>
  <c r="A738" i="6"/>
  <c r="D934" i="6"/>
  <c r="B585" i="6"/>
  <c r="B1030" i="6"/>
  <c r="A1005" i="6"/>
  <c r="C75" i="6"/>
  <c r="B890" i="6"/>
  <c r="D41" i="6"/>
  <c r="B910" i="6"/>
  <c r="E758" i="6"/>
  <c r="A1224" i="6"/>
  <c r="E1074" i="6"/>
  <c r="B122" i="6"/>
  <c r="F947" i="6"/>
  <c r="D1018" i="6"/>
  <c r="C123" i="6"/>
  <c r="A1085" i="6"/>
  <c r="C991" i="6"/>
  <c r="B605" i="6"/>
  <c r="F907" i="6"/>
  <c r="A72" i="6"/>
  <c r="E1222" i="6"/>
  <c r="C1073" i="6"/>
  <c r="D929" i="6"/>
  <c r="B1017" i="6"/>
  <c r="A829" i="6"/>
  <c r="E1083" i="6"/>
  <c r="E734" i="6"/>
  <c r="D825" i="6"/>
  <c r="B1080" i="6"/>
  <c r="C41" i="6"/>
  <c r="A964" i="6"/>
  <c r="E940" i="6"/>
  <c r="B669" i="6"/>
  <c r="F898" i="6"/>
  <c r="E662" i="6"/>
  <c r="C974" i="6"/>
  <c r="A1025" i="6"/>
  <c r="B1212" i="6"/>
  <c r="F918" i="6"/>
  <c r="E1063" i="6"/>
  <c r="E826" i="6"/>
  <c r="C1081" i="6"/>
  <c r="F1270" i="6"/>
  <c r="D954" i="6"/>
  <c r="B1045" i="6"/>
  <c r="A667" i="6"/>
  <c r="E1091" i="6"/>
  <c r="B59" i="6"/>
  <c r="E994" i="6"/>
  <c r="D969" i="6"/>
  <c r="B1037" i="6"/>
  <c r="C823" i="6"/>
  <c r="A920" i="6"/>
  <c r="B1067" i="6"/>
  <c r="B3" i="6"/>
  <c r="F1071" i="6"/>
  <c r="E120" i="6"/>
  <c r="C950" i="6"/>
  <c r="C739" i="6"/>
  <c r="B62" i="6"/>
  <c r="E909" i="6"/>
  <c r="D1060" i="6"/>
  <c r="B214" i="6"/>
  <c r="A75" i="6"/>
  <c r="B1003" i="6"/>
  <c r="A61" i="6"/>
  <c r="A71" i="6"/>
  <c r="D927" i="6"/>
  <c r="C1038" i="6"/>
  <c r="B936" i="6"/>
  <c r="A5" i="6"/>
  <c r="C43" i="6"/>
  <c r="B897" i="6"/>
  <c r="A1055" i="6"/>
  <c r="E990" i="6"/>
  <c r="F733" i="6"/>
  <c r="A1052" i="6"/>
  <c r="E1244" i="6"/>
  <c r="A996" i="6"/>
  <c r="F1057" i="6"/>
  <c r="D1035" i="6"/>
  <c r="C71" i="6"/>
  <c r="D933" i="6"/>
  <c r="E582" i="6"/>
  <c r="C49" i="6"/>
  <c r="D923" i="6"/>
  <c r="E1033" i="6"/>
  <c r="D890" i="6"/>
  <c r="D1145" i="6"/>
  <c r="E57" i="6"/>
  <c r="D743" i="6"/>
  <c r="C1052" i="6"/>
  <c r="B891" i="6"/>
  <c r="E125" i="6"/>
  <c r="B841" i="6"/>
  <c r="D1093" i="6"/>
  <c r="E673" i="6"/>
  <c r="C977" i="6"/>
  <c r="A1039" i="6"/>
  <c r="D1210" i="6"/>
  <c r="B916" i="6"/>
  <c r="E1051" i="6"/>
  <c r="E1223" i="6"/>
  <c r="C1074" i="6"/>
  <c r="C745" i="6"/>
  <c r="D667" i="6"/>
  <c r="B1092" i="6"/>
  <c r="C663" i="6"/>
  <c r="A976" i="6"/>
  <c r="E1026" i="6"/>
  <c r="B1209" i="6"/>
  <c r="F914" i="6"/>
  <c r="A933" i="6"/>
  <c r="C1222" i="6"/>
  <c r="A1073" i="6"/>
  <c r="E51" i="6"/>
  <c r="F1096" i="6"/>
  <c r="D1069" i="6"/>
  <c r="E1269" i="6"/>
  <c r="C953" i="6"/>
  <c r="A913" i="6"/>
  <c r="D123" i="6"/>
  <c r="B1085" i="6"/>
  <c r="A41" i="6"/>
  <c r="E963" i="6"/>
  <c r="C895" i="6"/>
  <c r="D671" i="6"/>
  <c r="B904" i="6"/>
  <c r="E216" i="6"/>
  <c r="A1094" i="6"/>
  <c r="E1070" i="6"/>
  <c r="B167" i="6"/>
  <c r="F943" i="6"/>
  <c r="B1014" i="6"/>
  <c r="C826" i="6"/>
  <c r="A1081" i="6"/>
  <c r="E1068" i="6"/>
  <c r="B1275" i="6"/>
  <c r="F958" i="6"/>
  <c r="D894" i="6"/>
  <c r="E604" i="6"/>
  <c r="C906" i="6"/>
  <c r="A69" i="6"/>
  <c r="D974" i="6"/>
  <c r="B1025" i="6"/>
  <c r="A823" i="6"/>
  <c r="E919" i="6"/>
  <c r="B1058" i="6"/>
  <c r="D214" i="6"/>
  <c r="A739" i="6"/>
  <c r="F1048" i="6"/>
  <c r="A1247" i="6"/>
  <c r="C57" i="6"/>
  <c r="D926" i="6"/>
  <c r="E1013" i="6"/>
  <c r="C69" i="6"/>
  <c r="B737" i="6"/>
  <c r="E938" i="6"/>
  <c r="D897" i="6"/>
  <c r="A985" i="6"/>
  <c r="E195" i="6"/>
  <c r="D735" i="6"/>
  <c r="C1003" i="6"/>
  <c r="C46" i="6"/>
  <c r="B71" i="6"/>
  <c r="C933" i="6"/>
  <c r="C581" i="6"/>
  <c r="F1240" i="6"/>
  <c r="B1044" i="6"/>
  <c r="A45" i="6"/>
  <c r="E69" i="6"/>
  <c r="F923" i="6"/>
  <c r="A987" i="6"/>
  <c r="E62" i="6"/>
  <c r="D748" i="6"/>
  <c r="A894" i="6"/>
  <c r="F743" i="6"/>
  <c r="C1067" i="6"/>
  <c r="E1002" i="6"/>
  <c r="A924" i="6"/>
  <c r="D1061" i="6"/>
  <c r="B217" i="6"/>
  <c r="C737" i="6"/>
  <c r="F1051" i="6"/>
  <c r="F1146" i="6"/>
  <c r="C757" i="6"/>
  <c r="B1055" i="6"/>
  <c r="A991" i="6"/>
  <c r="E49" i="6"/>
  <c r="F936" i="6"/>
  <c r="C11" i="6"/>
  <c r="E59" i="6"/>
  <c r="D746" i="6"/>
  <c r="C1047" i="6"/>
  <c r="B756" i="6"/>
  <c r="E1064" i="6"/>
  <c r="C216" i="6"/>
  <c r="B758" i="6"/>
  <c r="A931" i="6"/>
  <c r="E18" i="6"/>
  <c r="F59" i="6"/>
  <c r="A937" i="6"/>
  <c r="F12" i="6"/>
  <c r="B21" i="6"/>
  <c r="D924" i="6"/>
  <c r="A1013" i="6"/>
  <c r="E68" i="6"/>
  <c r="D741" i="6"/>
  <c r="C1046" i="6"/>
  <c r="E750" i="6"/>
  <c r="B51" i="6"/>
  <c r="C1022" i="6"/>
  <c r="C997" i="6"/>
  <c r="F751" i="6"/>
  <c r="F987" i="6"/>
  <c r="D64" i="6"/>
  <c r="A923" i="6"/>
  <c r="F1061" i="6"/>
  <c r="D217" i="6"/>
  <c r="C51" i="6"/>
  <c r="D1022" i="6"/>
  <c r="E998" i="6"/>
  <c r="C72" i="6"/>
  <c r="F890" i="6"/>
  <c r="C1336" i="6"/>
  <c r="B164" i="6"/>
  <c r="B589" i="6"/>
  <c r="A1000" i="6"/>
  <c r="B586" i="6"/>
  <c r="B764" i="6"/>
  <c r="D70" i="6"/>
  <c r="D47" i="6"/>
  <c r="E1133" i="6"/>
  <c r="C25" i="6"/>
  <c r="D583" i="6"/>
  <c r="A994" i="6"/>
  <c r="B97" i="6"/>
  <c r="D20" i="6"/>
  <c r="A594" i="6"/>
  <c r="A565" i="6"/>
  <c r="D1119" i="6"/>
  <c r="E593" i="6"/>
  <c r="B584" i="6"/>
  <c r="C47" i="6"/>
  <c r="A105" i="6"/>
  <c r="E33" i="6"/>
  <c r="C592" i="6"/>
  <c r="F1001" i="6"/>
  <c r="F1113" i="6"/>
  <c r="D565" i="6"/>
  <c r="B784" i="6"/>
  <c r="D998" i="6"/>
  <c r="F788" i="6"/>
  <c r="C18" i="6"/>
  <c r="D594" i="6"/>
  <c r="A1002" i="6"/>
  <c r="B1139" i="6"/>
  <c r="D573" i="6"/>
  <c r="C67" i="6"/>
  <c r="D163" i="6"/>
  <c r="E811" i="6"/>
  <c r="F214" i="6"/>
  <c r="F594" i="6"/>
  <c r="A190" i="6"/>
  <c r="D17" i="6"/>
  <c r="F24" i="6"/>
  <c r="A821" i="6"/>
  <c r="D752" i="6"/>
  <c r="B33" i="6"/>
  <c r="C573" i="6"/>
  <c r="E795" i="6"/>
  <c r="F806" i="6"/>
  <c r="D1007" i="6"/>
  <c r="F15" i="6"/>
  <c r="C571" i="6"/>
  <c r="F67" i="6"/>
  <c r="A1279" i="6"/>
  <c r="A17" i="6"/>
  <c r="D580" i="6"/>
  <c r="C892" i="6"/>
  <c r="D566" i="6"/>
  <c r="E164" i="6"/>
  <c r="F117" i="6"/>
  <c r="F23" i="6"/>
  <c r="A63" i="6"/>
  <c r="D753" i="6"/>
  <c r="D575" i="6"/>
  <c r="A571" i="6"/>
  <c r="D996" i="6"/>
  <c r="B786" i="6"/>
  <c r="B783" i="6"/>
  <c r="D1285" i="6"/>
  <c r="E896" i="6"/>
  <c r="F589" i="6"/>
  <c r="A1006" i="6"/>
  <c r="B1126" i="6"/>
  <c r="F20" i="6"/>
  <c r="A593" i="6"/>
  <c r="D754" i="6"/>
  <c r="F143" i="6"/>
  <c r="A23" i="6"/>
  <c r="C108" i="6"/>
  <c r="A579" i="6"/>
  <c r="F998" i="6"/>
  <c r="F812" i="6"/>
  <c r="C766" i="6"/>
  <c r="F813" i="6"/>
  <c r="E1118" i="6"/>
  <c r="E1130" i="6"/>
  <c r="D100" i="6"/>
  <c r="A788" i="6"/>
  <c r="D1136" i="6"/>
  <c r="E816" i="6"/>
  <c r="F792" i="6"/>
  <c r="E1151" i="6"/>
  <c r="F1148" i="6"/>
  <c r="A1331" i="6"/>
  <c r="A809" i="6"/>
  <c r="D785" i="6"/>
  <c r="F1309" i="6"/>
  <c r="F1007" i="6"/>
  <c r="D8" i="6"/>
  <c r="C782" i="6"/>
  <c r="F817" i="6"/>
  <c r="E1123" i="6"/>
  <c r="E239" i="6"/>
  <c r="D107" i="6"/>
  <c r="A1099" i="6"/>
  <c r="D1139" i="6"/>
  <c r="E1129" i="6"/>
  <c r="E16" i="6"/>
  <c r="B590" i="6"/>
  <c r="C12" i="6"/>
  <c r="A81" i="6"/>
  <c r="D94" i="6"/>
  <c r="C814" i="6"/>
  <c r="D1114" i="6"/>
  <c r="A34" i="6"/>
  <c r="E786" i="6"/>
  <c r="B771" i="6"/>
  <c r="D769" i="6"/>
  <c r="D1244" i="6"/>
  <c r="F25" i="6"/>
  <c r="A1136" i="6"/>
  <c r="D1141" i="6"/>
  <c r="C104" i="6"/>
  <c r="A89" i="6"/>
  <c r="B795" i="6"/>
  <c r="D1056" i="6"/>
  <c r="C741" i="6"/>
  <c r="F1050" i="6"/>
  <c r="E1235" i="6"/>
  <c r="E53" i="6"/>
  <c r="B933" i="6"/>
  <c r="D19" i="6"/>
  <c r="E759" i="6"/>
  <c r="D1003" i="6"/>
  <c r="E47" i="6"/>
  <c r="A64" i="6"/>
  <c r="B909" i="6"/>
  <c r="C984" i="6"/>
  <c r="A195" i="6"/>
  <c r="B742" i="6"/>
  <c r="E1015" i="6"/>
  <c r="D758" i="6"/>
  <c r="A1054" i="6"/>
  <c r="C989" i="6"/>
  <c r="D71" i="6"/>
  <c r="C909" i="6"/>
  <c r="D984" i="6"/>
  <c r="B195" i="6"/>
  <c r="C744" i="6"/>
  <c r="F1059" i="6"/>
  <c r="C1278" i="6"/>
  <c r="F741" i="6"/>
  <c r="C1063" i="6"/>
  <c r="A218" i="6"/>
  <c r="F742" i="6"/>
  <c r="E946" i="6"/>
  <c r="A4" i="6"/>
  <c r="D58" i="6"/>
  <c r="E927" i="6"/>
  <c r="D782" i="6"/>
  <c r="D25" i="6"/>
  <c r="B1062" i="6"/>
  <c r="F217" i="6"/>
  <c r="C740" i="6"/>
  <c r="B1051" i="6"/>
  <c r="C1236" i="6"/>
  <c r="E58" i="6"/>
  <c r="F927" i="6"/>
  <c r="B789" i="6"/>
  <c r="E70" i="6"/>
  <c r="F740" i="6"/>
  <c r="A1007" i="6"/>
  <c r="D1125" i="6"/>
  <c r="D567" i="6"/>
  <c r="C61" i="6"/>
  <c r="D34" i="6"/>
  <c r="E1119" i="6"/>
  <c r="F216" i="6"/>
  <c r="F822" i="6"/>
  <c r="A48" i="6"/>
  <c r="A574" i="6"/>
  <c r="F573" i="6"/>
  <c r="C66" i="6"/>
  <c r="D1236" i="6"/>
  <c r="F16" i="6"/>
  <c r="C580" i="6"/>
  <c r="C1127" i="6"/>
  <c r="C1139" i="6"/>
  <c r="F992" i="6"/>
  <c r="D18" i="6"/>
  <c r="E822" i="6"/>
  <c r="B1279" i="6"/>
  <c r="B17" i="6"/>
  <c r="E20" i="6"/>
  <c r="B1240" i="6"/>
  <c r="E749" i="6"/>
  <c r="D760" i="6"/>
  <c r="A1115" i="6"/>
  <c r="F60" i="6"/>
  <c r="A760" i="6"/>
  <c r="E35" i="6"/>
  <c r="F580" i="6"/>
  <c r="C1240" i="6"/>
  <c r="D896" i="6"/>
  <c r="F11" i="6"/>
  <c r="C590" i="6"/>
  <c r="C1124" i="6"/>
  <c r="B817" i="6"/>
  <c r="C1235" i="6"/>
  <c r="B581" i="6"/>
  <c r="C998" i="6"/>
  <c r="D787" i="6"/>
  <c r="B7" i="6"/>
  <c r="C583" i="6"/>
  <c r="F190" i="6"/>
  <c r="F13" i="6"/>
  <c r="C5" i="6"/>
  <c r="A776" i="6"/>
  <c r="F43" i="6"/>
  <c r="F995" i="6"/>
  <c r="D763" i="6"/>
  <c r="E9" i="6"/>
  <c r="F590" i="6"/>
  <c r="C1000" i="6"/>
  <c r="F814" i="6"/>
  <c r="F566" i="6"/>
  <c r="E1277" i="6"/>
  <c r="B765" i="6"/>
  <c r="C106" i="6"/>
  <c r="D891" i="6"/>
  <c r="B6" i="6"/>
  <c r="C593" i="6"/>
  <c r="F1005" i="6"/>
  <c r="B1146" i="6"/>
  <c r="C9" i="6"/>
  <c r="F63" i="6"/>
  <c r="C45" i="6"/>
  <c r="B191" i="6"/>
  <c r="C764" i="6"/>
  <c r="E1007" i="6"/>
  <c r="B576" i="6"/>
  <c r="C994" i="6"/>
  <c r="D109" i="6"/>
  <c r="B25" i="6"/>
  <c r="C579" i="6"/>
  <c r="F1006" i="6"/>
  <c r="F1124" i="6"/>
  <c r="A33" i="6"/>
  <c r="D1120" i="6"/>
  <c r="C24" i="6"/>
  <c r="B61" i="6"/>
  <c r="A31" i="6"/>
  <c r="E91" i="6"/>
  <c r="B766" i="6"/>
  <c r="A1107" i="6"/>
  <c r="B1147" i="6"/>
  <c r="A1308" i="6"/>
  <c r="C781" i="6"/>
  <c r="F787" i="6"/>
  <c r="B1287" i="6"/>
  <c r="B108" i="6"/>
  <c r="A787" i="6"/>
  <c r="B1141" i="6"/>
  <c r="E115" i="6"/>
  <c r="C791" i="6"/>
  <c r="F818" i="6"/>
  <c r="B790" i="6"/>
  <c r="B996" i="6"/>
  <c r="D108" i="6"/>
  <c r="E764" i="6"/>
  <c r="B782" i="6"/>
  <c r="A1140" i="6"/>
  <c r="C1319" i="6"/>
  <c r="F97" i="6"/>
  <c r="C815" i="6"/>
  <c r="F1129" i="6"/>
  <c r="A107" i="6"/>
  <c r="B570" i="6"/>
  <c r="D576" i="6"/>
  <c r="E1147" i="6"/>
  <c r="A1303" i="6"/>
  <c r="F100" i="6"/>
  <c r="E771" i="6"/>
  <c r="F1098" i="6"/>
  <c r="C569" i="6"/>
  <c r="A90" i="6"/>
  <c r="D786" i="6"/>
  <c r="F747" i="6"/>
  <c r="E742" i="6"/>
  <c r="B932" i="6"/>
  <c r="A573" i="6"/>
  <c r="A44" i="6"/>
  <c r="F897" i="6"/>
  <c r="C928" i="6"/>
  <c r="A74" i="6"/>
  <c r="F926" i="6"/>
  <c r="E1061" i="6"/>
  <c r="C217" i="6"/>
  <c r="D737" i="6"/>
  <c r="E1058" i="6"/>
  <c r="C1036" i="6"/>
  <c r="F64" i="6"/>
  <c r="A917" i="6"/>
  <c r="F71" i="6"/>
  <c r="C930" i="6"/>
  <c r="C1277" i="6"/>
  <c r="F69" i="6"/>
  <c r="E737" i="6"/>
  <c r="F1058" i="6"/>
  <c r="D1036" i="6"/>
  <c r="E748" i="6"/>
  <c r="B1048" i="6"/>
  <c r="F45" i="6"/>
  <c r="B733" i="6"/>
  <c r="E1052" i="6"/>
  <c r="E891" i="6"/>
  <c r="B54" i="6"/>
  <c r="A897" i="6"/>
  <c r="B1068" i="6"/>
  <c r="F182" i="6"/>
  <c r="A743" i="6"/>
  <c r="D1058" i="6"/>
  <c r="E589" i="6"/>
  <c r="D1051" i="6"/>
  <c r="F1236" i="6"/>
  <c r="E738" i="6"/>
  <c r="D932" i="6"/>
  <c r="A20" i="6"/>
  <c r="A183" i="6"/>
  <c r="B743" i="6"/>
  <c r="C1065" i="6"/>
  <c r="A219" i="6"/>
  <c r="F75" i="6"/>
  <c r="C995" i="6"/>
  <c r="F90" i="6"/>
  <c r="F21" i="6"/>
  <c r="C819" i="6"/>
  <c r="E568" i="6"/>
  <c r="E1102" i="6"/>
  <c r="A990" i="6"/>
  <c r="B587" i="6"/>
  <c r="C1002" i="6"/>
  <c r="B1148" i="6"/>
  <c r="B18" i="6"/>
  <c r="C589" i="6"/>
  <c r="F48" i="6"/>
  <c r="C570" i="6"/>
  <c r="E11" i="6"/>
  <c r="E82" i="6"/>
  <c r="B755" i="6"/>
  <c r="B760" i="6"/>
  <c r="F35" i="6"/>
  <c r="A587" i="6"/>
  <c r="D1000" i="6"/>
  <c r="B785" i="6"/>
  <c r="A25" i="6"/>
  <c r="B822" i="6"/>
  <c r="A1008" i="6"/>
  <c r="F47" i="6"/>
  <c r="C1105" i="6"/>
  <c r="B820" i="6"/>
  <c r="C1279" i="6"/>
  <c r="D578" i="6"/>
  <c r="B571" i="6"/>
  <c r="C822" i="6"/>
  <c r="F760" i="6"/>
  <c r="A35" i="6"/>
  <c r="C567" i="6"/>
  <c r="E812" i="6"/>
  <c r="E1299" i="6"/>
  <c r="C566" i="6"/>
  <c r="D571" i="6"/>
  <c r="E60" i="6"/>
  <c r="B750" i="6"/>
  <c r="B117" i="6"/>
  <c r="E573" i="6"/>
  <c r="B1000" i="6"/>
  <c r="D784" i="6"/>
  <c r="F163" i="6"/>
  <c r="F93" i="6"/>
  <c r="B1281" i="6"/>
  <c r="B63" i="6"/>
  <c r="C750" i="6"/>
  <c r="B31" i="6"/>
  <c r="B577" i="6"/>
  <c r="E61" i="6"/>
  <c r="F990" i="6"/>
  <c r="B9" i="6"/>
  <c r="E587" i="6"/>
  <c r="E1120" i="6"/>
  <c r="F763" i="6"/>
  <c r="F753" i="6"/>
  <c r="F164" i="6"/>
  <c r="E579" i="6"/>
  <c r="B994" i="6"/>
  <c r="D113" i="6"/>
  <c r="E27" i="6"/>
  <c r="F591" i="6"/>
  <c r="E1001" i="6"/>
  <c r="D820" i="6"/>
  <c r="D817" i="6"/>
  <c r="B163" i="6"/>
  <c r="D22" i="6"/>
  <c r="E66" i="6"/>
  <c r="B734" i="6"/>
  <c r="F570" i="6"/>
  <c r="E24" i="6"/>
  <c r="B995" i="6"/>
  <c r="D89" i="6"/>
  <c r="D766" i="6"/>
  <c r="E796" i="6"/>
  <c r="E6" i="6"/>
  <c r="B819" i="6"/>
  <c r="C578" i="6"/>
  <c r="A87" i="6"/>
  <c r="D91" i="6"/>
  <c r="C788" i="6"/>
  <c r="D1118" i="6"/>
  <c r="C1251" i="6"/>
  <c r="E777" i="6"/>
  <c r="B781" i="6"/>
  <c r="D778" i="6"/>
  <c r="D82" i="6"/>
  <c r="C809" i="6"/>
  <c r="D1151" i="6"/>
  <c r="A575" i="6"/>
  <c r="E92" i="6"/>
  <c r="B791" i="6"/>
  <c r="A1298" i="6"/>
  <c r="D63" i="6"/>
  <c r="C116" i="6"/>
  <c r="A88" i="6"/>
  <c r="D764" i="6"/>
  <c r="C1099" i="6"/>
  <c r="D1123" i="6"/>
  <c r="C235" i="6"/>
  <c r="E798" i="6"/>
  <c r="B815" i="6"/>
  <c r="D1339" i="6"/>
  <c r="B1144" i="6"/>
  <c r="F22" i="6"/>
  <c r="A1119" i="6"/>
  <c r="C1132" i="6"/>
  <c r="C1307" i="6"/>
  <c r="A816" i="6"/>
  <c r="B814" i="6"/>
  <c r="E8" i="6"/>
  <c r="C1284" i="6"/>
  <c r="F89" i="6"/>
  <c r="C1320" i="6"/>
  <c r="B1005" i="6"/>
  <c r="D1149" i="6"/>
  <c r="D57" i="6"/>
  <c r="A54" i="6"/>
  <c r="D917" i="6"/>
  <c r="E985" i="6"/>
  <c r="C1281" i="6"/>
  <c r="B747" i="6"/>
  <c r="D102" i="6"/>
  <c r="C73" i="6"/>
  <c r="B757" i="6"/>
  <c r="A1051" i="6"/>
  <c r="A1236" i="6"/>
  <c r="F53" i="6"/>
  <c r="A1046" i="6"/>
  <c r="C749" i="6"/>
  <c r="D991" i="6"/>
  <c r="D1014" i="6"/>
  <c r="B70" i="6"/>
  <c r="E925" i="6"/>
  <c r="D1064" i="6"/>
  <c r="B216" i="6"/>
  <c r="A736" i="6"/>
  <c r="B1046" i="6"/>
  <c r="A750" i="6"/>
  <c r="A51" i="6"/>
  <c r="D936" i="6"/>
  <c r="A569" i="6"/>
  <c r="D54" i="6"/>
  <c r="A934" i="6"/>
  <c r="E588" i="6"/>
  <c r="D68" i="6"/>
  <c r="C735" i="6"/>
  <c r="D1057" i="6"/>
  <c r="A1035" i="6"/>
  <c r="C747" i="6"/>
  <c r="F1044" i="6"/>
  <c r="B1002" i="6"/>
  <c r="F932" i="6"/>
  <c r="C576" i="6"/>
  <c r="A50" i="6"/>
  <c r="F917" i="6"/>
  <c r="E1057" i="6"/>
  <c r="C1035" i="6"/>
  <c r="D747" i="6"/>
  <c r="E1054" i="6"/>
  <c r="C990" i="6"/>
  <c r="F991" i="6"/>
  <c r="E67" i="6"/>
  <c r="F1244" i="6"/>
  <c r="B32" i="6"/>
  <c r="E581" i="6"/>
  <c r="A1098" i="6"/>
  <c r="E12" i="6"/>
  <c r="C63" i="6"/>
  <c r="D585" i="6"/>
  <c r="E1240" i="6"/>
  <c r="C1338" i="6"/>
  <c r="D35" i="6"/>
  <c r="E567" i="6"/>
  <c r="B1004" i="6"/>
  <c r="D1121" i="6"/>
  <c r="E143" i="6"/>
  <c r="F1128" i="6"/>
  <c r="D733" i="6"/>
  <c r="D1279" i="6"/>
  <c r="E578" i="6"/>
  <c r="C585" i="6"/>
  <c r="F61" i="6"/>
  <c r="A734" i="6"/>
  <c r="D570" i="6"/>
  <c r="D586" i="6"/>
  <c r="C996" i="6"/>
  <c r="B580" i="6"/>
  <c r="F81" i="6"/>
  <c r="D582" i="6"/>
  <c r="E1000" i="6"/>
  <c r="B1136" i="6"/>
  <c r="D9" i="6"/>
  <c r="E586" i="6"/>
  <c r="B77" i="6"/>
  <c r="F565" i="6"/>
  <c r="A9" i="6"/>
  <c r="A1288" i="6"/>
  <c r="B917" i="6"/>
  <c r="B990" i="6"/>
  <c r="F9" i="6"/>
  <c r="A820" i="6"/>
  <c r="D1008" i="6"/>
  <c r="B15" i="6"/>
  <c r="A18" i="6"/>
  <c r="D61" i="6"/>
  <c r="A753" i="6"/>
  <c r="B45" i="6"/>
  <c r="E817" i="6"/>
  <c r="D207" i="6"/>
  <c r="D593" i="6"/>
  <c r="E1008" i="6"/>
  <c r="B12" i="6"/>
  <c r="D23" i="6"/>
  <c r="E819" i="6"/>
  <c r="B751" i="6"/>
  <c r="D27" i="6"/>
  <c r="A572" i="6"/>
  <c r="A765" i="6"/>
  <c r="B1264" i="6"/>
  <c r="B1006" i="6"/>
  <c r="F1126" i="6"/>
  <c r="A566" i="6"/>
  <c r="D66" i="6"/>
  <c r="E191" i="6"/>
  <c r="D30" i="6"/>
  <c r="B579" i="6"/>
  <c r="A1240" i="6"/>
  <c r="D11" i="6"/>
  <c r="A13" i="6"/>
  <c r="B1244" i="6"/>
  <c r="F32" i="6"/>
  <c r="A591" i="6"/>
  <c r="D1004" i="6"/>
  <c r="F1123" i="6"/>
  <c r="A7" i="6"/>
  <c r="D67" i="6"/>
  <c r="A77" i="6"/>
  <c r="D1001" i="6"/>
  <c r="E106" i="6"/>
  <c r="D116" i="6"/>
  <c r="D581" i="6"/>
  <c r="E1125" i="6"/>
  <c r="C1286" i="6"/>
  <c r="F86" i="6"/>
  <c r="E781" i="6"/>
  <c r="F1136" i="6"/>
  <c r="C143" i="6"/>
  <c r="A94" i="6"/>
  <c r="D777" i="6"/>
  <c r="D1299" i="6"/>
  <c r="D1296" i="6"/>
  <c r="E791" i="6"/>
  <c r="F785" i="6"/>
  <c r="C163" i="6"/>
  <c r="A79" i="6"/>
  <c r="D92" i="6"/>
  <c r="E1100" i="6"/>
  <c r="D591" i="6"/>
  <c r="E13" i="6"/>
  <c r="C102" i="6"/>
  <c r="F106" i="6"/>
  <c r="E815" i="6"/>
  <c r="F1139" i="6"/>
  <c r="C35" i="6"/>
  <c r="A762" i="6"/>
  <c r="D798" i="6"/>
  <c r="F775" i="6"/>
  <c r="E802" i="6"/>
  <c r="B5" i="6"/>
  <c r="C1107" i="6"/>
  <c r="F1118" i="6"/>
  <c r="A1131" i="6"/>
  <c r="C90" i="6"/>
  <c r="D771" i="6"/>
  <c r="A1122" i="6"/>
  <c r="C808" i="6"/>
  <c r="B1297" i="6"/>
  <c r="E584" i="6"/>
  <c r="D928" i="6"/>
  <c r="C1288" i="6"/>
  <c r="A777" i="6"/>
  <c r="D809" i="6"/>
  <c r="C1113" i="6"/>
  <c r="D1126" i="6"/>
  <c r="B1285" i="6"/>
  <c r="F204" i="6"/>
  <c r="C68" i="6"/>
  <c r="F739" i="6"/>
  <c r="A1060" i="6"/>
  <c r="E207" i="6"/>
  <c r="F73" i="6"/>
  <c r="A1066" i="6"/>
  <c r="E219" i="6"/>
  <c r="D759" i="6"/>
  <c r="C932" i="6"/>
  <c r="C584" i="6"/>
  <c r="B44" i="6"/>
  <c r="C946" i="6"/>
  <c r="D31" i="6"/>
  <c r="F592" i="6"/>
  <c r="F1064" i="6"/>
  <c r="D216" i="6"/>
  <c r="A756" i="6"/>
  <c r="F1053" i="6"/>
  <c r="B989" i="6"/>
  <c r="C44" i="6"/>
  <c r="D946" i="6"/>
  <c r="C34" i="6"/>
  <c r="C58" i="6"/>
  <c r="B744" i="6"/>
  <c r="B1013" i="6"/>
  <c r="F68" i="6"/>
  <c r="C924" i="6"/>
  <c r="B1063" i="6"/>
  <c r="F215" i="6"/>
  <c r="E52" i="6"/>
  <c r="F1030" i="6"/>
  <c r="C190" i="6"/>
  <c r="E74" i="6"/>
  <c r="B946" i="6"/>
  <c r="D1140" i="6"/>
  <c r="B923" i="6"/>
  <c r="E987" i="6"/>
  <c r="C64" i="6"/>
  <c r="B740" i="6"/>
  <c r="A1044" i="6"/>
  <c r="E1279" i="6"/>
  <c r="F74" i="6"/>
  <c r="A1003" i="6"/>
  <c r="E78" i="6"/>
  <c r="B48" i="6"/>
  <c r="E590" i="6"/>
  <c r="B753" i="6"/>
  <c r="B575" i="6"/>
  <c r="E21" i="6"/>
  <c r="C89" i="6"/>
  <c r="B926" i="6"/>
  <c r="B1035" i="6"/>
  <c r="F19" i="6"/>
  <c r="A1277" i="6"/>
  <c r="D77" i="6"/>
  <c r="B578" i="6"/>
  <c r="A22" i="6"/>
  <c r="D892" i="6"/>
  <c r="C805" i="6"/>
  <c r="F1247" i="6"/>
  <c r="E1146" i="6"/>
  <c r="F54" i="6"/>
  <c r="F1000" i="6"/>
  <c r="D1107" i="6"/>
  <c r="E19" i="6"/>
  <c r="F819" i="6"/>
  <c r="C1004" i="6"/>
  <c r="F1122" i="6"/>
  <c r="F584" i="6"/>
  <c r="E63" i="6"/>
  <c r="C565" i="6"/>
  <c r="C817" i="6"/>
  <c r="F572" i="6"/>
  <c r="A46" i="6"/>
  <c r="D751" i="6"/>
  <c r="F27" i="6"/>
  <c r="A585" i="6"/>
  <c r="D999" i="6"/>
  <c r="B1098" i="6"/>
  <c r="D13" i="6"/>
  <c r="D795" i="6"/>
  <c r="D739" i="6"/>
  <c r="D750" i="6"/>
  <c r="C31" i="6"/>
  <c r="C582" i="6"/>
  <c r="F996" i="6"/>
  <c r="F762" i="6"/>
  <c r="B35" i="6"/>
  <c r="D819" i="6"/>
  <c r="C1005" i="6"/>
  <c r="F78" i="6"/>
  <c r="F1119" i="6"/>
  <c r="E752" i="6"/>
  <c r="F579" i="6"/>
  <c r="A997" i="6"/>
  <c r="F809" i="6"/>
  <c r="F5" i="6"/>
  <c r="A582" i="6"/>
  <c r="D191" i="6"/>
  <c r="B30" i="6"/>
  <c r="A32" i="6"/>
  <c r="E793" i="6"/>
  <c r="D59" i="6"/>
  <c r="D994" i="6"/>
  <c r="F94" i="6"/>
  <c r="C7" i="6"/>
  <c r="D589" i="6"/>
  <c r="A998" i="6"/>
  <c r="B798" i="6"/>
  <c r="D24" i="6"/>
  <c r="A822" i="6"/>
  <c r="C33" i="6"/>
  <c r="E81" i="6"/>
  <c r="D734" i="6"/>
  <c r="A143" i="6"/>
  <c r="C577" i="6"/>
  <c r="F892" i="6"/>
  <c r="E1322" i="6"/>
  <c r="F116" i="6"/>
  <c r="D590" i="6"/>
  <c r="C999" i="6"/>
  <c r="F593" i="6"/>
  <c r="F811" i="6"/>
  <c r="B14" i="6"/>
  <c r="F571" i="6"/>
  <c r="A1144" i="6"/>
  <c r="C774" i="6"/>
  <c r="B1286" i="6"/>
  <c r="A763" i="6"/>
  <c r="B788" i="6"/>
  <c r="E30" i="6"/>
  <c r="C100" i="6"/>
  <c r="F109" i="6"/>
  <c r="C1310" i="6"/>
  <c r="C103" i="6"/>
  <c r="A109" i="6"/>
  <c r="B809" i="6"/>
  <c r="E1148" i="6"/>
  <c r="E1326" i="6"/>
  <c r="F1286" i="6"/>
  <c r="F574" i="6"/>
  <c r="F577" i="6"/>
  <c r="A1145" i="6"/>
  <c r="C1298" i="6"/>
  <c r="B102" i="6"/>
  <c r="A818" i="6"/>
  <c r="B1099" i="6"/>
  <c r="E570" i="6"/>
  <c r="C107" i="6"/>
  <c r="F816" i="6"/>
  <c r="C1333" i="6"/>
  <c r="B754" i="6"/>
  <c r="D143" i="6"/>
  <c r="E788" i="6"/>
  <c r="B1107" i="6"/>
  <c r="A14" i="6"/>
  <c r="E1284" i="6"/>
  <c r="F786" i="6"/>
  <c r="C1114" i="6"/>
  <c r="F1121" i="6"/>
  <c r="C1148" i="6"/>
  <c r="E992" i="6"/>
  <c r="E215" i="6"/>
  <c r="B738" i="6"/>
  <c r="C1048" i="6"/>
  <c r="F752" i="6"/>
  <c r="F764" i="6"/>
  <c r="C1055" i="6"/>
  <c r="B991" i="6"/>
  <c r="F72" i="6"/>
  <c r="E917" i="6"/>
  <c r="F985" i="6"/>
  <c r="D1281" i="6"/>
  <c r="E746" i="6"/>
  <c r="B1061" i="6"/>
  <c r="A928" i="6"/>
  <c r="B1054" i="6"/>
  <c r="E989" i="6"/>
  <c r="C758" i="6"/>
  <c r="B930" i="6"/>
  <c r="C587" i="6"/>
  <c r="E1281" i="6"/>
  <c r="F746" i="6"/>
  <c r="A1068" i="6"/>
  <c r="E182" i="6"/>
  <c r="D53" i="6"/>
  <c r="D1063" i="6"/>
  <c r="B218" i="6"/>
  <c r="E741" i="6"/>
  <c r="D1052" i="6"/>
  <c r="C891" i="6"/>
  <c r="A43" i="6"/>
  <c r="B937" i="6"/>
  <c r="B565" i="6"/>
  <c r="A57" i="6"/>
  <c r="F757" i="6"/>
  <c r="E905" i="6"/>
  <c r="D740" i="6"/>
  <c r="A1062" i="6"/>
  <c r="E217" i="6"/>
  <c r="D738" i="6"/>
  <c r="C937" i="6"/>
  <c r="F578" i="6"/>
  <c r="B57" i="6"/>
  <c r="C926" i="6"/>
  <c r="F1067" i="6"/>
  <c r="B574" i="6"/>
  <c r="A577" i="6"/>
  <c r="D1005" i="6"/>
  <c r="D1147" i="6"/>
  <c r="B27" i="6"/>
  <c r="D1113" i="6"/>
  <c r="D756" i="6"/>
  <c r="D1247" i="6"/>
  <c r="B16" i="6"/>
  <c r="C588" i="6"/>
  <c r="F999" i="6"/>
  <c r="F1099" i="6"/>
  <c r="C32" i="6"/>
  <c r="F1277" i="6"/>
  <c r="C191" i="6"/>
  <c r="D997" i="6"/>
  <c r="E1301" i="6"/>
  <c r="B69" i="6"/>
  <c r="B46" i="6"/>
  <c r="C1247" i="6"/>
  <c r="A16" i="6"/>
  <c r="B582" i="6"/>
  <c r="E892" i="6"/>
  <c r="A226" i="6"/>
  <c r="B19" i="6"/>
  <c r="E591" i="6"/>
  <c r="A8" i="6"/>
  <c r="F1107" i="6"/>
  <c r="B11" i="6"/>
  <c r="C821" i="6"/>
  <c r="F191" i="6"/>
  <c r="F30" i="6"/>
  <c r="C19" i="6"/>
  <c r="F46" i="6"/>
  <c r="C754" i="6"/>
  <c r="F750" i="6"/>
  <c r="C1152" i="6"/>
  <c r="F736" i="6"/>
  <c r="F1008" i="6"/>
  <c r="D12" i="6"/>
  <c r="E572" i="6"/>
  <c r="B78" i="6"/>
  <c r="C77" i="6"/>
  <c r="A578" i="6"/>
  <c r="F581" i="6"/>
  <c r="E928" i="6"/>
  <c r="B573" i="6"/>
  <c r="A1104" i="6"/>
  <c r="E7" i="6"/>
  <c r="B566" i="6"/>
  <c r="C78" i="6"/>
  <c r="F754" i="6"/>
  <c r="C164" i="6"/>
  <c r="C572" i="6"/>
  <c r="F997" i="6"/>
  <c r="F795" i="6"/>
  <c r="D1124" i="6"/>
  <c r="B89" i="6"/>
  <c r="F183" i="6"/>
  <c r="F66" i="6"/>
  <c r="A749" i="6"/>
  <c r="C117" i="6"/>
  <c r="F567" i="6"/>
  <c r="C60" i="6"/>
  <c r="D989" i="6"/>
  <c r="F6" i="6"/>
  <c r="C586" i="6"/>
  <c r="E1113" i="6"/>
  <c r="B106" i="6"/>
  <c r="F1004" i="6"/>
  <c r="B1145" i="6"/>
  <c r="E23" i="6"/>
  <c r="B1278" i="6"/>
  <c r="C1008" i="6"/>
  <c r="F14" i="6"/>
  <c r="F576" i="6"/>
  <c r="E46" i="6"/>
  <c r="F7" i="6"/>
  <c r="C1146" i="6"/>
  <c r="F91" i="6"/>
  <c r="B10" i="6"/>
  <c r="C1112" i="6"/>
  <c r="F1143" i="6"/>
  <c r="A801" i="6"/>
  <c r="C94" i="6"/>
  <c r="D781" i="6"/>
  <c r="A1147" i="6"/>
  <c r="C1309" i="6"/>
  <c r="D97" i="6"/>
  <c r="F1111" i="6"/>
  <c r="E163" i="6"/>
  <c r="C79" i="6"/>
  <c r="D791" i="6"/>
  <c r="A1141" i="6"/>
  <c r="C99" i="6"/>
  <c r="E14" i="6"/>
  <c r="F1149" i="6"/>
  <c r="B24" i="6"/>
  <c r="C1115" i="6"/>
  <c r="A1312" i="6"/>
  <c r="F1301" i="6"/>
  <c r="C762" i="6"/>
  <c r="D815" i="6"/>
  <c r="A15" i="6"/>
  <c r="E97" i="6"/>
  <c r="B107" i="6"/>
  <c r="A104" i="6"/>
  <c r="D1006" i="6"/>
  <c r="B1124" i="6"/>
  <c r="A811" i="6"/>
  <c r="D788" i="6"/>
  <c r="C1122" i="6"/>
  <c r="A1116" i="6"/>
  <c r="B90" i="6"/>
  <c r="E1098" i="6"/>
  <c r="B1114" i="6"/>
  <c r="C785" i="6"/>
  <c r="C4" i="6"/>
  <c r="F588" i="6"/>
  <c r="A30" i="6"/>
  <c r="E79" i="6"/>
  <c r="B109" i="6"/>
  <c r="A784" i="6"/>
  <c r="B1113" i="6"/>
  <c r="C1313" i="6"/>
  <c r="A586" i="6"/>
  <c r="D49" i="6"/>
  <c r="E936" i="6"/>
  <c r="A10" i="6"/>
  <c r="D588" i="6"/>
  <c r="E1003" i="6"/>
  <c r="A892" i="6"/>
  <c r="B73" i="6"/>
  <c r="A740" i="6"/>
  <c r="B1060" i="6"/>
  <c r="F207" i="6"/>
  <c r="A735" i="6"/>
  <c r="D1050" i="6"/>
  <c r="F79" i="6"/>
  <c r="D930" i="6"/>
  <c r="E1278" i="6"/>
  <c r="E71" i="6"/>
  <c r="D925" i="6"/>
  <c r="C1060" i="6"/>
  <c r="A214" i="6"/>
  <c r="B735" i="6"/>
  <c r="C1057" i="6"/>
  <c r="F896" i="6"/>
  <c r="B204" i="6"/>
  <c r="F1052" i="6"/>
  <c r="F891" i="6"/>
  <c r="A733" i="6"/>
  <c r="F933" i="6"/>
  <c r="E585" i="6"/>
  <c r="C195" i="6"/>
  <c r="D744" i="6"/>
  <c r="E1066" i="6"/>
  <c r="C204" i="6"/>
  <c r="B52" i="6"/>
  <c r="C987" i="6"/>
  <c r="F738" i="6"/>
  <c r="C1051" i="6"/>
  <c r="E1236" i="6"/>
  <c r="F49" i="6"/>
  <c r="E744" i="6"/>
  <c r="F1066" i="6"/>
  <c r="D204" i="6"/>
  <c r="E756" i="6"/>
  <c r="B1057" i="6"/>
  <c r="A576" i="6"/>
  <c r="C23" i="6"/>
  <c r="F928" i="6"/>
  <c r="F1285" i="6"/>
  <c r="B87" i="6"/>
  <c r="C13" i="6"/>
  <c r="F758" i="6"/>
  <c r="F77" i="6"/>
  <c r="D569" i="6"/>
  <c r="E592" i="6"/>
  <c r="B47" i="6"/>
  <c r="C753" i="6"/>
  <c r="C575" i="6"/>
  <c r="F587" i="6"/>
  <c r="E997" i="6"/>
  <c r="F582" i="6"/>
  <c r="D106" i="6"/>
  <c r="D218" i="6"/>
  <c r="D821" i="6"/>
  <c r="E77" i="6"/>
  <c r="B569" i="6"/>
  <c r="D572" i="6"/>
  <c r="A1278" i="6"/>
  <c r="B1235" i="6"/>
  <c r="D4" i="6"/>
  <c r="E576" i="6"/>
  <c r="C784" i="6"/>
  <c r="A791" i="6"/>
  <c r="B34" i="6"/>
  <c r="E583" i="6"/>
  <c r="B998" i="6"/>
  <c r="D818" i="6"/>
  <c r="E4" i="6"/>
  <c r="F820" i="6"/>
  <c r="E1006" i="6"/>
  <c r="D46" i="6"/>
  <c r="D1146" i="6"/>
  <c r="B49" i="6"/>
  <c r="B997" i="6"/>
  <c r="B811" i="6"/>
  <c r="A11" i="6"/>
  <c r="B593" i="6"/>
  <c r="E999" i="6"/>
  <c r="D1129" i="6"/>
  <c r="B572" i="6"/>
  <c r="A66" i="6"/>
  <c r="D1127" i="6"/>
  <c r="A764" i="6"/>
  <c r="F988" i="6"/>
  <c r="D7" i="6"/>
  <c r="E594" i="6"/>
  <c r="B1007" i="6"/>
  <c r="F1125" i="6"/>
  <c r="E10" i="6"/>
  <c r="B60" i="6"/>
  <c r="E48" i="6"/>
  <c r="F1279" i="6"/>
  <c r="A782" i="6"/>
  <c r="B1036" i="6"/>
  <c r="B591" i="6"/>
  <c r="C1007" i="6"/>
  <c r="D15" i="6"/>
  <c r="B22" i="6"/>
  <c r="C594" i="6"/>
  <c r="F749" i="6"/>
  <c r="E116" i="6"/>
  <c r="E566" i="6"/>
  <c r="A786" i="6"/>
  <c r="A103" i="6"/>
  <c r="B928" i="6"/>
  <c r="B81" i="6"/>
  <c r="A6" i="6"/>
  <c r="B588" i="6"/>
  <c r="E996" i="6"/>
  <c r="D816" i="6"/>
  <c r="B23" i="6"/>
  <c r="E820" i="6"/>
  <c r="E117" i="6"/>
  <c r="A1301" i="6"/>
  <c r="B752" i="6"/>
  <c r="F31" i="6"/>
  <c r="E1150" i="6"/>
  <c r="B1112" i="6"/>
  <c r="A12" i="6"/>
  <c r="E100" i="6"/>
  <c r="F777" i="6"/>
  <c r="C1118" i="6"/>
  <c r="A1267" i="6"/>
  <c r="A163" i="6"/>
  <c r="B1127" i="6"/>
  <c r="A1149" i="6"/>
  <c r="C1332" i="6"/>
  <c r="F92" i="6"/>
  <c r="C1151" i="6"/>
  <c r="F1140" i="6"/>
  <c r="A1151" i="6"/>
  <c r="D1286" i="6"/>
  <c r="D6" i="6"/>
  <c r="E1152" i="6"/>
  <c r="B1115" i="6"/>
  <c r="E1310" i="6"/>
  <c r="E107" i="6"/>
  <c r="F798" i="6"/>
  <c r="C1123" i="6"/>
  <c r="A237" i="6"/>
  <c r="F1288" i="6"/>
  <c r="A592" i="6"/>
  <c r="F994" i="6"/>
  <c r="F82" i="6"/>
  <c r="C763" i="6"/>
  <c r="F781" i="6"/>
  <c r="E1114" i="6"/>
  <c r="F8" i="6"/>
  <c r="D1284" i="6"/>
  <c r="A814" i="6"/>
  <c r="D1098" i="6"/>
  <c r="E113" i="6"/>
  <c r="C568" i="6"/>
  <c r="B567" i="6"/>
  <c r="C1149" i="6"/>
  <c r="A1337" i="6"/>
  <c r="D79" i="6"/>
  <c r="C795" i="6"/>
  <c r="A182" i="6"/>
  <c r="E933" i="6"/>
  <c r="B987" i="6"/>
  <c r="F62" i="6"/>
  <c r="A909" i="6"/>
  <c r="D1062" i="6"/>
  <c r="E1004" i="6"/>
  <c r="A927" i="6"/>
  <c r="E1298" i="6"/>
  <c r="D219" i="6"/>
  <c r="C738" i="6"/>
  <c r="D1048" i="6"/>
  <c r="C760" i="6"/>
  <c r="C52" i="6"/>
  <c r="F931" i="6"/>
  <c r="F4" i="6"/>
  <c r="F925" i="6"/>
  <c r="C1014" i="6"/>
  <c r="A70" i="6"/>
  <c r="F755" i="6"/>
  <c r="E1048" i="6"/>
  <c r="E760" i="6"/>
  <c r="D52" i="6"/>
  <c r="E1030" i="6"/>
  <c r="A191" i="6"/>
  <c r="F1235" i="6"/>
  <c r="B934" i="6"/>
  <c r="A590" i="6"/>
  <c r="C54" i="6"/>
  <c r="B924" i="6"/>
  <c r="A1059" i="6"/>
  <c r="E1036" i="6"/>
  <c r="F748" i="6"/>
  <c r="A1056" i="6"/>
  <c r="A992" i="6"/>
  <c r="B215" i="6"/>
  <c r="E736" i="6"/>
  <c r="B50" i="6"/>
  <c r="E932" i="6"/>
  <c r="A567" i="6"/>
  <c r="B64" i="6"/>
  <c r="A745" i="6"/>
  <c r="B1056" i="6"/>
  <c r="C992" i="6"/>
  <c r="A759" i="6"/>
  <c r="D1030" i="6"/>
  <c r="D1240" i="6"/>
  <c r="E5" i="6"/>
  <c r="B66" i="6"/>
  <c r="E190" i="6"/>
  <c r="B999" i="6"/>
  <c r="A102" i="6"/>
  <c r="B72" i="6"/>
  <c r="B1001" i="6"/>
  <c r="B1119" i="6"/>
  <c r="A21" i="6"/>
  <c r="B821" i="6"/>
  <c r="E1005" i="6"/>
  <c r="F1147" i="6"/>
  <c r="B592" i="6"/>
  <c r="A60" i="6"/>
  <c r="A27" i="6"/>
  <c r="A1152" i="6"/>
  <c r="C988" i="6"/>
  <c r="F583" i="6"/>
  <c r="A1001" i="6"/>
  <c r="F1141" i="6"/>
  <c r="F10" i="6"/>
  <c r="A588" i="6"/>
  <c r="D45" i="6"/>
  <c r="D568" i="6"/>
  <c r="C10" i="6"/>
  <c r="E1285" i="6"/>
  <c r="B190" i="6"/>
  <c r="F17" i="6"/>
  <c r="A584" i="6"/>
  <c r="D60" i="6"/>
  <c r="E45" i="6"/>
  <c r="F568" i="6"/>
  <c r="B583" i="6"/>
  <c r="A995" i="6"/>
  <c r="D584" i="6"/>
  <c r="C1301" i="6"/>
  <c r="D62" i="6"/>
  <c r="D78" i="6"/>
  <c r="E751" i="6"/>
  <c r="F33" i="6"/>
  <c r="D579" i="6"/>
  <c r="A47" i="6"/>
  <c r="B992" i="6"/>
  <c r="D10" i="6"/>
  <c r="A589" i="6"/>
  <c r="C1121" i="6"/>
  <c r="D811" i="6"/>
  <c r="B749" i="6"/>
  <c r="D117" i="6"/>
  <c r="A581" i="6"/>
  <c r="D995" i="6"/>
  <c r="B92" i="6"/>
  <c r="D33" i="6"/>
  <c r="B594" i="6"/>
  <c r="A1004" i="6"/>
  <c r="F821" i="6"/>
  <c r="B1152" i="6"/>
  <c r="E754" i="6"/>
  <c r="D577" i="6"/>
  <c r="E995" i="6"/>
  <c r="B777" i="6"/>
  <c r="D32" i="6"/>
  <c r="E580" i="6"/>
  <c r="B1008" i="6"/>
  <c r="D14" i="6"/>
  <c r="F34" i="6"/>
  <c r="B1121" i="6"/>
  <c r="D182" i="6"/>
  <c r="D1278" i="6"/>
  <c r="E753" i="6"/>
  <c r="D164" i="6"/>
  <c r="D592" i="6"/>
  <c r="A78" i="6"/>
  <c r="B988" i="6"/>
  <c r="D5" i="6"/>
  <c r="A583" i="6"/>
  <c r="A1138" i="6"/>
  <c r="F113" i="6"/>
  <c r="D190" i="6"/>
  <c r="B13" i="6"/>
  <c r="A783" i="6"/>
  <c r="D1150" i="6"/>
  <c r="C1147" i="6"/>
  <c r="E1308" i="6"/>
  <c r="B94" i="6"/>
  <c r="E1136" i="6"/>
  <c r="B1118" i="6"/>
  <c r="E1107" i="6"/>
  <c r="D812" i="6"/>
  <c r="C1141" i="6"/>
  <c r="A80" i="6"/>
  <c r="B79" i="6"/>
  <c r="E785" i="6"/>
  <c r="B1151" i="6"/>
  <c r="C92" i="6"/>
  <c r="D749" i="6"/>
  <c r="B116" i="6"/>
  <c r="A789" i="6"/>
  <c r="D1152" i="6"/>
  <c r="C15" i="6"/>
  <c r="A113" i="6"/>
  <c r="B762" i="6"/>
  <c r="E1139" i="6"/>
  <c r="B1123" i="6"/>
  <c r="A1146" i="6"/>
  <c r="C20" i="6"/>
  <c r="B67" i="6"/>
  <c r="A164" i="6"/>
  <c r="E94" i="6"/>
  <c r="B763" i="6"/>
  <c r="A1129" i="6"/>
  <c r="B1122" i="6"/>
  <c r="E779" i="6"/>
  <c r="C771" i="6"/>
  <c r="F239" i="6"/>
  <c r="A775" i="6"/>
  <c r="B1315" i="6"/>
  <c r="C101" i="6"/>
  <c r="E1331" i="6"/>
  <c r="F226" i="6"/>
  <c r="C802" i="6"/>
  <c r="D1102" i="6"/>
  <c r="C1264" i="6"/>
  <c r="A1118" i="6"/>
  <c r="F1310" i="6"/>
  <c r="A98" i="6"/>
  <c r="C1324" i="6"/>
  <c r="D807" i="6"/>
  <c r="E83" i="6"/>
  <c r="F1135" i="6"/>
  <c r="C1299" i="6"/>
  <c r="E1323" i="6"/>
  <c r="F780" i="6"/>
  <c r="A106" i="6"/>
  <c r="F793" i="6"/>
  <c r="A1266" i="6"/>
  <c r="C1308" i="6"/>
  <c r="D237" i="6"/>
  <c r="E801" i="6"/>
  <c r="F1306" i="6"/>
  <c r="C1265" i="6"/>
  <c r="E1309" i="6"/>
  <c r="F1142" i="6"/>
  <c r="A792" i="6"/>
  <c r="D1336" i="6"/>
  <c r="F1322" i="6"/>
  <c r="A780" i="6"/>
  <c r="B112" i="6"/>
  <c r="C85" i="6"/>
  <c r="E1337" i="6"/>
  <c r="F237" i="6"/>
  <c r="C804" i="6"/>
  <c r="D1310" i="6"/>
  <c r="C797" i="6"/>
  <c r="A1143" i="6"/>
  <c r="F1314" i="6"/>
  <c r="A101" i="6"/>
  <c r="C1331" i="6"/>
  <c r="D1116" i="6"/>
  <c r="E768" i="6"/>
  <c r="D112" i="6"/>
  <c r="A1251" i="6"/>
  <c r="C1303" i="6"/>
  <c r="D230" i="6"/>
  <c r="E766" i="6"/>
  <c r="D81" i="6"/>
  <c r="F236" i="6"/>
  <c r="A773" i="6"/>
  <c r="B1311" i="6"/>
  <c r="C98" i="6"/>
  <c r="E1324" i="6"/>
  <c r="F1116" i="6"/>
  <c r="C800" i="6"/>
  <c r="D1133" i="6"/>
  <c r="F1296" i="6"/>
  <c r="A1114" i="6"/>
  <c r="B799" i="6"/>
  <c r="C1131" i="6"/>
  <c r="D1335" i="6"/>
  <c r="F228" i="6"/>
  <c r="A804" i="6"/>
  <c r="B793" i="6"/>
  <c r="D772" i="6"/>
  <c r="E1132" i="6"/>
  <c r="F1336" i="6"/>
  <c r="B1323" i="6"/>
  <c r="C780" i="6"/>
  <c r="D794" i="6"/>
  <c r="A1132" i="6"/>
  <c r="C1297" i="6"/>
  <c r="C231" i="6"/>
  <c r="D789" i="6"/>
  <c r="A812" i="6"/>
  <c r="A1296" i="6"/>
  <c r="F1145" i="6"/>
  <c r="E1111" i="6"/>
  <c r="F771" i="6"/>
  <c r="C816" i="6"/>
  <c r="E34" i="6"/>
  <c r="D236" i="6"/>
  <c r="B813" i="6"/>
  <c r="E765" i="6"/>
  <c r="C772" i="6"/>
  <c r="D1143" i="6"/>
  <c r="C1150" i="6"/>
  <c r="D762" i="6"/>
  <c r="A92" i="6"/>
  <c r="C574" i="6"/>
  <c r="D1277" i="6"/>
  <c r="B797" i="6"/>
  <c r="F766" i="6"/>
  <c r="C93" i="6"/>
  <c r="E31" i="6"/>
  <c r="C1285" i="6"/>
  <c r="F1151" i="6"/>
  <c r="D21" i="6"/>
  <c r="B1299" i="6"/>
  <c r="D1323" i="6"/>
  <c r="A805" i="6"/>
  <c r="B1305" i="6"/>
  <c r="A1339" i="6"/>
  <c r="E1149" i="6"/>
  <c r="D103" i="6"/>
  <c r="E1264" i="6"/>
  <c r="A1309" i="6"/>
  <c r="B234" i="6"/>
  <c r="C773" i="6"/>
  <c r="D1315" i="6"/>
  <c r="A1264" i="6"/>
  <c r="C1339" i="6"/>
  <c r="D779" i="6"/>
  <c r="E763" i="6"/>
  <c r="D774" i="6"/>
  <c r="E1101" i="6"/>
  <c r="F99" i="6"/>
  <c r="B1330" i="6"/>
  <c r="C803" i="6"/>
  <c r="D770" i="6"/>
  <c r="A1101" i="6"/>
  <c r="B1319" i="6"/>
  <c r="D239" i="6"/>
  <c r="E782" i="6"/>
  <c r="B105" i="6"/>
  <c r="D1338" i="6"/>
  <c r="E808" i="6"/>
  <c r="F772" i="6"/>
  <c r="A1133" i="6"/>
  <c r="B115" i="6"/>
  <c r="D1330" i="6"/>
  <c r="A808" i="6"/>
  <c r="B103" i="6"/>
  <c r="E1288" i="6"/>
  <c r="E1124" i="6"/>
  <c r="D797" i="6"/>
  <c r="E1251" i="6"/>
  <c r="F1319" i="6"/>
  <c r="B238" i="6"/>
  <c r="C775" i="6"/>
  <c r="B800" i="6"/>
  <c r="E1103" i="6"/>
  <c r="F1321" i="6"/>
  <c r="B228" i="6"/>
  <c r="C783" i="6"/>
  <c r="B114" i="6"/>
  <c r="D1325" i="6"/>
  <c r="E767" i="6"/>
  <c r="F103" i="6"/>
  <c r="A1265" i="6"/>
  <c r="B1320" i="6"/>
  <c r="D238" i="6"/>
  <c r="A767" i="6"/>
  <c r="B1313" i="6"/>
  <c r="E778" i="6"/>
  <c r="E1121" i="6"/>
  <c r="F804" i="6"/>
  <c r="A1311" i="6"/>
  <c r="B85" i="6"/>
  <c r="D1337" i="6"/>
  <c r="E807" i="6"/>
  <c r="F801" i="6"/>
  <c r="B810" i="6"/>
  <c r="C1312" i="6"/>
  <c r="D105" i="6"/>
  <c r="F1338" i="6"/>
  <c r="A779" i="6"/>
  <c r="B802" i="6"/>
  <c r="E1311" i="6"/>
  <c r="F98" i="6"/>
  <c r="C798" i="6"/>
  <c r="B1111" i="6"/>
  <c r="E789" i="6"/>
  <c r="B82" i="6"/>
  <c r="A83" i="6"/>
  <c r="C1120" i="6"/>
  <c r="D814" i="6"/>
  <c r="A798" i="6"/>
  <c r="B1138" i="6"/>
  <c r="A1324" i="6"/>
  <c r="F1127" i="6"/>
  <c r="C813" i="6"/>
  <c r="E1287" i="6"/>
  <c r="B1125" i="6"/>
  <c r="A1112" i="6"/>
  <c r="B818" i="6"/>
  <c r="E762" i="6"/>
  <c r="A768" i="6"/>
  <c r="B892" i="6"/>
  <c r="F1323" i="6"/>
  <c r="D783" i="6"/>
  <c r="A795" i="6"/>
  <c r="A810" i="6"/>
  <c r="E93" i="6"/>
  <c r="E84" i="6"/>
  <c r="F1278" i="6"/>
  <c r="D761" i="6"/>
  <c r="E1104" i="6"/>
  <c r="F105" i="6"/>
  <c r="B1339" i="6"/>
  <c r="E227" i="6"/>
  <c r="F770" i="6"/>
  <c r="A100" i="6"/>
  <c r="C30" i="6"/>
  <c r="B801" i="6"/>
  <c r="C1135" i="6"/>
  <c r="D114" i="6"/>
  <c r="F1325" i="6"/>
  <c r="A796" i="6"/>
  <c r="B769" i="6"/>
  <c r="E1134" i="6"/>
  <c r="A1287" i="6"/>
  <c r="B235" i="6"/>
  <c r="C811" i="6"/>
  <c r="B776" i="6"/>
  <c r="C1306" i="6"/>
  <c r="D1267" i="6"/>
  <c r="F1307" i="6"/>
  <c r="A230" i="6"/>
  <c r="B804" i="6"/>
  <c r="E1315" i="6"/>
  <c r="F101" i="6"/>
  <c r="B1332" i="6"/>
  <c r="C789" i="6"/>
  <c r="F1133" i="6"/>
  <c r="B1288" i="6"/>
  <c r="C237" i="6"/>
  <c r="D810" i="6"/>
  <c r="E1312" i="6"/>
  <c r="F1267" i="6"/>
  <c r="B1303" i="6"/>
  <c r="E234" i="6"/>
  <c r="F773" i="6"/>
  <c r="A86" i="6"/>
  <c r="E1265" i="6"/>
  <c r="B761" i="6"/>
  <c r="C1104" i="6"/>
  <c r="D80" i="6"/>
  <c r="F1332" i="6"/>
  <c r="A778" i="6"/>
  <c r="F810" i="6"/>
  <c r="C1304" i="6"/>
  <c r="D84" i="6"/>
  <c r="F1334" i="6"/>
  <c r="A1128" i="6"/>
  <c r="F1265" i="6"/>
  <c r="B1308" i="6"/>
  <c r="C1116" i="6"/>
  <c r="D801" i="6"/>
  <c r="E1135" i="6"/>
  <c r="F80" i="6"/>
  <c r="B1333" i="6"/>
  <c r="E1142" i="6"/>
  <c r="F794" i="6"/>
  <c r="A1284" i="6"/>
  <c r="C8" i="6"/>
  <c r="D808" i="6"/>
  <c r="E103" i="6"/>
  <c r="F1132" i="6"/>
  <c r="B1296" i="6"/>
  <c r="C234" i="6"/>
  <c r="D803" i="6"/>
  <c r="F779" i="6"/>
  <c r="A794" i="6"/>
  <c r="B1134" i="6"/>
  <c r="D1288" i="6"/>
  <c r="E237" i="6"/>
  <c r="F776" i="6"/>
  <c r="C793" i="6"/>
  <c r="D1265" i="6"/>
  <c r="E1140" i="6"/>
  <c r="F1115" i="6"/>
  <c r="C1111" i="6"/>
  <c r="F88" i="6"/>
  <c r="C1296" i="6"/>
  <c r="A1124" i="6"/>
  <c r="B1129" i="6"/>
  <c r="E814" i="6"/>
  <c r="B568" i="6"/>
  <c r="E818" i="6"/>
  <c r="D1138" i="6"/>
  <c r="A1150" i="6"/>
  <c r="D86" i="6"/>
  <c r="E800" i="6"/>
  <c r="E1143" i="6"/>
  <c r="F815" i="6"/>
  <c r="C818" i="6"/>
  <c r="F1120" i="6"/>
  <c r="F1002" i="6"/>
  <c r="C97" i="6"/>
  <c r="B1128" i="6"/>
  <c r="E783" i="6"/>
  <c r="F87" i="6"/>
  <c r="E1128" i="6"/>
  <c r="C109" i="6"/>
  <c r="F734" i="6"/>
  <c r="A1323" i="6"/>
  <c r="B806" i="6"/>
  <c r="C112" i="6"/>
  <c r="D1134" i="6"/>
  <c r="A1336" i="6"/>
  <c r="C1322" i="6"/>
  <c r="D804" i="6"/>
  <c r="E109" i="6"/>
  <c r="A807" i="6"/>
  <c r="F796" i="6"/>
  <c r="A1315" i="6"/>
  <c r="B1266" i="6"/>
  <c r="D1308" i="6"/>
  <c r="E1116" i="6"/>
  <c r="F761" i="6"/>
  <c r="C1314" i="6"/>
  <c r="D115" i="6"/>
  <c r="F1330" i="6"/>
  <c r="A817" i="6"/>
  <c r="F230" i="6"/>
  <c r="A770" i="6"/>
  <c r="B1103" i="6"/>
  <c r="C1321" i="6"/>
  <c r="E229" i="6"/>
  <c r="F807" i="6"/>
  <c r="C769" i="6"/>
  <c r="D1130" i="6"/>
  <c r="F1302" i="6"/>
  <c r="A1111" i="6"/>
  <c r="D1313" i="6"/>
  <c r="E99" i="6"/>
  <c r="A1330" i="6"/>
  <c r="B1142" i="6"/>
  <c r="C794" i="6"/>
  <c r="D1103" i="6"/>
  <c r="A99" i="6"/>
  <c r="C1326" i="6"/>
  <c r="D796" i="6"/>
  <c r="E108" i="6"/>
  <c r="E1339" i="6"/>
  <c r="F778" i="6"/>
  <c r="A112" i="6"/>
  <c r="B1100" i="6"/>
  <c r="D1301" i="6"/>
  <c r="E226" i="6"/>
  <c r="D1142" i="6"/>
  <c r="A772" i="6"/>
  <c r="B1132" i="6"/>
  <c r="D1297" i="6"/>
  <c r="E1112" i="6"/>
  <c r="D1101" i="6"/>
  <c r="E1319" i="6"/>
  <c r="A238" i="6"/>
  <c r="B803" i="6"/>
  <c r="C1315" i="6"/>
  <c r="D1100" i="6"/>
  <c r="A1319" i="6"/>
  <c r="C239" i="6"/>
  <c r="D802" i="6"/>
  <c r="E89" i="6"/>
  <c r="A1306" i="6"/>
  <c r="B237" i="6"/>
  <c r="C801" i="6"/>
  <c r="D1312" i="6"/>
  <c r="E114" i="6"/>
  <c r="A1326" i="6"/>
  <c r="B230" i="6"/>
  <c r="D235" i="6"/>
  <c r="E774" i="6"/>
  <c r="F1313" i="6"/>
  <c r="A115" i="6"/>
  <c r="C1330" i="6"/>
  <c r="D227" i="6"/>
  <c r="A774" i="6"/>
  <c r="B1101" i="6"/>
  <c r="E769" i="6"/>
  <c r="C1305" i="6"/>
  <c r="A1120" i="6"/>
  <c r="D792" i="6"/>
  <c r="C82" i="6"/>
  <c r="E17" i="6"/>
  <c r="F1114" i="6"/>
  <c r="C1129" i="6"/>
  <c r="B4" i="6"/>
  <c r="C1119" i="6"/>
  <c r="B1143" i="6"/>
  <c r="E1138" i="6"/>
  <c r="B91" i="6"/>
  <c r="A1286" i="6"/>
  <c r="C1125" i="6"/>
  <c r="D1099" i="6"/>
  <c r="A785" i="6"/>
  <c r="F569" i="6"/>
  <c r="D48" i="6"/>
  <c r="A815" i="6"/>
  <c r="F1112" i="6"/>
  <c r="C1128" i="6"/>
  <c r="D93" i="6"/>
  <c r="A1121" i="6"/>
  <c r="E809" i="6"/>
  <c r="D1112" i="6"/>
  <c r="E1338" i="6"/>
  <c r="F231" i="6"/>
  <c r="A800" i="6"/>
  <c r="B1314" i="6"/>
  <c r="E85" i="6"/>
  <c r="A1338" i="6"/>
  <c r="B808" i="6"/>
  <c r="C777" i="6"/>
  <c r="B1284" i="6"/>
  <c r="D1117" i="6"/>
  <c r="E797" i="6"/>
  <c r="F1101" i="6"/>
  <c r="A1320" i="6"/>
  <c r="C238" i="6"/>
  <c r="D806" i="6"/>
  <c r="A797" i="6"/>
  <c r="B1251" i="6"/>
  <c r="D1303" i="6"/>
  <c r="B1335" i="6"/>
  <c r="D228" i="6"/>
  <c r="E790" i="6"/>
  <c r="F1305" i="6"/>
  <c r="A84" i="6"/>
  <c r="C1334" i="6"/>
  <c r="D234" i="6"/>
  <c r="A790" i="6"/>
  <c r="B1105" i="6"/>
  <c r="E1314" i="6"/>
  <c r="E1115" i="6"/>
  <c r="B768" i="6"/>
  <c r="C1267" i="6"/>
  <c r="E1307" i="6"/>
  <c r="F235" i="6"/>
  <c r="A802" i="6"/>
  <c r="B1304" i="6"/>
  <c r="E1266" i="6"/>
  <c r="A1307" i="6"/>
  <c r="B1117" i="6"/>
  <c r="C765" i="6"/>
  <c r="B100" i="6"/>
  <c r="D231" i="6"/>
  <c r="E772" i="6"/>
  <c r="F1105" i="6"/>
  <c r="A1299" i="6"/>
  <c r="C1323" i="6"/>
  <c r="B239" i="6"/>
  <c r="E780" i="6"/>
  <c r="F1311" i="6"/>
  <c r="A761" i="6"/>
  <c r="C1144" i="6"/>
  <c r="B1306" i="6"/>
  <c r="C80" i="6"/>
  <c r="E1332" i="6"/>
  <c r="F1117" i="6"/>
  <c r="A769" i="6"/>
  <c r="B1310" i="6"/>
  <c r="E101" i="6"/>
  <c r="A1332" i="6"/>
  <c r="B805" i="6"/>
  <c r="C786" i="6"/>
  <c r="D99" i="6"/>
  <c r="F1326" i="6"/>
  <c r="A803" i="6"/>
  <c r="B794" i="6"/>
  <c r="C1266" i="6"/>
  <c r="D1321" i="6"/>
  <c r="F115" i="6"/>
  <c r="B1331" i="6"/>
  <c r="C776" i="6"/>
  <c r="D768" i="6"/>
  <c r="E1267" i="6"/>
  <c r="F1335" i="6"/>
  <c r="B1322" i="6"/>
  <c r="E803" i="6"/>
  <c r="F1315" i="6"/>
  <c r="F102" i="6"/>
  <c r="E1297" i="6"/>
  <c r="E1145" i="6"/>
  <c r="B812" i="6"/>
  <c r="A108" i="6"/>
  <c r="C1117" i="6"/>
  <c r="D1122" i="6"/>
  <c r="A1139" i="6"/>
  <c r="F18" i="6"/>
  <c r="C790" i="6"/>
  <c r="A799" i="6"/>
  <c r="C1143" i="6"/>
  <c r="F765" i="6"/>
  <c r="E86" i="6"/>
  <c r="E1320" i="6"/>
  <c r="B1140" i="6"/>
  <c r="E1099" i="6"/>
  <c r="D16" i="6"/>
  <c r="B1236" i="6"/>
  <c r="A1123" i="6"/>
  <c r="D1144" i="6"/>
  <c r="A1113" i="6"/>
  <c r="F783" i="6"/>
  <c r="E1126" i="6"/>
  <c r="C787" i="6"/>
  <c r="A19" i="6"/>
  <c r="E1296" i="6"/>
  <c r="F234" i="6"/>
  <c r="A781" i="6"/>
  <c r="F1320" i="6"/>
  <c r="B229" i="6"/>
  <c r="C761" i="6"/>
  <c r="D1306" i="6"/>
  <c r="E80" i="6"/>
  <c r="A1333" i="6"/>
  <c r="B236" i="6"/>
  <c r="E775" i="6"/>
  <c r="F1103" i="6"/>
  <c r="A1135" i="6"/>
  <c r="F84" i="6"/>
  <c r="B1337" i="6"/>
  <c r="C807" i="6"/>
  <c r="D799" i="6"/>
  <c r="E1131" i="6"/>
  <c r="F114" i="6"/>
  <c r="B1326" i="6"/>
  <c r="E806" i="6"/>
  <c r="F112" i="6"/>
  <c r="A1297" i="6"/>
  <c r="C1145" i="6"/>
  <c r="F802" i="6"/>
  <c r="A1103" i="6"/>
  <c r="B101" i="6"/>
  <c r="D1331" i="6"/>
  <c r="E776" i="6"/>
  <c r="F799" i="6"/>
  <c r="C1102" i="6"/>
  <c r="D1320" i="6"/>
  <c r="F238" i="6"/>
  <c r="A813" i="6"/>
  <c r="F1299" i="6"/>
  <c r="B1324" i="6"/>
  <c r="C810" i="6"/>
  <c r="D83" i="6"/>
  <c r="E105" i="6"/>
  <c r="D101" i="6"/>
  <c r="F1331" i="6"/>
  <c r="C779" i="6"/>
  <c r="D793" i="6"/>
  <c r="E1286" i="6"/>
  <c r="A1126" i="6"/>
  <c r="F769" i="6"/>
  <c r="A1100" i="6"/>
  <c r="B1321" i="6"/>
  <c r="D229" i="6"/>
  <c r="E761" i="6"/>
  <c r="F83" i="6"/>
  <c r="C1130" i="6"/>
  <c r="E1302" i="6"/>
  <c r="F227" i="6"/>
  <c r="A771" i="6"/>
  <c r="B1267" i="6"/>
  <c r="D1307" i="6"/>
  <c r="E1117" i="6"/>
  <c r="F774" i="6"/>
  <c r="A1102" i="6"/>
  <c r="B84" i="6"/>
  <c r="D1251" i="6"/>
  <c r="F1303" i="6"/>
  <c r="A227" i="6"/>
  <c r="B775" i="6"/>
  <c r="C1103" i="6"/>
  <c r="D85" i="6"/>
  <c r="F1337" i="6"/>
  <c r="C230" i="6"/>
  <c r="E773" i="6"/>
  <c r="D88" i="6"/>
  <c r="A82" i="6"/>
  <c r="C17" i="6"/>
  <c r="F789" i="6"/>
  <c r="E792" i="6"/>
  <c r="F1284" i="6"/>
  <c r="E230" i="6"/>
  <c r="E1122" i="6"/>
  <c r="F229" i="6"/>
  <c r="B86" i="6"/>
  <c r="C1287" i="6"/>
  <c r="A1125" i="6"/>
  <c r="D813" i="6"/>
  <c r="C91" i="6"/>
  <c r="A229" i="6"/>
  <c r="A1335" i="6"/>
  <c r="C1140" i="6"/>
  <c r="B20" i="6"/>
  <c r="F1150" i="6"/>
  <c r="E236" i="6"/>
  <c r="E804" i="6"/>
  <c r="E1144" i="6"/>
  <c r="D1128" i="6"/>
  <c r="E1333" i="6"/>
  <c r="E1141" i="6"/>
  <c r="E238" i="6"/>
  <c r="B1309" i="6"/>
  <c r="C1142" i="6"/>
  <c r="D775" i="6"/>
  <c r="A1313" i="6"/>
  <c r="B99" i="6"/>
  <c r="D1326" i="6"/>
  <c r="E787" i="6"/>
  <c r="D104" i="6"/>
  <c r="F1333" i="6"/>
  <c r="A806" i="6"/>
  <c r="B770" i="6"/>
  <c r="C1100" i="6"/>
  <c r="D98" i="6"/>
  <c r="F1324" i="6"/>
  <c r="C778" i="6"/>
  <c r="D1304" i="6"/>
  <c r="A1302" i="6"/>
  <c r="D1132" i="6"/>
  <c r="F1297" i="6"/>
  <c r="A234" i="6"/>
  <c r="B780" i="6"/>
  <c r="C1311" i="6"/>
  <c r="D1266" i="6"/>
  <c r="F1308" i="6"/>
  <c r="C236" i="6"/>
  <c r="D800" i="6"/>
  <c r="E102" i="6"/>
  <c r="A114" i="6"/>
  <c r="D805" i="6"/>
  <c r="E1305" i="6"/>
  <c r="F1251" i="6"/>
  <c r="B1302" i="6"/>
  <c r="C227" i="6"/>
  <c r="D780" i="6"/>
  <c r="A1305" i="6"/>
  <c r="B104" i="6"/>
  <c r="D1333" i="6"/>
  <c r="E1127" i="6"/>
  <c r="D1264" i="6"/>
  <c r="F1339" i="6"/>
  <c r="A1142" i="6"/>
  <c r="B773" i="6"/>
  <c r="C1134" i="6"/>
  <c r="B1130" i="6"/>
  <c r="D1302" i="6"/>
  <c r="A235" i="6"/>
  <c r="B774" i="6"/>
  <c r="C87" i="6"/>
  <c r="C1101" i="6"/>
  <c r="D790" i="6"/>
  <c r="E1105" i="6"/>
  <c r="F104" i="6"/>
  <c r="B1334" i="6"/>
  <c r="C806" i="6"/>
  <c r="D773" i="6"/>
  <c r="A1105" i="6"/>
  <c r="B1336" i="6"/>
  <c r="D1322" i="6"/>
  <c r="E784" i="6"/>
  <c r="F1102" i="6"/>
  <c r="A1321" i="6"/>
  <c r="C229" i="6"/>
  <c r="D776" i="6"/>
  <c r="E1306" i="6"/>
  <c r="F1131" i="6"/>
  <c r="B1104" i="6"/>
  <c r="C1335" i="6"/>
  <c r="E228" i="6"/>
  <c r="F805" i="6"/>
  <c r="A1304" i="6"/>
  <c r="B1133" i="6"/>
  <c r="E1321" i="6"/>
  <c r="A228" i="6"/>
  <c r="F1134" i="6"/>
  <c r="B792" i="6"/>
  <c r="E88" i="6"/>
  <c r="A117" i="6"/>
  <c r="D1111" i="6"/>
  <c r="C812" i="6"/>
  <c r="D90" i="6"/>
  <c r="A97" i="6"/>
  <c r="C14" i="6"/>
  <c r="C796" i="6"/>
  <c r="F108" i="6"/>
  <c r="C86" i="6"/>
  <c r="E565" i="6"/>
  <c r="B1150" i="6"/>
  <c r="A766" i="6"/>
  <c r="B113" i="6"/>
  <c r="C228" i="6"/>
  <c r="A1148" i="6"/>
  <c r="F585" i="6"/>
  <c r="D1334" i="6"/>
  <c r="D87" i="6"/>
  <c r="A1285" i="6"/>
  <c r="C1126" i="6"/>
  <c r="F1144" i="6"/>
  <c r="F791" i="6"/>
  <c r="E575" i="6"/>
  <c r="B1325" i="6"/>
  <c r="B178" i="6"/>
  <c r="D178" i="6"/>
  <c r="E178" i="6"/>
  <c r="C178" i="6"/>
  <c r="A178" i="6"/>
  <c r="F178" i="6"/>
  <c r="Z250" i="6" l="1"/>
  <c r="X250" i="6"/>
  <c r="U250" i="6" s="1"/>
  <c r="U317" i="6"/>
  <c r="Z317" i="6"/>
  <c r="A2" i="7" a="1"/>
  <c r="Y250" i="6" l="1"/>
  <c r="Y317" i="6"/>
  <c r="C10" i="7"/>
  <c r="C18" i="7"/>
  <c r="C4" i="7"/>
  <c r="C3" i="7"/>
  <c r="C11" i="7"/>
  <c r="C7" i="7"/>
  <c r="C15" i="7"/>
  <c r="C12" i="7"/>
  <c r="C13" i="7"/>
  <c r="C14" i="7"/>
  <c r="C8" i="7"/>
  <c r="C16" i="7"/>
  <c r="C9" i="7"/>
  <c r="C17" i="7"/>
  <c r="A2" i="7"/>
  <c r="B3" i="7"/>
  <c r="B4" i="7"/>
  <c r="B5" i="7"/>
  <c r="B6" i="7"/>
  <c r="B14" i="7"/>
  <c r="B7" i="7"/>
  <c r="B15" i="7"/>
  <c r="B11" i="7"/>
  <c r="B8" i="7"/>
  <c r="B16" i="7"/>
  <c r="B18" i="7"/>
  <c r="B13" i="7"/>
  <c r="B9" i="7"/>
  <c r="B17" i="7"/>
  <c r="B10" i="7"/>
  <c r="B12" i="7"/>
  <c r="Y356" i="6"/>
  <c r="C6" i="7" s="1"/>
  <c r="D6" i="7" l="1"/>
  <c r="D9" i="7"/>
  <c r="D16" i="7"/>
  <c r="D15" i="7"/>
  <c r="D17" i="7"/>
  <c r="D7" i="7"/>
  <c r="D11" i="7"/>
  <c r="D8" i="7"/>
  <c r="D3" i="7"/>
  <c r="D14" i="7"/>
  <c r="D4" i="7"/>
  <c r="D13" i="7"/>
  <c r="D18" i="7"/>
  <c r="D12" i="7"/>
  <c r="D10" i="7"/>
  <c r="B2" i="7"/>
  <c r="B19" i="7" s="1"/>
  <c r="C2" i="7"/>
  <c r="D2" i="7" l="1"/>
  <c r="U306" i="6"/>
  <c r="Y306" i="6"/>
  <c r="C5" i="7"/>
  <c r="C19" i="7" s="1"/>
  <c r="D19" i="7" s="1"/>
  <c r="D5"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Alisson Jobim Pereira Nascimento</author>
    <author>tc={E155D9EB-E3E7-4ECE-9DA6-B9C29D7EB1A7}</author>
    <author>tc={A43E12DB-60C7-49E9-9259-1E92F83F5DC1}</author>
    <author>tc={ADC67C30-0F28-466A-81FA-0C167216EA55}</author>
    <author>tc={2365C413-224C-4A58-B2ED-20CFB30B7AD1}</author>
    <author>tc={CB8F8B02-06B9-4C94-9754-970BCB2644F1}</author>
    <author>tc={22D7DDE3-EC54-4DB6-9BD4-1B1023CA6D2B}</author>
    <author>tc={2C9FAC28-05E9-4BDB-A2EF-9E27D970F210}</author>
    <author>tc={BAC6D021-A628-4669-A790-F9F5900FBD80}</author>
    <author>tc={CFC430EC-ED95-42A3-92B6-D4508B008CFE}</author>
    <author>tc={DA5680CA-1A95-4F40-A490-545BF3721E87}</author>
    <author>tc={E81C6200-700E-454B-8F85-B2B1AA93C590}</author>
    <author>tc={4D41A9B1-2DD6-481D-8AE3-D5E8AD042804}</author>
    <author>tc={8CA504ED-AA40-45BA-AD1E-B5B95458A09D}</author>
  </authors>
  <commentList>
    <comment ref="D3" authorId="0" shapeId="0" xr:uid="{36CC7AAC-8ACF-433D-8547-E3F7BCCDD339}">
      <text>
        <r>
          <rPr>
            <b/>
            <sz val="9"/>
            <color indexed="81"/>
            <rFont val="Segoe UI"/>
            <family val="2"/>
          </rPr>
          <t>Alisson Jobim Pereira Nascimento:</t>
        </r>
        <r>
          <rPr>
            <sz val="9"/>
            <color indexed="81"/>
            <rFont val="Segoe UI"/>
            <family val="2"/>
          </rPr>
          <t xml:space="preserve">
Lado Esquerdo</t>
        </r>
      </text>
    </comment>
    <comment ref="D4" authorId="0" shapeId="0" xr:uid="{D8CB1CB7-D367-4E15-A704-E37DC31E13CE}">
      <text>
        <r>
          <rPr>
            <b/>
            <sz val="9"/>
            <color indexed="81"/>
            <rFont val="Segoe UI"/>
            <family val="2"/>
          </rPr>
          <t>Alisson Jobim Pereira Nascimento:</t>
        </r>
        <r>
          <rPr>
            <sz val="9"/>
            <color indexed="81"/>
            <rFont val="Segoe UI"/>
            <family val="2"/>
          </rPr>
          <t xml:space="preserve">
Lado Esquerdo</t>
        </r>
      </text>
    </comment>
    <comment ref="D5" authorId="0" shapeId="0" xr:uid="{0B092DC9-CE8C-4547-9504-3C9006D71714}">
      <text>
        <r>
          <rPr>
            <b/>
            <sz val="9"/>
            <color indexed="81"/>
            <rFont val="Segoe UI"/>
            <family val="2"/>
          </rPr>
          <t>Alisson Jobim Pereira Nascimento:</t>
        </r>
        <r>
          <rPr>
            <sz val="9"/>
            <color indexed="81"/>
            <rFont val="Segoe UI"/>
            <family val="2"/>
          </rPr>
          <t xml:space="preserve">
Lado Direito</t>
        </r>
      </text>
    </comment>
    <comment ref="D6" authorId="0" shapeId="0" xr:uid="{2A0D9AA3-3B3E-4D8C-BE2B-17C9E862A00F}">
      <text>
        <r>
          <rPr>
            <b/>
            <sz val="9"/>
            <color indexed="81"/>
            <rFont val="Segoe UI"/>
            <family val="2"/>
          </rPr>
          <t>Alisson Jobim Pereira Nascimento:</t>
        </r>
        <r>
          <rPr>
            <sz val="9"/>
            <color indexed="81"/>
            <rFont val="Segoe UI"/>
            <family val="2"/>
          </rPr>
          <t xml:space="preserve">
Lado direito</t>
        </r>
      </text>
    </comment>
    <comment ref="C35" authorId="0" shapeId="0" xr:uid="{6254F341-AC8E-4E48-A65B-935BB7B17F24}">
      <text>
        <r>
          <rPr>
            <b/>
            <sz val="9"/>
            <color indexed="81"/>
            <rFont val="Segoe UI"/>
            <family val="2"/>
          </rPr>
          <t>Alisson Jobim Pereira Nascimento:</t>
        </r>
        <r>
          <rPr>
            <sz val="9"/>
            <color indexed="81"/>
            <rFont val="Segoe UI"/>
            <family val="2"/>
          </rPr>
          <t xml:space="preserve">
Passagem Inferior Porto Alegre Norte</t>
        </r>
      </text>
    </comment>
    <comment ref="D35" authorId="0" shapeId="0" xr:uid="{0F96CEAE-664E-4F02-80EB-ECCC672FA4D5}">
      <text>
        <r>
          <rPr>
            <b/>
            <sz val="9"/>
            <color indexed="81"/>
            <rFont val="Segoe UI"/>
            <family val="2"/>
          </rPr>
          <t>Alisson Jobim Pereira Nascimento:</t>
        </r>
        <r>
          <rPr>
            <sz val="9"/>
            <color indexed="81"/>
            <rFont val="Segoe UI"/>
            <family val="2"/>
          </rPr>
          <t xml:space="preserve">
Passagem Inferior Porto Alegre Norte</t>
        </r>
      </text>
    </comment>
    <comment ref="E35" authorId="0" shapeId="0" xr:uid="{42D630F9-A217-424D-B39A-33BF1AD4E4DF}">
      <text>
        <r>
          <rPr>
            <b/>
            <sz val="9"/>
            <color indexed="81"/>
            <rFont val="Segoe UI"/>
            <family val="2"/>
          </rPr>
          <t>Alisson Jobim Pereira Nascimento:</t>
        </r>
        <r>
          <rPr>
            <sz val="9"/>
            <color indexed="81"/>
            <rFont val="Segoe UI"/>
            <family val="2"/>
          </rPr>
          <t xml:space="preserve">
Passagem Inferior Porto Alegre Norte</t>
        </r>
      </text>
    </comment>
    <comment ref="C36" authorId="0" shapeId="0" xr:uid="{4CCC3387-6F88-4AE9-A644-625F18B27159}">
      <text>
        <r>
          <rPr>
            <b/>
            <sz val="9"/>
            <color indexed="81"/>
            <rFont val="Segoe UI"/>
            <family val="2"/>
          </rPr>
          <t>Alisson Jobim Pereira Nascimento:</t>
        </r>
        <r>
          <rPr>
            <sz val="9"/>
            <color indexed="81"/>
            <rFont val="Segoe UI"/>
            <family val="2"/>
          </rPr>
          <t xml:space="preserve">
Passagem Inferior Porto Alegre Sul</t>
        </r>
      </text>
    </comment>
    <comment ref="D36" authorId="0" shapeId="0" xr:uid="{794624C6-1A02-4C43-8275-53D1C727BF8E}">
      <text>
        <r>
          <rPr>
            <b/>
            <sz val="9"/>
            <color indexed="81"/>
            <rFont val="Segoe UI"/>
            <family val="2"/>
          </rPr>
          <t>Alisson Jobim Pereira Nascimento:</t>
        </r>
        <r>
          <rPr>
            <sz val="9"/>
            <color indexed="81"/>
            <rFont val="Segoe UI"/>
            <family val="2"/>
          </rPr>
          <t xml:space="preserve">
Passagem Inferior Porto Alegre Sul</t>
        </r>
      </text>
    </comment>
    <comment ref="E36" authorId="0" shapeId="0" xr:uid="{E52304A8-619D-4909-8353-025F0A015240}">
      <text>
        <r>
          <rPr>
            <b/>
            <sz val="9"/>
            <color indexed="81"/>
            <rFont val="Segoe UI"/>
            <family val="2"/>
          </rPr>
          <t>Alisson Jobim Pereira Nascimento:</t>
        </r>
        <r>
          <rPr>
            <sz val="9"/>
            <color indexed="81"/>
            <rFont val="Segoe UI"/>
            <family val="2"/>
          </rPr>
          <t xml:space="preserve">
Passagem Inferior Porto Alegre Sul</t>
        </r>
      </text>
    </comment>
    <comment ref="C60" authorId="1" shapeId="0" xr:uid="{E155D9EB-E3E7-4ECE-9DA6-B9C29D7EB1A7}">
      <text>
        <t>[Comentário encadeado]
Sua versão do Excel permite que você leia este comentário encadeado, no entanto, as edições serão removidas se o arquivo for aberto em uma versão mais recente do Excel. Saiba mais: https://go.microsoft.com/fwlink/?linkid=870924
Comentário:
    * Houve um remanejamento das Vias Marginais previstas para serem executadas em Monte Alegre de Minas (TH 11) tendo em vista sua execução ter sido ocorrida pelo Departamento Nacional de Infraestrutura de Transportes (DNIT) antes da assunção da rodovia pela Ecovias do Cerrado.</t>
      </text>
    </comment>
    <comment ref="C61" authorId="2" shapeId="0" xr:uid="{A43E12DB-60C7-49E9-9259-1E92F83F5DC1}">
      <text>
        <t>[Comentário encadeado]
Sua versão do Excel permite que você leia este comentário encadeado, no entanto, as edições serão removidas se o arquivo for aberto em uma versão mais recente do Excel. Saiba mais: https://go.microsoft.com/fwlink/?linkid=870924
Comentário:
    * Houve um remanejamento das Vias Marginais previstas para serem executadas em Monte Alegre de Minas (TH 11) tendo em vista sua execução ter sido ocorrida pelo Departamento Nacional de Infraestrutura de Transportes (DNIT) antes da assunção da rodovia pela Ecovias do Cerrado.</t>
      </text>
    </comment>
    <comment ref="F130" authorId="3" shapeId="0" xr:uid="{ADC67C30-0F28-466A-81FA-0C167216EA55}">
      <text>
        <t>[Comentário encadeado]
Sua versão do Excel permite que você leia este comentário encadeado, no entanto, as edições serão removidas se o arquivo for aberto em uma versão mais recente do Excel. Saiba mais: https://go.microsoft.com/fwlink/?linkid=870924
Comentário:
    SÃO 8 TUNEIS COM MÉDIA DE 800 METROS. EM TORNO DE 7 KM O TOTAL.</t>
      </text>
    </comment>
    <comment ref="F161" authorId="4" shapeId="0" xr:uid="{2365C413-224C-4A58-B2ED-20CFB30B7AD1}">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Contorno de Florianópolis, em pista dupla, com 47,33 km em cada sentido (total de 94,66 km), a ser executado do 7º ao 12º ano. </t>
      </text>
    </comment>
    <comment ref="F225" authorId="5" shapeId="0" xr:uid="{CB8F8B02-06B9-4C94-9754-970BCB2644F1}">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Contorno de Florianópolis, em pista dupla, com 47,33 km em cada sentido (total de 94,66 km), a ser executado do 7º ao 12º ano. </t>
      </text>
    </comment>
    <comment ref="F244" authorId="6" shapeId="0" xr:uid="{22D7DDE3-EC54-4DB6-9BD4-1B1023CA6D2B}">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Contorno de Florianópolis, em pista dupla, com 47,33 km em cada sentido (total de 94,66 km), a ser executado do 7º ao 12º ano. </t>
      </text>
    </comment>
    <comment ref="F286" authorId="7" shapeId="0" xr:uid="{2C9FAC28-05E9-4BDB-A2EF-9E27D970F210}">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Contorno de Florianópolis, em pista dupla, com 47,33 km em cada sentido (total de 94,66 km), a ser executado do 7º ao 12º ano. </t>
      </text>
    </comment>
    <comment ref="F308" authorId="8" shapeId="0" xr:uid="{BAC6D021-A628-4669-A790-F9F5900FBD80}">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Contorno de Florianópolis, em pista dupla, com 47,33 km em cada sentido (total de 94,66 km), a ser executado do 7º ao 12º ano. </t>
      </text>
    </comment>
    <comment ref="C419" authorId="9" shapeId="0" xr:uid="{CFC430EC-ED95-42A3-92B6-D4508B008CFE}">
      <text>
        <t>[Comentário encadeado]
Sua versão do Excel permite que você leia este comentário encadeado, no entanto, as edições serão removidas se o arquivo for aberto em uma versão mais recente do Excel. Saiba mais: https://go.microsoft.com/fwlink/?linkid=870924
Comentário:
    Como se trata de um viaduto elevado foi considerado o custo de uma interconexão em diamante</t>
      </text>
    </comment>
    <comment ref="D419" authorId="10" shapeId="0" xr:uid="{DA5680CA-1A95-4F40-A490-545BF3721E87}">
      <text>
        <t>[Comentário encadeado]
Sua versão do Excel permite que você leia este comentário encadeado, no entanto, as edições serão removidas se o arquivo for aberto em uma versão mais recente do Excel. Saiba mais: https://go.microsoft.com/fwlink/?linkid=870924
Comentário:
    Estaca 1 + 16</t>
      </text>
    </comment>
    <comment ref="E419" authorId="11" shapeId="0" xr:uid="{E81C6200-700E-454B-8F85-B2B1AA93C590}">
      <text>
        <t>[Comentário encadeado]
Sua versão do Excel permite que você leia este comentário encadeado, no entanto, as edições serão removidas se o arquivo for aberto em uma versão mais recente do Excel. Saiba mais: https://go.microsoft.com/fwlink/?linkid=870924
Comentário:
    Estaca 121 + 18</t>
      </text>
    </comment>
    <comment ref="C421" authorId="12" shapeId="0" xr:uid="{4D41A9B1-2DD6-481D-8AE3-D5E8AD042804}">
      <text>
        <t>[Comentário encadeado]
Sua versão do Excel permite que você leia este comentário encadeado, no entanto, as edições serão removidas se o arquivo for aberto em uma versão mais recente do Excel. Saiba mais: https://go.microsoft.com/fwlink/?linkid=870924
Comentário:
    Como se trata de um viaduto elevado foi considerado o custo de uma interconexão em diamante</t>
      </text>
    </comment>
    <comment ref="C422" authorId="13" shapeId="0" xr:uid="{8CA504ED-AA40-45BA-AD1E-B5B95458A09D}">
      <text>
        <t>[Comentário encadeado]
Sua versão do Excel permite que você leia este comentário encadeado, no entanto, as edições serão removidas se o arquivo for aberto em uma versão mais recente do Excel. Saiba mais: https://go.microsoft.com/fwlink/?linkid=870924
Comentário:
    Foi considerado o custo de um túnel, em torno de 50% por ser embaixo de uma praça.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Amanda Basilio Romano</author>
    <author>Amanda</author>
  </authors>
  <commentList>
    <comment ref="C119" authorId="0" shapeId="0" xr:uid="{90DA2AD2-1F07-4E53-A114-86E84CBA7551}">
      <text>
        <r>
          <rPr>
            <b/>
            <sz val="9"/>
            <color indexed="81"/>
            <rFont val="Segoe UI"/>
            <charset val="1"/>
          </rPr>
          <t>Amanda Basilio Romano:</t>
        </r>
        <r>
          <rPr>
            <sz val="9"/>
            <color indexed="81"/>
            <rFont val="Segoe UI"/>
            <charset val="1"/>
          </rPr>
          <t xml:space="preserve">
Extensão proposta 1,35 km
115,100 115,920 = 0,82
116,560 117,100 = 0,54
03/02/2023 
15232035</t>
        </r>
      </text>
    </comment>
    <comment ref="C121" authorId="0" shapeId="0" xr:uid="{2595070E-677F-497D-A200-F45488654E00}">
      <text>
        <r>
          <rPr>
            <b/>
            <sz val="9"/>
            <color indexed="81"/>
            <rFont val="Segoe UI"/>
            <charset val="1"/>
          </rPr>
          <t>Amanda Basilio Romano:</t>
        </r>
        <r>
          <rPr>
            <sz val="9"/>
            <color indexed="81"/>
            <rFont val="Segoe UI"/>
            <charset val="1"/>
          </rPr>
          <t xml:space="preserve">
Extensão proposta 2,23 de 8,33 km
166+220 ao km 167+300 
167+920 ao km 169+100 
21/01/2022</t>
        </r>
      </text>
    </comment>
    <comment ref="C124" authorId="0" shapeId="0" xr:uid="{C4D21D6A-5598-4E43-B0EE-454998FFB97E}">
      <text>
        <r>
          <rPr>
            <b/>
            <sz val="9"/>
            <color indexed="81"/>
            <rFont val="Segoe UI"/>
            <family val="2"/>
          </rPr>
          <t>Amanda Basilio Romano:</t>
        </r>
        <r>
          <rPr>
            <sz val="9"/>
            <color indexed="81"/>
            <rFont val="Segoe UI"/>
            <family val="2"/>
          </rPr>
          <t xml:space="preserve">
21,19
755+400 ao km 756+500
756+940 ao km 758+360
762+600 ao km 764+00
764+830 ao km 766+090
766+430 ao km 767+780
771+130 ao km 772+440
771+850 ao km 775+380
775+660 ao km 771+160
784+700 ao km 786+260
785+820 ao km 787+680
788+160 ao km 788+840
788+400 ao km 790+040
791+350 ao km 793+800</t>
        </r>
      </text>
    </comment>
    <comment ref="C127" authorId="0" shapeId="0" xr:uid="{F9F832B2-3EF4-4C5C-AC0B-1ADEC09E93EF}">
      <text>
        <r>
          <rPr>
            <b/>
            <sz val="9"/>
            <color indexed="81"/>
            <rFont val="Segoe UI"/>
            <charset val="1"/>
          </rPr>
          <t>Amanda Basilio Romano:</t>
        </r>
        <r>
          <rPr>
            <sz val="9"/>
            <color indexed="81"/>
            <rFont val="Segoe UI"/>
            <charset val="1"/>
          </rPr>
          <t xml:space="preserve">
869+840 ao km 872+080
03/02/2023</t>
        </r>
      </text>
    </comment>
    <comment ref="C130" authorId="0" shapeId="0" xr:uid="{95925486-4E04-44A4-92BC-AA415121A392}">
      <text>
        <r>
          <rPr>
            <b/>
            <sz val="9"/>
            <color indexed="81"/>
            <rFont val="Segoe UI"/>
            <family val="2"/>
          </rPr>
          <t>Amanda Basilio Romano:</t>
        </r>
        <r>
          <rPr>
            <sz val="9"/>
            <color indexed="81"/>
            <rFont val="Segoe UI"/>
            <family val="2"/>
          </rPr>
          <t xml:space="preserve">
50500.011261/2022-14
50500.036822/2023-61
50500.038310/2024-10
23301854
24517030</t>
        </r>
      </text>
    </comment>
    <comment ref="C131" authorId="0" shapeId="0" xr:uid="{8348971A-5B3A-490D-8952-DACB91F76F4D}">
      <text>
        <r>
          <rPr>
            <b/>
            <sz val="9"/>
            <color indexed="81"/>
            <rFont val="Segoe UI"/>
            <family val="2"/>
          </rPr>
          <t>Amanda Basilio Romano:</t>
        </r>
        <r>
          <rPr>
            <sz val="9"/>
            <color indexed="81"/>
            <rFont val="Segoe UI"/>
            <family val="2"/>
          </rPr>
          <t xml:space="preserve">
Somente sentido leste (decrescente) LE (TH10)
14299735
7 km desse montante advém de saldo de Monte Alegre de Minas, os quais seriam
efetivamente repartidos nos TH05/06 (0,52 km), TH10 (3,0 km) e TH15/16 (3,48 km).</t>
        </r>
      </text>
    </comment>
    <comment ref="C132" authorId="0" shapeId="0" xr:uid="{A645F831-6D28-461C-AC61-1D341AAE211E}">
      <text>
        <r>
          <rPr>
            <b/>
            <sz val="9"/>
            <color indexed="81"/>
            <rFont val="Segoe UI"/>
            <family val="2"/>
          </rPr>
          <t>Amanda Basilio Romano:</t>
        </r>
        <r>
          <rPr>
            <sz val="9"/>
            <color indexed="81"/>
            <rFont val="Segoe UI"/>
            <family val="2"/>
          </rPr>
          <t xml:space="preserve">
01/02/2024</t>
        </r>
      </text>
    </comment>
    <comment ref="C135" authorId="0" shapeId="0" xr:uid="{E8D116F8-9AF8-4633-9118-275AA0F47517}">
      <text>
        <r>
          <rPr>
            <b/>
            <sz val="9"/>
            <color indexed="81"/>
            <rFont val="Segoe UI"/>
            <family val="2"/>
          </rPr>
          <t>Amanda Basilio Romano:</t>
        </r>
        <r>
          <rPr>
            <sz val="9"/>
            <color indexed="81"/>
            <rFont val="Segoe UI"/>
            <family val="2"/>
          </rPr>
          <t xml:space="preserve">
01/02/2024 Oeste</t>
        </r>
      </text>
    </comment>
    <comment ref="C136" authorId="0" shapeId="0" xr:uid="{6687D994-B008-44BD-BB70-04F8F9FECF54}">
      <text>
        <r>
          <rPr>
            <b/>
            <sz val="9"/>
            <color indexed="81"/>
            <rFont val="Segoe UI"/>
            <family val="2"/>
          </rPr>
          <t>Amanda Basilio Romano:</t>
        </r>
        <r>
          <rPr>
            <sz val="9"/>
            <color indexed="81"/>
            <rFont val="Segoe UI"/>
            <family val="2"/>
          </rPr>
          <t xml:space="preserve">
Oeste
</t>
        </r>
      </text>
    </comment>
    <comment ref="C140" authorId="0" shapeId="0" xr:uid="{38C787F0-3A6E-4AC1-BD95-5CB820F7FFEC}">
      <text>
        <r>
          <rPr>
            <b/>
            <sz val="9"/>
            <color indexed="81"/>
            <rFont val="Segoe UI"/>
            <family val="2"/>
          </rPr>
          <t>Amanda Basilio Romano:</t>
        </r>
        <r>
          <rPr>
            <sz val="9"/>
            <color indexed="81"/>
            <rFont val="Segoe UI"/>
            <family val="2"/>
          </rPr>
          <t xml:space="preserve">
01/02/2024 Leste</t>
        </r>
      </text>
    </comment>
    <comment ref="C141" authorId="0" shapeId="0" xr:uid="{117C343F-3141-4F7B-991F-91754C708FE2}">
      <text>
        <r>
          <rPr>
            <b/>
            <sz val="9"/>
            <color indexed="81"/>
            <rFont val="Segoe UI"/>
            <family val="2"/>
          </rPr>
          <t>Amanda Basilio Romano:</t>
        </r>
        <r>
          <rPr>
            <sz val="9"/>
            <color indexed="81"/>
            <rFont val="Segoe UI"/>
            <family val="2"/>
          </rPr>
          <t xml:space="preserve">
Leste
</t>
        </r>
      </text>
    </comment>
    <comment ref="C248" authorId="0" shapeId="0" xr:uid="{8D80A917-013E-4BAD-8100-50980DF26D53}">
      <text>
        <r>
          <rPr>
            <b/>
            <sz val="9"/>
            <color indexed="81"/>
            <rFont val="Segoe UI"/>
            <charset val="1"/>
          </rPr>
          <t>Amanda Basilio Romano:</t>
        </r>
        <r>
          <rPr>
            <sz val="9"/>
            <color indexed="81"/>
            <rFont val="Segoe UI"/>
            <charset val="1"/>
          </rPr>
          <t xml:space="preserve">
nov/2019
</t>
        </r>
      </text>
    </comment>
    <comment ref="C254" authorId="0" shapeId="0" xr:uid="{026C14F0-DD69-429A-9B3F-B183DF15E40C}">
      <text>
        <r>
          <rPr>
            <b/>
            <sz val="9"/>
            <color indexed="81"/>
            <rFont val="Segoe UI"/>
            <family val="2"/>
          </rPr>
          <t>Amanda Basilio Romano:</t>
        </r>
        <r>
          <rPr>
            <sz val="9"/>
            <color indexed="81"/>
            <rFont val="Segoe UI"/>
            <family val="2"/>
          </rPr>
          <t xml:space="preserve">
nov/15</t>
        </r>
      </text>
    </comment>
    <comment ref="C255" authorId="0" shapeId="0" xr:uid="{AF34B4E0-817B-49C3-B08B-B4B7B7C3C213}">
      <text>
        <r>
          <rPr>
            <b/>
            <sz val="9"/>
            <color indexed="81"/>
            <rFont val="Segoe UI"/>
            <family val="2"/>
          </rPr>
          <t>Amanda Basilio Romano:</t>
        </r>
        <r>
          <rPr>
            <sz val="9"/>
            <color indexed="81"/>
            <rFont val="Segoe UI"/>
            <family val="2"/>
          </rPr>
          <t xml:space="preserve">
nov/15</t>
        </r>
      </text>
    </comment>
    <comment ref="C256" authorId="0" shapeId="0" xr:uid="{9686F033-657D-4FBB-A244-FBC48BE78EDA}">
      <text>
        <r>
          <rPr>
            <b/>
            <sz val="9"/>
            <color indexed="81"/>
            <rFont val="Segoe UI"/>
            <family val="2"/>
          </rPr>
          <t>Amanda Basilio Romano:</t>
        </r>
        <r>
          <rPr>
            <sz val="9"/>
            <color indexed="81"/>
            <rFont val="Segoe UI"/>
            <family val="2"/>
          </rPr>
          <t xml:space="preserve">
nov/15</t>
        </r>
      </text>
    </comment>
    <comment ref="C257" authorId="0" shapeId="0" xr:uid="{42BAF436-8D7F-4F62-B821-D1BA2A509AF8}">
      <text>
        <r>
          <rPr>
            <b/>
            <sz val="9"/>
            <color indexed="81"/>
            <rFont val="Segoe UI"/>
            <family val="2"/>
          </rPr>
          <t>Amanda Basilio Romano:</t>
        </r>
        <r>
          <rPr>
            <sz val="9"/>
            <color indexed="81"/>
            <rFont val="Segoe UI"/>
            <family val="2"/>
          </rPr>
          <t xml:space="preserve">
nov/15</t>
        </r>
      </text>
    </comment>
    <comment ref="C258" authorId="0" shapeId="0" xr:uid="{1E4F01A3-A92B-4923-A1CB-20627F78C08A}">
      <text>
        <r>
          <rPr>
            <b/>
            <sz val="9"/>
            <color indexed="81"/>
            <rFont val="Segoe UI"/>
            <family val="2"/>
          </rPr>
          <t>Amanda Basilio Romano:</t>
        </r>
        <r>
          <rPr>
            <sz val="9"/>
            <color indexed="81"/>
            <rFont val="Segoe UI"/>
            <family val="2"/>
          </rPr>
          <t xml:space="preserve">
nov/15</t>
        </r>
      </text>
    </comment>
    <comment ref="C288" authorId="0" shapeId="0" xr:uid="{6F61FB1C-7E24-4442-8132-5EF9249EBC6F}">
      <text>
        <r>
          <rPr>
            <b/>
            <sz val="9"/>
            <color indexed="81"/>
            <rFont val="Segoe UI"/>
            <family val="2"/>
          </rPr>
          <t>Amanda Basilio Romano:</t>
        </r>
        <r>
          <rPr>
            <sz val="9"/>
            <color indexed="81"/>
            <rFont val="Segoe UI"/>
            <family val="2"/>
          </rPr>
          <t xml:space="preserve">
jun/15</t>
        </r>
      </text>
    </comment>
    <comment ref="C289" authorId="0" shapeId="0" xr:uid="{F0EAA2FB-5A07-4750-8315-E452A71830A5}">
      <text>
        <r>
          <rPr>
            <b/>
            <sz val="9"/>
            <color indexed="81"/>
            <rFont val="Segoe UI"/>
            <family val="2"/>
          </rPr>
          <t>Amanda Basilio Romano:</t>
        </r>
        <r>
          <rPr>
            <sz val="9"/>
            <color indexed="81"/>
            <rFont val="Segoe UI"/>
            <family val="2"/>
          </rPr>
          <t xml:space="preserve">
jun/15</t>
        </r>
      </text>
    </comment>
    <comment ref="C292" authorId="0" shapeId="0" xr:uid="{65030F27-769E-4185-955D-82E889C27BF8}">
      <text>
        <r>
          <rPr>
            <b/>
            <sz val="9"/>
            <color indexed="81"/>
            <rFont val="Segoe UI"/>
            <family val="2"/>
          </rPr>
          <t>Amanda Basilio Romano:</t>
        </r>
        <r>
          <rPr>
            <sz val="9"/>
            <color indexed="81"/>
            <rFont val="Segoe UI"/>
            <family val="2"/>
          </rPr>
          <t xml:space="preserve">
out/15</t>
        </r>
      </text>
    </comment>
    <comment ref="C293" authorId="0" shapeId="0" xr:uid="{5DBB337E-ABE3-4ED1-967D-759CE4D5E280}">
      <text>
        <r>
          <rPr>
            <b/>
            <sz val="9"/>
            <color indexed="81"/>
            <rFont val="Segoe UI"/>
            <family val="2"/>
          </rPr>
          <t>Amanda Basilio Romano:</t>
        </r>
        <r>
          <rPr>
            <sz val="9"/>
            <color indexed="81"/>
            <rFont val="Segoe UI"/>
            <family val="2"/>
          </rPr>
          <t xml:space="preserve">
out/15</t>
        </r>
      </text>
    </comment>
    <comment ref="C306" authorId="0" shapeId="0" xr:uid="{8428DA8C-0E33-4D58-BDCF-E0B0A9C68F09}">
      <text>
        <r>
          <rPr>
            <b/>
            <sz val="9"/>
            <color indexed="81"/>
            <rFont val="Segoe UI"/>
            <family val="2"/>
          </rPr>
          <t>Amanda Basilio Romano:</t>
        </r>
        <r>
          <rPr>
            <sz val="9"/>
            <color indexed="81"/>
            <rFont val="Segoe UI"/>
            <family val="2"/>
          </rPr>
          <t xml:space="preserve">
23391225
0,79km entre o km 821+450
ao km 822+240, no sentido sul
¹A marginal 06 com extensão de 3,100 km pelo PER foi executada em primeira etapa com 790 metros , confome
informada pela CRO a ANTT via Ofício 2.012/2018.
0,79+1,39+0,44</t>
        </r>
      </text>
    </comment>
    <comment ref="C307" authorId="0" shapeId="0" xr:uid="{6535E327-05FA-4780-8241-D7625BDC3C5E}">
      <text>
        <r>
          <rPr>
            <b/>
            <sz val="9"/>
            <color indexed="81"/>
            <rFont val="Segoe UI"/>
            <family val="2"/>
          </rPr>
          <t>Amanda Basilio Romano:</t>
        </r>
        <r>
          <rPr>
            <sz val="9"/>
            <color indexed="81"/>
            <rFont val="Segoe UI"/>
            <family val="2"/>
          </rPr>
          <t xml:space="preserve">
 822,26-818,68 = 3,58</t>
        </r>
      </text>
    </comment>
    <comment ref="C317" authorId="0" shapeId="0" xr:uid="{A3C7414C-E878-40C3-9F7F-1DC7D33E4AC6}">
      <text>
        <r>
          <rPr>
            <b/>
            <sz val="9"/>
            <color indexed="81"/>
            <rFont val="Segoe UI"/>
            <charset val="1"/>
          </rPr>
          <t>Amanda Basilio Romano:</t>
        </r>
        <r>
          <rPr>
            <sz val="9"/>
            <color indexed="81"/>
            <rFont val="Segoe UI"/>
            <charset val="1"/>
          </rPr>
          <t xml:space="preserve">
Duplicação da Travessia Urbana de Catalão do km 275 ao km 286</t>
        </r>
      </text>
    </comment>
    <comment ref="D319" authorId="0" shapeId="0" xr:uid="{D5819126-87DA-47AB-A309-9D06877161B8}">
      <text>
        <r>
          <rPr>
            <b/>
            <sz val="9"/>
            <color indexed="81"/>
            <rFont val="Segoe UI"/>
            <charset val="1"/>
          </rPr>
          <t>Amanda Basilio Romano:</t>
        </r>
        <r>
          <rPr>
            <sz val="9"/>
            <color indexed="81"/>
            <rFont val="Segoe UI"/>
            <charset val="1"/>
          </rPr>
          <t xml:space="preserve">
ALTEROU PARA 98,5</t>
        </r>
      </text>
    </comment>
    <comment ref="D320" authorId="0" shapeId="0" xr:uid="{16C585D3-FCEE-49DB-9094-BC15153A2147}">
      <text>
        <r>
          <rPr>
            <b/>
            <sz val="9"/>
            <color indexed="81"/>
            <rFont val="Segoe UI"/>
            <charset val="1"/>
          </rPr>
          <t>Amanda Basilio Romano:</t>
        </r>
        <r>
          <rPr>
            <sz val="9"/>
            <color indexed="81"/>
            <rFont val="Segoe UI"/>
            <charset val="1"/>
          </rPr>
          <t xml:space="preserve">
ALTEROU 283,05</t>
        </r>
      </text>
    </comment>
    <comment ref="D321" authorId="0" shapeId="0" xr:uid="{6233CD0E-B417-43E0-A426-9CA8AAE326BD}">
      <text>
        <r>
          <rPr>
            <b/>
            <sz val="9"/>
            <color indexed="81"/>
            <rFont val="Segoe UI"/>
            <charset val="1"/>
          </rPr>
          <t>Amanda Basilio Romano:</t>
        </r>
        <r>
          <rPr>
            <sz val="9"/>
            <color indexed="81"/>
            <rFont val="Segoe UI"/>
            <charset val="1"/>
          </rPr>
          <t xml:space="preserve">
EM DEFINIÇÃO DE NOVA LOCALIZAÇÃO
</t>
        </r>
      </text>
    </comment>
    <comment ref="D322" authorId="0" shapeId="0" xr:uid="{A7E5BA5F-ADF6-423D-8C99-1C903A6E9C13}">
      <text>
        <r>
          <rPr>
            <b/>
            <sz val="9"/>
            <color indexed="81"/>
            <rFont val="Segoe UI"/>
            <charset val="1"/>
          </rPr>
          <t>Amanda Basilio Romano:</t>
        </r>
        <r>
          <rPr>
            <sz val="9"/>
            <color indexed="81"/>
            <rFont val="Segoe UI"/>
            <charset val="1"/>
          </rPr>
          <t xml:space="preserve">
96,7</t>
        </r>
      </text>
    </comment>
    <comment ref="C330" authorId="0" shapeId="0" xr:uid="{B87036FD-EA20-4645-9167-32BD55F67E36}">
      <text>
        <r>
          <rPr>
            <b/>
            <sz val="9"/>
            <color indexed="81"/>
            <rFont val="Segoe UI"/>
            <charset val="1"/>
          </rPr>
          <t>Amanda Basilio Romano:</t>
        </r>
        <r>
          <rPr>
            <sz val="9"/>
            <color indexed="81"/>
            <rFont val="Segoe UI"/>
            <charset val="1"/>
          </rPr>
          <t xml:space="preserve">
25/03/2019
</t>
        </r>
      </text>
    </comment>
    <comment ref="D331" authorId="0" shapeId="0" xr:uid="{78D21465-0FE7-4D15-9D3C-590A82A097A7}">
      <text>
        <r>
          <rPr>
            <b/>
            <sz val="9"/>
            <color indexed="81"/>
            <rFont val="Segoe UI"/>
            <charset val="1"/>
          </rPr>
          <t>Amanda Basilio Romano:</t>
        </r>
        <r>
          <rPr>
            <sz val="9"/>
            <color indexed="81"/>
            <rFont val="Segoe UI"/>
            <charset val="1"/>
          </rPr>
          <t xml:space="preserve">
ALTEROU 277,95</t>
        </r>
      </text>
    </comment>
    <comment ref="D332" authorId="0" shapeId="0" xr:uid="{C9F62A4A-A256-4A79-AF6D-6F99455B6A8B}">
      <text>
        <r>
          <rPr>
            <b/>
            <sz val="9"/>
            <color indexed="81"/>
            <rFont val="Segoe UI"/>
            <charset val="1"/>
          </rPr>
          <t>Amanda Basilio Romano:</t>
        </r>
        <r>
          <rPr>
            <sz val="9"/>
            <color indexed="81"/>
            <rFont val="Segoe UI"/>
            <charset val="1"/>
          </rPr>
          <t xml:space="preserve">
ALTEROU 280,3</t>
        </r>
      </text>
    </comment>
    <comment ref="C333" authorId="0" shapeId="0" xr:uid="{A603D4E1-11A1-4E7B-84B4-81EFDC58E7A0}">
      <text>
        <r>
          <rPr>
            <b/>
            <sz val="9"/>
            <color indexed="81"/>
            <rFont val="Segoe UI"/>
            <charset val="1"/>
          </rPr>
          <t>Amanda Basilio Romano:</t>
        </r>
        <r>
          <rPr>
            <sz val="9"/>
            <color indexed="81"/>
            <rFont val="Segoe UI"/>
            <charset val="1"/>
          </rPr>
          <t xml:space="preserve">
09/11/2020</t>
        </r>
      </text>
    </comment>
    <comment ref="D335" authorId="0" shapeId="0" xr:uid="{9FB73387-0532-46D4-9E9A-241857EBB9E3}">
      <text>
        <r>
          <rPr>
            <b/>
            <sz val="9"/>
            <color indexed="81"/>
            <rFont val="Segoe UI"/>
            <family val="2"/>
          </rPr>
          <t>Amanda Basilio Romano:</t>
        </r>
        <r>
          <rPr>
            <sz val="9"/>
            <color indexed="81"/>
            <rFont val="Segoe UI"/>
            <family val="2"/>
          </rPr>
          <t xml:space="preserve">
ALTEROU 280,3</t>
        </r>
      </text>
    </comment>
    <comment ref="C350" authorId="0" shapeId="0" xr:uid="{CA1D36F7-B0D1-417B-8FC9-0B5B9B76296F}">
      <text>
        <r>
          <rPr>
            <b/>
            <sz val="9"/>
            <color indexed="81"/>
            <rFont val="Segoe UI"/>
            <family val="2"/>
          </rPr>
          <t>Amanda Basilio Romano:</t>
        </r>
        <r>
          <rPr>
            <sz val="9"/>
            <color indexed="81"/>
            <rFont val="Segoe UI"/>
            <family val="2"/>
          </rPr>
          <t xml:space="preserve">
Em andamento</t>
        </r>
      </text>
    </comment>
    <comment ref="C351" authorId="0" shapeId="0" xr:uid="{19BEE6E8-A44F-4601-BECE-C421A7E78A7C}">
      <text>
        <r>
          <rPr>
            <b/>
            <sz val="9"/>
            <color indexed="81"/>
            <rFont val="Segoe UI"/>
            <family val="2"/>
          </rPr>
          <t>Amanda Basilio Romano:</t>
        </r>
        <r>
          <rPr>
            <sz val="9"/>
            <color indexed="81"/>
            <rFont val="Segoe UI"/>
            <family val="2"/>
          </rPr>
          <t xml:space="preserve">
Em andamento</t>
        </r>
      </text>
    </comment>
    <comment ref="C354" authorId="0" shapeId="0" xr:uid="{9272B34C-0631-42C8-9CFC-703D0CF3B0C0}">
      <text>
        <r>
          <rPr>
            <b/>
            <sz val="9"/>
            <color indexed="81"/>
            <rFont val="Segoe UI"/>
            <family val="2"/>
          </rPr>
          <t>Amanda Basilio Romano:</t>
        </r>
        <r>
          <rPr>
            <sz val="9"/>
            <color indexed="81"/>
            <rFont val="Segoe UI"/>
            <family val="2"/>
          </rPr>
          <t xml:space="preserve">
jan/18</t>
        </r>
      </text>
    </comment>
    <comment ref="C356" authorId="0" shapeId="0" xr:uid="{2651429A-7C44-494E-8BFB-9C4C769BE2C8}">
      <text>
        <r>
          <rPr>
            <b/>
            <sz val="9"/>
            <color indexed="81"/>
            <rFont val="Segoe UI"/>
            <family val="2"/>
          </rPr>
          <t>Amanda Basilio Romano:</t>
        </r>
        <r>
          <rPr>
            <sz val="9"/>
            <color indexed="81"/>
            <rFont val="Segoe UI"/>
            <family val="2"/>
          </rPr>
          <t xml:space="preserve">
Em andamento</t>
        </r>
      </text>
    </comment>
    <comment ref="C357" authorId="0" shapeId="0" xr:uid="{EC2ABC5C-C79C-4712-9A44-6317A2904892}">
      <text>
        <r>
          <rPr>
            <b/>
            <sz val="9"/>
            <color indexed="81"/>
            <rFont val="Segoe UI"/>
            <family val="2"/>
          </rPr>
          <t>Amanda Basilio Romano:</t>
        </r>
        <r>
          <rPr>
            <sz val="9"/>
            <color indexed="81"/>
            <rFont val="Segoe UI"/>
            <family val="2"/>
          </rPr>
          <t xml:space="preserve">
Em andamento</t>
        </r>
      </text>
    </comment>
    <comment ref="C374" authorId="0" shapeId="0" xr:uid="{B7ABB7B3-CC4B-451D-B180-6667001639AC}">
      <text>
        <r>
          <rPr>
            <b/>
            <sz val="9"/>
            <color indexed="81"/>
            <rFont val="Segoe UI"/>
            <charset val="1"/>
          </rPr>
          <t>Amanda Basilio Romano:</t>
        </r>
        <r>
          <rPr>
            <sz val="9"/>
            <color indexed="81"/>
            <rFont val="Segoe UI"/>
            <charset val="1"/>
          </rPr>
          <t xml:space="preserve">
22287323
13/07/2018</t>
        </r>
      </text>
    </comment>
    <comment ref="C375" authorId="0" shapeId="0" xr:uid="{7AB57539-C05C-4267-A465-7166F4F11CFC}">
      <text>
        <r>
          <rPr>
            <b/>
            <sz val="9"/>
            <color indexed="81"/>
            <rFont val="Segoe UI"/>
            <family val="2"/>
          </rPr>
          <t>Amanda Basilio Romano:</t>
        </r>
        <r>
          <rPr>
            <sz val="9"/>
            <color indexed="81"/>
            <rFont val="Segoe UI"/>
            <family val="2"/>
          </rPr>
          <t xml:space="preserve">
24012214
22222586
BR-381/MG
análise e aceitação o Projeto Executivo
14 de junho de 2024</t>
        </r>
      </text>
    </comment>
    <comment ref="C376" authorId="0" shapeId="0" xr:uid="{3F2BCE8D-1CF2-41DF-81E8-013C63C04289}">
      <text>
        <r>
          <rPr>
            <b/>
            <sz val="9"/>
            <color indexed="81"/>
            <rFont val="Segoe UI"/>
            <family val="2"/>
          </rPr>
          <t>Amanda Basilio Romano:</t>
        </r>
        <r>
          <rPr>
            <sz val="9"/>
            <color indexed="81"/>
            <rFont val="Segoe UI"/>
            <family val="2"/>
          </rPr>
          <t xml:space="preserve">
24011417
22222586
BR-381/MG
análise e aceitação o Projeto Executivo
14 de junho de 2024</t>
        </r>
      </text>
    </comment>
    <comment ref="C377" authorId="0" shapeId="0" xr:uid="{D7DA95C6-0736-4E0D-AF30-00DFCB7A1EB1}">
      <text>
        <r>
          <rPr>
            <b/>
            <sz val="9"/>
            <color indexed="81"/>
            <rFont val="Segoe UI"/>
            <charset val="1"/>
          </rPr>
          <t>Amanda Basilio Romano:</t>
        </r>
        <r>
          <rPr>
            <sz val="9"/>
            <color indexed="81"/>
            <rFont val="Segoe UI"/>
            <charset val="1"/>
          </rPr>
          <t xml:space="preserve">
Concluida
8925938
iniciada em agosto de 2014
A obra executada na região de Betim – MG foi concluída em dezembro de
2015</t>
        </r>
      </text>
    </comment>
    <comment ref="C378" authorId="0" shapeId="0" xr:uid="{4DD0ABF1-8542-4FA2-B0B2-B20B705DCF22}">
      <text>
        <r>
          <rPr>
            <b/>
            <sz val="9"/>
            <color indexed="81"/>
            <rFont val="Segoe UI"/>
            <family val="2"/>
          </rPr>
          <t>Amanda Basilio Romano:</t>
        </r>
        <r>
          <rPr>
            <sz val="9"/>
            <color indexed="81"/>
            <rFont val="Segoe UI"/>
            <family val="2"/>
          </rPr>
          <t xml:space="preserve">
24010844
BR-381/MG</t>
        </r>
      </text>
    </comment>
    <comment ref="C379" authorId="0" shapeId="0" xr:uid="{9B8B6732-B060-499A-81B5-0AFB7BAC444E}">
      <text>
        <r>
          <rPr>
            <b/>
            <sz val="9"/>
            <color indexed="81"/>
            <rFont val="Segoe UI"/>
            <charset val="1"/>
          </rPr>
          <t>Amanda Basilio Romano:</t>
        </r>
        <r>
          <rPr>
            <sz val="9"/>
            <color indexed="81"/>
            <rFont val="Segoe UI"/>
            <charset val="1"/>
          </rPr>
          <t xml:space="preserve">
19/12/2023</t>
        </r>
      </text>
    </comment>
    <comment ref="C380" authorId="0" shapeId="0" xr:uid="{5121F205-5A23-4994-B272-D30E83FEC636}">
      <text>
        <r>
          <rPr>
            <b/>
            <sz val="9"/>
            <color indexed="81"/>
            <rFont val="Segoe UI"/>
            <family val="2"/>
          </rPr>
          <t>Amanda Basilio Romano:</t>
        </r>
        <r>
          <rPr>
            <sz val="9"/>
            <color indexed="81"/>
            <rFont val="Segoe UI"/>
            <family val="2"/>
          </rPr>
          <t xml:space="preserve">
RETOFF - 21479893</t>
        </r>
      </text>
    </comment>
    <comment ref="C381" authorId="0" shapeId="0" xr:uid="{6E5F224D-38B2-4B67-889C-6955F79C0DE9}">
      <text>
        <r>
          <rPr>
            <b/>
            <sz val="9"/>
            <color indexed="81"/>
            <rFont val="Segoe UI"/>
            <family val="2"/>
          </rPr>
          <t>Amanda Basilio Romano:</t>
        </r>
        <r>
          <rPr>
            <sz val="9"/>
            <color indexed="81"/>
            <rFont val="Segoe UI"/>
            <family val="2"/>
          </rPr>
          <t xml:space="preserve">
4110099
11/2013
0939637
É Completo mas no RETOFF está como Parcial (teve sua geometria alterada)</t>
        </r>
      </text>
    </comment>
    <comment ref="C382" authorId="0" shapeId="0" xr:uid="{B6BDE346-98A4-49F6-BC32-26929CBC02BC}">
      <text>
        <r>
          <rPr>
            <b/>
            <sz val="9"/>
            <color indexed="81"/>
            <rFont val="Segoe UI"/>
            <family val="2"/>
          </rPr>
          <t>Amanda Basilio Romano:</t>
        </r>
        <r>
          <rPr>
            <sz val="9"/>
            <color indexed="81"/>
            <rFont val="Segoe UI"/>
            <family val="2"/>
          </rPr>
          <t xml:space="preserve">
0019270
iniciada em agosto de 2014</t>
        </r>
      </text>
    </comment>
    <comment ref="C383" authorId="1" shapeId="0" xr:uid="{4F5A2F44-4A3C-4EEB-A60A-87AC87E0546F}">
      <text>
        <r>
          <rPr>
            <b/>
            <sz val="9"/>
            <color indexed="81"/>
            <rFont val="Segoe UI"/>
            <family val="2"/>
          </rPr>
          <t>Amanda:
6648318</t>
        </r>
        <r>
          <rPr>
            <sz val="9"/>
            <color indexed="81"/>
            <rFont val="Segoe UI"/>
            <family val="2"/>
          </rPr>
          <t xml:space="preserve">
4749340
27/02/2013
km 052,900 ao km 54,000 - Pista Norte - Atibaia/SP - 1,100 km(</t>
        </r>
      </text>
    </comment>
    <comment ref="C384" authorId="1" shapeId="0" xr:uid="{8E94D6C5-F0CD-42D3-A388-1F8446FBECDE}">
      <text>
        <r>
          <rPr>
            <b/>
            <sz val="9"/>
            <color indexed="81"/>
            <rFont val="Segoe UI"/>
            <family val="2"/>
          </rPr>
          <t>Amanda:</t>
        </r>
        <r>
          <rPr>
            <sz val="9"/>
            <color indexed="81"/>
            <rFont val="Segoe UI"/>
            <family val="2"/>
          </rPr>
          <t xml:space="preserve">
km 049,300 ao km 50,000 - Pista Norte 19/09/2012
</t>
        </r>
      </text>
    </comment>
    <comment ref="C385" authorId="1" shapeId="0" xr:uid="{B24DA70C-802B-4F3C-A02F-A7598D7DED70}">
      <text>
        <r>
          <rPr>
            <b/>
            <sz val="9"/>
            <color indexed="81"/>
            <rFont val="Segoe UI"/>
            <family val="2"/>
          </rPr>
          <t>Amanda:</t>
        </r>
        <r>
          <rPr>
            <sz val="9"/>
            <color indexed="81"/>
            <rFont val="Segoe UI"/>
            <family val="2"/>
          </rPr>
          <t xml:space="preserve">
km 044,482 ao km 45,223 - Pista Sul - Atibaia/SP - 0,741 km
12/12/2013</t>
        </r>
      </text>
    </comment>
    <comment ref="C386" authorId="1" shapeId="0" xr:uid="{7E4C4331-9CF5-4DF1-83C5-F62ACD8F3483}">
      <text>
        <r>
          <rPr>
            <b/>
            <sz val="9"/>
            <color indexed="81"/>
            <rFont val="Segoe UI"/>
            <family val="2"/>
          </rPr>
          <t>Amanda:</t>
        </r>
        <r>
          <rPr>
            <sz val="9"/>
            <color indexed="81"/>
            <rFont val="Segoe UI"/>
            <family val="2"/>
          </rPr>
          <t xml:space="preserve">
km 480,103 ao 508,551 - segmentos descontínuos - 09/10/2013 a 30/04/2014</t>
        </r>
      </text>
    </comment>
    <comment ref="C387" authorId="1" shapeId="0" xr:uid="{39640FDC-D2D0-4325-B904-731CC86658EB}">
      <text>
        <r>
          <rPr>
            <b/>
            <sz val="9"/>
            <color indexed="81"/>
            <rFont val="Segoe UI"/>
            <family val="2"/>
          </rPr>
          <t>Amanda:</t>
        </r>
        <r>
          <rPr>
            <sz val="9"/>
            <color indexed="81"/>
            <rFont val="Segoe UI"/>
            <family val="2"/>
          </rPr>
          <t xml:space="preserve">
km 534,000 ao km 535,625 - Pista Sul - Itatiaiuçu/MG - 1,625 km
27/12/2013</t>
        </r>
      </text>
    </comment>
    <comment ref="C388" authorId="1" shapeId="0" xr:uid="{B2BD0C11-DE54-4C7D-AD49-33A37FCB01F0}">
      <text>
        <r>
          <rPr>
            <b/>
            <sz val="9"/>
            <color indexed="81"/>
            <rFont val="Segoe UI"/>
            <family val="2"/>
          </rPr>
          <t>Amanda:</t>
        </r>
        <r>
          <rPr>
            <sz val="9"/>
            <color indexed="81"/>
            <rFont val="Segoe UI"/>
            <family val="2"/>
          </rPr>
          <t xml:space="preserve">
km 055+663 ao km 56+275 - Pista Norte 25/02/2014
km 059,146 ao km 59,635 - Pista Sul 13/11/2013
km 062,014 ao km 62,504 - Pista Norte 05/11/2013</t>
        </r>
      </text>
    </comment>
    <comment ref="C389" authorId="1" shapeId="0" xr:uid="{4DFE1905-81EF-4C90-8326-6A266DC24DEB}">
      <text>
        <r>
          <rPr>
            <b/>
            <sz val="9"/>
            <color indexed="81"/>
            <rFont val="Segoe UI"/>
            <family val="2"/>
          </rPr>
          <t>Amanda:</t>
        </r>
        <r>
          <rPr>
            <sz val="9"/>
            <color indexed="81"/>
            <rFont val="Segoe UI"/>
            <family val="2"/>
          </rPr>
          <t xml:space="preserve">
km 588,600 ao km 590,400 Pista Norte
26/11/2014
km 588,762 ao km 589,857 - Pista Sul 
09/05/2014</t>
        </r>
      </text>
    </comment>
    <comment ref="C390" authorId="1" shapeId="0" xr:uid="{F5DCD894-CC54-4848-8E29-2CE50EE2B0BA}">
      <text>
        <r>
          <rPr>
            <b/>
            <sz val="9"/>
            <color indexed="81"/>
            <rFont val="Segoe UI"/>
            <family val="2"/>
          </rPr>
          <t>Amanda:</t>
        </r>
        <r>
          <rPr>
            <sz val="9"/>
            <color indexed="81"/>
            <rFont val="Segoe UI"/>
            <family val="2"/>
          </rPr>
          <t xml:space="preserve">
km 662,112 ao km 662,760 - Pista Norte
28/11/2014</t>
        </r>
      </text>
    </comment>
    <comment ref="C391" authorId="1" shapeId="0" xr:uid="{36DCBFD2-A633-41CE-8BA5-466117E5CCFD}">
      <text>
        <r>
          <rPr>
            <b/>
            <sz val="9"/>
            <color indexed="81"/>
            <rFont val="Segoe UI"/>
            <family val="2"/>
          </rPr>
          <t>Amanda:</t>
        </r>
        <r>
          <rPr>
            <sz val="9"/>
            <color indexed="81"/>
            <rFont val="Segoe UI"/>
            <family val="2"/>
          </rPr>
          <t xml:space="preserve">
km 662,112 a km 685,092 - segmentos descontínuos - 28/11/2014 a 30/11/2014</t>
        </r>
      </text>
    </comment>
    <comment ref="C392" authorId="1" shapeId="0" xr:uid="{9F6A9373-DE51-4CEE-8289-112B916B45C5}">
      <text>
        <r>
          <rPr>
            <b/>
            <sz val="9"/>
            <color indexed="81"/>
            <rFont val="Segoe UI"/>
            <family val="2"/>
          </rPr>
          <t>Amanda:</t>
        </r>
        <r>
          <rPr>
            <sz val="9"/>
            <color indexed="81"/>
            <rFont val="Segoe UI"/>
            <family val="2"/>
          </rPr>
          <t xml:space="preserve">
km 723,400 ao km 723,904 - Pista Norte
28/11/2014</t>
        </r>
      </text>
    </comment>
    <comment ref="C393" authorId="1" shapeId="0" xr:uid="{2704235D-95DD-449F-934B-776A7DCF3F8C}">
      <text>
        <r>
          <rPr>
            <b/>
            <sz val="9"/>
            <color indexed="81"/>
            <rFont val="Segoe UI"/>
            <family val="2"/>
          </rPr>
          <t>Amanda:</t>
        </r>
        <r>
          <rPr>
            <sz val="9"/>
            <color indexed="81"/>
            <rFont val="Segoe UI"/>
            <family val="2"/>
          </rPr>
          <t xml:space="preserve">
km 869+420 ao km 870+875 - Pista Sul
28/11/2014
km 866,070 ao km 869,127 - Pista Norte
13/11/2013</t>
        </r>
      </text>
    </comment>
    <comment ref="C394" authorId="1" shapeId="0" xr:uid="{2EDC3026-DDCC-4B8E-BBA6-89B370022919}">
      <text>
        <r>
          <rPr>
            <b/>
            <sz val="9"/>
            <color indexed="81"/>
            <rFont val="Segoe UI"/>
            <family val="2"/>
          </rPr>
          <t>Amanda:</t>
        </r>
        <r>
          <rPr>
            <sz val="9"/>
            <color indexed="81"/>
            <rFont val="Segoe UI"/>
            <family val="2"/>
          </rPr>
          <t xml:space="preserve">
km 877,177 ao km 877,990 - Pista Norte 
29/11/2013
km 896,500 ao km 898,000 - Pista Norte 05/03/2012
km 898+610 ao km 899+486 - Pista Sul 29/08/2014</t>
        </r>
      </text>
    </comment>
    <comment ref="C395" authorId="1" shapeId="0" xr:uid="{5700A159-E336-42DA-A2F2-0CCEC7E6B97D}">
      <text>
        <r>
          <rPr>
            <b/>
            <sz val="9"/>
            <color indexed="81"/>
            <rFont val="Segoe UI"/>
            <family val="2"/>
          </rPr>
          <t>Amanda:</t>
        </r>
        <r>
          <rPr>
            <sz val="9"/>
            <color indexed="81"/>
            <rFont val="Segoe UI"/>
            <family val="2"/>
          </rPr>
          <t xml:space="preserve">
km 935,000 ao km 936,270 - Pista Norte
18/09/2014</t>
        </r>
      </text>
    </comment>
    <comment ref="C396" authorId="1" shapeId="0" xr:uid="{D8075024-08DB-4B70-AE28-067D53B7CB67}">
      <text>
        <r>
          <rPr>
            <b/>
            <sz val="9"/>
            <color indexed="81"/>
            <rFont val="Segoe UI"/>
            <family val="2"/>
          </rPr>
          <t>Amanda:</t>
        </r>
        <r>
          <rPr>
            <sz val="9"/>
            <color indexed="81"/>
            <rFont val="Segoe UI"/>
            <family val="2"/>
          </rPr>
          <t xml:space="preserve">
km 561,085 a km 564,800 - segmentos descontínuos - 30/09/2014 a 31/03/2014</t>
        </r>
      </text>
    </comment>
    <comment ref="C397" authorId="1" shapeId="0" xr:uid="{B9621E66-ADD2-4C8D-B9FF-7E174EA8722C}">
      <text>
        <r>
          <rPr>
            <b/>
            <sz val="9"/>
            <color indexed="81"/>
            <rFont val="Segoe UI"/>
            <family val="2"/>
          </rPr>
          <t>Amanda:</t>
        </r>
        <r>
          <rPr>
            <sz val="9"/>
            <color indexed="81"/>
            <rFont val="Segoe UI"/>
            <family val="2"/>
          </rPr>
          <t xml:space="preserve">
km 066+133 ao km 66+236 - Pista Sul ago-10
km 065+986 ao km 66+460 - Pista Norte ago-10
km 066+627 ao km 66+819 - Pista Sul ago-10
km 066+670 ao km 67+350 - Pista Norte 18/03/2013
km 068+220 ao km 68+939 - Pista Sul 25/04/2014
km 066+768 ao km 67+133 - Pista Sul ago-10
</t>
        </r>
      </text>
    </comment>
    <comment ref="C398" authorId="1" shapeId="0" xr:uid="{DD09EA79-CD94-4AEA-B9D6-05EA837E7503}">
      <text>
        <r>
          <rPr>
            <b/>
            <sz val="9"/>
            <color indexed="81"/>
            <rFont val="Segoe UI"/>
            <family val="2"/>
          </rPr>
          <t>Amanda:</t>
        </r>
        <r>
          <rPr>
            <sz val="9"/>
            <color indexed="81"/>
            <rFont val="Segoe UI"/>
            <family val="2"/>
          </rPr>
          <t xml:space="preserve">
km 003,300 ao km 4,000 - Pista Sul
31/07/2012</t>
        </r>
      </text>
    </comment>
    <comment ref="C405" authorId="1" shapeId="0" xr:uid="{CDF0D4CE-10D5-4D72-9FD2-9FA04678801C}">
      <text>
        <r>
          <rPr>
            <b/>
            <sz val="9"/>
            <color indexed="81"/>
            <rFont val="Segoe UI"/>
            <family val="2"/>
          </rPr>
          <t>Amanda:</t>
        </r>
        <r>
          <rPr>
            <sz val="9"/>
            <color indexed="81"/>
            <rFont val="Segoe UI"/>
            <family val="2"/>
          </rPr>
          <t xml:space="preserve">
RETOFF 
Execução de Terceira Faixas - 88 Km
EXECUÇÃO DE 3ª FAIXA – KM 477+200 AO KM 490+000 - PISTA NORTE E
SUL - 25,600 km
FINALIZADA EM JULHO/ 2016</t>
        </r>
      </text>
    </comment>
    <comment ref="C407" authorId="0" shapeId="0" xr:uid="{878B5BBC-B61A-451D-BBA4-CE0ACAE1D246}">
      <text>
        <r>
          <rPr>
            <b/>
            <sz val="9"/>
            <color indexed="81"/>
            <rFont val="Segoe UI"/>
            <family val="2"/>
          </rPr>
          <t>Amanda Basilio Romano:</t>
        </r>
        <r>
          <rPr>
            <sz val="9"/>
            <color indexed="81"/>
            <rFont val="Segoe UI"/>
            <family val="2"/>
          </rPr>
          <t xml:space="preserve">
RETOFF 
14760514</t>
        </r>
      </text>
    </comment>
    <comment ref="C418" authorId="1" shapeId="0" xr:uid="{4AC1BEFB-567F-44F9-A3E1-2AAEDDB54560}">
      <text>
        <r>
          <rPr>
            <b/>
            <sz val="9"/>
            <color indexed="81"/>
            <rFont val="Segoe UI"/>
            <charset val="1"/>
          </rPr>
          <t>Amanda:</t>
        </r>
        <r>
          <rPr>
            <sz val="9"/>
            <color indexed="81"/>
            <rFont val="Segoe UI"/>
            <charset val="1"/>
          </rPr>
          <t xml:space="preserve">
dez/23</t>
        </r>
      </text>
    </comment>
    <comment ref="C422" authorId="1" shapeId="0" xr:uid="{ED97C2F0-ECD9-47FF-B78C-710BF1A04B46}">
      <text>
        <r>
          <rPr>
            <b/>
            <sz val="9"/>
            <color indexed="81"/>
            <rFont val="Segoe UI"/>
            <family val="2"/>
          </rPr>
          <t>Amanda:</t>
        </r>
        <r>
          <rPr>
            <sz val="9"/>
            <color indexed="81"/>
            <rFont val="Segoe UI"/>
            <family val="2"/>
          </rPr>
          <t xml:space="preserve">
O segmento entre o km 84,6 e km 144,2 dispõe da LI nº 813/2011 (renovação) autorizando
as obras de duplicação, as quais estão concluídas.</t>
        </r>
      </text>
    </comment>
    <comment ref="C437" authorId="1" shapeId="0" xr:uid="{C68C1B46-48B3-4F56-A1F6-2F085F33D27C}">
      <text>
        <r>
          <rPr>
            <b/>
            <sz val="9"/>
            <color indexed="81"/>
            <rFont val="Segoe UI"/>
            <charset val="1"/>
          </rPr>
          <t>Amanda:</t>
        </r>
        <r>
          <rPr>
            <sz val="9"/>
            <color indexed="81"/>
            <rFont val="Segoe UI"/>
            <charset val="1"/>
          </rPr>
          <t xml:space="preserve">
fev/2019</t>
        </r>
      </text>
    </comment>
    <comment ref="C439" authorId="1" shapeId="0" xr:uid="{23EFE036-359E-49B1-8219-8A36CDDC5658}">
      <text>
        <r>
          <rPr>
            <b/>
            <sz val="9"/>
            <color indexed="81"/>
            <rFont val="Segoe UI"/>
            <charset val="1"/>
          </rPr>
          <t>Amanda:</t>
        </r>
        <r>
          <rPr>
            <sz val="9"/>
            <color indexed="81"/>
            <rFont val="Segoe UI"/>
            <charset val="1"/>
          </rPr>
          <t xml:space="preserve">
Paralisada em ago/11</t>
        </r>
      </text>
    </comment>
    <comment ref="C440" authorId="1" shapeId="0" xr:uid="{D3FE1221-E43A-4D97-8E74-A97D8018876F}">
      <text>
        <r>
          <rPr>
            <b/>
            <sz val="9"/>
            <color indexed="81"/>
            <rFont val="Segoe UI"/>
            <charset val="1"/>
          </rPr>
          <t>Amanda:</t>
        </r>
        <r>
          <rPr>
            <sz val="9"/>
            <color indexed="81"/>
            <rFont val="Segoe UI"/>
            <charset val="1"/>
          </rPr>
          <t xml:space="preserve">
Paralisada em fev/15</t>
        </r>
      </text>
    </comment>
    <comment ref="C446" authorId="1" shapeId="0" xr:uid="{768E78EB-9989-4224-8A3F-88443AD107CB}">
      <text>
        <r>
          <rPr>
            <b/>
            <sz val="9"/>
            <color indexed="81"/>
            <rFont val="Segoe UI"/>
            <charset val="1"/>
          </rPr>
          <t>Amanda:</t>
        </r>
        <r>
          <rPr>
            <sz val="9"/>
            <color indexed="81"/>
            <rFont val="Segoe UI"/>
            <charset val="1"/>
          </rPr>
          <t xml:space="preserve">
Paralisada em fev/20</t>
        </r>
      </text>
    </comment>
    <comment ref="A449" authorId="1" shapeId="0" xr:uid="{BABAC12A-EF4F-4C0B-8DD9-4E99F5396E3B}">
      <text>
        <r>
          <rPr>
            <b/>
            <sz val="9"/>
            <color indexed="81"/>
            <rFont val="Segoe UI"/>
            <family val="2"/>
          </rPr>
          <t>Amanda:</t>
        </r>
        <r>
          <rPr>
            <sz val="9"/>
            <color indexed="81"/>
            <rFont val="Segoe UI"/>
            <family val="2"/>
          </rPr>
          <t xml:space="preserve">
5.1.9</t>
        </r>
      </text>
    </comment>
    <comment ref="C449" authorId="1" shapeId="0" xr:uid="{65587984-B7AC-446A-BFAC-ED7588AA34A6}">
      <text>
        <r>
          <rPr>
            <b/>
            <sz val="9"/>
            <color indexed="81"/>
            <rFont val="Segoe UI"/>
            <family val="2"/>
          </rPr>
          <t>Amanda:</t>
        </r>
        <r>
          <rPr>
            <sz val="9"/>
            <color indexed="81"/>
            <rFont val="Segoe UI"/>
            <family val="2"/>
          </rPr>
          <t xml:space="preserve">
Implantação de Trevo em Desnível- km 51- UFSC
28/02/2017</t>
        </r>
      </text>
    </comment>
    <comment ref="A450" authorId="1" shapeId="0" xr:uid="{D236B1F1-1B0D-4BA6-B4C4-B23A545764E4}">
      <text>
        <r>
          <rPr>
            <b/>
            <sz val="9"/>
            <color indexed="81"/>
            <rFont val="Segoe UI"/>
            <family val="2"/>
          </rPr>
          <t>Amanda:</t>
        </r>
        <r>
          <rPr>
            <sz val="9"/>
            <color indexed="81"/>
            <rFont val="Segoe UI"/>
            <family val="2"/>
          </rPr>
          <t xml:space="preserve">
5.1.9</t>
        </r>
      </text>
    </comment>
    <comment ref="C450" authorId="1" shapeId="0" xr:uid="{065B23DA-F561-4269-91CD-2EA8FB054D24}">
      <text>
        <r>
          <rPr>
            <b/>
            <sz val="9"/>
            <color indexed="81"/>
            <rFont val="Segoe UI"/>
            <family val="2"/>
          </rPr>
          <t>Amanda:</t>
        </r>
        <r>
          <rPr>
            <sz val="9"/>
            <color indexed="81"/>
            <rFont val="Segoe UI"/>
            <family val="2"/>
          </rPr>
          <t xml:space="preserve">
10/02/2012</t>
        </r>
      </text>
    </comment>
    <comment ref="A451" authorId="1" shapeId="0" xr:uid="{C2ACEBB4-57FF-49F6-9142-BC49091FC66B}">
      <text>
        <r>
          <rPr>
            <b/>
            <sz val="9"/>
            <color indexed="81"/>
            <rFont val="Segoe UI"/>
            <family val="2"/>
          </rPr>
          <t>Amanda:</t>
        </r>
        <r>
          <rPr>
            <sz val="9"/>
            <color indexed="81"/>
            <rFont val="Segoe UI"/>
            <family val="2"/>
          </rPr>
          <t xml:space="preserve">
5.1.7</t>
        </r>
      </text>
    </comment>
    <comment ref="C451" authorId="1" shapeId="0" xr:uid="{550EE2C9-0880-4F0A-BD7D-F519ECC2B03A}">
      <text>
        <r>
          <rPr>
            <b/>
            <sz val="9"/>
            <color indexed="81"/>
            <rFont val="Segoe UI"/>
            <family val="2"/>
          </rPr>
          <t>Amanda:</t>
        </r>
        <r>
          <rPr>
            <sz val="9"/>
            <color indexed="81"/>
            <rFont val="Segoe UI"/>
            <family val="2"/>
          </rPr>
          <t xml:space="preserve">
28/02/2017</t>
        </r>
      </text>
    </comment>
    <comment ref="A452" authorId="1" shapeId="0" xr:uid="{A4FC47AD-7349-49EA-891A-3E32D6F6DCDB}">
      <text>
        <r>
          <rPr>
            <b/>
            <sz val="9"/>
            <color indexed="81"/>
            <rFont val="Segoe UI"/>
            <family val="2"/>
          </rPr>
          <t>Amanda:</t>
        </r>
        <r>
          <rPr>
            <sz val="9"/>
            <color indexed="81"/>
            <rFont val="Segoe UI"/>
            <family val="2"/>
          </rPr>
          <t xml:space="preserve">
5.1.9</t>
        </r>
      </text>
    </comment>
    <comment ref="C452" authorId="1" shapeId="0" xr:uid="{EEF18FB6-50B0-44AD-B6FB-5B5B212D0FF9}">
      <text>
        <r>
          <rPr>
            <b/>
            <sz val="9"/>
            <color indexed="81"/>
            <rFont val="Segoe UI"/>
            <family val="2"/>
          </rPr>
          <t>Amanda:</t>
        </r>
        <r>
          <rPr>
            <sz val="9"/>
            <color indexed="81"/>
            <rFont val="Segoe UI"/>
            <family val="2"/>
          </rPr>
          <t xml:space="preserve">
30/12/2016</t>
        </r>
      </text>
    </comment>
    <comment ref="A453" authorId="1" shapeId="0" xr:uid="{F52833DF-491B-4804-A7BB-D3C1B52746A5}">
      <text>
        <r>
          <rPr>
            <b/>
            <sz val="9"/>
            <color indexed="81"/>
            <rFont val="Segoe UI"/>
            <family val="2"/>
          </rPr>
          <t>Amanda:</t>
        </r>
        <r>
          <rPr>
            <sz val="9"/>
            <color indexed="81"/>
            <rFont val="Segoe UI"/>
            <family val="2"/>
          </rPr>
          <t xml:space="preserve">
5.1.9</t>
        </r>
      </text>
    </comment>
    <comment ref="C453" authorId="1" shapeId="0" xr:uid="{FE4517F7-48F2-49C5-AAF7-BBF274DADE7A}">
      <text>
        <r>
          <rPr>
            <b/>
            <sz val="9"/>
            <color indexed="81"/>
            <rFont val="Segoe UI"/>
            <family val="2"/>
          </rPr>
          <t>Amanda:</t>
        </r>
        <r>
          <rPr>
            <sz val="9"/>
            <color indexed="81"/>
            <rFont val="Segoe UI"/>
            <family val="2"/>
          </rPr>
          <t xml:space="preserve">
05/02/2017</t>
        </r>
      </text>
    </comment>
    <comment ref="A454" authorId="1" shapeId="0" xr:uid="{EC2FE0F8-5020-49C9-86AB-045C17DAD002}">
      <text>
        <r>
          <rPr>
            <b/>
            <sz val="9"/>
            <color indexed="81"/>
            <rFont val="Segoe UI"/>
            <family val="2"/>
          </rPr>
          <t>Amanda:</t>
        </r>
        <r>
          <rPr>
            <sz val="9"/>
            <color indexed="81"/>
            <rFont val="Segoe UI"/>
            <family val="2"/>
          </rPr>
          <t xml:space="preserve">
5.1.9</t>
        </r>
      </text>
    </comment>
    <comment ref="C454" authorId="1" shapeId="0" xr:uid="{311879E5-2786-4A41-9BFE-88D6A615D271}">
      <text>
        <r>
          <rPr>
            <b/>
            <sz val="9"/>
            <color indexed="81"/>
            <rFont val="Segoe UI"/>
            <family val="2"/>
          </rPr>
          <t>Amanda:</t>
        </r>
        <r>
          <rPr>
            <sz val="9"/>
            <color indexed="81"/>
            <rFont val="Segoe UI"/>
            <family val="2"/>
          </rPr>
          <t xml:space="preserve">
30/11/2016</t>
        </r>
      </text>
    </comment>
    <comment ref="C455" authorId="1" shapeId="0" xr:uid="{354DC696-3D9F-4E42-9823-3FA09B0FCAB0}">
      <text>
        <r>
          <rPr>
            <b/>
            <sz val="9"/>
            <color indexed="81"/>
            <rFont val="Segoe UI"/>
            <family val="2"/>
          </rPr>
          <t>Amanda:
ALS - Execução Acumulada de Obras de Ampliação de Capacidade e Melhorias (14º ano ).xlsx</t>
        </r>
        <r>
          <rPr>
            <sz val="9"/>
            <color indexed="81"/>
            <rFont val="Segoe UI"/>
            <family val="2"/>
          </rPr>
          <t xml:space="preserve">
24097620</t>
        </r>
      </text>
    </comment>
    <comment ref="C456" authorId="1" shapeId="0" xr:uid="{C96A517B-23B8-4D05-AAEB-3314AD6CCC5C}">
      <text>
        <r>
          <rPr>
            <b/>
            <sz val="9"/>
            <color indexed="81"/>
            <rFont val="Segoe UI"/>
            <family val="2"/>
          </rPr>
          <t>Amanda:
ALS - Execução Acumulada de Obras de Ampliação de Capacidade e Melhorias (14º ano ).xlsx</t>
        </r>
        <r>
          <rPr>
            <sz val="9"/>
            <color indexed="81"/>
            <rFont val="Segoe UI"/>
            <family val="2"/>
          </rPr>
          <t xml:space="preserve">
24097620</t>
        </r>
      </text>
    </comment>
    <comment ref="A457" authorId="1" shapeId="0" xr:uid="{A348A6BC-E511-43C3-A998-78BB8A37426F}">
      <text>
        <r>
          <rPr>
            <b/>
            <sz val="9"/>
            <color indexed="81"/>
            <rFont val="Segoe UI"/>
            <family val="2"/>
          </rPr>
          <t>Amanda:</t>
        </r>
        <r>
          <rPr>
            <sz val="9"/>
            <color indexed="81"/>
            <rFont val="Segoe UI"/>
            <family val="2"/>
          </rPr>
          <t xml:space="preserve">
5.1.7</t>
        </r>
      </text>
    </comment>
    <comment ref="A458" authorId="1" shapeId="0" xr:uid="{8066ACED-A452-4E6A-A5C4-A73D0E46FDF9}">
      <text>
        <r>
          <rPr>
            <b/>
            <sz val="9"/>
            <color indexed="81"/>
            <rFont val="Segoe UI"/>
            <family val="2"/>
          </rPr>
          <t>Amanda:</t>
        </r>
        <r>
          <rPr>
            <sz val="9"/>
            <color indexed="81"/>
            <rFont val="Segoe UI"/>
            <family val="2"/>
          </rPr>
          <t xml:space="preserve">
5.1.7</t>
        </r>
      </text>
    </comment>
    <comment ref="A459" authorId="1" shapeId="0" xr:uid="{2520DB56-5AF0-423B-8944-34633FC570DC}">
      <text>
        <r>
          <rPr>
            <b/>
            <sz val="9"/>
            <color indexed="81"/>
            <rFont val="Segoe UI"/>
            <family val="2"/>
          </rPr>
          <t>Amanda:</t>
        </r>
        <r>
          <rPr>
            <sz val="9"/>
            <color indexed="81"/>
            <rFont val="Segoe UI"/>
            <family val="2"/>
          </rPr>
          <t xml:space="preserve">
5.1.7</t>
        </r>
      </text>
    </comment>
    <comment ref="C459" authorId="1" shapeId="0" xr:uid="{A9C26D9E-1F5A-489D-BDDF-8F6675ED0678}">
      <text>
        <r>
          <rPr>
            <b/>
            <sz val="9"/>
            <color indexed="81"/>
            <rFont val="Segoe UI"/>
            <family val="2"/>
          </rPr>
          <t>Amanda:</t>
        </r>
        <r>
          <rPr>
            <sz val="9"/>
            <color indexed="81"/>
            <rFont val="Segoe UI"/>
            <family val="2"/>
          </rPr>
          <t xml:space="preserve">
30/06/2018</t>
        </r>
      </text>
    </comment>
    <comment ref="A460" authorId="1" shapeId="0" xr:uid="{4A2A772F-E1CA-485D-BAA0-E3870116AFCA}">
      <text>
        <r>
          <rPr>
            <b/>
            <sz val="9"/>
            <color indexed="81"/>
            <rFont val="Segoe UI"/>
            <family val="2"/>
          </rPr>
          <t>Amanda:</t>
        </r>
        <r>
          <rPr>
            <sz val="9"/>
            <color indexed="81"/>
            <rFont val="Segoe UI"/>
            <family val="2"/>
          </rPr>
          <t xml:space="preserve">
5.1.8</t>
        </r>
      </text>
    </comment>
    <comment ref="C460" authorId="1" shapeId="0" xr:uid="{A6614F3D-415C-41E5-B1AF-60C89888CF1A}">
      <text>
        <r>
          <rPr>
            <b/>
            <sz val="9"/>
            <color indexed="81"/>
            <rFont val="Segoe UI"/>
            <family val="2"/>
          </rPr>
          <t>Amanda:</t>
        </r>
        <r>
          <rPr>
            <sz val="9"/>
            <color indexed="81"/>
            <rFont val="Segoe UI"/>
            <family val="2"/>
          </rPr>
          <t xml:space="preserve">
Norte 2N – Pista dupla que inicia no km 203+900 até o km 204+900, onde possui
um trevo na interseção com a antiga SC-408, atual SC-407 no km 204+200;</t>
        </r>
      </text>
    </comment>
    <comment ref="A461" authorId="1" shapeId="0" xr:uid="{8D1D8ABF-A529-44A4-ADE3-9D6F9E130CAD}">
      <text>
        <r>
          <rPr>
            <b/>
            <sz val="9"/>
            <color indexed="81"/>
            <rFont val="Segoe UI"/>
            <family val="2"/>
          </rPr>
          <t>Amanda:</t>
        </r>
        <r>
          <rPr>
            <sz val="9"/>
            <color indexed="81"/>
            <rFont val="Segoe UI"/>
            <family val="2"/>
          </rPr>
          <t xml:space="preserve">
5.1.8</t>
        </r>
      </text>
    </comment>
    <comment ref="C461" authorId="1" shapeId="0" xr:uid="{0DB6500D-C3CA-467E-82A9-81A9E8CE370E}">
      <text>
        <r>
          <rPr>
            <b/>
            <sz val="9"/>
            <color indexed="81"/>
            <rFont val="Segoe UI"/>
            <family val="2"/>
          </rPr>
          <t>Amanda:</t>
        </r>
        <r>
          <rPr>
            <sz val="9"/>
            <color indexed="81"/>
            <rFont val="Segoe UI"/>
            <family val="2"/>
          </rPr>
          <t xml:space="preserve">
Contorno- Trecho Intermediário Trevo de Interseção com a antiga SC 407- atual SC 281 - Km 215+400
13/03/2017</t>
        </r>
      </text>
    </comment>
    <comment ref="A462" authorId="1" shapeId="0" xr:uid="{04BBE259-A82D-4D87-B3B5-0D36CC6D8F65}">
      <text>
        <r>
          <rPr>
            <b/>
            <sz val="9"/>
            <color indexed="81"/>
            <rFont val="Segoe UI"/>
            <family val="2"/>
          </rPr>
          <t>Amanda:</t>
        </r>
        <r>
          <rPr>
            <sz val="9"/>
            <color indexed="81"/>
            <rFont val="Segoe UI"/>
            <family val="2"/>
          </rPr>
          <t xml:space="preserve">
5.1.8</t>
        </r>
      </text>
    </comment>
    <comment ref="C462" authorId="1" shapeId="0" xr:uid="{7C4E4291-A260-4E4A-BBCC-AE57C5F7E2A1}">
      <text>
        <r>
          <rPr>
            <b/>
            <sz val="9"/>
            <color indexed="81"/>
            <rFont val="Segoe UI"/>
            <family val="2"/>
          </rPr>
          <t>Amanda:</t>
        </r>
        <r>
          <rPr>
            <sz val="9"/>
            <color indexed="81"/>
            <rFont val="Segoe UI"/>
            <family val="2"/>
          </rPr>
          <t xml:space="preserve">
a definir</t>
        </r>
      </text>
    </comment>
    <comment ref="A463" authorId="1" shapeId="0" xr:uid="{8B448BBB-8F59-4061-B6EC-80DCFEC30648}">
      <text>
        <r>
          <rPr>
            <b/>
            <sz val="9"/>
            <color indexed="81"/>
            <rFont val="Segoe UI"/>
            <family val="2"/>
          </rPr>
          <t>Amanda:</t>
        </r>
        <r>
          <rPr>
            <sz val="9"/>
            <color indexed="81"/>
            <rFont val="Segoe UI"/>
            <family val="2"/>
          </rPr>
          <t xml:space="preserve">
5.1.8</t>
        </r>
      </text>
    </comment>
    <comment ref="C463" authorId="1" shapeId="0" xr:uid="{2FAF5702-6294-49F8-9CB6-A282A378DC38}">
      <text>
        <r>
          <rPr>
            <b/>
            <sz val="9"/>
            <color indexed="81"/>
            <rFont val="Segoe UI"/>
            <family val="2"/>
          </rPr>
          <t>Amanda:</t>
        </r>
        <r>
          <rPr>
            <sz val="9"/>
            <color indexed="81"/>
            <rFont val="Segoe UI"/>
            <family val="2"/>
          </rPr>
          <t xml:space="preserve">
02/2023</t>
        </r>
      </text>
    </comment>
    <comment ref="A464" authorId="1" shapeId="0" xr:uid="{2BD9DC25-7929-4FC8-A673-4641486D7B47}">
      <text>
        <r>
          <rPr>
            <b/>
            <sz val="9"/>
            <color indexed="81"/>
            <rFont val="Segoe UI"/>
            <family val="2"/>
          </rPr>
          <t>Amanda:</t>
        </r>
        <r>
          <rPr>
            <sz val="9"/>
            <color indexed="81"/>
            <rFont val="Segoe UI"/>
            <family val="2"/>
          </rPr>
          <t xml:space="preserve">
5.1.10</t>
        </r>
      </text>
    </comment>
    <comment ref="C464" authorId="1" shapeId="0" xr:uid="{D6474BAE-3382-41B7-8C55-0926EFAF58D3}">
      <text>
        <r>
          <rPr>
            <b/>
            <sz val="9"/>
            <color indexed="81"/>
            <rFont val="Segoe UI"/>
            <family val="2"/>
          </rPr>
          <t>Amanda:</t>
        </r>
        <r>
          <rPr>
            <sz val="9"/>
            <color indexed="81"/>
            <rFont val="Segoe UI"/>
            <family val="2"/>
          </rPr>
          <t xml:space="preserve">
01/05/2024</t>
        </r>
      </text>
    </comment>
    <comment ref="A465" authorId="1" shapeId="0" xr:uid="{04AB9EDA-D2E3-4F4B-843A-EE57BF2C92B5}">
      <text>
        <r>
          <rPr>
            <b/>
            <sz val="9"/>
            <color indexed="81"/>
            <rFont val="Segoe UI"/>
            <family val="2"/>
          </rPr>
          <t>Amanda:</t>
        </r>
        <r>
          <rPr>
            <sz val="9"/>
            <color indexed="81"/>
            <rFont val="Segoe UI"/>
            <family val="2"/>
          </rPr>
          <t xml:space="preserve">
5.1.10</t>
        </r>
      </text>
    </comment>
    <comment ref="A466" authorId="1" shapeId="0" xr:uid="{DCDBF167-9A8B-40CC-8A88-2021015A039D}">
      <text>
        <r>
          <rPr>
            <b/>
            <sz val="9"/>
            <color indexed="81"/>
            <rFont val="Segoe UI"/>
            <family val="2"/>
          </rPr>
          <t>Amanda:</t>
        </r>
        <r>
          <rPr>
            <sz val="9"/>
            <color indexed="81"/>
            <rFont val="Segoe UI"/>
            <family val="2"/>
          </rPr>
          <t xml:space="preserve">
5.1.10</t>
        </r>
      </text>
    </comment>
    <comment ref="A467" authorId="1" shapeId="0" xr:uid="{00761575-FEC1-4B2B-B2E2-2747D5EF5BBD}">
      <text>
        <r>
          <rPr>
            <b/>
            <sz val="9"/>
            <color indexed="81"/>
            <rFont val="Segoe UI"/>
            <family val="2"/>
          </rPr>
          <t>Amanda:</t>
        </r>
        <r>
          <rPr>
            <sz val="9"/>
            <color indexed="81"/>
            <rFont val="Segoe UI"/>
            <family val="2"/>
          </rPr>
          <t xml:space="preserve">
5.1.11</t>
        </r>
      </text>
    </comment>
    <comment ref="A468" authorId="1" shapeId="0" xr:uid="{EE56BF02-97AC-4089-8A4B-126FD75AF790}">
      <text>
        <r>
          <rPr>
            <b/>
            <sz val="9"/>
            <color indexed="81"/>
            <rFont val="Segoe UI"/>
            <family val="2"/>
          </rPr>
          <t>Amanda:</t>
        </r>
        <r>
          <rPr>
            <sz val="9"/>
            <color indexed="81"/>
            <rFont val="Segoe UI"/>
            <family val="2"/>
          </rPr>
          <t xml:space="preserve">
5.1.11</t>
        </r>
      </text>
    </comment>
    <comment ref="A469" authorId="1" shapeId="0" xr:uid="{CFC2560F-FBA7-4DBA-933C-60007B49B842}">
      <text>
        <r>
          <rPr>
            <b/>
            <sz val="9"/>
            <color indexed="81"/>
            <rFont val="Segoe UI"/>
            <family val="2"/>
          </rPr>
          <t>Amanda:</t>
        </r>
        <r>
          <rPr>
            <sz val="9"/>
            <color indexed="81"/>
            <rFont val="Segoe UI"/>
            <family val="2"/>
          </rPr>
          <t xml:space="preserve">
5.1.11</t>
        </r>
      </text>
    </comment>
    <comment ref="A470" authorId="1" shapeId="0" xr:uid="{7F9303B2-4EAF-4795-87AA-185FA7BFFA01}">
      <text>
        <r>
          <rPr>
            <b/>
            <sz val="9"/>
            <color indexed="81"/>
            <rFont val="Segoe UI"/>
            <family val="2"/>
          </rPr>
          <t>Amanda:</t>
        </r>
        <r>
          <rPr>
            <sz val="9"/>
            <color indexed="81"/>
            <rFont val="Segoe UI"/>
            <family val="2"/>
          </rPr>
          <t xml:space="preserve">
5.1.11</t>
        </r>
      </text>
    </comment>
    <comment ref="C470" authorId="1" shapeId="0" xr:uid="{95E418B6-E2ED-4224-BD15-B9F99F8C8D00}">
      <text>
        <r>
          <rPr>
            <b/>
            <sz val="9"/>
            <color indexed="81"/>
            <rFont val="Segoe UI"/>
            <family val="2"/>
          </rPr>
          <t>Amanda:</t>
        </r>
        <r>
          <rPr>
            <sz val="9"/>
            <color indexed="81"/>
            <rFont val="Segoe UI"/>
            <family val="2"/>
          </rPr>
          <t xml:space="preserve">
Concluída em Jul/20</t>
        </r>
      </text>
    </comment>
    <comment ref="A471" authorId="1" shapeId="0" xr:uid="{263C1279-0720-4177-8751-0781CC887D8B}">
      <text>
        <r>
          <rPr>
            <b/>
            <sz val="9"/>
            <color indexed="81"/>
            <rFont val="Segoe UI"/>
            <family val="2"/>
          </rPr>
          <t>Amanda:</t>
        </r>
        <r>
          <rPr>
            <sz val="9"/>
            <color indexed="81"/>
            <rFont val="Segoe UI"/>
            <family val="2"/>
          </rPr>
          <t xml:space="preserve">
5.1.11</t>
        </r>
      </text>
    </comment>
    <comment ref="A472" authorId="1" shapeId="0" xr:uid="{28ECC1DD-2A02-45DE-BE95-D6A0BBB3A9CC}">
      <text>
        <r>
          <rPr>
            <b/>
            <sz val="9"/>
            <color indexed="81"/>
            <rFont val="Segoe UI"/>
            <family val="2"/>
          </rPr>
          <t>Amanda:</t>
        </r>
        <r>
          <rPr>
            <sz val="9"/>
            <color indexed="81"/>
            <rFont val="Segoe UI"/>
            <family val="2"/>
          </rPr>
          <t xml:space="preserve">
5.1.11</t>
        </r>
      </text>
    </comment>
    <comment ref="A473" authorId="1" shapeId="0" xr:uid="{C39711D6-92D5-4C62-91C4-3C1E5C0F9011}">
      <text>
        <r>
          <rPr>
            <b/>
            <sz val="9"/>
            <color indexed="81"/>
            <rFont val="Segoe UI"/>
            <family val="2"/>
          </rPr>
          <t>Amanda:</t>
        </r>
        <r>
          <rPr>
            <sz val="9"/>
            <color indexed="81"/>
            <rFont val="Segoe UI"/>
            <family val="2"/>
          </rPr>
          <t xml:space="preserve">
5.1.11</t>
        </r>
      </text>
    </comment>
    <comment ref="A474" authorId="1" shapeId="0" xr:uid="{D81EC4EF-2608-462A-8F23-C1D82ED87932}">
      <text>
        <r>
          <rPr>
            <b/>
            <sz val="9"/>
            <color indexed="81"/>
            <rFont val="Segoe UI"/>
            <family val="2"/>
          </rPr>
          <t>Amanda:</t>
        </r>
        <r>
          <rPr>
            <sz val="9"/>
            <color indexed="81"/>
            <rFont val="Segoe UI"/>
            <family val="2"/>
          </rPr>
          <t xml:space="preserve">
5.1.12</t>
        </r>
      </text>
    </comment>
    <comment ref="C474" authorId="1" shapeId="0" xr:uid="{465487FE-81F5-4365-AA12-84ACB97C51DB}">
      <text>
        <r>
          <rPr>
            <b/>
            <sz val="9"/>
            <color indexed="81"/>
            <rFont val="Segoe UI"/>
            <family val="2"/>
          </rPr>
          <t>Amanda:</t>
        </r>
        <r>
          <rPr>
            <sz val="9"/>
            <color indexed="81"/>
            <rFont val="Segoe UI"/>
            <family val="2"/>
          </rPr>
          <t xml:space="preserve">
31/08/2018</t>
        </r>
      </text>
    </comment>
    <comment ref="A475" authorId="1" shapeId="0" xr:uid="{C6173AC6-7684-44C2-BC7D-2D4961358F40}">
      <text>
        <r>
          <rPr>
            <b/>
            <sz val="9"/>
            <color indexed="81"/>
            <rFont val="Segoe UI"/>
            <family val="2"/>
          </rPr>
          <t>Amanda:</t>
        </r>
        <r>
          <rPr>
            <sz val="9"/>
            <color indexed="81"/>
            <rFont val="Segoe UI"/>
            <family val="2"/>
          </rPr>
          <t xml:space="preserve">
5.1.12</t>
        </r>
      </text>
    </comment>
    <comment ref="C475" authorId="1" shapeId="0" xr:uid="{45C47E98-21E9-4C6C-B341-36A61B2F808D}">
      <text>
        <r>
          <rPr>
            <b/>
            <sz val="9"/>
            <color indexed="81"/>
            <rFont val="Segoe UI"/>
            <family val="2"/>
          </rPr>
          <t>Amanda:</t>
        </r>
        <r>
          <rPr>
            <sz val="9"/>
            <color indexed="81"/>
            <rFont val="Segoe UI"/>
            <family val="2"/>
          </rPr>
          <t xml:space="preserve">
1029254
Implantação de Passagem em Desnível- km 637+250
20/04/2016</t>
        </r>
      </text>
    </comment>
    <comment ref="A476" authorId="1" shapeId="0" xr:uid="{FCAF1043-D25C-4766-86A7-B97D297A8D06}">
      <text>
        <r>
          <rPr>
            <b/>
            <sz val="9"/>
            <color indexed="81"/>
            <rFont val="Segoe UI"/>
            <family val="2"/>
          </rPr>
          <t>Amanda:</t>
        </r>
        <r>
          <rPr>
            <sz val="9"/>
            <color indexed="81"/>
            <rFont val="Segoe UI"/>
            <family val="2"/>
          </rPr>
          <t xml:space="preserve">
5.1.12</t>
        </r>
      </text>
    </comment>
    <comment ref="C476" authorId="1" shapeId="0" xr:uid="{83A2BC49-F782-4735-A65F-E315598C54D8}">
      <text>
        <r>
          <rPr>
            <b/>
            <sz val="9"/>
            <color indexed="81"/>
            <rFont val="Segoe UI"/>
            <family val="2"/>
          </rPr>
          <t>Amanda:</t>
        </r>
        <r>
          <rPr>
            <sz val="9"/>
            <color indexed="81"/>
            <rFont val="Segoe UI"/>
            <family val="2"/>
          </rPr>
          <t xml:space="preserve">
28/02/2015</t>
        </r>
      </text>
    </comment>
    <comment ref="A477" authorId="1" shapeId="0" xr:uid="{57FEEB7E-BDEA-44F2-ADDA-A04C38AA6009}">
      <text>
        <r>
          <rPr>
            <b/>
            <sz val="9"/>
            <color indexed="81"/>
            <rFont val="Segoe UI"/>
            <family val="2"/>
          </rPr>
          <t>Amanda:</t>
        </r>
        <r>
          <rPr>
            <sz val="9"/>
            <color indexed="81"/>
            <rFont val="Segoe UI"/>
            <family val="2"/>
          </rPr>
          <t xml:space="preserve">
5.1.12</t>
        </r>
      </text>
    </comment>
    <comment ref="C477" authorId="0" shapeId="0" xr:uid="{39EEA87F-1316-4A10-AE73-46D63A2EFBE7}">
      <text>
        <r>
          <rPr>
            <b/>
            <sz val="9"/>
            <color indexed="81"/>
            <rFont val="Segoe UI"/>
            <charset val="1"/>
          </rPr>
          <t>Amanda Basilio Romano:</t>
        </r>
        <r>
          <rPr>
            <sz val="9"/>
            <color indexed="81"/>
            <rFont val="Segoe UI"/>
            <charset val="1"/>
          </rPr>
          <t xml:space="preserve">
julho-24</t>
        </r>
      </text>
    </comment>
    <comment ref="A478" authorId="1" shapeId="0" xr:uid="{8F7D624D-6ADF-4BF3-A4FD-E75DAE303496}">
      <text>
        <r>
          <rPr>
            <b/>
            <sz val="9"/>
            <color indexed="81"/>
            <rFont val="Segoe UI"/>
            <family val="2"/>
          </rPr>
          <t>Amanda:</t>
        </r>
        <r>
          <rPr>
            <sz val="9"/>
            <color indexed="81"/>
            <rFont val="Segoe UI"/>
            <family val="2"/>
          </rPr>
          <t xml:space="preserve">
5.1.12</t>
        </r>
      </text>
    </comment>
    <comment ref="A479" authorId="1" shapeId="0" xr:uid="{F18842F0-B722-470C-AEE9-C06E6BFD6DAA}">
      <text>
        <r>
          <rPr>
            <b/>
            <sz val="9"/>
            <color indexed="81"/>
            <rFont val="Segoe UI"/>
            <family val="2"/>
          </rPr>
          <t>Amanda:</t>
        </r>
        <r>
          <rPr>
            <sz val="9"/>
            <color indexed="81"/>
            <rFont val="Segoe UI"/>
            <family val="2"/>
          </rPr>
          <t xml:space="preserve">
5.1.12</t>
        </r>
      </text>
    </comment>
    <comment ref="A480" authorId="1" shapeId="0" xr:uid="{4E3A62AE-B59D-430A-A58B-14F79EFF4D20}">
      <text>
        <r>
          <rPr>
            <b/>
            <sz val="9"/>
            <color indexed="81"/>
            <rFont val="Segoe UI"/>
            <family val="2"/>
          </rPr>
          <t>Amanda:</t>
        </r>
        <r>
          <rPr>
            <sz val="9"/>
            <color indexed="81"/>
            <rFont val="Segoe UI"/>
            <family val="2"/>
          </rPr>
          <t xml:space="preserve">
5.1.12</t>
        </r>
      </text>
    </comment>
    <comment ref="A481" authorId="1" shapeId="0" xr:uid="{BECAC0D0-04A3-4150-93A8-42EF0BB0A0BE}">
      <text>
        <r>
          <rPr>
            <b/>
            <sz val="9"/>
            <color indexed="81"/>
            <rFont val="Segoe UI"/>
            <family val="2"/>
          </rPr>
          <t>Amanda:</t>
        </r>
        <r>
          <rPr>
            <sz val="9"/>
            <color indexed="81"/>
            <rFont val="Segoe UI"/>
            <family val="2"/>
          </rPr>
          <t xml:space="preserve">
5.1.12</t>
        </r>
      </text>
    </comment>
    <comment ref="C481" authorId="1" shapeId="0" xr:uid="{349DFBAE-8D62-466E-B57A-A65602131229}">
      <text>
        <r>
          <rPr>
            <b/>
            <sz val="9"/>
            <color indexed="81"/>
            <rFont val="Segoe UI"/>
            <family val="2"/>
          </rPr>
          <t>Amanda:</t>
        </r>
        <r>
          <rPr>
            <sz val="9"/>
            <color indexed="81"/>
            <rFont val="Segoe UI"/>
            <family val="2"/>
          </rPr>
          <t xml:space="preserve">
Concluída em Jun/21</t>
        </r>
      </text>
    </comment>
    <comment ref="A482" authorId="1" shapeId="0" xr:uid="{0DD5BBA5-F7DC-4F21-8532-D29E73A1698D}">
      <text>
        <r>
          <rPr>
            <b/>
            <sz val="9"/>
            <color indexed="81"/>
            <rFont val="Segoe UI"/>
            <family val="2"/>
          </rPr>
          <t>Amanda:</t>
        </r>
        <r>
          <rPr>
            <sz val="9"/>
            <color indexed="81"/>
            <rFont val="Segoe UI"/>
            <family val="2"/>
          </rPr>
          <t xml:space="preserve">
5.1.12</t>
        </r>
      </text>
    </comment>
    <comment ref="A483" authorId="1" shapeId="0" xr:uid="{842E075D-7910-4D79-B7BE-94CC9173C933}">
      <text>
        <r>
          <rPr>
            <b/>
            <sz val="9"/>
            <color indexed="81"/>
            <rFont val="Segoe UI"/>
            <family val="2"/>
          </rPr>
          <t>Amanda:</t>
        </r>
        <r>
          <rPr>
            <sz val="9"/>
            <color indexed="81"/>
            <rFont val="Segoe UI"/>
            <family val="2"/>
          </rPr>
          <t xml:space="preserve">
5.1.12</t>
        </r>
      </text>
    </comment>
    <comment ref="A484" authorId="1" shapeId="0" xr:uid="{92FF43AA-511E-4DF3-9351-E5A43CBCD55E}">
      <text>
        <r>
          <rPr>
            <b/>
            <sz val="9"/>
            <color indexed="81"/>
            <rFont val="Segoe UI"/>
            <family val="2"/>
          </rPr>
          <t>Amanda:</t>
        </r>
        <r>
          <rPr>
            <sz val="9"/>
            <color indexed="81"/>
            <rFont val="Segoe UI"/>
            <family val="2"/>
          </rPr>
          <t xml:space="preserve">
5.1.12</t>
        </r>
      </text>
    </comment>
    <comment ref="A485" authorId="1" shapeId="0" xr:uid="{1D89DC9A-1D34-4A81-B817-827552CF2A01}">
      <text>
        <r>
          <rPr>
            <b/>
            <sz val="9"/>
            <color indexed="81"/>
            <rFont val="Segoe UI"/>
            <family val="2"/>
          </rPr>
          <t>Amanda:</t>
        </r>
        <r>
          <rPr>
            <sz val="9"/>
            <color indexed="81"/>
            <rFont val="Segoe UI"/>
            <family val="2"/>
          </rPr>
          <t xml:space="preserve">
5.1.12</t>
        </r>
      </text>
    </comment>
    <comment ref="C485" authorId="0" shapeId="0" xr:uid="{BAD0A895-2AB6-4645-8619-48F1B75194EC}">
      <text>
        <r>
          <rPr>
            <b/>
            <sz val="9"/>
            <color indexed="81"/>
            <rFont val="Segoe UI"/>
            <charset val="1"/>
          </rPr>
          <t>Amanda Basilio Romano:</t>
        </r>
        <r>
          <rPr>
            <sz val="9"/>
            <color indexed="81"/>
            <rFont val="Segoe UI"/>
            <charset val="1"/>
          </rPr>
          <t xml:space="preserve">
julho-24</t>
        </r>
      </text>
    </comment>
    <comment ref="A486" authorId="1" shapeId="0" xr:uid="{87A2B9BA-70C8-4DE7-A2B5-679ACBF610B4}">
      <text>
        <r>
          <rPr>
            <b/>
            <sz val="9"/>
            <color indexed="81"/>
            <rFont val="Segoe UI"/>
            <family val="2"/>
          </rPr>
          <t>Amanda:</t>
        </r>
        <r>
          <rPr>
            <sz val="9"/>
            <color indexed="81"/>
            <rFont val="Segoe UI"/>
            <family val="2"/>
          </rPr>
          <t xml:space="preserve">
5.1.12</t>
        </r>
      </text>
    </comment>
    <comment ref="C486" authorId="0" shapeId="0" xr:uid="{8B9DCCC9-E786-4361-A75B-94DCBB15FEDB}">
      <text>
        <r>
          <rPr>
            <b/>
            <sz val="9"/>
            <color indexed="81"/>
            <rFont val="Segoe UI"/>
            <charset val="1"/>
          </rPr>
          <t>Amanda Basilio Romano:</t>
        </r>
        <r>
          <rPr>
            <sz val="9"/>
            <color indexed="81"/>
            <rFont val="Segoe UI"/>
            <charset val="1"/>
          </rPr>
          <t xml:space="preserve">
junho-24</t>
        </r>
      </text>
    </comment>
    <comment ref="A487" authorId="1" shapeId="0" xr:uid="{C82139BA-01DE-4A6D-9351-E68EFAF9A153}">
      <text>
        <r>
          <rPr>
            <b/>
            <sz val="9"/>
            <color indexed="81"/>
            <rFont val="Segoe UI"/>
            <family val="2"/>
          </rPr>
          <t>Amanda:</t>
        </r>
        <r>
          <rPr>
            <sz val="9"/>
            <color indexed="81"/>
            <rFont val="Segoe UI"/>
            <family val="2"/>
          </rPr>
          <t xml:space="preserve">
5.1.12</t>
        </r>
      </text>
    </comment>
    <comment ref="C487" authorId="0" shapeId="0" xr:uid="{27F04E7B-C66F-4B4D-8D61-5058BF8FDC61}">
      <text>
        <r>
          <rPr>
            <b/>
            <sz val="9"/>
            <color indexed="81"/>
            <rFont val="Segoe UI"/>
            <charset val="1"/>
          </rPr>
          <t>Amanda Basilio Romano:</t>
        </r>
        <r>
          <rPr>
            <sz val="9"/>
            <color indexed="81"/>
            <rFont val="Segoe UI"/>
            <charset val="1"/>
          </rPr>
          <t xml:space="preserve">
julho-24</t>
        </r>
      </text>
    </comment>
    <comment ref="A488" authorId="1" shapeId="0" xr:uid="{CB6BEAD6-C156-4ACD-8243-2E01C3E5B23C}">
      <text>
        <r>
          <rPr>
            <b/>
            <sz val="9"/>
            <color indexed="81"/>
            <rFont val="Segoe UI"/>
            <family val="2"/>
          </rPr>
          <t>Amanda:</t>
        </r>
        <r>
          <rPr>
            <sz val="9"/>
            <color indexed="81"/>
            <rFont val="Segoe UI"/>
            <family val="2"/>
          </rPr>
          <t xml:space="preserve">
5.1.12</t>
        </r>
      </text>
    </comment>
    <comment ref="C488" authorId="0" shapeId="0" xr:uid="{C09275E1-9D27-463C-A5B5-2F3C4C12C35C}">
      <text>
        <r>
          <rPr>
            <b/>
            <sz val="9"/>
            <color indexed="81"/>
            <rFont val="Segoe UI"/>
            <charset val="1"/>
          </rPr>
          <t>Amanda Basilio Romano:</t>
        </r>
        <r>
          <rPr>
            <sz val="9"/>
            <color indexed="81"/>
            <rFont val="Segoe UI"/>
            <charset val="1"/>
          </rPr>
          <t xml:space="preserve">
julho-24</t>
        </r>
      </text>
    </comment>
    <comment ref="A489" authorId="1" shapeId="0" xr:uid="{D06DE85B-4222-4ABB-94AC-DA57524B1447}">
      <text>
        <r>
          <rPr>
            <b/>
            <sz val="9"/>
            <color indexed="81"/>
            <rFont val="Segoe UI"/>
            <family val="2"/>
          </rPr>
          <t>Amanda:</t>
        </r>
        <r>
          <rPr>
            <sz val="9"/>
            <color indexed="81"/>
            <rFont val="Segoe UI"/>
            <family val="2"/>
          </rPr>
          <t xml:space="preserve">
5.1.11</t>
        </r>
      </text>
    </comment>
    <comment ref="A490" authorId="1" shapeId="0" xr:uid="{3985851B-6ADB-458D-992B-933F18F07A48}">
      <text>
        <r>
          <rPr>
            <b/>
            <sz val="9"/>
            <color indexed="81"/>
            <rFont val="Segoe UI"/>
            <family val="2"/>
          </rPr>
          <t>Amanda:</t>
        </r>
        <r>
          <rPr>
            <sz val="9"/>
            <color indexed="81"/>
            <rFont val="Segoe UI"/>
            <family val="2"/>
          </rPr>
          <t xml:space="preserve">
5.1.12</t>
        </r>
      </text>
    </comment>
    <comment ref="C491" authorId="0" shapeId="0" xr:uid="{DDE40CB5-4A59-431C-AFD9-F61065F988B1}">
      <text>
        <r>
          <rPr>
            <b/>
            <sz val="9"/>
            <color indexed="81"/>
            <rFont val="Segoe UI"/>
            <family val="2"/>
          </rPr>
          <t>Amanda Basilio Romano:</t>
        </r>
        <r>
          <rPr>
            <sz val="9"/>
            <color indexed="81"/>
            <rFont val="Segoe UI"/>
            <family val="2"/>
          </rPr>
          <t xml:space="preserve">
27/02/2012
BR 101/SC - Camburiú – 2 lados – segmentos descontínuos – 2 km - 1º ano</t>
        </r>
      </text>
    </comment>
    <comment ref="C492" authorId="1" shapeId="0" xr:uid="{81D63DB7-B516-41DB-8778-1D2888727733}">
      <text>
        <r>
          <rPr>
            <b/>
            <sz val="9"/>
            <color indexed="81"/>
            <rFont val="Segoe UI"/>
            <family val="2"/>
          </rPr>
          <t>Amanda:</t>
        </r>
        <r>
          <rPr>
            <sz val="9"/>
            <color indexed="81"/>
            <rFont val="Segoe UI"/>
            <family val="2"/>
          </rPr>
          <t xml:space="preserve">
28/02/2013
BR 101/SC – Sta.
Luzia/Porto Belo - lado direito - segmentos descontínuos – 1 km - 1º ano</t>
        </r>
      </text>
    </comment>
    <comment ref="C493" authorId="1" shapeId="0" xr:uid="{5A2F1101-69E7-4159-9543-E01C3514D0DA}">
      <text>
        <r>
          <rPr>
            <b/>
            <sz val="9"/>
            <color indexed="81"/>
            <rFont val="Segoe UI"/>
            <family val="2"/>
          </rPr>
          <t>Amanda:</t>
        </r>
        <r>
          <rPr>
            <sz val="9"/>
            <color indexed="81"/>
            <rFont val="Segoe UI"/>
            <family val="2"/>
          </rPr>
          <t xml:space="preserve">
22/04/2014
BR 376/PR – região da interseção do Contorno Leste de Curitiba – km 617 ao km
618,4, nos dois sentidos – 2,8, km - 2º ano</t>
        </r>
      </text>
    </comment>
    <comment ref="C494" authorId="1" shapeId="0" xr:uid="{8E23539B-D3E7-4D30-9DFD-A065AC60E129}">
      <text>
        <r>
          <rPr>
            <b/>
            <sz val="9"/>
            <color indexed="81"/>
            <rFont val="Segoe UI"/>
            <family val="2"/>
          </rPr>
          <t>Amanda:</t>
        </r>
        <r>
          <rPr>
            <sz val="9"/>
            <color indexed="81"/>
            <rFont val="Segoe UI"/>
            <family val="2"/>
          </rPr>
          <t xml:space="preserve">
29/02/2012
BR 101/SC – Tijucas - 2 lados - segmentos descontínuos – 1,5
km - 2º ano</t>
        </r>
      </text>
    </comment>
    <comment ref="C495" authorId="1" shapeId="0" xr:uid="{25B23859-0BD3-4E39-A100-39210CA65AD5}">
      <text>
        <r>
          <rPr>
            <b/>
            <sz val="9"/>
            <color indexed="81"/>
            <rFont val="Segoe UI"/>
            <family val="2"/>
          </rPr>
          <t>Amanda:</t>
        </r>
        <r>
          <rPr>
            <sz val="9"/>
            <color indexed="81"/>
            <rFont val="Segoe UI"/>
            <family val="2"/>
          </rPr>
          <t xml:space="preserve">
22/04/2014
Contorno Leste de Curitiba - região da interseção com a BR 277 – 2,4 km - 3º ano;</t>
        </r>
      </text>
    </comment>
    <comment ref="C496" authorId="1" shapeId="0" xr:uid="{DAE6F2E2-D038-4F93-A2D0-F4554D41F6FF}">
      <text>
        <r>
          <rPr>
            <b/>
            <sz val="9"/>
            <color indexed="81"/>
            <rFont val="Segoe UI"/>
            <family val="2"/>
          </rPr>
          <t>Amanda:</t>
        </r>
        <r>
          <rPr>
            <sz val="9"/>
            <color indexed="81"/>
            <rFont val="Segoe UI"/>
            <family val="2"/>
          </rPr>
          <t xml:space="preserve">
22/09/2012
BR 101/SC -
Itajaí – 2 lados – segmentos descontínuos – 5 km - 3º ano</t>
        </r>
      </text>
    </comment>
    <comment ref="C497" authorId="1" shapeId="0" xr:uid="{26EB5D30-85FC-4370-B92B-D24786FB6001}">
      <text>
        <r>
          <rPr>
            <b/>
            <sz val="9"/>
            <color indexed="81"/>
            <rFont val="Segoe UI"/>
            <family val="2"/>
          </rPr>
          <t>Amanda:</t>
        </r>
        <r>
          <rPr>
            <sz val="9"/>
            <color indexed="81"/>
            <rFont val="Segoe UI"/>
            <family val="2"/>
          </rPr>
          <t xml:space="preserve">
2010/2014
BR 101/SC - Itapema – 2 lados – segmentos
descontínuos – 7 km - 3º ano</t>
        </r>
      </text>
    </comment>
    <comment ref="C498" authorId="1" shapeId="0" xr:uid="{3DCDCD76-B996-46C5-94D0-968734165404}">
      <text>
        <r>
          <rPr>
            <b/>
            <sz val="9"/>
            <color indexed="81"/>
            <rFont val="Segoe UI"/>
            <family val="2"/>
          </rPr>
          <t>Amanda:</t>
        </r>
        <r>
          <rPr>
            <sz val="9"/>
            <color indexed="81"/>
            <rFont val="Segoe UI"/>
            <family val="2"/>
          </rPr>
          <t xml:space="preserve">
2014
BR 376 - do km 616,6 ao 650 - em segmentos descontínuos – 16 km - 4º ano</t>
        </r>
      </text>
    </comment>
    <comment ref="C499" authorId="1" shapeId="0" xr:uid="{36F8B154-E076-42EF-B72D-BCA93176463D}">
      <text>
        <r>
          <rPr>
            <b/>
            <sz val="9"/>
            <color indexed="81"/>
            <rFont val="Segoe UI"/>
            <family val="2"/>
          </rPr>
          <t>Amanda:</t>
        </r>
        <r>
          <rPr>
            <sz val="9"/>
            <color indexed="81"/>
            <rFont val="Segoe UI"/>
            <family val="2"/>
          </rPr>
          <t xml:space="preserve">
2013/2014
BR 101 - do km 6
ao km 60 - em segmentos descontínuos – 11 km - 4º ano</t>
        </r>
      </text>
    </comment>
    <comment ref="C500" authorId="1" shapeId="0" xr:uid="{EDC6FBB8-84D5-4327-AC37-21E92ED0EEB4}">
      <text>
        <r>
          <rPr>
            <b/>
            <sz val="9"/>
            <color indexed="81"/>
            <rFont val="Segoe UI"/>
            <family val="2"/>
          </rPr>
          <t>Amanda:</t>
        </r>
        <r>
          <rPr>
            <sz val="9"/>
            <color indexed="81"/>
            <rFont val="Segoe UI"/>
            <family val="2"/>
          </rPr>
          <t xml:space="preserve">
2013/2014
BR 101 - do km 85 ao km 125 - em segmentos
descontínuos – 15 km - 4º ano</t>
        </r>
      </text>
    </comment>
    <comment ref="C501" authorId="1" shapeId="0" xr:uid="{100A222B-4BF3-4D3A-A5A0-8B16F37DD14D}">
      <text>
        <r>
          <rPr>
            <b/>
            <sz val="9"/>
            <color indexed="81"/>
            <rFont val="Segoe UI"/>
            <family val="2"/>
          </rPr>
          <t>Amanda:</t>
        </r>
        <r>
          <rPr>
            <sz val="9"/>
            <color indexed="81"/>
            <rFont val="Segoe UI"/>
            <family val="2"/>
          </rPr>
          <t xml:space="preserve">
 2013-2015
BR 101 - do km 130 ao km 193 - em segmentos descontínuos – 16 km - 4º ano</t>
        </r>
      </text>
    </comment>
    <comment ref="C502" authorId="1" shapeId="0" xr:uid="{D92C7483-AAAC-4F78-B19A-3B9E3DF51BA0}">
      <text>
        <r>
          <rPr>
            <b/>
            <sz val="9"/>
            <color indexed="81"/>
            <rFont val="Segoe UI"/>
            <family val="2"/>
          </rPr>
          <t>Amanda:</t>
        </r>
        <r>
          <rPr>
            <sz val="9"/>
            <color indexed="81"/>
            <rFont val="Segoe UI"/>
            <family val="2"/>
          </rPr>
          <t xml:space="preserve">
2013/2014</t>
        </r>
      </text>
    </comment>
    <comment ref="C503" authorId="0" shapeId="0" xr:uid="{6EDB121D-CD1D-463A-8979-094D0ACE93C7}">
      <text>
        <r>
          <rPr>
            <b/>
            <sz val="9"/>
            <color indexed="81"/>
            <rFont val="Segoe UI"/>
            <charset val="1"/>
          </rPr>
          <t>Amanda Basilio Romano:</t>
        </r>
        <r>
          <rPr>
            <sz val="9"/>
            <color indexed="81"/>
            <rFont val="Segoe UI"/>
            <charset val="1"/>
          </rPr>
          <t xml:space="preserve">
set-14</t>
        </r>
      </text>
    </comment>
    <comment ref="C504" authorId="0" shapeId="0" xr:uid="{AD42D478-F261-47F7-B4FB-3851D10861E9}">
      <text>
        <r>
          <rPr>
            <b/>
            <sz val="9"/>
            <color indexed="81"/>
            <rFont val="Segoe UI"/>
            <charset val="1"/>
          </rPr>
          <t>Amanda Basilio Romano:</t>
        </r>
        <r>
          <rPr>
            <sz val="9"/>
            <color indexed="81"/>
            <rFont val="Segoe UI"/>
            <charset val="1"/>
          </rPr>
          <t xml:space="preserve">
dez-17</t>
        </r>
      </text>
    </comment>
    <comment ref="C507" authorId="0" shapeId="0" xr:uid="{C6A1ECE4-AC71-4CE6-8051-8597A2BC3541}">
      <text>
        <r>
          <rPr>
            <b/>
            <sz val="9"/>
            <color indexed="81"/>
            <rFont val="Segoe UI"/>
            <family val="2"/>
          </rPr>
          <t>Amanda Basilio Romano:</t>
        </r>
        <r>
          <rPr>
            <sz val="9"/>
            <color indexed="81"/>
            <rFont val="Segoe UI"/>
            <family val="2"/>
          </rPr>
          <t xml:space="preserve">
10/03/2015</t>
        </r>
      </text>
    </comment>
    <comment ref="C508" authorId="0" shapeId="0" xr:uid="{E6C859D2-E693-4E1E-BAE5-C4494A084F43}">
      <text>
        <r>
          <rPr>
            <b/>
            <sz val="9"/>
            <color indexed="81"/>
            <rFont val="Segoe UI"/>
            <charset val="1"/>
          </rPr>
          <t>Amanda Basilio Romano:</t>
        </r>
        <r>
          <rPr>
            <sz val="9"/>
            <color indexed="81"/>
            <rFont val="Segoe UI"/>
            <charset val="1"/>
          </rPr>
          <t xml:space="preserve">
Não iniciada
Implantação de Passagem em Desnível Inferior Tipo Viaduto - Rio Negro - PR - km 208,200</t>
        </r>
      </text>
    </comment>
    <comment ref="C512" authorId="0" shapeId="0" xr:uid="{1409F921-F6E1-4C41-A157-B657994F8DB0}">
      <text>
        <r>
          <rPr>
            <b/>
            <sz val="9"/>
            <color indexed="81"/>
            <rFont val="Segoe UI"/>
            <charset val="1"/>
          </rPr>
          <t>Amanda Basilio Romano:</t>
        </r>
        <r>
          <rPr>
            <sz val="9"/>
            <color indexed="81"/>
            <rFont val="Segoe UI"/>
            <charset val="1"/>
          </rPr>
          <t xml:space="preserve">
Não iniciada</t>
        </r>
      </text>
    </comment>
    <comment ref="C523" authorId="0" shapeId="0" xr:uid="{99F940C8-4F65-45C0-8582-A4A6E76D9923}">
      <text>
        <r>
          <rPr>
            <b/>
            <sz val="9"/>
            <color indexed="81"/>
            <rFont val="Segoe UI"/>
            <family val="2"/>
          </rPr>
          <t>Amanda Basilio Romano:</t>
        </r>
        <r>
          <rPr>
            <sz val="9"/>
            <color indexed="81"/>
            <rFont val="Segoe UI"/>
            <family val="2"/>
          </rPr>
          <t xml:space="preserve">
Exclusão - O investimento para a implantação da extensão de terceira faixa prevista para o trecho terá melhor retorno em outro segmento de pior desempenho</t>
        </r>
      </text>
    </comment>
    <comment ref="C524" authorId="0" shapeId="0" xr:uid="{E98855C1-F858-47F6-B084-CD3F0746CCC7}">
      <text>
        <r>
          <rPr>
            <b/>
            <sz val="9"/>
            <color indexed="81"/>
            <rFont val="Segoe UI"/>
            <charset val="1"/>
          </rPr>
          <t>Amanda Basilio Romano:</t>
        </r>
        <r>
          <rPr>
            <sz val="9"/>
            <color indexed="81"/>
            <rFont val="Segoe UI"/>
            <charset val="1"/>
          </rPr>
          <t xml:space="preserve">
KM 102,735 AO KM 107,606 Pista Norte e KM 107,886 AO KM 110,625 Pista Sul</t>
        </r>
      </text>
    </comment>
    <comment ref="C528" authorId="0" shapeId="0" xr:uid="{37BD0B45-0DD8-4A53-88F3-19E77C0A9D35}">
      <text>
        <r>
          <rPr>
            <b/>
            <sz val="9"/>
            <color indexed="81"/>
            <rFont val="Segoe UI"/>
            <family val="2"/>
          </rPr>
          <t>Amanda Basilio Romano:</t>
        </r>
        <r>
          <rPr>
            <sz val="9"/>
            <color indexed="81"/>
            <rFont val="Segoe UI"/>
            <family val="2"/>
          </rPr>
          <t xml:space="preserve">
Exclusão - Considera-se que pode ser excluído em favor de outro segmento em que se observam 
problemas operacionais.</t>
        </r>
      </text>
    </comment>
    <comment ref="C529" authorId="0" shapeId="0" xr:uid="{E4E2241E-45D9-4DED-9A29-42A3CD90C9C9}">
      <text>
        <r>
          <rPr>
            <b/>
            <sz val="9"/>
            <color indexed="81"/>
            <rFont val="Segoe UI"/>
            <family val="2"/>
          </rPr>
          <t>Amanda Basilio Romano:</t>
        </r>
        <r>
          <rPr>
            <sz val="9"/>
            <color indexed="81"/>
            <rFont val="Segoe UI"/>
            <family val="2"/>
          </rPr>
          <t xml:space="preserve">
Exclusão - Este segmento apesar de incluir uma rampa crítica, apresenta nível de serviço adequado 
para a velocidade média e o tempo perdido em pelotões. Não apresenta acidentes 
(típicos dos evitáveis com 3ª faixa) com vítimas nos últimos dois anos.</t>
        </r>
      </text>
    </comment>
    <comment ref="C533" authorId="0" shapeId="0" xr:uid="{85B37762-3A53-40C7-BADD-6993745DFCD9}">
      <text>
        <r>
          <rPr>
            <b/>
            <sz val="9"/>
            <color indexed="81"/>
            <rFont val="Segoe UI"/>
            <charset val="1"/>
          </rPr>
          <t>Amanda Basilio Romano:</t>
        </r>
        <r>
          <rPr>
            <sz val="9"/>
            <color indexed="81"/>
            <rFont val="Segoe UI"/>
            <charset val="1"/>
          </rPr>
          <t xml:space="preserve">
Exclusão - os segmentos de extensão inferior a 300 
metros não são efetivos para a realização de ultrapassagens seguras</t>
        </r>
      </text>
    </comment>
    <comment ref="C534" authorId="0" shapeId="0" xr:uid="{7E718F18-53F8-466B-B378-D76EC782FA79}">
      <text>
        <r>
          <rPr>
            <b/>
            <sz val="9"/>
            <color indexed="81"/>
            <rFont val="Segoe UI"/>
            <charset val="1"/>
          </rPr>
          <t>Amanda Basilio Romano:</t>
        </r>
        <r>
          <rPr>
            <sz val="9"/>
            <color indexed="81"/>
            <rFont val="Segoe UI"/>
            <charset val="1"/>
          </rPr>
          <t xml:space="preserve">
Exclusão - O trecho já tem implantada uma terceira faixa operando, em extensão adequada.</t>
        </r>
      </text>
    </comment>
    <comment ref="C535" authorId="0" shapeId="0" xr:uid="{162E4643-4ADA-4728-AF05-DFBDD461810D}">
      <text>
        <r>
          <rPr>
            <b/>
            <sz val="9"/>
            <color indexed="81"/>
            <rFont val="Segoe UI"/>
            <family val="2"/>
          </rPr>
          <t>Amanda Basilio Romano:</t>
        </r>
        <r>
          <rPr>
            <sz val="9"/>
            <color indexed="81"/>
            <rFont val="Segoe UI"/>
            <family val="2"/>
          </rPr>
          <t xml:space="preserve">
Exclusão - O trecho já tem implantada uma terceira faixa operando</t>
        </r>
      </text>
    </comment>
    <comment ref="C536" authorId="0" shapeId="0" xr:uid="{8309D9C9-DF2C-41BA-8519-62F8A6E30B7A}">
      <text>
        <r>
          <rPr>
            <b/>
            <sz val="9"/>
            <color indexed="81"/>
            <rFont val="Segoe UI"/>
            <family val="2"/>
          </rPr>
          <t>Amanda Basilio Romano:</t>
        </r>
        <r>
          <rPr>
            <sz val="9"/>
            <color indexed="81"/>
            <rFont val="Segoe UI"/>
            <family val="2"/>
          </rPr>
          <t xml:space="preserve">
Exclusão - O trecho já tem implantada uma terceira faixa operando</t>
        </r>
      </text>
    </comment>
    <comment ref="C539" authorId="0" shapeId="0" xr:uid="{44962340-9DA8-4C79-9E1E-A8D07EAE028F}">
      <text>
        <r>
          <rPr>
            <b/>
            <sz val="9"/>
            <color indexed="81"/>
            <rFont val="Segoe UI"/>
            <charset val="1"/>
          </rPr>
          <t>Amanda Basilio Romano:</t>
        </r>
        <r>
          <rPr>
            <sz val="9"/>
            <color indexed="81"/>
            <rFont val="Segoe UI"/>
            <charset val="1"/>
          </rPr>
          <t xml:space="preserve">
Não iniciada</t>
        </r>
      </text>
    </comment>
    <comment ref="C540" authorId="0" shapeId="0" xr:uid="{CB9689AF-1935-4812-9CD0-D14404285726}">
      <text>
        <r>
          <rPr>
            <b/>
            <sz val="9"/>
            <color indexed="81"/>
            <rFont val="Segoe UI"/>
            <family val="2"/>
          </rPr>
          <t>Amanda Basilio Romano:</t>
        </r>
        <r>
          <rPr>
            <sz val="9"/>
            <color indexed="81"/>
            <rFont val="Segoe UI"/>
            <family val="2"/>
          </rPr>
          <t xml:space="preserve">
 início em março/2026 e conclusão fevereiro/2029</t>
        </r>
      </text>
    </comment>
    <comment ref="C542" authorId="0" shapeId="0" xr:uid="{2D4D1355-BE3E-4260-AFC3-54C13488BA57}">
      <text>
        <r>
          <rPr>
            <b/>
            <sz val="9"/>
            <color indexed="81"/>
            <rFont val="Segoe UI"/>
            <charset val="1"/>
          </rPr>
          <t>Amanda Basilio Romano:</t>
        </r>
        <r>
          <rPr>
            <sz val="9"/>
            <color indexed="81"/>
            <rFont val="Segoe UI"/>
            <charset val="1"/>
          </rPr>
          <t xml:space="preserve">
mai-13</t>
        </r>
      </text>
    </comment>
    <comment ref="C543" authorId="0" shapeId="0" xr:uid="{C8E0287E-96AD-4696-A3A0-91E4460E3B55}">
      <text>
        <r>
          <rPr>
            <b/>
            <sz val="9"/>
            <color indexed="81"/>
            <rFont val="Segoe UI"/>
            <charset val="1"/>
          </rPr>
          <t>Amanda Basilio Romano:</t>
        </r>
        <r>
          <rPr>
            <sz val="9"/>
            <color indexed="81"/>
            <rFont val="Segoe UI"/>
            <charset val="1"/>
          </rPr>
          <t xml:space="preserve">
Av. Santos Dumont, Rua Pedro Osaki, Rua Marcos Cardoso, Rua Presidente Faria</t>
        </r>
      </text>
    </comment>
    <comment ref="C545" authorId="0" shapeId="0" xr:uid="{1BB17877-BEE5-445A-9CEB-5EC4EA608088}">
      <text>
        <r>
          <rPr>
            <b/>
            <sz val="9"/>
            <color indexed="81"/>
            <rFont val="Segoe UI"/>
            <charset val="1"/>
          </rPr>
          <t>Amanda Basilio Romano:</t>
        </r>
        <r>
          <rPr>
            <sz val="9"/>
            <color indexed="81"/>
            <rFont val="Segoe UI"/>
            <charset val="1"/>
          </rPr>
          <t xml:space="preserve">
dez-11</t>
        </r>
      </text>
    </comment>
    <comment ref="C546" authorId="0" shapeId="0" xr:uid="{ED09AFDB-5C9C-4FE8-A410-B008BD8AE718}">
      <text>
        <r>
          <rPr>
            <b/>
            <sz val="9"/>
            <color indexed="81"/>
            <rFont val="Segoe UI"/>
            <charset val="1"/>
          </rPr>
          <t>Amanda Basilio Romano:</t>
        </r>
        <r>
          <rPr>
            <sz val="9"/>
            <color indexed="81"/>
            <rFont val="Segoe UI"/>
            <charset val="1"/>
          </rPr>
          <t xml:space="preserve">
2 mai-13</t>
        </r>
      </text>
    </comment>
    <comment ref="C547" authorId="0" shapeId="0" xr:uid="{608E815E-A5A0-4F23-B042-FB49EF5CCD03}">
      <text>
        <r>
          <rPr>
            <b/>
            <sz val="9"/>
            <color indexed="81"/>
            <rFont val="Segoe UI"/>
            <charset val="1"/>
          </rPr>
          <t>Amanda Basilio Romano:</t>
        </r>
        <r>
          <rPr>
            <sz val="9"/>
            <color indexed="81"/>
            <rFont val="Segoe UI"/>
            <charset val="1"/>
          </rPr>
          <t xml:space="preserve">
jul-16</t>
        </r>
      </text>
    </comment>
    <comment ref="C548" authorId="0" shapeId="0" xr:uid="{E495CB18-2F8C-4C59-B662-4B7FC60DE617}">
      <text>
        <r>
          <rPr>
            <b/>
            <sz val="9"/>
            <color indexed="81"/>
            <rFont val="Segoe UI"/>
            <charset val="1"/>
          </rPr>
          <t>Amanda Basilio Romano:</t>
        </r>
        <r>
          <rPr>
            <sz val="9"/>
            <color indexed="81"/>
            <rFont val="Segoe UI"/>
            <charset val="1"/>
          </rPr>
          <t xml:space="preserve">
04/2019</t>
        </r>
      </text>
    </comment>
    <comment ref="C549" authorId="0" shapeId="0" xr:uid="{32A99B3A-FC5D-4FBC-88CB-A73F8D584F90}">
      <text>
        <r>
          <rPr>
            <b/>
            <sz val="9"/>
            <color indexed="81"/>
            <rFont val="Segoe UI"/>
            <charset val="1"/>
          </rPr>
          <t>Amanda Basilio Romano:</t>
        </r>
        <r>
          <rPr>
            <sz val="9"/>
            <color indexed="81"/>
            <rFont val="Segoe UI"/>
            <charset val="1"/>
          </rPr>
          <t xml:space="preserve">
fev-17</t>
        </r>
      </text>
    </comment>
    <comment ref="C550" authorId="0" shapeId="0" xr:uid="{4D884324-8B3F-4B3C-840C-24D7E0CE7554}">
      <text>
        <r>
          <rPr>
            <b/>
            <sz val="9"/>
            <color indexed="81"/>
            <rFont val="Segoe UI"/>
            <family val="2"/>
          </rPr>
          <t>Amanda Basilio Romano:</t>
        </r>
        <r>
          <rPr>
            <sz val="9"/>
            <color indexed="81"/>
            <rFont val="Segoe UI"/>
            <family val="2"/>
          </rPr>
          <t xml:space="preserve">
fev-24
22188449</t>
        </r>
      </text>
    </comment>
    <comment ref="C551" authorId="0" shapeId="0" xr:uid="{B9A36F52-9364-476F-8858-63FA3D9F65F8}">
      <text>
        <r>
          <rPr>
            <b/>
            <sz val="9"/>
            <color indexed="81"/>
            <rFont val="Segoe UI"/>
            <charset val="1"/>
          </rPr>
          <t>Amanda Basilio Romano:</t>
        </r>
        <r>
          <rPr>
            <sz val="9"/>
            <color indexed="81"/>
            <rFont val="Segoe UI"/>
            <charset val="1"/>
          </rPr>
          <t xml:space="preserve">
10/2013</t>
        </r>
      </text>
    </comment>
    <comment ref="C552" authorId="0" shapeId="0" xr:uid="{2C969ED2-1D6C-4588-8A45-D2343F52F865}">
      <text>
        <r>
          <rPr>
            <b/>
            <sz val="9"/>
            <color indexed="81"/>
            <rFont val="Segoe UI"/>
            <charset val="1"/>
          </rPr>
          <t>Amanda Basilio Romano:</t>
        </r>
        <r>
          <rPr>
            <sz val="9"/>
            <color indexed="81"/>
            <rFont val="Segoe UI"/>
            <charset val="1"/>
          </rPr>
          <t xml:space="preserve">
dez-22</t>
        </r>
      </text>
    </comment>
    <comment ref="C553" authorId="0" shapeId="0" xr:uid="{4359E4ED-4709-4704-B262-1DD182534818}">
      <text>
        <r>
          <rPr>
            <b/>
            <sz val="9"/>
            <color indexed="81"/>
            <rFont val="Segoe UI"/>
            <charset val="1"/>
          </rPr>
          <t>Amanda Basilio Romano:</t>
        </r>
        <r>
          <rPr>
            <sz val="9"/>
            <color indexed="81"/>
            <rFont val="Segoe UI"/>
            <charset val="1"/>
          </rPr>
          <t xml:space="preserve">
ago-11</t>
        </r>
      </text>
    </comment>
    <comment ref="C554" authorId="0" shapeId="0" xr:uid="{B9709174-7C28-44C1-B661-5E79CF35796A}">
      <text>
        <r>
          <rPr>
            <b/>
            <sz val="9"/>
            <color indexed="81"/>
            <rFont val="Segoe UI"/>
            <charset val="1"/>
          </rPr>
          <t>Amanda Basilio Romano:</t>
        </r>
        <r>
          <rPr>
            <sz val="9"/>
            <color indexed="81"/>
            <rFont val="Segoe UI"/>
            <charset val="1"/>
          </rPr>
          <t xml:space="preserve">
dez-12</t>
        </r>
      </text>
    </comment>
    <comment ref="C555" authorId="0" shapeId="0" xr:uid="{8082D996-92B4-4E73-AA9E-F336C2A0E622}">
      <text>
        <r>
          <rPr>
            <b/>
            <sz val="9"/>
            <color indexed="81"/>
            <rFont val="Segoe UI"/>
            <charset val="1"/>
          </rPr>
          <t>Amanda Basilio Romano:</t>
        </r>
        <r>
          <rPr>
            <sz val="9"/>
            <color indexed="81"/>
            <rFont val="Segoe UI"/>
            <charset val="1"/>
          </rPr>
          <t xml:space="preserve">
mai-13</t>
        </r>
      </text>
    </comment>
    <comment ref="C557" authorId="0" shapeId="0" xr:uid="{FC1DC749-43D4-4E03-8637-AFDE6C28B2DD}">
      <text>
        <r>
          <rPr>
            <b/>
            <sz val="9"/>
            <color indexed="81"/>
            <rFont val="Segoe UI"/>
            <charset val="1"/>
          </rPr>
          <t>Amanda Basilio Romano:</t>
        </r>
        <r>
          <rPr>
            <sz val="9"/>
            <color indexed="81"/>
            <rFont val="Segoe UI"/>
            <charset val="1"/>
          </rPr>
          <t xml:space="preserve">
dez-16</t>
        </r>
      </text>
    </comment>
    <comment ref="C558" authorId="0" shapeId="0" xr:uid="{114A6834-E7EE-435E-98CD-7EC57F95619D}">
      <text>
        <r>
          <rPr>
            <b/>
            <sz val="9"/>
            <color indexed="81"/>
            <rFont val="Segoe UI"/>
            <charset val="1"/>
          </rPr>
          <t>Amanda Basilio Romano:</t>
        </r>
        <r>
          <rPr>
            <sz val="9"/>
            <color indexed="81"/>
            <rFont val="Segoe UI"/>
            <charset val="1"/>
          </rPr>
          <t xml:space="preserve">
fev-16</t>
        </r>
      </text>
    </comment>
    <comment ref="C1009" authorId="0" shapeId="0" xr:uid="{76DF9A71-4566-472C-9FAD-9011994C56E5}">
      <text>
        <r>
          <rPr>
            <b/>
            <sz val="9"/>
            <color indexed="81"/>
            <rFont val="Segoe UI"/>
            <family val="2"/>
          </rPr>
          <t>Amanda Basilio Romano:</t>
        </r>
        <r>
          <rPr>
            <sz val="9"/>
            <color indexed="81"/>
            <rFont val="Segoe UI"/>
            <family val="2"/>
          </rPr>
          <t xml:space="preserve">
fev/25
</t>
        </r>
      </text>
    </comment>
    <comment ref="C1010" authorId="0" shapeId="0" xr:uid="{8C79B148-1C36-47D2-983E-541F20A7B0A4}">
      <text>
        <r>
          <rPr>
            <b/>
            <sz val="9"/>
            <color indexed="81"/>
            <rFont val="Segoe UI"/>
            <family val="2"/>
          </rPr>
          <t>Amanda Basilio Romano:</t>
        </r>
        <r>
          <rPr>
            <sz val="9"/>
            <color indexed="81"/>
            <rFont val="Segoe UI"/>
            <family val="2"/>
          </rPr>
          <t xml:space="preserve">
fev/25</t>
        </r>
      </text>
    </comment>
    <comment ref="C1011" authorId="0" shapeId="0" xr:uid="{4A0DF391-310E-4E16-827A-0E5972721683}">
      <text>
        <r>
          <rPr>
            <b/>
            <sz val="9"/>
            <color indexed="81"/>
            <rFont val="Segoe UI"/>
            <family val="2"/>
          </rPr>
          <t>Amanda Basilio Romano:</t>
        </r>
        <r>
          <rPr>
            <sz val="9"/>
            <color indexed="81"/>
            <rFont val="Segoe UI"/>
            <family val="2"/>
          </rPr>
          <t xml:space="preserve">
fev/25</t>
        </r>
      </text>
    </comment>
    <comment ref="C1023" authorId="0" shapeId="0" xr:uid="{3B4A4AA2-EDB3-410E-AA94-0648E190B562}">
      <text>
        <r>
          <rPr>
            <b/>
            <sz val="9"/>
            <color indexed="81"/>
            <rFont val="Segoe UI"/>
            <family val="2"/>
          </rPr>
          <t>Amanda Basilio Romano:</t>
        </r>
        <r>
          <rPr>
            <sz val="9"/>
            <color indexed="81"/>
            <rFont val="Segoe UI"/>
            <family val="2"/>
          </rPr>
          <t xml:space="preserve">
fev/25</t>
        </r>
      </text>
    </comment>
    <comment ref="C1024" authorId="0" shapeId="0" xr:uid="{185FE1A1-CCCC-4198-BBE2-5DD8BB22526F}">
      <text>
        <r>
          <rPr>
            <b/>
            <sz val="9"/>
            <color indexed="81"/>
            <rFont val="Segoe UI"/>
            <family val="2"/>
          </rPr>
          <t>Amanda Basilio Romano:</t>
        </r>
        <r>
          <rPr>
            <sz val="9"/>
            <color indexed="81"/>
            <rFont val="Segoe UI"/>
            <family val="2"/>
          </rPr>
          <t xml:space="preserve">
fev/25</t>
        </r>
      </text>
    </comment>
    <comment ref="C1159" authorId="0" shapeId="0" xr:uid="{02098D14-F969-4823-972A-DAB9200FCE9D}">
      <text>
        <r>
          <rPr>
            <b/>
            <sz val="9"/>
            <color indexed="81"/>
            <rFont val="Segoe UI"/>
            <family val="2"/>
          </rPr>
          <t>Amanda Basilio Romano:</t>
        </r>
        <r>
          <rPr>
            <sz val="9"/>
            <color indexed="81"/>
            <rFont val="Segoe UI"/>
            <family val="2"/>
          </rPr>
          <t xml:space="preserve">
ourinhos
</t>
        </r>
      </text>
    </comment>
    <comment ref="C1165" authorId="0" shapeId="0" xr:uid="{891DC329-B1D7-48C4-B80F-667BD47805C9}">
      <text>
        <r>
          <rPr>
            <b/>
            <sz val="9"/>
            <color indexed="81"/>
            <rFont val="Segoe UI"/>
            <family val="2"/>
          </rPr>
          <t>Amanda Basilio Romano:</t>
        </r>
        <r>
          <rPr>
            <sz val="9"/>
            <color indexed="81"/>
            <rFont val="Segoe UI"/>
            <family val="2"/>
          </rPr>
          <t xml:space="preserve">
0005320
concluida no ano 9 (2016/2017)</t>
        </r>
      </text>
    </comment>
    <comment ref="C1166" authorId="0" shapeId="0" xr:uid="{11D45793-C5BF-45AE-B649-6CBFAA8795F1}">
      <text>
        <r>
          <rPr>
            <b/>
            <sz val="9"/>
            <color indexed="81"/>
            <rFont val="Segoe UI"/>
            <family val="2"/>
          </rPr>
          <t>Amanda Basilio Romano:</t>
        </r>
        <r>
          <rPr>
            <sz val="9"/>
            <color indexed="81"/>
            <rFont val="Segoe UI"/>
            <family val="2"/>
          </rPr>
          <t xml:space="preserve">
0005320
concluida no ano 9 (2016/2017)</t>
        </r>
      </text>
    </comment>
    <comment ref="C1167" authorId="0" shapeId="0" xr:uid="{D0C098F5-C013-4F85-A12E-CB79E851073C}">
      <text>
        <r>
          <rPr>
            <b/>
            <sz val="9"/>
            <color indexed="81"/>
            <rFont val="Segoe UI"/>
            <family val="2"/>
          </rPr>
          <t>Amanda Basilio Romano:</t>
        </r>
        <r>
          <rPr>
            <sz val="9"/>
            <color indexed="81"/>
            <rFont val="Segoe UI"/>
            <family val="2"/>
          </rPr>
          <t xml:space="preserve">
SEI 0302788
fev/18</t>
        </r>
      </text>
    </comment>
    <comment ref="C1168" authorId="0" shapeId="0" xr:uid="{65AD9ACD-AE0E-4DD1-8F90-98C0BF9E1EC2}">
      <text>
        <r>
          <rPr>
            <b/>
            <sz val="9"/>
            <color indexed="81"/>
            <rFont val="Segoe UI"/>
            <charset val="1"/>
          </rPr>
          <t>Amanda Basilio Romano:</t>
        </r>
        <r>
          <rPr>
            <sz val="9"/>
            <color indexed="81"/>
            <rFont val="Segoe UI"/>
            <charset val="1"/>
          </rPr>
          <t xml:space="preserve">
Implantação de Passagens em Desnível Inferior Tipo Galeria - km 84,86
15262582
</t>
        </r>
      </text>
    </comment>
    <comment ref="C1169" authorId="0" shapeId="0" xr:uid="{078E3547-0511-4DF0-BE03-6E7945823390}">
      <text>
        <r>
          <rPr>
            <b/>
            <sz val="9"/>
            <color indexed="81"/>
            <rFont val="Segoe UI"/>
            <charset val="1"/>
          </rPr>
          <t>Amanda Basilio Romano:</t>
        </r>
        <r>
          <rPr>
            <sz val="9"/>
            <color indexed="81"/>
            <rFont val="Segoe UI"/>
            <charset val="1"/>
          </rPr>
          <t xml:space="preserve">
Implantação de Passagens em Desnível Inferior - km 97+900</t>
        </r>
      </text>
    </comment>
    <comment ref="C1170" authorId="0" shapeId="0" xr:uid="{4391B648-2624-47B3-94D0-4C3BBEA730CA}">
      <text>
        <r>
          <rPr>
            <b/>
            <sz val="9"/>
            <color indexed="81"/>
            <rFont val="Segoe UI"/>
            <family val="2"/>
          </rPr>
          <t>Amanda Basilio Romano:</t>
        </r>
        <r>
          <rPr>
            <sz val="9"/>
            <color indexed="81"/>
            <rFont val="Segoe UI"/>
            <family val="2"/>
          </rPr>
          <t xml:space="preserve">
58,8</t>
        </r>
      </text>
    </comment>
    <comment ref="C1171" authorId="0" shapeId="0" xr:uid="{D0653907-032E-480F-B0E8-DD75A13BF69A}">
      <text>
        <r>
          <rPr>
            <b/>
            <sz val="9"/>
            <color indexed="81"/>
            <rFont val="Segoe UI"/>
            <family val="2"/>
          </rPr>
          <t>Amanda Basilio Romano:</t>
        </r>
        <r>
          <rPr>
            <sz val="9"/>
            <color indexed="81"/>
            <rFont val="Segoe UI"/>
            <family val="2"/>
          </rPr>
          <t xml:space="preserve">
55,7
76,3
86,1
</t>
        </r>
      </text>
    </comment>
    <comment ref="C1174" authorId="0" shapeId="0" xr:uid="{E0EB5A4A-E6A0-485E-8411-0C47BC5D6EF2}">
      <text>
        <r>
          <rPr>
            <b/>
            <sz val="9"/>
            <color indexed="81"/>
            <rFont val="Segoe UI"/>
            <family val="2"/>
          </rPr>
          <t>Amanda Basilio Romano:</t>
        </r>
        <r>
          <rPr>
            <sz val="9"/>
            <color indexed="81"/>
            <rFont val="Segoe UI"/>
            <family val="2"/>
          </rPr>
          <t xml:space="preserve">
Não Iniciada</t>
        </r>
      </text>
    </comment>
    <comment ref="C1176" authorId="0" shapeId="0" xr:uid="{7D549CDB-5031-47F6-970C-45C055DC9476}">
      <text>
        <r>
          <rPr>
            <b/>
            <sz val="9"/>
            <color indexed="81"/>
            <rFont val="Segoe UI"/>
            <charset val="1"/>
          </rPr>
          <t>Amanda Basilio Romano:</t>
        </r>
        <r>
          <rPr>
            <sz val="9"/>
            <color indexed="81"/>
            <rFont val="Segoe UI"/>
            <charset val="1"/>
          </rPr>
          <t xml:space="preserve">
Não Iniciada - (Reprogramada pelo 2º TA)</t>
        </r>
      </text>
    </comment>
    <comment ref="C1177" authorId="0" shapeId="0" xr:uid="{AFE11397-7665-473E-8295-EB6C3326B019}">
      <text>
        <r>
          <rPr>
            <b/>
            <sz val="9"/>
            <color indexed="81"/>
            <rFont val="Segoe UI"/>
            <charset val="1"/>
          </rPr>
          <t>Amanda Basilio Romano:</t>
        </r>
        <r>
          <rPr>
            <sz val="9"/>
            <color indexed="81"/>
            <rFont val="Segoe UI"/>
            <charset val="1"/>
          </rPr>
          <t xml:space="preserve">
Não Iniciada - (Reprogramada pelo 2º TA)</t>
        </r>
      </text>
    </comment>
    <comment ref="C1178" authorId="0" shapeId="0" xr:uid="{082942B3-BBB6-46B3-B893-38D38A5004A4}">
      <text>
        <r>
          <rPr>
            <b/>
            <sz val="9"/>
            <color indexed="81"/>
            <rFont val="Segoe UI"/>
            <charset val="1"/>
          </rPr>
          <t>Amanda Basilio Romano:</t>
        </r>
        <r>
          <rPr>
            <sz val="9"/>
            <color indexed="81"/>
            <rFont val="Segoe UI"/>
            <charset val="1"/>
          </rPr>
          <t xml:space="preserve">
Não Iniciada - (Reprogramada pelo 2º TA)</t>
        </r>
      </text>
    </comment>
    <comment ref="C1179" authorId="0" shapeId="0" xr:uid="{16AE9540-B212-427C-A725-1E8CCDCA6DD9}">
      <text>
        <r>
          <rPr>
            <b/>
            <sz val="9"/>
            <color indexed="81"/>
            <rFont val="Segoe UI"/>
            <charset val="1"/>
          </rPr>
          <t>Amanda Basilio Romano:</t>
        </r>
        <r>
          <rPr>
            <sz val="9"/>
            <color indexed="81"/>
            <rFont val="Segoe UI"/>
            <charset val="1"/>
          </rPr>
          <t xml:space="preserve">
Não Iniciada - (Reprogramada pelo 2º TA)</t>
        </r>
      </text>
    </comment>
    <comment ref="C1191" authorId="0" shapeId="0" xr:uid="{4F8BA460-340D-4C1F-9475-8FE10F97FA09}">
      <text>
        <r>
          <rPr>
            <b/>
            <sz val="9"/>
            <color indexed="81"/>
            <rFont val="Segoe UI"/>
            <charset val="1"/>
          </rPr>
          <t>Amanda Basilio Romano:</t>
        </r>
        <r>
          <rPr>
            <sz val="9"/>
            <color indexed="81"/>
            <rFont val="Segoe UI"/>
            <charset val="1"/>
          </rPr>
          <t xml:space="preserve">
Trecho entre Santo Estevão e BR -242/BA – 38,46 km  88,85%</t>
        </r>
      </text>
    </comment>
    <comment ref="C1280" authorId="0" shapeId="0" xr:uid="{62A44E5A-FF4A-4B2F-A20C-D13F1FABA779}">
      <text>
        <r>
          <rPr>
            <b/>
            <sz val="9"/>
            <color indexed="81"/>
            <rFont val="Segoe UI"/>
            <charset val="1"/>
          </rPr>
          <t>Amanda Basilio Romano:</t>
        </r>
        <r>
          <rPr>
            <sz val="9"/>
            <color indexed="81"/>
            <rFont val="Segoe UI"/>
            <charset val="1"/>
          </rPr>
          <t xml:space="preserve">
Implantação de dispositivos em desnível
4º ANO
403+680</t>
        </r>
      </text>
    </comment>
    <comment ref="C1282" authorId="0" shapeId="0" xr:uid="{A05E4DE6-FA04-421C-A7EB-E82B304C29DD}">
      <text>
        <r>
          <rPr>
            <b/>
            <sz val="9"/>
            <color indexed="81"/>
            <rFont val="Segoe UI"/>
            <charset val="1"/>
          </rPr>
          <t>Amanda Basilio Romano:</t>
        </r>
        <r>
          <rPr>
            <sz val="9"/>
            <color indexed="81"/>
            <rFont val="Segoe UI"/>
            <charset val="1"/>
          </rPr>
          <t xml:space="preserve">
Implantação de pontes em vias marginais
3º ANO
km 329+900</t>
        </r>
      </text>
    </comment>
    <comment ref="C1283" authorId="0" shapeId="0" xr:uid="{9A055C7D-05B1-4F82-9051-221F58C2971A}">
      <text>
        <r>
          <rPr>
            <b/>
            <sz val="9"/>
            <color indexed="81"/>
            <rFont val="Segoe UI"/>
            <charset val="1"/>
          </rPr>
          <t>Amanda Basilio Romano:</t>
        </r>
        <r>
          <rPr>
            <sz val="9"/>
            <color indexed="81"/>
            <rFont val="Segoe UI"/>
            <charset val="1"/>
          </rPr>
          <t xml:space="preserve">
Implantação de pontes em vias marginais
3º ANO
km 329+900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<sst xmlns="http://schemas.openxmlformats.org/spreadsheetml/2006/main" count="17711" uniqueCount="1882">
  <si>
    <t>-</t>
  </si>
  <si>
    <t>Diamante</t>
  </si>
  <si>
    <t>Concessionária</t>
  </si>
  <si>
    <t>ECOPONTE</t>
  </si>
  <si>
    <t>VIA COSTEIRA</t>
  </si>
  <si>
    <t>CRO</t>
  </si>
  <si>
    <t>TRANSBRASILIANA</t>
  </si>
  <si>
    <t>VIA BAHIA</t>
  </si>
  <si>
    <t>VIA BRASIL</t>
  </si>
  <si>
    <t>Execução de Terceiras Faixas</t>
  </si>
  <si>
    <t>Descrição</t>
  </si>
  <si>
    <t>km (i)</t>
  </si>
  <si>
    <t>km (f)</t>
  </si>
  <si>
    <t>Ext. (km)</t>
  </si>
  <si>
    <t>Vias Marginais- Lajeado LD</t>
  </si>
  <si>
    <t>Vias Marginais- Lajeado LE</t>
  </si>
  <si>
    <t>Duplicação - Marques de Souza/ Lajeado - Subtrecho 01</t>
  </si>
  <si>
    <t>Duplicação - Marques de Souza/ Lajeado - Subtrecho 02 - OAE km 326+100  SNV*</t>
  </si>
  <si>
    <t>Duplicação - Marques de Souza/ Lajeado - Subtrecho 03</t>
  </si>
  <si>
    <t>Duplicação - Marques de Souza/ Lajeado - Subtrecho 04 - OAE km 329+700 SNV*</t>
  </si>
  <si>
    <t>Duplicação - Marques de Souza/ Lajeado - Subtrecho 05</t>
  </si>
  <si>
    <t>Duplicação - Marques de Souza/ Lajeado - Subtrecho 06 - OAE km 330+200 SNV*</t>
  </si>
  <si>
    <t>Duplicação - Marques de Souza/ Lajeado - Subtrecho 07</t>
  </si>
  <si>
    <t>Duplicação - Marques de Souza/ Lajeado - Subtrecho 08 - km 331+000 SNV*</t>
  </si>
  <si>
    <t>Duplicação - Marques de Souza/ Lajeado - Subtrecho 09</t>
  </si>
  <si>
    <t>Duplicação - Marques de Souza/ Lajeado - Subtrecho 10 - km 331+400 SNV*</t>
  </si>
  <si>
    <t>Duplicação - Marques de Souza/ Lajeado - Subtrecho 11</t>
  </si>
  <si>
    <t>Duplicação - Marques de Souza/ Lajeado - Subtrecho 12</t>
  </si>
  <si>
    <t>Duplicação - Marques de Souza/ Lajeado - Subtrecho 13</t>
  </si>
  <si>
    <t>Duplicação - Marques de Souza/ Lajeado - Subtrecho 14</t>
  </si>
  <si>
    <t>Duplicação - Marques de Souza/ Lajeado - Subtrecho 15 - OAE km 339+100 SNV*</t>
  </si>
  <si>
    <t>Duplicação - Marques de Souza/ Lajeado - Subtrecho 16 - OAE km 339+100 SNV*</t>
  </si>
  <si>
    <t>Duplicação - Marques de Souza/ Lajeado - Subtrecho 17</t>
  </si>
  <si>
    <t>Duplicação - Marques de Souza/ Lajeado - Subtrecho 18</t>
  </si>
  <si>
    <t>Ponte sobre o Rio Mampituba</t>
  </si>
  <si>
    <t>Ponte sobre o Rio Sanga Funda</t>
  </si>
  <si>
    <t>Interconexão Tipo Trombeta - Osório</t>
  </si>
  <si>
    <t>Interconexão Tipo Diamante - Sto. Antônio Patrulha</t>
  </si>
  <si>
    <t>Interconexão Tipo Diamante - Gravataí</t>
  </si>
  <si>
    <t>Interconexão Tipo Trombeta - Gravataí</t>
  </si>
  <si>
    <t>Passagem Superior</t>
  </si>
  <si>
    <t>Ponte sobre o Canal DNOS II</t>
  </si>
  <si>
    <t>Interconexão Tipo Diamante - Cachoeirinha</t>
  </si>
  <si>
    <t>Passagem Inferior - Porto Alegre - Norte</t>
  </si>
  <si>
    <t>Passagem Inferior - Porto Alegre - Sul</t>
  </si>
  <si>
    <t>Passagem Inferior -  Arnoldo Scherer Duplicação</t>
  </si>
  <si>
    <t>Interseção Diamante - km 340+200 - BR 386-RS - Duplicação</t>
  </si>
  <si>
    <t>Passagem Inferior - Lajeado / Montanhas</t>
  </si>
  <si>
    <t>Passagem Inferior - Lajeado / Olarias</t>
  </si>
  <si>
    <t>Interconexão Tipo Trevo Completo - Lajeado - Reformulação</t>
  </si>
  <si>
    <t>Interconexão Tipo Diamante - Lajeado - Reformulação do diamante existente</t>
  </si>
  <si>
    <t>Interconexão Tipo Trombeta - Estrela - Reformulação</t>
  </si>
  <si>
    <t>Interconexão Tipo Trevo Completo - Estrela - Reformulação</t>
  </si>
  <si>
    <t xml:space="preserve">Interconexão Tipo Trombeta - Estrela </t>
  </si>
  <si>
    <t>Ponte sobre o Arroio Concórdia</t>
  </si>
  <si>
    <t>Interconexão Tipo Diamante - Nova Santa Rita - km 434,800 SNV*</t>
  </si>
  <si>
    <t>Interconexão Tipo Diamante  - Nova Santa Rita  km 435,500 SNV</t>
  </si>
  <si>
    <t>Faixa Adicional Lajeado / Estrela- Subtrecho 1</t>
  </si>
  <si>
    <t>Faixa Adicional Lajeado / Estrela- Subtrecho 2</t>
  </si>
  <si>
    <t>Faixa Adicional Lajeado / Estrela- Subtrecho 3</t>
  </si>
  <si>
    <t>Faixa Adicional Lajeado / Estrela- Subtrecho 4</t>
  </si>
  <si>
    <t>Faixa Adicional Lajeado / Estrela- Subtrecho 5</t>
  </si>
  <si>
    <t>Faixa Adicional Lajeado / Estrela- Subtrecho 6</t>
  </si>
  <si>
    <t>Faixa Adicional Lajeado / Estrela- Subtrecho 7</t>
  </si>
  <si>
    <t>Faixa Adicional Lajeado / Estrela- Subtrecho 8</t>
  </si>
  <si>
    <t>Faixa Adicional Lajeado / Estrela- Subtrecho 9</t>
  </si>
  <si>
    <t>*Vias Marginais LD (Monte Alegre de Minas)</t>
  </si>
  <si>
    <t>*Vias Marginais LE (Monte Alegre de Minas)</t>
  </si>
  <si>
    <t>Trevo para o entroncamento da Rodovia BR-365/MG com a Rodovia
BR-153/MG (Trevão)</t>
  </si>
  <si>
    <t>Dispositivo de Interseção no entroncamento de Xapetuba (Xapetuba)</t>
  </si>
  <si>
    <t>Implantação de 3ª Faixa</t>
  </si>
  <si>
    <t>Pista Norte Atibaia</t>
  </si>
  <si>
    <t>Ruas Laterais em Pista Simples - segmentos descontínuos - região de Vargem</t>
  </si>
  <si>
    <t>Ruas Laterais em Pista Simples - em segmentos descontínuos</t>
  </si>
  <si>
    <t>Ruas Laterais em Pista Simples - em segmentos descontínuos - região de Itaguara</t>
  </si>
  <si>
    <t>Pìsta Norte</t>
  </si>
  <si>
    <t>Ruas Laterais em Pista Simples - em segmentos descontínuos – Região de Mairiporã</t>
  </si>
  <si>
    <t>Implantação de Trevos em Desnível, com Alças, em Pista Dupla – Parcial</t>
  </si>
  <si>
    <t>Complementação do trevo de acesso a cidade de Piracaia - Obras DNIT</t>
  </si>
  <si>
    <t>Conclusão trevo de terra preta - Obras DNIT</t>
  </si>
  <si>
    <t>Conclusão do trevo de acesso à SP-008 - Obras DNIT</t>
  </si>
  <si>
    <t>Complementação do trevo de acesso ao bairro de Garipocaba - Obras do DNIT</t>
  </si>
  <si>
    <t>Conclusão do trevo de acesso ao bairro de Guaripocaba II - Obras do DNIT</t>
  </si>
  <si>
    <t>Conclusão do trevo de acesso ao bairro do Bacci - Obras do DNIT</t>
  </si>
  <si>
    <t>Conclusão do trevo de acesso ao bairro de Esmeralda - Obras do DNIT</t>
  </si>
  <si>
    <t>Conclusão do trevo de acesso ao bairro de São Sebastião - Obras do DNIT</t>
  </si>
  <si>
    <t>Implantação de Trevos em Desnível, com Alças, em Pista Dupla – Completo</t>
  </si>
  <si>
    <t>Implantação de Trevos em Desnível, com Alças, em Pista Dupla – Completo - Igarapé/MG</t>
  </si>
  <si>
    <t>Implantação de Passagem em Desnível Inferior tipo Trincheira:</t>
  </si>
  <si>
    <t>Contorno de Betim</t>
  </si>
  <si>
    <t>Pista Sul</t>
  </si>
  <si>
    <t>Pista Norte</t>
  </si>
  <si>
    <t>Execução de Ruas Laterais em Pista Simples - Contorno Leste de Curitiba - região da interseção com a BR 277</t>
  </si>
  <si>
    <t>região da interseção do Contorno Leste de Curitiba</t>
  </si>
  <si>
    <t>Execução de Ruas Laterais em Pista Simples - segmentos descontínuos –</t>
  </si>
  <si>
    <t>Execução de Ruas Laterais em Pista Simples - Camboriú – 2 lados – segmentos descontínuos</t>
  </si>
  <si>
    <t>Execução de Ruas Laterais em Pista Simples - Sta. Luzia/Porto Belo - lado direito - segmentos descontínuos</t>
  </si>
  <si>
    <t>Execução de Ruas Laterais em Pista Simples - Tijucas - 2 lados - segmentos descontínuos</t>
  </si>
  <si>
    <t>Execução de Ruas Laterais em Pista Simples - Itajaí – 2 lados – segmentos descontínuos</t>
  </si>
  <si>
    <t>Execução de Ruas Laterais em Pista Simples - Itapema – 2 lados – segmentos descontínuos</t>
  </si>
  <si>
    <t>Execução de Ruas Laterais em Pista Simples - em segmentos descontínuos</t>
  </si>
  <si>
    <t>Implantação de Trevos em Desnível, com Alças, em Pista Dupla – Parcial: a definir</t>
  </si>
  <si>
    <t>Implantação de Trevos em Desnível, com Alças, em Pista Dupla – Parcial: Complementação da PR-09 - Estrada da Graciosa</t>
  </si>
  <si>
    <t>Implantação de Trevos em Desnível, com Alças, em Pista simples – Parcial: km 663,260 (PNV 2009)</t>
  </si>
  <si>
    <t>Implantação de Trevos em Desnível, com Alças, em Pista Dupla – Parcial:</t>
  </si>
  <si>
    <t>Implantação de Passagens em Desnível Inferior Tipo Viaduto:</t>
  </si>
  <si>
    <t>Implantação Alças de Trevo:</t>
  </si>
  <si>
    <t>Túnel do Contorno de Florianopolis - 4 túneis duplo</t>
  </si>
  <si>
    <t>Implantação de Trevos em Desnível, com Alças, em Pista simples – Parcial: Elevação da ponte sobre o rio Camboriú</t>
  </si>
  <si>
    <t>Implantação de Trevos em Desnível, com Alças, em Pista simples – Parcial:</t>
  </si>
  <si>
    <r>
      <t xml:space="preserve">Implantação de Trevos em Desnível, com Alças, em Pista simples – Completo: </t>
    </r>
    <r>
      <rPr>
        <sz val="11"/>
        <color rgb="FF00B050"/>
        <rFont val="Calibri"/>
        <family val="2"/>
      </rPr>
      <t>Trevo de interseção c/ a SC 408</t>
    </r>
  </si>
  <si>
    <r>
      <t xml:space="preserve">Implantação de Trevos em Desnível, com Alças, em Pista simples – Completo: </t>
    </r>
    <r>
      <rPr>
        <sz val="11"/>
        <color rgb="FF00B050"/>
        <rFont val="Calibri"/>
        <family val="2"/>
      </rPr>
      <t>Trevo de interseção c/ a SC-407</t>
    </r>
  </si>
  <si>
    <t>Implantação de Trevos em Desnível, com Alças, em Pista simples – Completo: Contorno de Florianopolis trevos na interseção c/ vias locais</t>
  </si>
  <si>
    <t>Implantação de Trevos em Desnível, com Alças, em Pista Dupla – Completo - Contorno de Florianopolis - nas interseções c/ BR-101/SC</t>
  </si>
  <si>
    <t>Implantação de Trevos em Desnível, com Alças, em Pista Dupla – Completo - Contorno de Florianopolis - nas interseções c/ a BR-282/SC.</t>
  </si>
  <si>
    <t>Passagens em Desnível Inferior tipo Galeria: no Contorno de Florianópolis</t>
  </si>
  <si>
    <t>Passagens em Desnível Inferior tipo Galeria: a definir</t>
  </si>
  <si>
    <t>Implantação de Passagens em Desnível Inferior Tipo Viaduto: no Contorno Florianópolis</t>
  </si>
  <si>
    <t>Implantação de Passagens em Desnível Inferior Tipo Viaduto: km 169,65 da BR-101/SC</t>
  </si>
  <si>
    <t>Contorno de Florianópolis, em pista dupla</t>
  </si>
  <si>
    <t>Execução de Terceiras Faixas:</t>
  </si>
  <si>
    <t>Execução de Ruas Laterais em Pista Simples - Pinheirinho – Fazenda Rio Grande no PR</t>
  </si>
  <si>
    <t>Execução de Ruas Laterais em Pista Simples - Rio Negro/PR</t>
  </si>
  <si>
    <t>Execução de Ruas Laterais em Pista Simples - Mandirituba/PR</t>
  </si>
  <si>
    <t>Execução de Ruas Laterais em Pista Simples - Mafra/SC</t>
  </si>
  <si>
    <t>Duplicação</t>
  </si>
  <si>
    <t>Implantação de Trevos em Desnível, com Alças, em Pista simples – Completo - Entroncamento com a BR-280/SC,</t>
  </si>
  <si>
    <t>Implantação de Passagens em Desnível Inferior Tipo Viaduto: À definir</t>
  </si>
  <si>
    <t>Implantação de Trevos em Desnível, com Alças, em Pista Dupla – Completo - km 127,6</t>
  </si>
  <si>
    <t>Implantação de Trevos em Desnível, com Alças, em Pista Dupla – Completo - km 131,8 (Fazenda Rio Grande)</t>
  </si>
  <si>
    <t>Implantação de Trevos em Desnível, com Alças, em Pista Dupla – Completo - km 138,8</t>
  </si>
  <si>
    <t>Implantação de Trevos em Desnível, com Alças, em Pista Dupla – Completo - km 141,8 – PR 510, Mandirituba/PR</t>
  </si>
  <si>
    <t>Implantação de Passagens em Desnível Inferior tipo Galeria: Fazenda Rio Grande (PR)</t>
  </si>
  <si>
    <t>Implantação de passagem em desnível do Distrito Industrial com reserva para faixa exclusiva de ônibus:</t>
  </si>
  <si>
    <t>Implantação de Interseção em desnível Vila Pompéia com reserva para faixa exclusiva de ônibus</t>
  </si>
  <si>
    <t>Ruas laterais em segmentos descontínuos a serem definidos, nos municípios de Campina Grande do Sul, Quatro Barras, Colombo e Curitiba</t>
  </si>
  <si>
    <t>Ruas laterais em segmentos descontínuos a serem definidos, nos municípios de Taboão da Serra, Embu, São Lourenço da Serra e Itapecerica da Serra,</t>
  </si>
  <si>
    <t>Ruas laterais em segmentos descontínuos a serem definidos, nos municípios de Miracatu, Registro, Pariquera-Açu, Jacupiranga e Cajati</t>
  </si>
  <si>
    <t>Duplicação - Execução da segunda pista no trecho da Serra do Cafezal</t>
  </si>
  <si>
    <r>
      <t xml:space="preserve">Implantação de Trevos em Desnível, com Alças, em Pista Simples – Completo - Contorno Norte de Curitiba - </t>
    </r>
    <r>
      <rPr>
        <sz val="11"/>
        <color rgb="FF00B050"/>
        <rFont val="Calibri"/>
        <family val="2"/>
      </rPr>
      <t>Interseção com BR-476/PR,</t>
    </r>
  </si>
  <si>
    <r>
      <t xml:space="preserve">Implantação de Trevos em Desnível, com Alças, em Pista Simples – Completo - Contorno Norte de Curitiba - </t>
    </r>
    <r>
      <rPr>
        <sz val="11"/>
        <color rgb="FF00B050"/>
        <rFont val="Calibri"/>
        <family val="2"/>
      </rPr>
      <t>Interseção com PR - 417</t>
    </r>
  </si>
  <si>
    <t>Implantação de Trevos em Desnível, com Alças, em Pista Dupla – Parcial - − BR-116/PR</t>
  </si>
  <si>
    <r>
      <t xml:space="preserve">Implantação de Trevos em Desnível, com Alças, em Pista Dupla - − Contorno Norte de Curitiba - </t>
    </r>
    <r>
      <rPr>
        <sz val="11"/>
        <color rgb="FF00B050"/>
        <rFont val="Calibri"/>
        <family val="2"/>
      </rPr>
      <t>Interseção com BR-116/PR</t>
    </r>
  </si>
  <si>
    <t>Implantação de Passagens em Desnível Inferior tipo Galeria - Locais a definir - 4 unidades</t>
  </si>
  <si>
    <t>Implantação de Trevos em Desnível, com Alças, em Pista Simples – Completo - BR-116/SP - km 277+600m</t>
  </si>
  <si>
    <t>Implantação de Trevos em Desnível, com Alças, em Pista Simples – Completo -− BR-116/SP - km 288</t>
  </si>
  <si>
    <t>Implantação de Trevos em Desnível, com Alças, em Pista Simples – Completo -− BR-116/SP - km 305</t>
  </si>
  <si>
    <t>Implantação de Trevos em Desnível, com Alças, em Pista Dupla – Parcial - − BR-116/SP</t>
  </si>
  <si>
    <t>Implantação de Trevos em Desnível, com Alças, em Pista Dupla − BR-116/SP</t>
  </si>
  <si>
    <t>Implantação de Passagens em Desnível Inferior tipo Galeria − BR-116/SP</t>
  </si>
  <si>
    <t>Contorno Norte de Curitiba em pista dupla</t>
  </si>
  <si>
    <t>Execução de ruas laterias em Pista Simples na região de São José do Rio Preto</t>
  </si>
  <si>
    <t>Execução de ruas laterias em Pista Simples - região de Marília</t>
  </si>
  <si>
    <t>Duplicações (inclusive OAE's)</t>
  </si>
  <si>
    <t>Implantação de Trevos em Desnível, com Alças, em Pista Dupla – Parcial: trevo no km 81 a ser executado no 12º ano</t>
  </si>
  <si>
    <t>Implantação de Trevos em Desnível, com Alças, em Pista Dupla – Parcial: km 4+800 – acesso a Icém, a ser executado no 13º ano</t>
  </si>
  <si>
    <t>Implantação de Trevos em Desnível, com Alças, em Pista Dupla – Completo: início do Contorno de Ourinhos (interseção com a BR-153)</t>
  </si>
  <si>
    <t>Implantação de Trevos em Desnível, com Alças, em Pista Dupla – Completo: final do Contorno de Ourinhos (interseção com SP-270),</t>
  </si>
  <si>
    <t>Implantação de Passagens em Desnível Inferior tipo Galeria:</t>
  </si>
  <si>
    <t>Variante de Ourinhos, em pista dupla</t>
  </si>
  <si>
    <t>FLUMINENSE</t>
  </si>
  <si>
    <t>Execução de Ruas Laterais em Pista Simples:</t>
  </si>
  <si>
    <t>Duplicações (inclusive OAE's):</t>
  </si>
  <si>
    <t>Implantação de Trevos em Desnível, com Alças, em Pista Dupla – Parcial: km 169,7– RJ-168 para Macaé
e Glicério</t>
  </si>
  <si>
    <t>Implantação de Trevos em Desnível, com Alças, em Pista Dupla – Parcial: km 190,6– Rio Dourado e Rio das Ostras</t>
  </si>
  <si>
    <t>Implantação de Trevos em Desnível, com Alças, em Pista Dupla – Parcial: km 204,1 – Distrito Industrial</t>
  </si>
  <si>
    <t>Implantação de Trevos em Desnível, com Alças, em Pista Dupla – Parcial:km 243,4–
Imbau</t>
  </si>
  <si>
    <t>Implantação de Trevos em Desnível, com Alças, em Pista Dupla – Parcial:km 253,3 – Mato Alto</t>
  </si>
  <si>
    <t>Implantação de Trevos em Desnível, com Alças, em Pista Dupla – Parcial:km 248,2 – Caxito</t>
  </si>
  <si>
    <t>Implantação de Trevos em Desnível, com Alças, em Pista Dupla – Parcial: km 244,1– Cesário Alvim</t>
  </si>
  <si>
    <t>Implantação de Trevos em Desnível, com Alças, em Pista Dupla – Parcial: km 297,4 – Complemento
do trevo de Manilha</t>
  </si>
  <si>
    <t>Implantação de Trevos em Desnível, com Alças, em Pista Dupla – Parcial: km 260,1.</t>
  </si>
  <si>
    <t>Implantação de trevo no km 265,7: 1 unidade no km 265,7 (Green Valley),</t>
  </si>
  <si>
    <t>Implantação de trevo no km 194,1:</t>
  </si>
  <si>
    <t>Implantação de OAE: 1 unidade no trecho Manilha – Varandinha (rua lateral)</t>
  </si>
  <si>
    <t>Implantação de Trevos em desnível – Completo:</t>
  </si>
  <si>
    <t>Execução de Variantes e Contornos (inclusive OAE's): - Avenida do Contorno – Barreto (Niterói).</t>
  </si>
  <si>
    <t>Terceiras Faixas: nos dois sentidos da pista (norte e sul), do km 297,5 (Manilha) ao km
306,4 (São Gonçalo)</t>
  </si>
  <si>
    <t>Construção de ruas laterais - SUBTRECHO 8 - Perímetro urbano ASSIB LE</t>
  </si>
  <si>
    <t>Construção de ruas laterais - SUBTRECHO 8 - Perímetro Urbano Itatim Lado E/D</t>
  </si>
  <si>
    <t>Construção de ruas laterais - SUBTRECHO 7 - Perímetro Urbano Paraguaçu Lado E/D</t>
  </si>
  <si>
    <t>Construção de ruas laterais - SUBTRECHO 7 - Perímetro Urbano Lado E/D</t>
  </si>
  <si>
    <t>Construção de ruas laterais - SUBTRECHO 7 - Perímetro Urbano Lado D</t>
  </si>
  <si>
    <t>Construção de ruas laterais - SUBTRECHO 7 - Perímetro urbano Santo Estevão Lado E/D</t>
  </si>
  <si>
    <t>Construção de ruas laterais - SUBTRECHO 6 - Perímetro Urbano Santo Estevão Lado E/D</t>
  </si>
  <si>
    <t>Construção de ruas laterais - SUBTRECHO 6 - Perímetro Urbano Km 7 Chapeu de Coro Lado D</t>
  </si>
  <si>
    <t>Trecho entre Feira de Santana e BA-052 - SUBTRECHO 5</t>
  </si>
  <si>
    <t>Trecho entre BA-052 e Santo Estevão - SUBTRECHO 6</t>
  </si>
  <si>
    <t>Trecho entre Santo Estevão e BR - 242 - SUBTRECHO 7</t>
  </si>
  <si>
    <t>Trecho entre Santo Estevão e BR - 242 - SUBTRECHO 8</t>
  </si>
  <si>
    <t>Viaduto de Acesso entr. BA- 407/415 BA- 262B/263 (Vitória da Conquista</t>
  </si>
  <si>
    <t>Construção de interseção entre as duas rodovias em níveis diferentes, com ramos; entroncamento entre a BR-
116 e a BR-242</t>
  </si>
  <si>
    <t>Dispositivos de intersecção no anel viário de Vitória da Conquista</t>
  </si>
  <si>
    <t>Viaduto sobre a BR-324/BA, acesso a Santo Amaro BA-520</t>
  </si>
  <si>
    <t>Obras para Conclusão do viaduto de Simões Filho</t>
  </si>
  <si>
    <t>Construção de trevo com alças de acesso à rodovia BA-524 (Canal de Tráfego), nos quatro sentidos;</t>
  </si>
  <si>
    <t>Construção de interseção com linha ferroviária em níveis diferentes no município de Itatim.</t>
  </si>
  <si>
    <t>Contorno de Feira de Santana entre BR-116 sul e BR-324</t>
  </si>
  <si>
    <t>Via Marginal ID-01 - Pista Sul BR 050/MG - ARAGUARI</t>
  </si>
  <si>
    <t>Via Marginal ID-01 - Pista Norte BR 050/MG - ARAGUARI</t>
  </si>
  <si>
    <t>Via Marginal ID-02 - Pista Sul BR 050/GO - CRISTALINA</t>
  </si>
  <si>
    <t>Via Marginal ID-02 - Pista Norte BR 050/GO - CRISTALINA</t>
  </si>
  <si>
    <t>Via Marginal ID-03 - Pista Sul BR 050/GO - CRISTALINA</t>
  </si>
  <si>
    <t>Via Marginal ID-04 - Pista Norte BR 050/GO - CRISTALINA</t>
  </si>
  <si>
    <t>Via Marginal ID-05 - Pista Norte BR 050/GO - CAMPO ALEGRE DE GOIÁS</t>
  </si>
  <si>
    <t>Via Marginal ID-06 - Pista Norte BR 050/GO - CATALÃO</t>
  </si>
  <si>
    <t>Via Marginal ID-07 - Pista Norte BR 050/GO - CATALÃO</t>
  </si>
  <si>
    <t>Via Marginal ID-08 - Pista Sul BR 050/GO - CATALÃO</t>
  </si>
  <si>
    <t>Duplicação (2º ano)</t>
  </si>
  <si>
    <t>Duplicação (3º ano)</t>
  </si>
  <si>
    <t>Duplicação (4º ano)</t>
  </si>
  <si>
    <t>Duplicação (5º ano)</t>
  </si>
  <si>
    <t>Interconexão Diamante ID-01 - BR - 050/MG - UBERABA</t>
  </si>
  <si>
    <t>Interconexão Diamante ID-02- BR - 050/MG - UBERABA</t>
  </si>
  <si>
    <t>Interconexão Diamante ID-03- BR - 050/MG - UBERABA</t>
  </si>
  <si>
    <t>Interconexão Diamante ID-04- BR - 050/MG - UBERABA</t>
  </si>
  <si>
    <t>Interconexão Trombeta ID-01- BR - 050/MG - ARAGUARI</t>
  </si>
  <si>
    <t>Interconexão Trombeta ID-02- BR - 050/MG - ARAGUARI</t>
  </si>
  <si>
    <t>Interconexão Trombeta ID-03- BR - 050/MG - UBERABA</t>
  </si>
  <si>
    <t>Retorno em Desnível ID-01- BR - 050/MG - UBERLÂNDIA</t>
  </si>
  <si>
    <t>Interconexão Diamante ID-05- BR - 050/GO - CRISTALINA</t>
  </si>
  <si>
    <t>Interconexão Diamante ID-06- BR - 050/GO - CRISTALINA</t>
  </si>
  <si>
    <t>Interconexão Diamante ID-07- BR - 050/GO - IPAMERI -Entr GO-519 (Domiciano Ribeiro)</t>
  </si>
  <si>
    <t>Interconexão Diamante ID-08- BR - 050/GO - CAMPO ALEGRE DE GOIÁS</t>
  </si>
  <si>
    <t>Interconexão Diamante ID-09- BR - 050/GO - CAMPO ALEGRE DE GOIÁS</t>
  </si>
  <si>
    <t>Interconexão Diamante ID-10- BR - 050/GO - CAMPO ALEGRE DE GOIÁS</t>
  </si>
  <si>
    <t>Interconexão Diamante ID-11- BR - 050/GO - CAMPO ALEGRE DE GOIÁS - Entr. BR-490/GO</t>
  </si>
  <si>
    <t>Interconexão Diamante ID-12- BR - 050/GO - CATALÃO</t>
  </si>
  <si>
    <t>Interconexão Diamante ID-13- BR - 050/GO - CATALÃO</t>
  </si>
  <si>
    <t>Interconexão Diamante ID-14- BR - 050/GO - CATALÃO</t>
  </si>
  <si>
    <t>Interconexão Diamante ID-15- BR - 050/GO - CATALÃO</t>
  </si>
  <si>
    <t>Interconexão Diamante ID-16- BR - 050/GO - CUMARI</t>
  </si>
  <si>
    <t>Interconexão Tipo Trevo Completo ID-01- BR - 050/GO - CATALÃO</t>
  </si>
  <si>
    <t>Interconexão Trombeta ID-04- BR - 050/GO - IPAMERI</t>
  </si>
  <si>
    <t>Interconexão Trombeta ID-05- BR - 050/GO - CAMPO ALEGRE DE GOIÁS</t>
  </si>
  <si>
    <t>Interconexão Trombeta ID-06- BR - 050/GO - CAMPO ALEGRE DE GOIÁS</t>
  </si>
  <si>
    <t>Interconexão Trombeta ID-07- BR - 050/GO - CATALÃO</t>
  </si>
  <si>
    <t>Interconexão Trombeta ID-08- BR - 050/GO - CUMARI - ENTR GO 402</t>
  </si>
  <si>
    <t>Retorno em Desnível ID-02- BR - 050/GO - IPAMERI</t>
  </si>
  <si>
    <t>Retorno em Desnível ID-03- BR - 050/GO - CAMPO ALEGRE DE GOIÁS</t>
  </si>
  <si>
    <t>Retorno em Desnível ID-04- BR - 050/GO - CATALÃO</t>
  </si>
  <si>
    <t>Retorno em Desnível ID-05- BR - 050/GO - CATALÃO</t>
  </si>
  <si>
    <t>Vias Marginais ID-01 BR 163/MT</t>
  </si>
  <si>
    <t>Vias Marginais ID-03 BR 163/MT</t>
  </si>
  <si>
    <t>Vias Marginais ID-04 BR 163/MT - Direito</t>
  </si>
  <si>
    <t>Vias Marginais ID-04 BR 163/MT - Esquerdo</t>
  </si>
  <si>
    <t>Vias Marginais ID-05 BR 163/MT Direito</t>
  </si>
  <si>
    <t>Vias Marginais ID-05 BR 163/MT Esquerdo</t>
  </si>
  <si>
    <t>Vias Marginais ID-06 BR 163/MT Direito</t>
  </si>
  <si>
    <t>Vias Marginais ID-06 BR 163/MT Esquerdo</t>
  </si>
  <si>
    <t>Vias Marginais ID-07 BR 163/MT Direito</t>
  </si>
  <si>
    <t>Vias Marginais ID-07 BR 163/MT Esquerdo</t>
  </si>
  <si>
    <t>Vias Marginais ID-02 BR 406/MT Direito</t>
  </si>
  <si>
    <t>Vias Marginais ID-02 BR 406/MT Esquerdo</t>
  </si>
  <si>
    <t>Duplicação - Meta ano 1</t>
  </si>
  <si>
    <t>Duplicação - Meta ano 2</t>
  </si>
  <si>
    <t>Duplicação - Meta ano 3</t>
  </si>
  <si>
    <t>Duplicação - Meta ano 4</t>
  </si>
  <si>
    <t>Duplicação Posterior (Remanescente DNIT)</t>
  </si>
  <si>
    <t>Interconexão Diamante ID-01 - BR-163/MT</t>
  </si>
  <si>
    <t>Interconexão Diamante ID-02 - BR-163/MT</t>
  </si>
  <si>
    <t>Interconexão Diamante ID-03 - BR-163/MT</t>
  </si>
  <si>
    <t>Interconexão Diamante ID-04 - BR-163/MT</t>
  </si>
  <si>
    <t>Interconexão Diamante ID-05 - BR-163/MT</t>
  </si>
  <si>
    <t>Interconexão Diamante ID-06 - BR-163/MT</t>
  </si>
  <si>
    <t>Interconexão Diamante ID-07 - BR-163/MT</t>
  </si>
  <si>
    <t>Interconexão Diamante ID-08 - BR-163/MT</t>
  </si>
  <si>
    <t>Interconexão Diamante ID-09 - BR-163/MT</t>
  </si>
  <si>
    <t>Interconexão Diamante ID-10 - BR-163/MT</t>
  </si>
  <si>
    <t>Interconexão Diamante ID-11 - BR-163/MT</t>
  </si>
  <si>
    <t>Interconexão Diamante ID-12 - BR-163/MT</t>
  </si>
  <si>
    <t>Interconexão Diamante ID-13 - BR-163/MT</t>
  </si>
  <si>
    <t>Interconexão Diamante ID-14 - BR-163/MT</t>
  </si>
  <si>
    <t>Interconexão Diamante ID-15 - BR-163/MT</t>
  </si>
  <si>
    <t>Interconexão Diamante ID-16 - BR-163/MT</t>
  </si>
  <si>
    <t>Interconexão Diamante ID-17 - BR-163/MT</t>
  </si>
  <si>
    <t>Interconexão Diamante ID-18 - BR-163/MT</t>
  </si>
  <si>
    <t>Interconexão Diamante ID-19 - BR-163/MT</t>
  </si>
  <si>
    <t>Interconexão Diamante ID-20 - BR-163/MT</t>
  </si>
  <si>
    <t>Interconexão Diamante ID-21 - BR-163/MT</t>
  </si>
  <si>
    <t>Interconexão Diamante ID-22 - BR-163/MT</t>
  </si>
  <si>
    <t>Interconexão Diamante ID-23 - BR-163/MT</t>
  </si>
  <si>
    <t>Interconexão Diamante ID-24 - BR-163/MT</t>
  </si>
  <si>
    <t>Interconexão Diamante ID-25 - BR-163/MT</t>
  </si>
  <si>
    <t>Interconexão Diamante ID-26 - BR-163/MT</t>
  </si>
  <si>
    <t>Interconexão Diamante ID-27 - BR-163/MT</t>
  </si>
  <si>
    <t>Interconexão Diamante ID-28 - BR-163/MT</t>
  </si>
  <si>
    <t>Interconexão Diamante ID-29 - BR-163/MT</t>
  </si>
  <si>
    <t>Interconexão Diamante ID-30 - BR-163/MT</t>
  </si>
  <si>
    <t>Interconexão Trombeta ID - 01 - BR - 163/MT</t>
  </si>
  <si>
    <t>Interconexão Trombeta ID - 02 - BR - 163/MT</t>
  </si>
  <si>
    <t>Interconexão Trombeta ID - 03 - BR - 163/MT</t>
  </si>
  <si>
    <t>Interconexão Trombeta ID - 04 - BR - 163/MT</t>
  </si>
  <si>
    <t>Retorno em desnível ID - 01 - BR - 163/MT</t>
  </si>
  <si>
    <t>Retorno em desnível ID - 02 - BR - 163/MT</t>
  </si>
  <si>
    <t>Retorno em desnível ID - 03 - BR - 163/MT</t>
  </si>
  <si>
    <t>Retorno em desnível ID - 04 - BR - 163/MT</t>
  </si>
  <si>
    <t>Retorno em desnível ID - 05 - BR - 163/MT</t>
  </si>
  <si>
    <t>Retorno em desnível ID - 06 - BR - 163/MT</t>
  </si>
  <si>
    <t>Interconexão tipo Trevo Completo ID-01 - BR - 407/MT</t>
  </si>
  <si>
    <t>Interconexão tipo Trevo Completo ID-02 - BR - 407/MT</t>
  </si>
  <si>
    <t>Interconexão tipo Trevo Completo ID-03 - BR - 407/MT</t>
  </si>
  <si>
    <t>Interconexão tipo Trevo Completo ID-04 - BR - 407/MT</t>
  </si>
  <si>
    <t>Implantação de Contornos em pista dupla em trecho urbano - Rondonópolis - MT</t>
  </si>
  <si>
    <t>Execução de Alça de Ligação Ponte - Linha Vermelha: concepção em viaduto elevado - extensão de 2,4 km</t>
  </si>
  <si>
    <t>Execução de Ligação entre a Ponte e a Avenida Brasil. Concepção em viaduto elevado -  (Extensão?)</t>
  </si>
  <si>
    <t>Execução de Mergulhão em Niteroi - Passagem subterrânea sob a Praça Renascença</t>
  </si>
  <si>
    <t>Alargamento da rampa N4 no Sentido Rio-Niterói entre a Praça de Pedágio e o Acesso à Avenida Feliciano Sodré - Implantação de Faixa Adicionalà Rampa N4 (Extensão?)</t>
  </si>
  <si>
    <t>Alargamento do Viaduto da Rampa N12 - implantação da faixa adicional à rampa N12 (Extensão?)</t>
  </si>
  <si>
    <t>META_EXEC 2023</t>
  </si>
  <si>
    <t>META(2024)</t>
  </si>
  <si>
    <t>A EXECUTAR (2025 DIANTE)</t>
  </si>
  <si>
    <t>INEXECUTADO ATÉ 2023 (Pendência)</t>
  </si>
  <si>
    <t>PLAN_EXEC ATÉ 2022</t>
  </si>
  <si>
    <t>Planejado</t>
  </si>
  <si>
    <t>Executado</t>
  </si>
  <si>
    <t>Inexecução</t>
  </si>
  <si>
    <t>PAVIMENTAÇÃO</t>
  </si>
  <si>
    <t>DUPLICAÇÃO</t>
  </si>
  <si>
    <t>OAE</t>
  </si>
  <si>
    <t>FX ADICIONAL</t>
  </si>
  <si>
    <t>CONTORNO</t>
  </si>
  <si>
    <t>terceiras faixas, em segmentos descontínuos</t>
  </si>
  <si>
    <t xml:space="preserve">TERCEIRA FAIXA </t>
  </si>
  <si>
    <t>TERCEIRA FAIXA</t>
  </si>
  <si>
    <t>Tipo</t>
  </si>
  <si>
    <t>Vias marginais - km 243,6 ao km 246,9 LE - Soledade</t>
  </si>
  <si>
    <t>Vias marginais - km 243,6 ao km 246,9 LD - Soledade</t>
  </si>
  <si>
    <t>Vias marginais - km 268 ao km 271,8 LE - Fontoura Xavier</t>
  </si>
  <si>
    <t>Vias marginais - km 268 ao km 271,8 LD - Fontoura Xavier</t>
  </si>
  <si>
    <t>Duplicacões - km 243+600 ao km 269+200 - Soledade e Fontoura Xavier</t>
  </si>
  <si>
    <t xml:space="preserve"> OAE  Nova Duplicada - km 245+330 </t>
  </si>
  <si>
    <t>Passagem Inferior - km 245+330 - Passagem inferior Soledade</t>
  </si>
  <si>
    <t>Interconexao Tipo Diamante - km 247+300 - Soledade</t>
  </si>
  <si>
    <t>Interconexao Tipo Diamante - km 249+900 - Soledade</t>
  </si>
  <si>
    <t xml:space="preserve">OAE  Nova Duplicada - km 252+100 </t>
  </si>
  <si>
    <t>Interconexão - Trevo Completo (BR-287/BR-479) - Triunfo - Km 392+700 SNV*</t>
  </si>
  <si>
    <t>Vias Marginais  (Chaveslândia)</t>
  </si>
  <si>
    <t>Vias Marginais LD (São Simão)</t>
  </si>
  <si>
    <t>Vias Marginais LD (Cachoeira Alta)</t>
  </si>
  <si>
    <t>Vias Marginais LE (Cachoeira Alta)</t>
  </si>
  <si>
    <t>Não Consta (pista Sul)</t>
  </si>
  <si>
    <t>Não Consta (Pista Norte)</t>
  </si>
  <si>
    <t>Pista Marginal Sul]</t>
  </si>
  <si>
    <t>Pista Marginal Norte</t>
  </si>
  <si>
    <t>Vias Marginais</t>
  </si>
  <si>
    <t>OAE - Vias Marginais</t>
  </si>
  <si>
    <t>Vias Marginais (Esquerdo)</t>
  </si>
  <si>
    <t>Vias Marginais (Direito)</t>
  </si>
  <si>
    <t>RIO/SP</t>
  </si>
  <si>
    <t>OAE - Intersecção Diamante</t>
  </si>
  <si>
    <t>OAE - Intersecção Trombeta</t>
  </si>
  <si>
    <t>3ª e 4ª faixa (LD e LE)</t>
  </si>
  <si>
    <t>Obras de Duplicação – Lote 02: km 162+000 ao 195+000, com execução prevista do 14º ano ao 16º ano</t>
  </si>
  <si>
    <t>Implantação de Trevos em Desnível, com Alças, em Pista Dupla – Completo: 3 interseções em localização a definir</t>
  </si>
  <si>
    <t>Implantação de Passagens em Desnível Inferior Tipo Viaduto: a definir, a ser executada no 16º ano.</t>
  </si>
  <si>
    <t>Passagem Superior - km 169+300 (Trevo em Desnível), com execução prevista do 14º ano ao 16º ano (</t>
  </si>
  <si>
    <t>Interseção - km 174+015 - Lote 02</t>
  </si>
  <si>
    <t>Interseção -km 177+600;- Lote 02</t>
  </si>
  <si>
    <t>Interseção -km 182+140;- Lote 02</t>
  </si>
  <si>
    <t>Interseção -km 194+700,- Lote 02</t>
  </si>
  <si>
    <t>Implantação de Trevos em desnível – Completo:Conclusão do trevo em desnível de Silva Jardim,</t>
  </si>
  <si>
    <t>Implantação de Trevos em Desnível, com Alças, em Pista Dupla – Parcial:Conclusão do trevo em desnível de Silva Jardim, localizado no km 236+700</t>
  </si>
  <si>
    <t>X</t>
  </si>
  <si>
    <t>PLAN_EXEC ATÉ 2022)</t>
  </si>
  <si>
    <t>CERRADO</t>
  </si>
  <si>
    <t>Interconexao Tipo Diamante - km 39+720 - Tres Forquilhas</t>
  </si>
  <si>
    <t xml:space="preserve">Faixa Adicional </t>
  </si>
  <si>
    <t>x</t>
  </si>
  <si>
    <t>Tio Hugo (Esquerdo)</t>
  </si>
  <si>
    <t>Tio Hugo (Direito)</t>
  </si>
  <si>
    <t>Vias Marginais LD (Ituiutaba)</t>
  </si>
  <si>
    <t>Vias Marginais LE (Ituiutaba)</t>
  </si>
  <si>
    <t>Vias Marginais LD (Aparecida do Rio Doce)</t>
  </si>
  <si>
    <t>Vias Marginais LE (Aparecida do Rio Doce)</t>
  </si>
  <si>
    <t>Não Consta (Decrescente)</t>
  </si>
  <si>
    <t>Não Consta (Crescente)</t>
  </si>
  <si>
    <t>Acesso ao Porto de Miritituba</t>
  </si>
  <si>
    <t>Acesso ao Porto de Itapacurá</t>
  </si>
  <si>
    <t>Acesso ao Terminal Portuário de Santarenzinho</t>
  </si>
  <si>
    <t>Direito</t>
  </si>
  <si>
    <t>Esquerdo</t>
  </si>
  <si>
    <t>CONCESSÃO VIA SUL</t>
  </si>
  <si>
    <t>ARAGUAIA</t>
  </si>
  <si>
    <t>xxx</t>
  </si>
  <si>
    <t>Tio Hugo - Soledade</t>
  </si>
  <si>
    <t>Nada Consta</t>
  </si>
  <si>
    <t>Obras de Duplicação – Lote 01: km 0 ao km 51+700, com execução prevista do 14º ano ao 17º ano</t>
  </si>
  <si>
    <t>Interconexão Tipo Trevo Completo - Tio Hugo - Reformulação</t>
  </si>
  <si>
    <t>Interconexão Tipo Diamante - Tio Hugo</t>
  </si>
  <si>
    <t>Interconexão Tipo Trombeta - Mormaço</t>
  </si>
  <si>
    <t>Interconexão Tipo Diamante - Soledade</t>
  </si>
  <si>
    <t>Dispositivo em Desnível</t>
  </si>
  <si>
    <t>Passagem Inferior</t>
  </si>
  <si>
    <t>Trombeta</t>
  </si>
  <si>
    <t>Rotatória Alonga - Acesso ao Porto de Miritituba</t>
  </si>
  <si>
    <t>Rotatória Alonga - Acesso ao Porto de Itapacurá</t>
  </si>
  <si>
    <t>Rotatória Alonga - Acesso ao Porto de Santarenzinho</t>
  </si>
  <si>
    <t>Ponte</t>
  </si>
  <si>
    <t>Implantação de Passagens em Desnível Superior Tipo Viaduto: Passagem superior (Relocação 1), no km 229+300 do Contorno de Florianópolis</t>
  </si>
  <si>
    <t>Implantação de Passagens em Desnível Superior Tipo Viaduto: Passagem superior (Relocação 3), no km 232+150 do Contorno de Florianópolis</t>
  </si>
  <si>
    <t>LITORAL</t>
  </si>
  <si>
    <t>FERNÃO DIAS</t>
  </si>
  <si>
    <t>REGIS</t>
  </si>
  <si>
    <t>ECO 050</t>
  </si>
  <si>
    <t>Implantação de Trevos em Desnível, com Alças, em Pista simples – Completo: Trevo de interseção c/ a SC 408</t>
  </si>
  <si>
    <t>Implantação de Trevos em Desnível, com Alças, em Pista simples – Completo: Trevo de interseção c/ a SC-407</t>
  </si>
  <si>
    <t>Implantação de Trevos em Desnível, com Alças, em Pista Simples – Completo - Contorno Norte de Curitiba - Interseção com BR-476/PR,</t>
  </si>
  <si>
    <t>Implantação de Trevos em Desnível, com Alças, em Pista Simples – Completo - Contorno Norte de Curitiba - Interseção com PR - 417</t>
  </si>
  <si>
    <t>Implantação de Trevos em Desnível, com Alças, em Pista Dupla - − Contorno Norte de Curitiba - Interseção com BR-116/PR</t>
  </si>
  <si>
    <t>PLANALTO</t>
  </si>
  <si>
    <t>CONCESSÃO VIA SUL - PAVIMENTAÇÃO - Vias Marginais- Lajeado LD - 337,7 - 340,7 - 3</t>
  </si>
  <si>
    <t>CONCESSÃO VIA SUL - PAVIMENTAÇÃO - Vias Marginais- Lajeado LD - 340,7 - 344,2 - 3,5</t>
  </si>
  <si>
    <t>CONCESSÃO VIA SUL - PAVIMENTAÇÃO - Vias Marginais- Lajeado LE - 337,7 - 340,7 - 3</t>
  </si>
  <si>
    <t>CONCESSÃO VIA SUL - PAVIMENTAÇÃO - Vias Marginais- Lajeado LE - 340,7 - 344,2 - 3,5</t>
  </si>
  <si>
    <t>CONCESSÃO VIA SUL - DUPLICAÇÃO - Duplicação - Marques de Souza/ Lajeado - Subtrecho 01 - 324,1 - 324,6 - 0,5</t>
  </si>
  <si>
    <t>CONCESSÃO VIA SUL - DUPLICAÇÃO - Duplicação - Marques de Souza/ Lajeado - Subtrecho 02 - OAE km 326+100  SNV* - 324,6 - 324,654 - 0,0539999999999736</t>
  </si>
  <si>
    <t>CONCESSÃO VIA SUL - DUPLICAÇÃO - Duplicação - Marques de Souza/ Lajeado - Subtrecho 03 - 324,654 - 328,3 - 3,64600000000002</t>
  </si>
  <si>
    <t>CONCESSÃO VIA SUL - DUPLICAÇÃO - Duplicação - Marques de Souza/ Lajeado - Subtrecho 04 - OAE km 329+700 SNV* - 328,3 - 328,354 - 0,0539999999999736</t>
  </si>
  <si>
    <t>CONCESSÃO VIA SUL - DUPLICAÇÃO - Duplicação - Marques de Souza/ Lajeado - Subtrecho 05 - 328,354 - 328,75 - 0,396000000000015</t>
  </si>
  <si>
    <t>CONCESSÃO VIA SUL - DUPLICAÇÃO - Duplicação - Marques de Souza/ Lajeado - Subtrecho 06 - OAE km 330+200 SNV* - 328,75 - 328,794 - 0,0439999999999827</t>
  </si>
  <si>
    <t>CONCESSÃO VIA SUL - DUPLICAÇÃO - Duplicação - Marques de Souza/ Lajeado - Subtrecho 07 - 328,794 - 329,5 - 0,706000000000017</t>
  </si>
  <si>
    <t>CONCESSÃO VIA SUL - DUPLICAÇÃO - Duplicação - Marques de Souza/ Lajeado - Subtrecho 08 - km 331+000 SNV* - 329,5 - 329,544 - 0,0439999999999827</t>
  </si>
  <si>
    <t>CONCESSÃO VIA SUL - DUPLICAÇÃO - Duplicação - Marques de Souza/ Lajeado - Subtrecho 09 - 329,544 - 330,03 - 0,48599999999999</t>
  </si>
  <si>
    <t>CONCESSÃO VIA SUL - DUPLICAÇÃO - Duplicação - Marques de Souza/ Lajeado - Subtrecho 10 - km 331+400 SNV* - 330,03 - 330,074 - 0,0440000000000396</t>
  </si>
  <si>
    <t>CONCESSÃO VIA SUL - DUPLICAÇÃO - Duplicação - Marques de Souza/ Lajeado - Subtrecho 11 - 330,074 - 331,6 - 1,52600000000001</t>
  </si>
  <si>
    <t>CONCESSÃO VIA SUL - DUPLICAÇÃO - Duplicação - Marques de Souza/ Lajeado - Subtrecho 12 - 331,6 - 332,95 - 1,34999999999997</t>
  </si>
  <si>
    <t>CONCESSÃO VIA SUL - DUPLICAÇÃO - Duplicação - Marques de Souza/ Lajeado - Subtrecho 13 - 332,95 - 335,677 - 2,72700000000003</t>
  </si>
  <si>
    <t>CONCESSÃO VIA SUL - DUPLICAÇÃO - Duplicação - Marques de Souza/ Lajeado - Subtrecho 14 - 335,677 - 337,7 - 2,02299999999997</t>
  </si>
  <si>
    <t>CONCESSÃO VIA SUL - DUPLICAÇÃO - Duplicação - Marques de Souza/ Lajeado - Subtrecho 15 - OAE km 339+100 SNV* - 337,792 - 337,925 - 0,133000000000038</t>
  </si>
  <si>
    <t>CONCESSÃO VIA SUL - DUPLICAÇÃO - Duplicação - Marques de Souza/ Lajeado - Subtrecho 16 - OAE km 339+100 SNV* - 337,782 - 340,35 - 2,56800000000004</t>
  </si>
  <si>
    <t>CONCESSÃO VIA SUL - DUPLICAÇÃO - Duplicação - Marques de Souza/ Lajeado - Subtrecho 17 - 340,35 - 343,9 - 3,54999999999995</t>
  </si>
  <si>
    <t>CONCESSÃO VIA SUL - DUPLICAÇÃO - Duplicação - Marques de Souza/ Lajeado - Subtrecho 18 - 343,9 - 344,4 - 0,5</t>
  </si>
  <si>
    <t>CONCESSÃO VIA SUL - OAE - Ponte sobre o Rio Mampituba - 0 - 0 - 1</t>
  </si>
  <si>
    <t>CONCESSÃO VIA SUL - OAE - Ponte sobre o Rio Sanga Funda - 52,93 - 52,93 - 1</t>
  </si>
  <si>
    <t>CONCESSÃO VIA SUL - OAE - Interconexão Tipo Trombeta - Osório - 4,83 - 4,83 - 1</t>
  </si>
  <si>
    <t>CONCESSÃO VIA SUL - OAE - Interconexão Tipo Diamante - Sto. Antônio Patrulha - 32,17 - 32,17 - 1</t>
  </si>
  <si>
    <t>CONCESSÃO VIA SUL - OAE - Interconexão Tipo Diamante - Gravataí - 62,6 - 62,6 - 1</t>
  </si>
  <si>
    <t>CONCESSÃO VIA SUL - OAE - Interconexão Tipo Trombeta - Gravataí - 80,05 - 80,05 - 1</t>
  </si>
  <si>
    <t>CONCESSÃO VIA SUL - OAE - Passagem Superior - 80,08 - 80,08 - 1</t>
  </si>
  <si>
    <t>CONCESSÃO VIA SUL - OAE - Ponte sobre o Canal DNOS II - 81,1 - 81,1 - 1</t>
  </si>
  <si>
    <t>CONCESSÃO VIA SUL - OAE - Interconexão Tipo Diamante - Cachoeirinha - 83,59 - 83,59 - 1</t>
  </si>
  <si>
    <t>CONCESSÃO VIA SUL - OAE - Passagem Superior - 83,65 - 83,65 - 1</t>
  </si>
  <si>
    <t>CONCESSÃO VIA SUL - OAE - Passagem Inferior - Porto Alegre - Norte - 85,84 - 85,84 - 1</t>
  </si>
  <si>
    <t>CONCESSÃO VIA SUL - OAE - Passagem Inferior - Porto Alegre - Sul - 85,84 - 85,84 - 1</t>
  </si>
  <si>
    <t>CONCESSÃO VIA SUL - OAE - Passagem Inferior -  Arnoldo Scherer Duplicação - 339,9 - 339,9 - 1</t>
  </si>
  <si>
    <t>CONCESSÃO VIA SUL - OAE - Interseção Diamante - km 340+200 - BR 386-RS - Duplicação - 340,2 - 340,2 - 1</t>
  </si>
  <si>
    <t>CONCESSÃO VIA SUL - OAE - Passagem Inferior - Lajeado / Montanhas - 343,45 - 343,45 - 1</t>
  </si>
  <si>
    <t>CONCESSÃO VIA SUL - OAE - Passagem Inferior - Lajeado / Olarias - 344,2 - 344,2 - 1</t>
  </si>
  <si>
    <t>CONCESSÃO VIA SUL - OAE - Interconexão Tipo Trevo Completo - Lajeado - Reformulação - 344,4 - 344,4 - 1</t>
  </si>
  <si>
    <t>CONCESSÃO VIA SUL - OAE - Interconexão Tipo Trevo Completo - Lajeado - Reformulação - 345,35 - 345,35 - 1</t>
  </si>
  <si>
    <t>CONCESSÃO VIA SUL - OAE - Interconexão Tipo Diamante - Lajeado - Reformulação do diamante existente - 347,43 - 347,43 - 1</t>
  </si>
  <si>
    <t>CONCESSÃO VIA SUL - OAE - Interconexão Tipo Trombeta - Estrela - Reformulação - 348,8 - 348,8 - 1</t>
  </si>
  <si>
    <t>CONCESSÃO VIA SUL - OAE - Interconexão Tipo Trevo Completo - Estrela - Reformulação - 349,5 - 349,5 - 1</t>
  </si>
  <si>
    <t>CONCESSÃO VIA SUL - OAE - Interconexão Tipo Trombeta - Estrela  - 352,58 - 352,58 - 1</t>
  </si>
  <si>
    <t>CONCESSÃO VIA SUL - OAE - Ponte sobre o Arroio Concórdia - 372,95 - 372,95 - 1</t>
  </si>
  <si>
    <t>CONCESSÃO VIA SUL - OAE - Interconexão Tipo Diamante - Nova Santa Rita - km 434,800 SNV* - 432,9 - 432,9 - 1</t>
  </si>
  <si>
    <t>CONCESSÃO VIA SUL - OAE - Interconexão Tipo Diamante  - Nova Santa Rita  km 435,500 SNV - 433,6 - 433,6 - 1</t>
  </si>
  <si>
    <t>CONCESSÃO VIA SUL - FX ADICIONAL - Faixa Adicional Lajeado / Estrela- Subtrecho 1 - 344,4 - 344,64 - 0,240000000000009</t>
  </si>
  <si>
    <t>CONCESSÃO VIA SUL - FX ADICIONAL - Faixa Adicional Lajeado / Estrela- Subtrecho 2 - 344,64 - 345 - 0,360000000000014</t>
  </si>
  <si>
    <t>CONCESSÃO VIA SUL - FX ADICIONAL - Faixa Adicional Lajeado / Estrela- Subtrecho 3 - 345 - 345,58 - 0,579999999999984</t>
  </si>
  <si>
    <t>CONCESSÃO VIA SUL - FX ADICIONAL - Faixa Adicional Lajeado / Estrela- Subtrecho 4 - 345,58 - 347,06 - 1,48000000000002</t>
  </si>
  <si>
    <t>CONCESSÃO VIA SUL - FX ADICIONAL - Faixa Adicional Lajeado / Estrela- Subtrecho 5 - 347,06 - 347,58 - 0,519999999999982</t>
  </si>
  <si>
    <t>CONCESSÃO VIA SUL - FX ADICIONAL - Faixa Adicional Lajeado / Estrela- Subtrecho 6 - 347,58 - 348,34 - 0,759999999999991</t>
  </si>
  <si>
    <t>CONCESSÃO VIA SUL - FX ADICIONAL - Faixa Adicional Lajeado / Estrela- Subtrecho 7 - 348,34 - 348,77 - 0,430000000000007</t>
  </si>
  <si>
    <t>CONCESSÃO VIA SUL - FX ADICIONAL - Faixa Adicional Lajeado / Estrela- Subtrecho 8 - 348,77 - 349,12 - 0,350000000000023</t>
  </si>
  <si>
    <t>CONCESSÃO VIA SUL - FX ADICIONAL - Faixa Adicional Lajeado / Estrela- Subtrecho 9 - 349,12 - 349,5 - 0,379999999999995</t>
  </si>
  <si>
    <t>CERRADO - PAVIMENTAÇÃO - *Vias Marginais LD (Monte Alegre de Minas) - 628,9 - 631,16 - 2,25999999999999</t>
  </si>
  <si>
    <t>CERRADO - PAVIMENTAÇÃO - *Vias Marginais LE (Monte Alegre de Minas) - 628,9 - 631,16 - 2,25999999999999</t>
  </si>
  <si>
    <t>CERRADO - OAE - Trevo para o entroncamento da Rodovia BR-365/MG com a Rodovia
BR-153/MG (Trevão) - 709 - 709 - 1</t>
  </si>
  <si>
    <t>CERRADO - OAE - Dispositivo de Interseção no entroncamento de Xapetuba (Xapetuba) - 656,3 - 656,3 - 1</t>
  </si>
  <si>
    <t>CERRADO - FX ADICIONAL - Implantação de 3ª Faixa - 115,2 - 159,9 - 44,7</t>
  </si>
  <si>
    <t>CERRADO - FX ADICIONAL - Implantação de 3ª Faixa - 162,4 - 192,7 - 30,3</t>
  </si>
  <si>
    <t>FERNÃO DIAS - PAVIMENTAÇÃO - Pista Norte Atibaia - 49 - 50 - 1</t>
  </si>
  <si>
    <t>FERNÃO DIAS - PAVIMENTAÇÃO - Ruas Laterais em Pista Simples - segmentos descontínuos - região de Vargem - 3,5 - 4 - 0,5</t>
  </si>
  <si>
    <t>FERNÃO DIAS - PAVIMENTAÇÃO - Ruas Laterais em Pista Simples - em segmentos descontínuos - 478,2 - 497 - 18,8</t>
  </si>
  <si>
    <t>FERNÃO DIAS - PAVIMENTAÇÃO - Ruas Laterais em Pista Simples - em segmentos descontínuos - 534 - 536 - 2</t>
  </si>
  <si>
    <t>FERNÃO DIAS - PAVIMENTAÇÃO - Ruas Laterais em Pista Simples - em segmentos descontínuos - 588 - 591 - 3</t>
  </si>
  <si>
    <t>FERNÃO DIAS - PAVIMENTAÇÃO - Ruas Laterais em Pista Simples - em segmentos descontínuos - 662 - 668 - 6</t>
  </si>
  <si>
    <t>FERNÃO DIAS - PAVIMENTAÇÃO - Ruas Laterais em Pista Simples - em segmentos descontínuos - 684 - 685 - 1</t>
  </si>
  <si>
    <t>FERNÃO DIAS - PAVIMENTAÇÃO - Ruas Laterais em Pista Simples - em segmentos descontínuos - 723 - 724 - 1</t>
  </si>
  <si>
    <t>FERNÃO DIAS - PAVIMENTAÇÃO - Ruas Laterais em Pista Simples - em segmentos descontínuos - 869 - 871 - 2</t>
  </si>
  <si>
    <t>FERNÃO DIAS - PAVIMENTAÇÃO - Ruas Laterais em Pista Simples - em segmentos descontínuos - 877 - 890 - 13</t>
  </si>
  <si>
    <t>FERNÃO DIAS - PAVIMENTAÇÃO - Ruas Laterais em Pista Simples - em segmentos descontínuos - 935 - 937 - 2</t>
  </si>
  <si>
    <t>FERNÃO DIAS - PAVIMENTAÇÃO - Ruas Laterais em Pista Simples - em segmentos descontínuos - 44 - 46 - 2</t>
  </si>
  <si>
    <t>FERNÃO DIAS - PAVIMENTAÇÃO - Ruas Laterais em Pista Simples - em segmentos descontínuos - 55 - 65 - 10</t>
  </si>
  <si>
    <t>FERNÃO DIAS - PAVIMENTAÇÃO - Ruas Laterais em Pista Simples - em segmentos descontínuos - região de Itaguara - 561 - 565 - 4</t>
  </si>
  <si>
    <t>FERNÃO DIAS - PAVIMENTAÇÃO - Pìsta Norte - 52,9 - 54 - 1,1</t>
  </si>
  <si>
    <t>FERNÃO DIAS - PAVIMENTAÇÃO - Ruas Laterais em Pista Simples - em segmentos descontínuos – Região de Mairiporã - 66 - 68 - 2</t>
  </si>
  <si>
    <t>FERNÃO DIAS - OAE - Implantação de Trevos em Desnível, com Alças, em Pista Dupla – Parcial - 1 - 1 - 1</t>
  </si>
  <si>
    <t>FERNÃO DIAS - OAE - Complementação do trevo de acesso a cidade de Piracaia - Obras DNIT - 19,4 - 19,4 - 1</t>
  </si>
  <si>
    <t>FERNÃO DIAS - OAE - Conclusão trevo de terra preta - Obras DNIT - 57 - 57 - 1</t>
  </si>
  <si>
    <t>FERNÃO DIAS - OAE - Conclusão do trevo de acesso à SP-008 - Obras DNIT - 67,7 - 67,7 - 1</t>
  </si>
  <si>
    <t>FERNÃO DIAS - OAE - Complementação do trevo de acesso ao bairro de Garipocaba - Obras do DNIT - 10,5 - 10,5 - 1</t>
  </si>
  <si>
    <t>FERNÃO DIAS - OAE - Conclusão do trevo de acesso ao bairro de Guaripocaba II - Obras do DNIT - 12 - 12 - 1</t>
  </si>
  <si>
    <t>FERNÃO DIAS - OAE - Conclusão do trevo de acesso ao bairro do Bacci - Obras do DNIT - 16 - 16 - 1</t>
  </si>
  <si>
    <t>FERNÃO DIAS - OAE - Conclusão do trevo de acesso ao bairro de Esmeralda - Obras do DNIT - 25,7 - 25,7 - 1</t>
  </si>
  <si>
    <t>FERNÃO DIAS - OAE - Conclusão do trevo de acesso ao bairro de São Sebastião - Obras do DNIT - 33 - 33 - 1</t>
  </si>
  <si>
    <t>FERNÃO DIAS - OAE - Implantação de Trevos em Desnível, com Alças, em Pista Dupla – Completo - 1 - 1 - 1</t>
  </si>
  <si>
    <t>FERNÃO DIAS - OAE - Implantação de Trevos em Desnível, com Alças, em Pista Dupla – Completo - Igarapé/MG - 1 - 1 - 1</t>
  </si>
  <si>
    <t>FERNÃO DIAS - OAE - Implantação de Passagem em Desnível Inferior tipo Trincheira: - 1 - 1 - 1</t>
  </si>
  <si>
    <t>FERNÃO DIAS - CONTORNO - Contorno de Betim - 490 - 497,5 - 7,5</t>
  </si>
  <si>
    <t>FERNÃO DIAS - TERCEIRA FAIXA  - terceiras faixas, em segmentos descontínuos - 0 - 88 - 88</t>
  </si>
  <si>
    <t>FERNÃO DIAS - TERCEIRA FAIXA  - Pista Sul - 22,3 - 41 - 18,7</t>
  </si>
  <si>
    <t>FERNÃO DIAS - TERCEIRA FAIXA  - Pista Norte - 35,36 - 41 - 5,64</t>
  </si>
  <si>
    <t>FERNÃO DIAS - TERCEIRA FAIXA  - Pista Sul - 48,72 - 50,37 - 1,65</t>
  </si>
  <si>
    <t>FERNÃO DIAS - TERCEIRA FAIXA  - Pista Norte - 48,81 - 58,86 - 10,05</t>
  </si>
  <si>
    <t>FERNÃO DIAS - TERCEIRA FAIXA  - Pista Sul - 52,14 - 54,08 - 1,94</t>
  </si>
  <si>
    <t>FERNÃO DIAS - TERCEIRA FAIXA  - Pista Sul - 56,2 - 65,8 - 9,59999999999999</t>
  </si>
  <si>
    <t>LITORAL - PAVIMENTAÇÃO - Execução de Ruas Laterais em Pista Simples - Contorno Leste de Curitiba - região da interseção com a BR 277 - 0 - 2,4 - 2,4</t>
  </si>
  <si>
    <t>LITORAL - PAVIMENTAÇÃO - região da interseção do Contorno Leste de Curitiba - 617 - 618,4 - 2,79999999999995</t>
  </si>
  <si>
    <t>LITORAL - PAVIMENTAÇÃO - Execução de Ruas Laterais em Pista Simples - segmentos descontínuos – - 634 - 650 - 16</t>
  </si>
  <si>
    <t>LITORAL - PAVIMENTAÇÃO - Execução de Ruas Laterais em Pista Simples - Camboriú – 2 lados – segmentos descontínuos - 0 - 2 - 2</t>
  </si>
  <si>
    <t>LITORAL - PAVIMENTAÇÃO - Execução de Ruas Laterais em Pista Simples - Sta. Luzia/Porto Belo - lado direito - segmentos descontínuos - 0 - 1 - 1</t>
  </si>
  <si>
    <t>LITORAL - PAVIMENTAÇÃO - Execução de Ruas Laterais em Pista Simples - Tijucas - 2 lados - segmentos descontínuos - 0 - 1,5 - 1,5</t>
  </si>
  <si>
    <t>LITORAL - PAVIMENTAÇÃO - Execução de Ruas Laterais em Pista Simples - Itajaí – 2 lados – segmentos descontínuos - 0 - 2,5 - 5</t>
  </si>
  <si>
    <t>LITORAL - PAVIMENTAÇÃO - Execução de Ruas Laterais em Pista Simples - Itapema – 2 lados – segmentos descontínuos - 0 - 3,5 - 7</t>
  </si>
  <si>
    <t>LITORAL - PAVIMENTAÇÃO - Execução de Ruas Laterais em Pista Simples - em segmentos descontínuos - 49 - 60 - 11</t>
  </si>
  <si>
    <t>LITORAL - PAVIMENTAÇÃO - Execução de Ruas Laterais em Pista Simples - em segmentos descontínuos - 110 - 125 - 15</t>
  </si>
  <si>
    <t>LITORAL - PAVIMENTAÇÃO - Execução de Ruas Laterais em Pista Simples - em segmentos descontínuos - 130 - 146 - 16</t>
  </si>
  <si>
    <t>LITORAL - OAE - Implantação de Trevos em Desnível, com Alças, em Pista Dupla – Parcial: a definir - 1 - 1 - 1</t>
  </si>
  <si>
    <t>LITORAL - OAE - Implantação de Trevos em Desnível, com Alças, em Pista Dupla – Parcial: Complementação da PR-09 - Estrada da Graciosa - 73,3 - 73,3 - 1</t>
  </si>
  <si>
    <t>LITORAL - OAE - Implantação de Trevos em Desnível, com Alças, em Pista simples – Parcial: km 663,260 (PNV 2009) - 663,26 - 663,26 - 1</t>
  </si>
  <si>
    <t>LITORAL - OAE - Implantação de Trevos em Desnível, com Alças, em Pista Dupla – Parcial: - 617,45 - 617,45 - 1</t>
  </si>
  <si>
    <t>LITORAL - OAE - Implantação de Trevos em Desnível, com Alças, em Pista Dupla – Parcial: - 648,3 - 648,3 - 1</t>
  </si>
  <si>
    <t>LITORAL - OAE - Implantação de Trevos em Desnível, com Alças, em Pista Dupla – Parcial: - 633 - 633 - 1</t>
  </si>
  <si>
    <t>LITORAL - OAE - Implantação de Passagens em Desnível Inferior Tipo Viaduto: - 646,05 - 646,05 - 1</t>
  </si>
  <si>
    <t>LITORAL - OAE - Implantação de Passagens em Desnível Inferior Tipo Viaduto: - 639,25 - 639,25 - 1</t>
  </si>
  <si>
    <t>LITORAL - OAE - Implantação Alças de Trevo: - 637,26 - 637,26 - 1</t>
  </si>
  <si>
    <t>LITORAL - OAE - Implantação Alças de Trevo: - 644,1 - 644,1 - 1</t>
  </si>
  <si>
    <t>LITORAL - OAE - Túnel do Contorno de Florianopolis - 4 túneis duplo - 0 - 7 - 7</t>
  </si>
  <si>
    <t>LITORAL - OAE - Implantação de Trevos em Desnível, com Alças, em Pista simples – Parcial: Elevação da ponte sobre o rio Camboriú - 1 - 1 - 1</t>
  </si>
  <si>
    <t>LITORAL - OAE - Implantação de Trevos em Desnível, com Alças, em Pista simples – Parcial: - 109,2 - 109,2 - 1</t>
  </si>
  <si>
    <t>LITORAL - OAE - Implantação de Trevos em Desnível, com Alças, em Pista simples – Parcial: - 140,3 - 140,3 - 1</t>
  </si>
  <si>
    <t>LITORAL - OAE - Implantação de Trevos em Desnível, com Alças, em Pista simples – Completo: Trevo de interseção c/ a SC 408 - 1 - 1 - 1</t>
  </si>
  <si>
    <t>LITORAL - OAE - Implantação de Trevos em Desnível, com Alças, em Pista simples – Completo: Trevo de interseção c/ a SC-407 - 1 - 1 - 1</t>
  </si>
  <si>
    <t>LITORAL - OAE - Implantação de Trevos em Desnível, com Alças, em Pista simples – Completo: Contorno de Florianopolis trevos na interseção c/ vias locais - 1 - 1 - 1</t>
  </si>
  <si>
    <t>LITORAL - OAE - Implantação de Trevos em Desnível, com Alças, em Pista Dupla – Completo - Contorno de Florianopolis - nas interseções c/ BR-101/SC - 1 - 1 - 1</t>
  </si>
  <si>
    <t>LITORAL - OAE - Implantação de Trevos em Desnível, com Alças, em Pista Dupla – Completo - Contorno de Florianopolis - nas interseções c/ a BR-282/SC. - 1 - 1 - 1</t>
  </si>
  <si>
    <t>LITORAL - OAE - Passagens em Desnível Inferior tipo Galeria: no Contorno de Florianópolis - 1 - 1 - 1</t>
  </si>
  <si>
    <t>LITORAL - OAE - Passagens em Desnível Inferior tipo Galeria: a definir - 1 - 1 - 1</t>
  </si>
  <si>
    <t>LITORAL - OAE - Implantação de Passagens em Desnível Inferior Tipo Viaduto: no Contorno Florianópolis - 1 - 1 - 1</t>
  </si>
  <si>
    <t>LITORAL - OAE - Implantação de Passagens em Desnível Inferior Tipo Viaduto: km 169,65 da BR-101/SC - 169,65 - 169,65 - 1</t>
  </si>
  <si>
    <t>LITORAL - CONTORNO - Contorno de Florianópolis, em pista dupla - 0 - 47,33 - 94,66</t>
  </si>
  <si>
    <t>LITORAL - TERCEIRA FAIXA - Execução de Terceiras Faixas: - 0 - 30 - 30</t>
  </si>
  <si>
    <t>PLANALTO - PAVIMENTAÇÃO - Execução de Ruas Laterais em Pista Simples - Pinheirinho – Fazenda Rio Grande no PR - 0 - 1,44 - 1,44</t>
  </si>
  <si>
    <t>PLANALTO - PAVIMENTAÇÃO - Execução de Ruas Laterais em Pista Simples - Rio Negro/PR - 0 - 2,4 - 2,4</t>
  </si>
  <si>
    <t>PLANALTO - PAVIMENTAÇÃO - Execução de Ruas Laterais em Pista Simples - Mandirituba/PR - 0 - 2,5 - 2,5</t>
  </si>
  <si>
    <t>PLANALTO - PAVIMENTAÇÃO - Execução de Ruas Laterais em Pista Simples - Mafra/SC - 0 - 7,38 - 7,38</t>
  </si>
  <si>
    <t>PLANALTO - DUPLICAÇÃO - Duplicação - 117,3 - 122,9 - 5,60000000000001</t>
  </si>
  <si>
    <t>PLANALTO - DUPLICAÇÃO - Duplicação - 122,9 - 142,7 - 19,8</t>
  </si>
  <si>
    <t>PLANALTO - OAE - Implantação de Trevos em Desnível, com Alças, em Pista simples – Completo - Entroncamento com a BR-280/SC, - 4,5 - 4,5 - 1</t>
  </si>
  <si>
    <t>PLANALTO - OAE - Implantação de Passagens em Desnível Inferior Tipo Viaduto: À definir - 1 - 1 - 1</t>
  </si>
  <si>
    <t>PLANALTO - OAE - Implantação de Trevos em Desnível, com Alças, em Pista Dupla – Completo - km 127,6 - 127,6 - 127,6 - 1</t>
  </si>
  <si>
    <t>PLANALTO - OAE - Implantação de Trevos em Desnível, com Alças, em Pista Dupla – Completo - km 131,8 (Fazenda Rio Grande) - 131,8 - 131,8 - 1</t>
  </si>
  <si>
    <t>PLANALTO - OAE - Implantação de Trevos em Desnível, com Alças, em Pista Dupla – Completo - km 138,8 - 138,8 - 138,8 - 1</t>
  </si>
  <si>
    <t>PLANALTO - OAE - Implantação de Trevos em Desnível, com Alças, em Pista Dupla – Completo - km 141,8 – PR 510, Mandirituba/PR - 141,8 - 141,8 - 1</t>
  </si>
  <si>
    <t>PLANALTO - OAE - Implantação de Passagens em Desnível Inferior tipo Galeria: Fazenda Rio Grande (PR) - 128,7 - 128,7 - 1</t>
  </si>
  <si>
    <t>PLANALTO - OAE - Implantação de passagem em desnível do Distrito Industrial com reserva para faixa exclusiva de ônibus: - 116,5 - 116,5 - 1</t>
  </si>
  <si>
    <t>PLANALTO - OAE - Implantação de Interseção em desnível Vila Pompéia com reserva para faixa exclusiva de ônibus - 117,5 - 117,5 - 1</t>
  </si>
  <si>
    <t>PLANALTO - TERCEIRA FAIXA - Execução de Terceiras Faixas - 188 - 189,5 - 1,5</t>
  </si>
  <si>
    <t>PLANALTO - TERCEIRA FAIXA - Execução de Terceiras Faixas - 193,4 - 195,3 - 1,90000000000001</t>
  </si>
  <si>
    <t>PLANALTO - TERCEIRA FAIXA - Execução de Terceiras Faixas - 196 - 199,2 - 3,19999999999999</t>
  </si>
  <si>
    <t>PLANALTO - TERCEIRA FAIXA - Execução de Terceiras Faixas - 5,5 - 6,2 - 0,7</t>
  </si>
  <si>
    <t>PLANALTO - TERCEIRA FAIXA - Execução de Terceiras Faixas - 6,7 - 8 - 1,3</t>
  </si>
  <si>
    <t>PLANALTO - TERCEIRA FAIXA - Execução de Terceiras Faixas - 11,2 - 12,4 - 1,2</t>
  </si>
  <si>
    <t>PLANALTO - TERCEIRA FAIXA - Execução de Terceiras Faixas - 12,8 - 14,2 - 1,4</t>
  </si>
  <si>
    <t>PLANALTO - TERCEIRA FAIXA - Execução de Terceiras Faixas - 34 - 35 - 1</t>
  </si>
  <si>
    <t>PLANALTO - TERCEIRA FAIXA - Execução de Terceiras Faixas - 40,3 - 41,3 - 1</t>
  </si>
  <si>
    <t>PLANALTO - TERCEIRA FAIXA - Execução de Terceiras Faixas - 104,6 - 112,3 - 7,7</t>
  </si>
  <si>
    <t>PLANALTO - TERCEIRA FAIXA - Execução de Terceiras Faixas - 115,4 - 118 - 2,59999999999999</t>
  </si>
  <si>
    <t>PLANALTO - TERCEIRA FAIXA - Execução de Terceiras Faixas - 122,5 - 126 - 3,5</t>
  </si>
  <si>
    <t>PLANALTO - TERCEIRA FAIXA - Execução de Terceiras Faixas - 126,2 - 128,8 - 2,60000000000001</t>
  </si>
  <si>
    <t>PLANALTO - TERCEIRA FAIXA - Execução de Terceiras Faixas - 129,7 - 130,5 - 0,800000000000011</t>
  </si>
  <si>
    <t>PLANALTO - TERCEIRA FAIXA - Execução de Terceiras Faixas - 132,2 - 133,2 - 1</t>
  </si>
  <si>
    <t>PLANALTO - TERCEIRA FAIXA - Execução de Terceiras Faixas - 134,7 - 136,3 - 1,60000000000002</t>
  </si>
  <si>
    <t>PLANALTO - TERCEIRA FAIXA - Execução de Terceiras Faixas - 136,7 - 139,5 - 2,80000000000001</t>
  </si>
  <si>
    <t>PLANALTO - TERCEIRA FAIXA - Execução de Terceiras Faixas - 156,1 - 158,4 - 2,30000000000001</t>
  </si>
  <si>
    <t>PLANALTO - TERCEIRA FAIXA - Execução de Terceiras Faixas - 179 - 179,2 - 0,199999999999989</t>
  </si>
  <si>
    <t>PLANALTO - TERCEIRA FAIXA - Execução de Terceiras Faixas - 211 - 212,5 - 1,5</t>
  </si>
  <si>
    <t>PLANALTO - TERCEIRA FAIXA - Execução de Terceiras Faixas - 212,5 - 215 - 2,5</t>
  </si>
  <si>
    <t>PLANALTO - TERCEIRA FAIXA - Execução de Terceiras Faixas - 304 - 310 - 6</t>
  </si>
  <si>
    <t>REGIS - PAVIMENTAÇÃO - Ruas laterais em segmentos descontínuos a serem definidos, nos municípios de Campina Grande do Sul, Quatro Barras, Colombo e Curitiba - 0 - 15 - 15</t>
  </si>
  <si>
    <t>REGIS - PAVIMENTAÇÃO - Ruas laterais em segmentos descontínuos a serem definidos, nos municípios de Taboão da Serra, Embu, São Lourenço da Serra e Itapecerica da Serra, - 0 - 20 - 20</t>
  </si>
  <si>
    <t>REGIS - PAVIMENTAÇÃO - Ruas laterais em segmentos descontínuos a serem definidos, nos municípios de Miracatu, Registro, Pariquera-Açu, Jacupiranga e Cajati - 0 - 20 - 20</t>
  </si>
  <si>
    <t>REGIS - DUPLICAÇÃO - Duplicação - Execução da segunda pista no trecho da Serra do Cafezal - 336,7 - 367,2 - 30,5</t>
  </si>
  <si>
    <t>REGIS - OAE - Implantação de Trevos em Desnível, com Alças, em Pista Simples – Completo - Contorno Norte de Curitiba - Interseção com BR-476/PR, - 1 - 1 - 1</t>
  </si>
  <si>
    <t>REGIS - OAE - Implantação de Trevos em Desnível, com Alças, em Pista Simples – Completo - Contorno Norte de Curitiba - Interseção com PR - 417 - 1 - 1 - 1</t>
  </si>
  <si>
    <t>REGIS - OAE - Implantação de Trevos em Desnível, com Alças, em Pista Dupla – Parcial - − BR-116/PR - 12,8 - 12,8 - 1</t>
  </si>
  <si>
    <t>REGIS - OAE - Implantação de Trevos em Desnível, com Alças, em Pista Dupla – Parcial - − BR-116/PR - 88,6 - 88,6 - 1</t>
  </si>
  <si>
    <t>REGIS - OAE - Implantação de Trevos em Desnível, com Alças, em Pista Dupla - − Contorno Norte de Curitiba - Interseção com BR-116/PR - 1 - 1 - 1</t>
  </si>
  <si>
    <t>REGIS - OAE - Implantação de Passagens em Desnível Inferior tipo Galeria - Locais a definir - 4 unidades - 1 - 1 - 4</t>
  </si>
  <si>
    <t>REGIS - OAE - Implantação de Trevos em Desnível, com Alças, em Pista Simples – Completo - BR-116/SP - km 277+600m - 277,6 - 277,6 - 1</t>
  </si>
  <si>
    <t>REGIS - OAE - Implantação de Trevos em Desnível, com Alças, em Pista Simples – Completo -− BR-116/SP - km 288 - 288 - 288 - 1</t>
  </si>
  <si>
    <t>REGIS - OAE - Implantação de Trevos em Desnível, com Alças, em Pista Simples – Completo -− BR-116/SP - km 305 - 305 - 305 - 1</t>
  </si>
  <si>
    <t>REGIS - OAE - Implantação de Trevos em Desnível, com Alças, em Pista Dupla – Parcial - − BR-116/SP - 297,6 - 297,6 - 1</t>
  </si>
  <si>
    <t>REGIS - OAE - Implantação de Trevos em Desnível, com Alças, em Pista Dupla – Parcial - − BR-116/SP - 312,2 - 312,2 - 1</t>
  </si>
  <si>
    <t>REGIS - OAE - Implantação de Trevos em Desnível, com Alças, em Pista Dupla – Parcial - − BR-116/SP - 325,7 - 325,7 - 1</t>
  </si>
  <si>
    <t>REGIS - OAE - Implantação de Trevos em Desnível, com Alças, em Pista Dupla – Parcial - − BR-116/SP - 332 - 332 - 1</t>
  </si>
  <si>
    <t>REGIS - OAE - Implantação de Trevos em Desnível, com Alças, em Pista Dupla – Parcial - − BR-116/SP - 336 - 336 - 1</t>
  </si>
  <si>
    <t>REGIS - OAE - Implantação de Trevos em Desnível, com Alças, em Pista Dupla – Parcial - − BR-116/SP - 340 - 340 - 1</t>
  </si>
  <si>
    <t>REGIS - OAE - Implantação de Trevos em Desnível, com Alças, em Pista Dupla – Parcial - − BR-116/SP - 474,7 - 474,7 - 1</t>
  </si>
  <si>
    <t>REGIS - OAE - Implantação de Trevos em Desnível, com Alças, em Pista Dupla − BR-116/SP - 308 - 308 - 1</t>
  </si>
  <si>
    <t>REGIS - OAE - Implantação de Trevos em Desnível, com Alças, em Pista Dupla − BR-116/SP - 478 - 478 - 1</t>
  </si>
  <si>
    <t>REGIS - OAE - Implantação de Passagens em Desnível Inferior tipo Galeria − BR-116/SP - 370 - 370 - 1</t>
  </si>
  <si>
    <t>REGIS - CONTORNO - Contorno Norte de Curitiba em pista dupla - 0 - 11,785 - 23,57</t>
  </si>
  <si>
    <t>REGIS - TERCEIRA FAIXA - Execução de Terceiras Faixas - 0 - 30 - 30</t>
  </si>
  <si>
    <t>TRANSBRASILIANA - PAVIMENTAÇÃO - Execução de ruas laterias em Pista Simples na região de São José do Rio Preto - 50,3 - 62,8 - 12,5</t>
  </si>
  <si>
    <t>TRANSBRASILIANA - PAVIMENTAÇÃO - Execução de ruas laterias em Pista Simples - região de Marília - 255,4 - 259 - 3,59999999999999</t>
  </si>
  <si>
    <t>TRANSBRASILIANA - DUPLICAÇÃO - Duplicações (inclusive OAE's) - 0 - 37,3 - 37,3</t>
  </si>
  <si>
    <t>TRANSBRASILIANA - DUPLICAÇÃO - Duplicações (inclusive OAE's) - 74,9 - 99,8 - 24,9</t>
  </si>
  <si>
    <t>TRANSBRASILIANA - DUPLICAÇÃO - Duplicações (inclusive OAE's) - 51,7 - 54,3 - 2,59999999999999</t>
  </si>
  <si>
    <t>TRANSBRASILIANA - DUPLICAÇÃO - Duplicações (inclusive OAE's) - 338,2 - 345,2 - 7</t>
  </si>
  <si>
    <t>TRANSBRASILIANA - DUPLICAÇÃO - Duplicações (inclusive OAE's) - 72,1 - 74,9 - 2,80000000000001</t>
  </si>
  <si>
    <t>TRANSBRASILIANA - DUPLICAÇÃO - Duplicações (inclusive OAE's) - 256 - 258,1 - 2,10000000000002</t>
  </si>
  <si>
    <t>TRANSBRASILIANA - OAE - Implantação de Trevos em Desnível, com Alças, em Pista Dupla – Parcial: trevo no km 81 a ser executado no 12º ano - 81 - 81 - 1</t>
  </si>
  <si>
    <t>TRANSBRASILIANA - OAE - Implantação de Trevos em Desnível, com Alças, em Pista Dupla – Parcial: km 4+800 – acesso a Icém, a ser executado no 13º ano - 4,8 - 4,8 - 1</t>
  </si>
  <si>
    <t>TRANSBRASILIANA - OAE - Implantação de Trevos em Desnível, com Alças, em Pista Dupla – Completo: início do Contorno de Ourinhos (interseção com a BR-153) - 337 - 337 - 1</t>
  </si>
  <si>
    <t>TRANSBRASILIANA - OAE - Implantação de Trevos em Desnível, com Alças, em Pista Dupla – Completo: final do Contorno de Ourinhos (interseção com SP-270), - 338,3 - 338,3 - 1</t>
  </si>
  <si>
    <t>TRANSBRASILIANA - OAE - Implantação de Passagens em Desnível Inferior tipo Galeria: - 73 - 73 - 1</t>
  </si>
  <si>
    <t>TRANSBRASILIANA - OAE - Implantação de Passagens em Desnível Inferior tipo Galeria: - 51,04 - 51,04 - 1</t>
  </si>
  <si>
    <t>TRANSBRASILIANA - OAE - Implantação de Passagens em Desnível Inferior tipo Galeria: - 53,1 - 53,1 - 1</t>
  </si>
  <si>
    <t>TRANSBRASILIANA - OAE - Implantação de Passagens em Desnível Inferior tipo Galeria: - 85,1 - 85,1 - 1</t>
  </si>
  <si>
    <t>TRANSBRASILIANA - OAE - Implantação de Passagens em Desnível Inferior tipo Galeria: - 97 - 97 - 1</t>
  </si>
  <si>
    <t>TRANSBRASILIANA - CONTORNO - Variante de Ourinhos, em pista dupla - 336,4 - 338,88 - 4,96000000000004</t>
  </si>
  <si>
    <t>TRANSBRASILIANA - TERCEIRA FAIXA - Execução de Terceiras Faixas: - 99,8 - 121,4 - 21,6</t>
  </si>
  <si>
    <t>TRANSBRASILIANA - TERCEIRA FAIXA - Execução de Terceiras Faixas: - 161,8 - 166,1 - 4,29999999999998</t>
  </si>
  <si>
    <t>TRANSBRASILIANA - TERCEIRA FAIXA - Execução de Terceiras Faixas: - 0 - 15,6 - 15,6</t>
  </si>
  <si>
    <t>TRANSBRASILIANA - TERCEIRA FAIXA - Execução de Terceiras Faixas: - 182,7 - 199,1 - 16,4</t>
  </si>
  <si>
    <t>TRANSBRASILIANA - TERCEIRA FAIXA - Execução de Terceiras Faixas: - 255,4 - 275,3 - 19,9</t>
  </si>
  <si>
    <t>FLUMINENSE - PAVIMENTAÇÃO - Execução de Ruas Laterais em Pista Simples: - 0 - 3,8 - 3,8</t>
  </si>
  <si>
    <t>FLUMINENSE - DUPLICAÇÃO - Duplicações (inclusive OAE's): - 84,6 - 102 - 17,4</t>
  </si>
  <si>
    <t>FLUMINENSE - DUPLICAÇÃO - Duplicações (inclusive OAE's): - 102 - 103,5 - 1,5</t>
  </si>
  <si>
    <t>FLUMINENSE - DUPLICAÇÃO - Duplicações (inclusive OAE's): - 103,5 - 105,2 - 1,7</t>
  </si>
  <si>
    <t>FLUMINENSE - DUPLICAÇÃO - Duplicações (inclusive OAE's): - 105,2 - 117,8 - 12,6</t>
  </si>
  <si>
    <t>FLUMINENSE - DUPLICAÇÃO - Duplicações (inclusive OAE's): - 117,8 - 121,3 - 3,5</t>
  </si>
  <si>
    <t>FLUMINENSE - DUPLICAÇÃO - Duplicações (inclusive OAE's): - 121,3 - 123,2 - 1,90000000000001</t>
  </si>
  <si>
    <t>FLUMINENSE - DUPLICAÇÃO - Duplicações (inclusive OAE's): - 123,2 - 132,5 - 9,3</t>
  </si>
  <si>
    <t>FLUMINENSE - DUPLICAÇÃO - Duplicações (inclusive OAE's): - 132,5 - 144,2 - 11,7</t>
  </si>
  <si>
    <t>FLUMINENSE - DUPLICAÇÃO - Duplicações (inclusive OAE's): - 190,3 - 202 - 11,7</t>
  </si>
  <si>
    <t>FLUMINENSE - DUPLICAÇÃO - Duplicações (inclusive OAE's): - 202 - 205,6 - 3,59999999999999</t>
  </si>
  <si>
    <t>FLUMINENSE - DUPLICAÇÃO - Duplicações (inclusive OAE's): - 208,6 - 210 - 1,40000000000001</t>
  </si>
  <si>
    <t>FLUMINENSE - DUPLICAÇÃO - Duplicações (inclusive OAE's): - 210 - 215,3 - 5,30000000000001</t>
  </si>
  <si>
    <t>FLUMINENSE - DUPLICAÇÃO - Duplicações (inclusive OAE's): - 217,1 - 228,8 - 11,7</t>
  </si>
  <si>
    <t>FLUMINENSE - DUPLICAÇÃO - Duplicações (inclusive OAE's): - 228,8 - 248,8 - 20</t>
  </si>
  <si>
    <t>FLUMINENSE - DUPLICAÇÃO - Duplicações (inclusive OAE's): - 248,8 - 261,2 - 12,4</t>
  </si>
  <si>
    <t>FLUMINENSE - OAE - Implantação de Trevos em Desnível, com Alças, em Pista Dupla – Parcial: km 169,7– RJ-168 para Macaé
e Glicério - 169,7 - 169,7 - 1</t>
  </si>
  <si>
    <t>FLUMINENSE - OAE - Implantação de Trevos em Desnível, com Alças, em Pista Dupla – Parcial: km 190,6– Rio Dourado e Rio das Ostras - 190,6 - 190,6 - 1</t>
  </si>
  <si>
    <t>FLUMINENSE - OAE - Implantação de Trevos em Desnível, com Alças, em Pista Dupla – Parcial: km 204,1 – Distrito Industrial - 204,1 - 204,1 - 1</t>
  </si>
  <si>
    <t>FLUMINENSE - OAE - Implantação de Trevos em Desnível, com Alças, em Pista Dupla – Parcial:km 243,4–
Imbau - 243,4 - 243,4 - 1</t>
  </si>
  <si>
    <t>FLUMINENSE - OAE - Implantação de Trevos em Desnível, com Alças, em Pista Dupla – Parcial:km 253,3 – Mato Alto - 253,3 - 253,3 - 1</t>
  </si>
  <si>
    <t>FLUMINENSE - OAE - Implantação de Trevos em Desnível, com Alças, em Pista Dupla – Parcial:km 248,2 – Caxito - 248,2 - 248,2 - 1</t>
  </si>
  <si>
    <t>FLUMINENSE - OAE - Implantação de Trevos em Desnível, com Alças, em Pista Dupla – Parcial: km 244,1– Cesário Alvim - 244,1 - 244,1 - 1</t>
  </si>
  <si>
    <t>FLUMINENSE - OAE - Implantação de Trevos em Desnível, com Alças, em Pista Dupla – Parcial: km 297,4 – Complemento
do trevo de Manilha - 297,4 - 297,4 - 1</t>
  </si>
  <si>
    <t>FLUMINENSE - OAE - Implantação de Trevos em Desnível, com Alças, em Pista Dupla – Parcial: km 260,1. - 260,1 - 260,1 - 1</t>
  </si>
  <si>
    <t>FLUMINENSE - OAE - Implantação de trevo no km 265,7: 1 unidade no km 265,7 (Green Valley), - 265,7 - 265,7 - 1</t>
  </si>
  <si>
    <t>FLUMINENSE - OAE - Implantação de trevo no km 194,1: - 194,1 - 194,1 - 1</t>
  </si>
  <si>
    <t>FLUMINENSE - OAE - Implantação de OAE: 1 unidade no trecho Manilha – Varandinha (rua lateral) - 1 - 1 - 1</t>
  </si>
  <si>
    <t>FLUMINENSE - OAE - Implantação de Trevos em desnível – Completo: - 92,8 - 92,8 - 1</t>
  </si>
  <si>
    <t>FLUMINENSE - OAE - Implantação de Trevos em desnível – Completo: - 101,1 - 101,1 - 1</t>
  </si>
  <si>
    <t>FLUMINENSE - OAE - Implantação de Trevos em desnível – Completo: - 113,3 - 113,3 - 1</t>
  </si>
  <si>
    <t>FLUMINENSE - OAE - Implantação de Trevos em desnível – Completo: - 122,14 - 122,14 - 1</t>
  </si>
  <si>
    <t>FLUMINENSE - OAE - Implantação de Trevos em desnível – Completo: - 125 - 125 - 1</t>
  </si>
  <si>
    <t>FLUMINENSE - OAE - Implantação de Trevos em desnível – Completo: - 132,3 - 132,3 - 1</t>
  </si>
  <si>
    <t>FLUMINENSE - OAE - Implantação de Trevos em desnível – Completo: - 138,5 - 138,5 - 1</t>
  </si>
  <si>
    <t>FLUMINENSE - OAE - Implantação de Trevos em desnível – Completo: - 144,5 - 144,5 - 1</t>
  </si>
  <si>
    <t>FLUMINENSE - CONTORNO - Execução de Variantes e Contornos (inclusive OAE's): - Avenida do Contorno – Barreto (Niterói). - 317,7 - 320,1 - 4,80000000000007</t>
  </si>
  <si>
    <t>FLUMINENSE - TERCEIRA FAIXA - Terceiras Faixas: nos dois sentidos da pista (norte e sul), do km 297,5 (Manilha) ao km
306,4 (São Gonçalo) - 297,5 - 306,4 - 8,89999999999998</t>
  </si>
  <si>
    <t>VIA BAHIA - PAVIMENTAÇÃO - Construção de ruas laterais - SUBTRECHO 8 - Perímetro urbano ASSIB LE - 8,1 - 8,6 - 0,5</t>
  </si>
  <si>
    <t>VIA BAHIA - PAVIMENTAÇÃO - Construção de ruas laterais - SUBTRECHO 8 - Perímetro Urbano Itatim Lado E/D - 21,1 - 21,9 - 1,59999999999999</t>
  </si>
  <si>
    <t>VIA BAHIA - PAVIMENTAÇÃO - Construção de ruas laterais - SUBTRECHO 8 - Perímetro Urbano Itatim Lado E/D - 23,3 - 24,4 - 2,2</t>
  </si>
  <si>
    <t>VIA BAHIA - PAVIMENTAÇÃO - Construção de ruas laterais - SUBTRECHO 7 - Perímetro Urbano Paraguaçu Lado E/D - 0,2 - 0,6 - 0,8</t>
  </si>
  <si>
    <t>VIA BAHIA - PAVIMENTAÇÃO - Construção de ruas laterais - SUBTRECHO 7 - Perímetro Urbano Lado E/D - 29 - 29,5 - 1</t>
  </si>
  <si>
    <t>VIA BAHIA - PAVIMENTAÇÃO - Construção de ruas laterais - SUBTRECHO 7 - Perímetro Urbano Lado D - 30,1 - 30,6 - 0,5</t>
  </si>
  <si>
    <t>VIA BAHIA - PAVIMENTAÇÃO - Construção de ruas laterais - SUBTRECHO 7 - Perímetro urbano Santo Estevão Lado E/D - 33 - 33,6 - 1,2</t>
  </si>
  <si>
    <t>VIA BAHIA - PAVIMENTAÇÃO - Construção de ruas laterais - SUBTRECHO 6 - Perímetro Urbano Santo Estevão Lado E/D - 0 - 1,8 - 1,8</t>
  </si>
  <si>
    <t>VIA BAHIA - PAVIMENTAÇÃO - Construção de ruas laterais - SUBTRECHO 6 - Perímetro Urbano Km 7 Chapeu de Coro Lado D - 30,4 - 30,8 - 0,400000000000002</t>
  </si>
  <si>
    <t>VIA BAHIA - DUPLICAÇÃO - Trecho entre Feira de Santana e BA-052 - SUBTRECHO 5 - 0 - 5,4 - 5,4</t>
  </si>
  <si>
    <t>VIA BAHIA - DUPLICAÇÃO - Trecho entre BA-052 e Santo Estevão - SUBTRECHO 6 - 5,4 - 35,38 - 29,98</t>
  </si>
  <si>
    <t>VIA BAHIA - DUPLICAÇÃO - Trecho entre Santo Estevão e BR - 242 - SUBTRECHO 7 - 0 - 33,73 - 33,73</t>
  </si>
  <si>
    <t>VIA BAHIA - DUPLICAÇÃO - Trecho entre Santo Estevão e BR - 242 - SUBTRECHO 8 - 0 - 4,73 - 4,73</t>
  </si>
  <si>
    <t>VIA BAHIA - OAE - Viaduto de Acesso entr. BA- 407/415 BA- 262B/263 (Vitória da Conquista - 0,08 - 0,08 - 1</t>
  </si>
  <si>
    <t>VIA BAHIA - OAE - Construção de interseção entre as duas rodovias em níveis diferentes, com ramos; entroncamento entre a BR-
116 e a BR-242 - 1 - 1 - 1</t>
  </si>
  <si>
    <t>VIA BAHIA - OAE - Dispositivos de intersecção no anel viário de Vitória da Conquista - 1 - 1 - 1</t>
  </si>
  <si>
    <t>VIA BAHIA - OAE - Viaduto sobre a BR-324/BA, acesso a Santo Amaro BA-520 - 36,47 - 36,47 - 1</t>
  </si>
  <si>
    <t>VIA BAHIA - OAE - Obras para Conclusão do viaduto de Simões Filho - 1 - 1 - 1</t>
  </si>
  <si>
    <t>VIA BAHIA - OAE - Construção de trevo com alças de acesso à rodovia BA-524 (Canal de Tráfego), nos quatro sentidos; - 1 - 1 - 1</t>
  </si>
  <si>
    <t>VIA BAHIA - OAE - Construção de interseção com linha ferroviária em níveis diferentes no município de Itatim. - 1 - 1 - 1</t>
  </si>
  <si>
    <t>VIA BAHIA - CONTORNO - Contorno de Feira de Santana entre BR-116 sul e BR-324 - 0 - 9,83 - 9,83</t>
  </si>
  <si>
    <t>ECO 050 - PAVIMENTAÇÃO - Via Marginal ID-01 - Pista Sul BR 050/MG - ARAGUARI - 40 - 41 - 1</t>
  </si>
  <si>
    <t>ECO 050 - PAVIMENTAÇÃO - Via Marginal ID-01 - Pista Norte BR 050/MG - ARAGUARI - 40 - 41 - 1</t>
  </si>
  <si>
    <t>ECO 050 - PAVIMENTAÇÃO - Via Marginal ID-02 - Pista Sul BR 050/GO - CRISTALINA - 98 - 100,8 - 2,8</t>
  </si>
  <si>
    <t>ECO 050 - PAVIMENTAÇÃO - Via Marginal ID-02 - Pista Norte BR 050/GO - CRISTALINA - 98 - 100,8 - 2,8</t>
  </si>
  <si>
    <t>ECO 050 - PAVIMENTAÇÃO - Via Marginal ID-03 - Pista Sul BR 050/GO - CRISTALINA - 106,7 - 107,3 - 0,599999999999994</t>
  </si>
  <si>
    <t>ECO 050 - PAVIMENTAÇÃO - Via Marginal ID-04 - Pista Norte BR 050/GO - CRISTALINA - 107,3 - 108 - 0,700000000000003</t>
  </si>
  <si>
    <t>ECO 050 - PAVIMENTAÇÃO - Via Marginal ID-05 - Pista Norte BR 050/GO - CAMPO ALEGRE DE GOIÁS - 207,4 - 209,6 - 2,19999999999999</t>
  </si>
  <si>
    <t>ECO 050 - PAVIMENTAÇÃO - Via Marginal ID-06 - Pista Norte BR 050/GO - CATALÃO - 245,4 - 246,9 - 1,5</t>
  </si>
  <si>
    <t>ECO 050 - PAVIMENTAÇÃO - Via Marginal ID-07 - Pista Norte BR 050/GO - CATALÃO - 276,5 - 280,5 - 4</t>
  </si>
  <si>
    <t>ECO 050 - PAVIMENTAÇÃO - Via Marginal ID-08 - Pista Sul BR 050/GO - CATALÃO - 276,9 - 283,1 - 6,20000000000005</t>
  </si>
  <si>
    <t>ECO 050 - DUPLICAÇÃO - Duplicação (2º ano) - 99,4 - 110,7 - 11,3</t>
  </si>
  <si>
    <t>ECO 050 - DUPLICAÇÃO - Duplicação (2º ano) - 119,9 - 150,9 - 31</t>
  </si>
  <si>
    <t>ECO 050 - DUPLICAÇÃO - Duplicação (3º ano) - 110,7 - 119,9 - 9,2</t>
  </si>
  <si>
    <t>ECO 050 - DUPLICAÇÃO - Duplicação (3º ano) - 140,6 - 143,8 - 3,20000000000002</t>
  </si>
  <si>
    <t>ECO 050 - DUPLICAÇÃO - Duplicação (3º ano) - 150,875 - 190,95 - 40,075</t>
  </si>
  <si>
    <t>ECO 050 - DUPLICAÇÃO - Duplicação (4º ano) - 95,7 - 99,4 - 3,7</t>
  </si>
  <si>
    <t>ECO 050 - DUPLICAÇÃO - Duplicação (4º ano) - 190,5 - 261,1 - 70,6</t>
  </si>
  <si>
    <t>ECO 050 - DUPLICAÇÃO - Duplicação (5º ano) - 257,4 - 314,2 - 56,8</t>
  </si>
  <si>
    <t>ECO 050 - OAE - Interconexão Diamante ID-01 - BR - 050/MG - UBERABA - 124 - 124 - 1</t>
  </si>
  <si>
    <t>ECO 050 - OAE - Interconexão Diamante ID-02- BR - 050/MG - UBERABA - 131,3 - 131,3 - 1</t>
  </si>
  <si>
    <t>ECO 050 - OAE - Interconexão Diamante ID-03- BR - 050/MG - UBERABA - 140,3 - 140,3 - 1</t>
  </si>
  <si>
    <t>ECO 050 - OAE - Interconexão Diamante ID-04- BR - 050/MG - UBERABA - 151,5 - 151,5 - 1</t>
  </si>
  <si>
    <t>ECO 050 - OAE - Interconexão Trombeta ID-01- BR - 050/MG - ARAGUARI - 4 - 4 - 1</t>
  </si>
  <si>
    <t>ECO 050 - OAE - Interconexão Trombeta ID-02- BR - 050/MG - ARAGUARI - 22 - 22 - 1</t>
  </si>
  <si>
    <t>ECO 050 - OAE - Interconexão Trombeta ID-03- BR - 050/MG - UBERABA - 157,5 - 157,5 - 1</t>
  </si>
  <si>
    <t>ECO 050 - OAE - Retorno em Desnível ID-01- BR - 050/MG - UBERLÂNDIA - 101 - 101 - 1</t>
  </si>
  <si>
    <t>ECO 050 - OAE - Interconexão Diamante ID-05- BR - 050/GO - CRISTALINA - 97,3 - 97,3 - 1</t>
  </si>
  <si>
    <t>ECO 050 - OAE - Interconexão Diamante ID-06- BR - 050/GO - CRISTALINA - 111,7 - 111,7 - 1</t>
  </si>
  <si>
    <t>ECO 050 - OAE - Interconexão Diamante ID-07- BR - 050/GO - IPAMERI -Entr GO-519 (Domiciano Ribeiro) - 119,2 - 119,2 - 1</t>
  </si>
  <si>
    <t>ECO 050 - OAE - Interconexão Diamante ID-08- BR - 050/GO - CAMPO ALEGRE DE GOIÁS - 187 - 187 - 1</t>
  </si>
  <si>
    <t>ECO 050 - OAE - Interconexão Diamante ID-09- BR - 050/GO - CAMPO ALEGRE DE GOIÁS - 202,4 - 202,4 - 1</t>
  </si>
  <si>
    <t>ECO 050 - OAE - Interconexão Diamante ID-10- BR - 050/GO - CAMPO ALEGRE DE GOIÁS - 207,6 - 207,6 - 1</t>
  </si>
  <si>
    <t>ECO 050 - OAE - Interconexão Diamante ID-11- BR - 050/GO - CAMPO ALEGRE DE GOIÁS - Entr. BR-490/GO - 209,8 - 209,8 - 1</t>
  </si>
  <si>
    <t>ECO 050 - OAE - Interconexão Diamante ID-12- BR - 050/GO - CATALÃO - 245,4 - 245,4 - 1</t>
  </si>
  <si>
    <t>ECO 050 - OAE - Interconexão Diamante ID-13- BR - 050/GO - CATALÃO - 270,1 - 270,1 - 1</t>
  </si>
  <si>
    <t>ECO 050 - OAE - Interconexão Diamante ID-14- BR - 050/GO - CATALÃO - 273,2 - 273,2 - 1</t>
  </si>
  <si>
    <t>ECO 050 - OAE - Interconexão Diamante ID-15- BR - 050/GO - CATALÃO - 280,5 - 280,5 - 1</t>
  </si>
  <si>
    <t>ECO 050 - OAE - Interconexão Diamante ID-16- BR - 050/GO - CUMARI - 296 - 296 - 1</t>
  </si>
  <si>
    <t>ECO 050 - OAE - Interconexão Tipo Trevo Completo ID-01- BR - 050/GO - CATALÃO - 276,5 - 276,5 - 1</t>
  </si>
  <si>
    <t>ECO 050 - OAE - Interconexão Trombeta ID-04- BR - 050/GO - IPAMERI - 125,2 - 125,2 - 1</t>
  </si>
  <si>
    <t>ECO 050 - OAE - Interconexão Trombeta ID-05- BR - 050/GO - CAMPO ALEGRE DE GOIÁS - 154,5 - 154,5 - 1</t>
  </si>
  <si>
    <t>ECO 050 - OAE - Interconexão Trombeta ID-06- BR - 050/GO - CAMPO ALEGRE DE GOIÁS - 163,5 - 163,5 - 1</t>
  </si>
  <si>
    <t>ECO 050 - OAE - Interconexão Trombeta ID-07- BR - 050/GO - CATALÃO - 265,1 - 265,1 - 1</t>
  </si>
  <si>
    <t>ECO 050 - OAE - Interconexão Trombeta ID-08- BR - 050/GO - CUMARI - ENTR GO 402 - 311,7 - 311,7 - 1</t>
  </si>
  <si>
    <t>ECO 050 - OAE - Retorno em Desnível ID-02- BR - 050/GO - IPAMERI - 140 - 140 - 1</t>
  </si>
  <si>
    <t>ECO 050 - OAE - Retorno em Desnível ID-03- BR - 050/GO - CAMPO ALEGRE DE GOIÁS - 222 - 222 - 1</t>
  </si>
  <si>
    <t>ECO 050 - OAE - Retorno em Desnível ID-04- BR - 050/GO - CATALÃO - 233 - 233 - 1</t>
  </si>
  <si>
    <t>ECO 050 - OAE - Retorno em Desnível ID-05- BR - 050/GO - CATALÃO - 255 - 255 - 1</t>
  </si>
  <si>
    <t>CRO - PAVIMENTAÇÃO - Vias Marginais ID-01 BR 163/MT - 319 - 320,1 - 1,10000000000002</t>
  </si>
  <si>
    <t>CRO - PAVIMENTAÇÃO - Vias Marginais ID-03 BR 163/MT - 595,3 - 598,55 - 3,25</t>
  </si>
  <si>
    <t>CRO - PAVIMENTAÇÃO - Vias Marginais ID-04 BR 163/MT - Direito - 681,8 - 686,2 - 4,40000000000009</t>
  </si>
  <si>
    <t>CRO - PAVIMENTAÇÃO - Vias Marginais ID-04 BR 163/MT - Esquerdo - 681,8 - 685,8 - 4</t>
  </si>
  <si>
    <t>CRO - PAVIMENTAÇÃO - Vias Marginais ID-05 BR 163/MT Direito - 708,9 - 710,3 - 1,39999999999998</t>
  </si>
  <si>
    <t>CRO - PAVIMENTAÇÃO - Vias Marginais ID-05 BR 163/MT Esquerdo - 708,9 - 709,8 - 0,899999999999977</t>
  </si>
  <si>
    <t>CRO - PAVIMENTAÇÃO - Vias Marginais ID-06 BR 163/MT Direito - 818,9 - 822 - 3,10000000000002</t>
  </si>
  <si>
    <t>CRO - PAVIMENTAÇÃO - Vias Marginais ID-06 BR 163/MT Esquerdo - 818,9 - 822 - 3,10000000000002</t>
  </si>
  <si>
    <t>CRO - PAVIMENTAÇÃO - Vias Marginais ID-07 BR 163/MT Direito - 853,9 - 855 - 1,10000000000002</t>
  </si>
  <si>
    <t>CRO - PAVIMENTAÇÃO - Vias Marginais ID-07 BR 163/MT Esquerdo - 853,9 - 855 - 1,10000000000002</t>
  </si>
  <si>
    <t>CRO - PAVIMENTAÇÃO - Vias Marginais ID-02 BR 406/MT Direito - 339,1 - 342 - 2,89999999999998</t>
  </si>
  <si>
    <t>CRO - PAVIMENTAÇÃO - Vias Marginais ID-02 BR 406/MT Esquerdo - 339,1 - 340,2 - 1,09999999999997</t>
  </si>
  <si>
    <t>CRO - DUPLICAÇÃO - Duplicação - Meta ano 1 - 0 - 72,6 - 72,6</t>
  </si>
  <si>
    <t>CRO - DUPLICAÇÃO - Duplicação - Meta ano 2 - 72,6 - 181,5 - 108,9</t>
  </si>
  <si>
    <t>CRO - DUPLICAÇÃO - Duplicação - Meta ano 3 - 108,9 - 263,1 - 154,2</t>
  </si>
  <si>
    <t>CRO - DUPLICAÇÃO - Duplicação - Meta ano 4 - 154,2 - 272,1 - 117,9</t>
  </si>
  <si>
    <t>CRO - DUPLICAÇÃO - Duplicação Posterior (Remanescente DNIT) - 353,5 - 461,7 - 108,2</t>
  </si>
  <si>
    <t>CRO - OAE - Interconexão Diamante ID-01 - BR-163/MT - 14 - 14 - 1</t>
  </si>
  <si>
    <t>CRO - OAE - Interconexão Diamante ID-02 - BR-163/MT - 48 - 48 - 1</t>
  </si>
  <si>
    <t>CRO - OAE - Interconexão Diamante ID-03 - BR-163/MT - 77 - 77 - 1</t>
  </si>
  <si>
    <t>CRO - OAE - Interconexão Diamante ID-04 - BR-163/MT - 94,2 - 94,2 - 1</t>
  </si>
  <si>
    <t>CRO - OAE - Interconexão Diamante ID-05 - BR-163/MT - 111 - 111 - 1</t>
  </si>
  <si>
    <t>CRO - OAE - Interconexão Diamante ID-06 - BR-163/MT - 117,6 - 117,6 - 1</t>
  </si>
  <si>
    <t>CRO - OAE - Interconexão Diamante ID-07 - BR-163/MT - 261,9 - 261,9 - 1</t>
  </si>
  <si>
    <t>CRO - OAE - Interconexão Diamante ID-08 - BR-163/MT - 279 - 279 - 1</t>
  </si>
  <si>
    <t>CRO - OAE - Interconexão Diamante ID-09 - BR-163/MT - 270,5 - 270,5 - 1</t>
  </si>
  <si>
    <t>CRO - OAE - Interconexão Diamante ID-10 - BR-163/MT - 315,4 - 315,4 - 1</t>
  </si>
  <si>
    <t>CRO - OAE - Interconexão Diamante ID-11 - BR-163/MT - 320,1 - 320,1 - 1</t>
  </si>
  <si>
    <t>CRO - OAE - Interconexão Diamante ID-12 - BR-163/MT - 347,7 - 347,7 - 1</t>
  </si>
  <si>
    <t>CRO - OAE - Interconexão Diamante ID-13 - BR-163/MT - 465,5 - 465,5 - 1</t>
  </si>
  <si>
    <t>CRO - OAE - Interconexão Diamante ID-14 - BR-163/MT - 475,9 - 475,9 - 1</t>
  </si>
  <si>
    <t>CRO - OAE - Interconexão Diamante ID-15 - BR-163/MT - 480 - 480 - 1</t>
  </si>
  <si>
    <t>CRO - OAE - Interconexão Diamante ID-16 - BR-163/MT - 503,5 - 503,5 - 1</t>
  </si>
  <si>
    <t>CRO - OAE - Interconexão Diamante ID-17 - BR-163/MT - 572,7 - 572,7 - 1</t>
  </si>
  <si>
    <t>CRO - OAE - Interconexão Diamante ID-18 - BR-163/MT - 592,9 - 592,9 - 1</t>
  </si>
  <si>
    <t>CRO - OAE - Interconexão Diamante ID-19 - BR-163/MT - 599,2 - 599,2 - 1</t>
  </si>
  <si>
    <t>CRO - OAE - Interconexão Diamante ID-20 - BR-163/MT - 644 - 644 - 1</t>
  </si>
  <si>
    <t>CRO - OAE - Interconexão Diamante ID-21 - BR-163/MT - 660 - 660 - 1</t>
  </si>
  <si>
    <t>CRO - OAE - Interconexão Diamante ID-22 - BR-163/MT - 689,5 - 689,5 - 1</t>
  </si>
  <si>
    <t>CRO - OAE - Interconexão Diamante ID-23 - BR-163/MT - 713,8 - 713,8 - 1</t>
  </si>
  <si>
    <t>CRO - OAE - Interconexão Diamante ID-24 - BR-163/MT - 758,8 - 758,8 - 1</t>
  </si>
  <si>
    <t>CRO - OAE - Interconexão Diamante ID-25 - BR-163/MT - 762,8 - 762,8 - 1</t>
  </si>
  <si>
    <t>CRO - OAE - Interconexão Diamante ID-26 - BR-163/MT - 819,8 - 819,8 - 1</t>
  </si>
  <si>
    <t>CRO - OAE - Interconexão Diamante ID-27 - BR-163/MT - 831,5 - 831,5 - 1</t>
  </si>
  <si>
    <t>CRO - OAE - Interconexão Diamante ID-28 - BR-163/MT - 833,3 - 833,3 - 1</t>
  </si>
  <si>
    <t>CRO - OAE - Interconexão Diamante ID-29 - BR-163/MT - 839,8 - 839,8 - 1</t>
  </si>
  <si>
    <t>CRO - OAE - Interconexão Diamante ID-30 - BR-163/MT - 855 - 855 - 1</t>
  </si>
  <si>
    <t>CRO - OAE - Interconexão Trombeta ID - 01 - BR - 163/MT - 102 - 102 - 1</t>
  </si>
  <si>
    <t>CRO - OAE - Interconexão Trombeta ID - 02 - BR - 163/MT - 107 - 107 - 1</t>
  </si>
  <si>
    <t>CRO - OAE - Interconexão Trombeta ID - 03 - BR - 163/MT - 787,3 - 787,3 - 1</t>
  </si>
  <si>
    <t>CRO - OAE - Interconexão Trombeta ID - 04 - BR - 163/MT - 119,9 - 119,9 - 1</t>
  </si>
  <si>
    <t>CRO - OAE - Retorno em desnível ID - 01 - BR - 163/MT - 32 - 32 - 1</t>
  </si>
  <si>
    <t>CRO - OAE - Retorno em desnível ID - 02 - BR - 163/MT - 56,43 - 56,43 - 1</t>
  </si>
  <si>
    <t>CRO - OAE - Retorno em desnível ID - 03 - BR - 163/MT - 548 - 548 - 1</t>
  </si>
  <si>
    <t>CRO - OAE - Retorno em desnível ID - 04 - BR - 163/MT - 620 - 620 - 1</t>
  </si>
  <si>
    <t>CRO - OAE - Retorno em desnível ID - 05 - BR - 163/MT - 670 - 670 - 1</t>
  </si>
  <si>
    <t>CRO - OAE - Retorno em desnível ID - 06 - BR - 163/MT - 805 - 805 - 1</t>
  </si>
  <si>
    <t>CRO - OAE - Interconexão tipo Trevo Completo ID-01 - BR - 407/MT - 322,8 - 322,8 - 1</t>
  </si>
  <si>
    <t>CRO - OAE - Interconexão tipo Trevo Completo ID-02 - BR - 407/MT - 329 - 329 - 1</t>
  </si>
  <si>
    <t>CRO - OAE - Interconexão tipo Trevo Completo ID-03 - BR - 407/MT - 339,1 - 339,1 - 1</t>
  </si>
  <si>
    <t>CRO - OAE - Interconexão tipo Trevo Completo ID-04 - BR - 407/MT - 342,7 - 342,7 - 1</t>
  </si>
  <si>
    <t>CRO - CONTORNO - Implantação de Contornos em pista dupla em trecho urbano - Rondonópolis - MT - 117,6 - 119,9 - 2,30000000000001</t>
  </si>
  <si>
    <t>ECOPONTE - PAVIMENTAÇÃO - Execução de Alça de Ligação Ponte - Linha Vermelha: concepção em viaduto elevado - extensão de 2,4 km - 0 - 2,4 - 2,4</t>
  </si>
  <si>
    <t>ECOPONTE - PAVIMENTAÇÃO - Execução de Ligação entre a Ponte e a Avenida Brasil. Concepção em viaduto elevado -  (Extensão?) - 0 - 5 - 5</t>
  </si>
  <si>
    <t>ECOPONTE - OAE - Execução de Alça de Ligação Ponte - Linha Vermelha: concepção em viaduto elevado - extensão de 2,4 km - 121 - 121 - 1</t>
  </si>
  <si>
    <t>ECOPONTE - OAE - Execução de Mergulhão em Niteroi - Passagem subterrânea sob a Praça Renascença - 321 - 321 - 1</t>
  </si>
  <si>
    <t>ECOPONTE - OAE - Execução de Ligação entre a Ponte e a Avenida Brasil. Concepção em viaduto elevado -  (Extensão?) - 1 - 1 - 1</t>
  </si>
  <si>
    <t>ECOPONTE - TERCEIRA FAIXA - Alargamento da rampa N4 no Sentido Rio-Niterói entre a Praça de Pedágio e o Acesso à Avenida Feliciano Sodré - Implantação de Faixa Adicionalà Rampa N4 (Extensão?) - 0 - 1 - 1</t>
  </si>
  <si>
    <t>ECOPONTE - TERCEIRA FAIXA - Alargamento do Viaduto da Rampa N12 - implantação da faixa adicional à rampa N12 (Extensão?) - 0 - 1 - 1</t>
  </si>
  <si>
    <t>CONCESSÃO VIA SUL - PAVIMENTAÇÃO - Vias marginais - km 243,6 ao km 246,9 LE - Soledade - 243,6 - 246,9 - 3,30000000000001</t>
  </si>
  <si>
    <t>CONCESSÃO VIA SUL - PAVIMENTAÇÃO - Vias marginais - km 243,6 ao km 246,9 LD - Soledade - 243,6 - 246,9 - 3,30000000000001</t>
  </si>
  <si>
    <t>CONCESSÃO VIA SUL - PAVIMENTAÇÃO - Vias marginais - km 268 ao km 271,8 LE - Fontoura Xavier - 268 - 271,8 - 3,80000000000001</t>
  </si>
  <si>
    <t>CONCESSÃO VIA SUL - PAVIMENTAÇÃO - Vias marginais - km 268 ao km 271,8 LD - Fontoura Xavier - 268 - 271,8 - 3,80000000000001</t>
  </si>
  <si>
    <t>CERRADO - PAVIMENTAÇÃO - Vias Marginais  (Chaveslândia) - 870,7 - 872,3 - 1,59999999999991</t>
  </si>
  <si>
    <t>CERRADO - PAVIMENTAÇÃO - Vias Marginais LD (São Simão) - 5 - 8,5 - 3,5</t>
  </si>
  <si>
    <t>CERRADO - PAVIMENTAÇÃO - Vias Marginais LD (Cachoeira Alta) - 57 - 58 - 1</t>
  </si>
  <si>
    <t>CERRADO - PAVIMENTAÇÃO - Vias Marginais LE (Cachoeira Alta) - 57 - 58 - 1</t>
  </si>
  <si>
    <t>VIA COSTEIRA - PAVIMENTAÇÃO - Não Consta (pista Sul) - 327,5 - 328,83 - 1,32999999999998</t>
  </si>
  <si>
    <t>VIA COSTEIRA - PAVIMENTAÇÃO - Não Consta (pista Sul) - 328,9 - 331,4 - 2,5</t>
  </si>
  <si>
    <t>VIA COSTEIRA - PAVIMENTAÇÃO - Não Consta (pista Sul) - 332,07 - 332,77 - 0,699999999999989</t>
  </si>
  <si>
    <t>VIA COSTEIRA - PAVIMENTAÇÃO - Não Consta (Pista Norte) - 329,6 - 328,45 - 1,15000000000003</t>
  </si>
  <si>
    <t>VIA COSTEIRA - PAVIMENTAÇÃO - Não Consta (Pista Norte) - 278 - 276,45 - 1,55000000000001</t>
  </si>
  <si>
    <t>VIA COSTEIRA - PAVIMENTAÇÃO - Não Consta (Pista Norte) - 275,7 - 273,73 - 1,96999999999997</t>
  </si>
  <si>
    <t>VIA COSTEIRA - PAVIMENTAÇÃO - Não Consta (Pista Norte) - 273,73 - 272,85 - 0,879999999999995</t>
  </si>
  <si>
    <t>VIA COSTEIRA - PAVIMENTAÇÃO - Não Consta (Pista Norte) - 272,45 - 271,35 - 1,09999999999997</t>
  </si>
  <si>
    <t>VIA BRASIL - PAVIMENTAÇÃO - Vias Marginais - 120,36 - 121,36 - 1</t>
  </si>
  <si>
    <t>VIA BRASIL - PAVIMENTAÇÃO - Vias Marginais - 156,26 - 159,46 - 3,20000000000002</t>
  </si>
  <si>
    <t>VIA BRASIL - PAVIMENTAÇÃO - Vias Marginais - 157,22 - 159,46 - 2,24000000000001</t>
  </si>
  <si>
    <t>VIA BRASIL - PAVIMENTAÇÃO - Vias Marginais - 225,57 - 226,67 - 1,09999999999999</t>
  </si>
  <si>
    <t>VIA BRASIL - PAVIMENTAÇÃO - Vias Marginais - 226 - 226,8 - 0,800000000000011</t>
  </si>
  <si>
    <t>VIA BRASIL - PAVIMENTAÇÃO - Vias Marginais - 278,84 - 279,84 - 1</t>
  </si>
  <si>
    <t>RIO/SP - PAVIMENTAÇÃO - Vias Marginais (Esquerdo) - 151,3 - 157,69 - 6,38999999999999</t>
  </si>
  <si>
    <t>RIO/SP - PAVIMENTAÇÃO - Vias Marginais (Direito) - 152,89 - 157,03 - 4,14000000000001</t>
  </si>
  <si>
    <t>RIO/SP - PAVIMENTAÇÃO - Vias Marginais (Direito) - 209,95 - 211,4 - 1,45000000000002</t>
  </si>
  <si>
    <t>CONCESSÃO VIA SUL - DUPLICAÇÃO - Duplicacões - km 243+600 ao km 269+200 - Soledade e Fontoura Xavier - 243,6 - 269,2 - 25,6</t>
  </si>
  <si>
    <t>TRANSBRASILIANA - DUPLICAÇÃO - Obras de Duplicação – Lote 02: km 162+000 ao 195+000, com execução prevista do 14º ano ao 16º ano - 162 - 195 - 33</t>
  </si>
  <si>
    <t>FLUMINENSE - DUPLICAÇÃO - Duplicações (inclusive OAE's): - 215,3 - 217,1 - 1,79999999999998</t>
  </si>
  <si>
    <t>CONCESSÃO VIA SUL - OAE - Interconexao Tipo Diamante - km 39+720 - Tres Forquilhas - 39,72 - 39,72 - 1</t>
  </si>
  <si>
    <t>CONCESSÃO VIA SUL - OAE -  OAE  Nova Duplicada - km 245+330  - 245,33 - 245,33 - 1</t>
  </si>
  <si>
    <t>CONCESSÃO VIA SUL - OAE - Passagem Inferior - km 245+330 - Passagem inferior Soledade - 245,33 - 245,33 - 1</t>
  </si>
  <si>
    <t>CONCESSÃO VIA SUL - OAE - Interconexao Tipo Diamante - km 247+300 - Soledade - 247,3 - 247,3 - 1</t>
  </si>
  <si>
    <t>CONCESSÃO VIA SUL - OAE - Interconexao Tipo Diamante - km 249+900 - Soledade - 249,9 - 249,9 - 1</t>
  </si>
  <si>
    <t>CONCESSÃO VIA SUL - OAE - OAE  Nova Duplicada - km 252+100  - 252,1 - 252,1 - 1</t>
  </si>
  <si>
    <t>CONCESSÃO VIA SUL - OAE - Interconexão - Trevo Completo (BR-287/BR-479) - Triunfo - Km 392+700 SNV* - 390,8 - 390,8 - 1</t>
  </si>
  <si>
    <t>VIA COSTEIRA - OAE - Pista Marginal Sul] - 328,85 - 328,85 - 1</t>
  </si>
  <si>
    <t>VIA COSTEIRA - OAE - Pista Marginal Norte - 328,75 - 328,75 - 1</t>
  </si>
  <si>
    <t>VIA BRASIL - OAE - OAE - Vias Marginais - 158,72 - 158,72 - 1</t>
  </si>
  <si>
    <t>VIA BRASIL - OAE - OAE - Vias Marginais - 157,47 - 157,47 - 1</t>
  </si>
  <si>
    <t>RIO/SP - OAE - OAE - Intersecção Diamante - 213,1 - 213,1 - 1</t>
  </si>
  <si>
    <t>RIO/SP - OAE - OAE - Intersecção Trombeta - 157,5 - 157,5 - 1</t>
  </si>
  <si>
    <t>TRANSBRASILIANA - OAE - Implantação de Trevos em Desnível, com Alças, em Pista Dupla – Completo: 3 interseções em localização a definir - 1 - 1 - 3</t>
  </si>
  <si>
    <t>TRANSBRASILIANA - OAE - Implantação de Passagens em Desnível Inferior Tipo Viaduto: a definir, a ser executada no 16º ano. - 1 - 1 - 1</t>
  </si>
  <si>
    <t>TRANSBRASILIANA - OAE - Passagem Superior - km 169+300 (Trevo em Desnível), com execução prevista do 14º ano ao 16º ano ( - 1 - 1 - 1</t>
  </si>
  <si>
    <t>TRANSBRASILIANA - OAE - Interseção - km 174+015 - Lote 02 - 1 - 1 - 1</t>
  </si>
  <si>
    <t>TRANSBRASILIANA - OAE - Interseção -km 177+600;- Lote 02 - 1 - 1 - 1</t>
  </si>
  <si>
    <t>TRANSBRASILIANA - OAE - Interseção -km 182+140;- Lote 02 - 1 - 1 - 1</t>
  </si>
  <si>
    <t>TRANSBRASILIANA - OAE - Interseção -km 194+700,- Lote 02 - 1 - 1 - 1</t>
  </si>
  <si>
    <t>FLUMINENSE - OAE - Implantação de Trevos em desnível – Completo:Conclusão do trevo em desnível de Silva Jardim, - 236,7 - 236,7 - 1</t>
  </si>
  <si>
    <t>FLUMINENSE - OAE - Implantação de Trevos em Desnível, com Alças, em Pista Dupla – Parcial:Conclusão do trevo em desnível de Silva Jardim, localizado no km 236+700 - 236,7 - 236,7 - 1</t>
  </si>
  <si>
    <t>CERRADO - FX ADICIONAL - Implantação de 3ª Faixa - 753,2 - 793,4 - 40,1999999999999</t>
  </si>
  <si>
    <t>VIA BRASIL - FX ADICIONAL - Faixa Adicional  - 885,65 - 887,261 - 1,61099999999999</t>
  </si>
  <si>
    <t>VIA BRASIL - FX ADICIONAL - Faixa Adicional  - 893,066 - 896,256 - 3,18999999999994</t>
  </si>
  <si>
    <t>VIA BRASIL - FX ADICIONAL - Faixa Adicional  - 902,851 - 904,759 - 1,90800000000002</t>
  </si>
  <si>
    <t>RIO/SP - FX ADICIONAL - 3ª e 4ª faixa (LD e LE) - 151,3 - 157,8 - 13</t>
  </si>
  <si>
    <t>CONCESSÃO VIA SUL - PAVIMENTAÇÃO - Tio Hugo (Esquerdo) - 213,4 - 214,7 - 1,29999999999998</t>
  </si>
  <si>
    <t>CONCESSÃO VIA SUL - PAVIMENTAÇÃO - Tio Hugo (Direito) - 213,4 - 214,7 - 1,29999999999998</t>
  </si>
  <si>
    <t>CERRADO - PAVIMENTAÇÃO - Vias Marginais LD (Ituiutaba) - 752,6 - 753,2 - 0,600000000000023</t>
  </si>
  <si>
    <t>CERRADO - PAVIMENTAÇÃO - Vias Marginais LE (Ituiutaba) - 752,6 - 753,2 - 0,600000000000023</t>
  </si>
  <si>
    <t>CERRADO - PAVIMENTAÇÃO - Vias Marginais LD (Ituiutaba) - 753,2 - 754,5 - 1,29999999999995</t>
  </si>
  <si>
    <t>CERRADO - PAVIMENTAÇÃO - Vias Marginais LE (Ituiutaba) - 753,2 - 754,5 - 1,29999999999995</t>
  </si>
  <si>
    <t>CERRADO - PAVIMENTAÇÃO - Vias Marginais LD (Aparecida do Rio Doce) - 113,9 - 114,6 - 0,699999999999989</t>
  </si>
  <si>
    <t>CERRADO - PAVIMENTAÇÃO - Vias Marginais LE (Aparecida do Rio Doce) - 113,8 - 114,6 - 0,799999999999997</t>
  </si>
  <si>
    <t>VIA COSTEIRA - PAVIMENTAÇÃO - Não Consta (pista Sul) - 273,03 - 276 - 2,97000000000003</t>
  </si>
  <si>
    <t>VIA COSTEIRA - PAVIMENTAÇÃO - Não Consta (pista Sul) - 276,72 - 277,84 - 1,11999999999995</t>
  </si>
  <si>
    <t>VIA COSTEIRA - PAVIMENTAÇÃO - Não Consta (pista Sul) - 279,07 - 279,75 - 0,680000000000007</t>
  </si>
  <si>
    <t>VIA COSTEIRA - PAVIMENTAÇÃO - Não Consta (Pista Norte) - 289,3 - 288,5 - 0,800000000000011</t>
  </si>
  <si>
    <t>VIA COSTEIRA - PAVIMENTAÇÃO - Não Consta (Pista Norte) - 286,85 - 285,8 - 1,05000000000001</t>
  </si>
  <si>
    <t>VIA COSTEIRA - PAVIMENTAÇÃO - Não Consta (Pista Norte) - 281,8 - 278,6 - 3,19999999999999</t>
  </si>
  <si>
    <t>ARAGUAIA - PAVIMENTAÇÃO - Não Consta (Decrescente) - 622,7 - 624,3 - 1,59999999999991</t>
  </si>
  <si>
    <t>ARAGUAIA - PAVIMENTAÇÃO - Não Consta (Crescente) - 622,7 - 624,3 - 1,59999999999991</t>
  </si>
  <si>
    <t>ARAGUAIA - PAVIMENTAÇÃO - Não Consta (Decrescente) - 671,2 - 676,8 - 5,59999999999991</t>
  </si>
  <si>
    <t>ARAGUAIA - PAVIMENTAÇÃO - Não Consta (Crescente) - 671,4 - 676,8 - 5,39999999999998</t>
  </si>
  <si>
    <t>VIA BRASIL - PAVIMENTAÇÃO - Vias Marginais - 344,2 - 345,05 - 0,850000000000023</t>
  </si>
  <si>
    <t>VIA BRASIL - PAVIMENTAÇÃO - Vias Marginais - 409,1 - 411,3 - 2,19999999999999</t>
  </si>
  <si>
    <t>VIA BRASIL - PAVIMENTAÇÃO - Vias Marginais - 408,4 - 411,6 - 3,20000000000005</t>
  </si>
  <si>
    <t>VIA BRASIL - PAVIMENTAÇÃO - Vias Marginais - 527,4 - 527,85 - 0,450000000000045</t>
  </si>
  <si>
    <t>VIA BRASIL - PAVIMENTAÇÃO - Vias Marginais - 574,4 - 575,5 - 1,10000000000002</t>
  </si>
  <si>
    <t>VIA BRASIL - PAVIMENTAÇÃO - Vias Marginais - 574,4 - 575,6 - 1,20000000000005</t>
  </si>
  <si>
    <t>VIA BRASIL - PAVIMENTAÇÃO - Acesso ao Porto de Miritituba - 1144,3 - xxx - 8,3</t>
  </si>
  <si>
    <t>VIA BRASIL - PAVIMENTAÇÃO - Acesso ao Porto de Itapacurá - 1134,46 - xxx - 14,5</t>
  </si>
  <si>
    <t>VIA BRASIL - PAVIMENTAÇÃO - Acesso ao Terminal Portuário de Santarenzinho - 1112,9 - xxx - 16,52</t>
  </si>
  <si>
    <t>RIO/SP - PAVIMENTAÇÃO - Direito - 151,3 - 152,16 - 0,859999999999985</t>
  </si>
  <si>
    <t>RIO/SP - PAVIMENTAÇÃO - Direito - 204,74 - 206,327 - 1,58699999999999</t>
  </si>
  <si>
    <t>RIO/SP - PAVIMENTAÇÃO - Direito - 206,327 - 208 - 1,673</t>
  </si>
  <si>
    <t>RIO/SP - PAVIMENTAÇÃO - Direito - 208 - 209,95 - 1,94999999999999</t>
  </si>
  <si>
    <t>RIO/SP - PAVIMENTAÇÃO - Esquerdo - 208,3 - 210,7 - 2,39999999999998</t>
  </si>
  <si>
    <t>CONCESSÃO VIA SUL - DUPLICAÇÃO - Tio Hugo - Soledade - 213,1 - 243,6 - 30,5</t>
  </si>
  <si>
    <t>ARAGUAIA - DUPLICAÇÃO - Nada Consta - 622,7 - 624,3 - 1,59999999999991</t>
  </si>
  <si>
    <t>ARAGUAIA - DUPLICAÇÃO - Nada Consta - 663 - 671,19 - 8,19000000000005</t>
  </si>
  <si>
    <t>ARAGUAIA - DUPLICAÇÃO - Nada Consta - 671,19 - 677 - 5,80999999999995</t>
  </si>
  <si>
    <t>TRANSBRASILIANA - DUPLICAÇÃO - Obras de Duplicação – Lote 01: km 0 ao km 51+700, com execução prevista do 14º ano ao 17º ano - 0 - 51,7 - 51,7</t>
  </si>
  <si>
    <t>CONCESSÃO VIA SUL - OAE - Interconexão Tipo Trevo Completo - Tio Hugo - Reformulação - 213,1 - 213,1 - 1</t>
  </si>
  <si>
    <t>CONCESSÃO VIA SUL - OAE - Interconexão Tipo Diamante - Tio Hugo - 218,7 - 218,7 - 1</t>
  </si>
  <si>
    <t>CONCESSÃO VIA SUL - OAE - Interconexão Tipo Trombeta - Mormaço - 225,32 - 225,32 - 1</t>
  </si>
  <si>
    <t>CONCESSÃO VIA SUL - OAE - Interconexão Tipo Diamante - Soledade - 243,6 - 243,6 - 1</t>
  </si>
  <si>
    <t>VIA COSTEIRA - OAE - Dispositivo em Desnível - 401,85 - 401,85 - 1</t>
  </si>
  <si>
    <t>ARAGUAIA - OAE - Passagem Inferior - 624 - 624 - 1</t>
  </si>
  <si>
    <t>ARAGUAIA - OAE - Trombeta - 622,7 - 622,7 - 1</t>
  </si>
  <si>
    <t>ARAGUAIA - OAE - Diamante - 671,75 - 671,75 - 1</t>
  </si>
  <si>
    <t>ARAGUAIA - OAE - Diamante - 674,25 - 674,25 - 1</t>
  </si>
  <si>
    <t>VIA BRASIL - OAE - Trombeta - 969,8 - 969,8 - 1</t>
  </si>
  <si>
    <t>VIA BRASIL - OAE - Trombeta - 973,6 - 973,6 - 1</t>
  </si>
  <si>
    <t>VIA BRASIL - OAE - Diamante - 1001,5 - 1001,5 - 1</t>
  </si>
  <si>
    <t>VIA BRASIL - OAE - Diamante - 1045,1 - 1045,1 - 1</t>
  </si>
  <si>
    <t>VIA BRASIL - OAE - Rotatória Alonga - Acesso ao Porto de Miritituba - 1144,3 - 1144,3 - 1</t>
  </si>
  <si>
    <t>VIA BRASIL - OAE - Rotatória Alonga - Acesso ao Porto de Itapacurá - 1134,46 - 1134,46 - 1</t>
  </si>
  <si>
    <t>VIA BRASIL - OAE - Rotatória Alonga - Acesso ao Porto de Santarenzinho - 1112,9 - 1112,9 - 1</t>
  </si>
  <si>
    <t>VIA BRASIL - OAE - OAE - Vias Marginais - 311 - 311 - 1</t>
  </si>
  <si>
    <t>RIO/SP - OAE - Ponte - 127,439 - 127,439 - 1</t>
  </si>
  <si>
    <t>RIO/SP - OAE - Ponte - 153,45 - 153,45 - 1</t>
  </si>
  <si>
    <t>RIO/SP - OAE - Ponte - 157,59 - 157,59 - 1</t>
  </si>
  <si>
    <t>RIO/SP - OAE - Ponte - 157,64 - 157,64 - 1</t>
  </si>
  <si>
    <t>RIO/SP - OAE - Ponte - 222,84 - 222,84 - 1</t>
  </si>
  <si>
    <t>RIO/SP - OAE - Ponte - 222,95 - 222,95 - 1</t>
  </si>
  <si>
    <t>LITORAL - OAE - Implantação de Passagens em Desnível Superior Tipo Viaduto: Passagem superior (Relocação 1), no km 229+300 do Contorno de Florianópolis - 229,3 - 229,3 - 1</t>
  </si>
  <si>
    <t>LITORAL - OAE - Implantação de Passagens em Desnível Superior Tipo Viaduto: Passagem superior (Relocação 3), no km 232+150 do Contorno de Florianópolis - 232,15 - 232,15 - 1</t>
  </si>
  <si>
    <t>CERRADO - FX ADICIONAL - Implantação de 3ª Faixa - 795,9 - 871,1 - 75,2</t>
  </si>
  <si>
    <t>CERRADO - FX ADICIONAL - Implantação de 3ª Faixa - 871,1 - 873,3 - 2,19999999999993</t>
  </si>
  <si>
    <t>VIA BRASIL - FX ADICIONAL - Faixa Adicional  - 912,663 - 913,951 - 1,28800000000001</t>
  </si>
  <si>
    <t>VIA BRASIL - FX ADICIONAL - Faixa Adicional  - 923,459 - 924,655 - 1,19600000000003</t>
  </si>
  <si>
    <t>VIA BRASIL - FX ADICIONAL - Faixa Adicional  - 932,559 - 936,65 - 4,09100000000001</t>
  </si>
  <si>
    <t>VIA BRASIL - FX ADICIONAL - Faixa Adicional  - 940,051 - 940,958 - 0,906999999999925</t>
  </si>
  <si>
    <t>VIA BRASIL - FX ADICIONAL - Faixa Adicional  - 940,958 - 943,05 - 2,09199999999998</t>
  </si>
  <si>
    <t>VIA BRASIL - FX ADICIONAL - Faixa Adicional  - 944,05 - 946,358 - 2,30799999999999</t>
  </si>
  <si>
    <t>Pós 2026</t>
  </si>
  <si>
    <t>PÓS 2026</t>
  </si>
  <si>
    <t>Decrescente</t>
  </si>
  <si>
    <t>Crescente</t>
  </si>
  <si>
    <t>RIO/MINAS</t>
  </si>
  <si>
    <t>São José do Herval (Direita)</t>
  </si>
  <si>
    <t>Estrela (esquerda)</t>
  </si>
  <si>
    <t>Estrela (Direita)</t>
  </si>
  <si>
    <t>Tabaí ( (esquerda)</t>
  </si>
  <si>
    <t>Triunfo (esquerdo)</t>
  </si>
  <si>
    <t>Triunfo (direita)</t>
  </si>
  <si>
    <t>Triunfo/Montenegro  (Esquerdo)</t>
  </si>
  <si>
    <t>Triunfo/Montenegro  (Direito)</t>
  </si>
  <si>
    <t>Nova Santa Rita (Esquerda)</t>
  </si>
  <si>
    <t>Nova Santa Rita (Direita)</t>
  </si>
  <si>
    <t>Serra das Araras (Nova Pista Subida)</t>
  </si>
  <si>
    <t>Fontoura Xavier / Marques de Souza</t>
  </si>
  <si>
    <t>Carazinho - Tio Hugo</t>
  </si>
  <si>
    <t>Tabaí - Canoas</t>
  </si>
  <si>
    <t>Trecho 13</t>
  </si>
  <si>
    <t>Trecho 14</t>
  </si>
  <si>
    <t>Intersecção Diamante</t>
  </si>
  <si>
    <t>Intersecção Tipo Parclo</t>
  </si>
  <si>
    <t>Interconexão Tipo Diamante - São José do Herval</t>
  </si>
  <si>
    <t>Interconexão Tipo Diamante - Pouso Novo</t>
  </si>
  <si>
    <t>Trevo Completo</t>
  </si>
  <si>
    <t xml:space="preserve">Passagem Inferior - </t>
  </si>
  <si>
    <t>Passagem Inferior Norte</t>
  </si>
  <si>
    <t>Passagem Inferior Sul</t>
  </si>
  <si>
    <t>Interconexão Tipo Trombeta- Estrela</t>
  </si>
  <si>
    <t>Interconexão Tipo Diamante - Estrela</t>
  </si>
  <si>
    <t>Interconexão Tipo Diamante - Fazenda Vila Nova</t>
  </si>
  <si>
    <t>Interconexão Tipo Diamante - Triunfo</t>
  </si>
  <si>
    <t>Intersecção Trombeta</t>
  </si>
  <si>
    <t>Intersecção Trevo Completo</t>
  </si>
  <si>
    <t>Ponte Pista Norte (Serra das Araras)</t>
  </si>
  <si>
    <t>Ponte Pista Sul (Serra das Araras)</t>
  </si>
  <si>
    <t>Túnel BR 116 RJ (Serra das Araras)</t>
  </si>
  <si>
    <t>Novas OAEs</t>
  </si>
  <si>
    <t>Túnel BR 101 RJ (Muriqui)</t>
  </si>
  <si>
    <t>Túnel BR 101 RJ (Mangaratiba Interno)</t>
  </si>
  <si>
    <t>Túnel BR 101 RJ (Mangaratiba Externo)</t>
  </si>
  <si>
    <t>Segmento 41A</t>
  </si>
  <si>
    <t>Entr. RS 030 - Acesso RS - 030</t>
  </si>
  <si>
    <t>AcessoRS 030 - Entr. RS-118</t>
  </si>
  <si>
    <t>Faixa Adicional Pista Sul</t>
  </si>
  <si>
    <t>Faixa Adicional (ambas as pistas)</t>
  </si>
  <si>
    <t>30 (SUL)</t>
  </si>
  <si>
    <t>30 (NORTE)</t>
  </si>
  <si>
    <t>42 (SUL)</t>
  </si>
  <si>
    <t>42 (NORTE)</t>
  </si>
  <si>
    <t>3ª faixa (LD e LE)</t>
  </si>
  <si>
    <t>3ª faixa (LD)</t>
  </si>
  <si>
    <t>3ª faixa (LE)</t>
  </si>
  <si>
    <t>VIA COSTEIRA - PAVIMENTAÇÃO - Não Consta (pista Sul) - 280 - 281,8 - 1,80000000000001</t>
  </si>
  <si>
    <t>VIA COSTEIRA - PAVIMENTAÇÃO - Não Consta (pista Sul) - 282,7 - 284,03 - 1,32999999999998</t>
  </si>
  <si>
    <t>VIA COSTEIRA - PAVIMENTAÇÃO - Não Consta (pista Sul) - 287,5 - 288,04 - 0,54000000000002</t>
  </si>
  <si>
    <t>VIA COSTEIRA - PAVIMENTAÇÃO - Não Consta (pista Sul) - 413,2 - 415,2 - 2</t>
  </si>
  <si>
    <t>VIA COSTEIRA - PAVIMENTAÇÃO - Não Consta (pista Sul) - 417,25 - 417,65 - 0,399999999999977</t>
  </si>
  <si>
    <t>VIA COSTEIRA - PAVIMENTAÇÃO - Não Consta (Pista Norte) - 324,1 - 320,15 - 3,95000000000005</t>
  </si>
  <si>
    <t>ARAGUAIA - PAVIMENTAÇÃO - Não Consta (Crescente) - 720,8 - 723,9 - 3,10000000000002</t>
  </si>
  <si>
    <t>ARAGUAIA - PAVIMENTAÇÃO - Não Consta (Decrescente) - 720,8 - 723,9 - 3,10000000000002</t>
  </si>
  <si>
    <t>ARAGUAIA - PAVIMENTAÇÃO - Não Consta (Crescente) - 759,7 - 762,9 - 3,19999999999993</t>
  </si>
  <si>
    <t>ARAGUAIA - PAVIMENTAÇÃO - Não Consta (Decrescente) - 797,3 - 799,7 - 2,40000000000009</t>
  </si>
  <si>
    <t>ARAGUAIA - PAVIMENTAÇÃO - Não Consta (Decrescente) - 197,9 - 202,5 - 4,59999999999999</t>
  </si>
  <si>
    <t>ARAGUAIA - PAVIMENTAÇÃO - Não Consta (Crescente) - 197,9 - 202,5 - 4,59999999999999</t>
  </si>
  <si>
    <t>ARAGUAIA - PAVIMENTAÇÃO - Não Consta (Decrescente) - 300,5 - 302,4 - 1,89999999999998</t>
  </si>
  <si>
    <t>ARAGUAIA - PAVIMENTAÇÃO - Não Consta (Crescente) - 301,3 - 303,82 - 2,51999999999998</t>
  </si>
  <si>
    <t>ARAGUAIA - PAVIMENTAÇÃO - Não Consta (Crescente) - 318,3 - 319,5 - 1,19999999999999</t>
  </si>
  <si>
    <t>ARAGUAIA - PAVIMENTAÇÃO - Não Consta (Decrescente) - 318,8 - 319,4 - 0,599999999999966</t>
  </si>
  <si>
    <t>VIA BRASIL - PAVIMENTAÇÃO - Vias Marginais - 605,2 - 606,55 - 1,34999999999991</t>
  </si>
  <si>
    <t>VIA BRASIL - PAVIMENTAÇÃO - Vias Marginais - 624,6 - 627 - 2,39999999999998</t>
  </si>
  <si>
    <t>VIA BRASIL - PAVIMENTAÇÃO - Vias Marginais - 624,6 - 627,2 - 2,60000000000002</t>
  </si>
  <si>
    <t>VIA BRASIL - PAVIMENTAÇÃO - Vias Marginais - 673,8 - 674,4 - 0,600000000000023</t>
  </si>
  <si>
    <t>VIA BRASIL - PAVIMENTAÇÃO - Vias Marginais - 1143,5 - 1144,95 - 1,45000000000005</t>
  </si>
  <si>
    <t>RIO/SP - PAVIMENTAÇÃO - Esquerdo - 127,74 - 131,31 - 3,57000000000001</t>
  </si>
  <si>
    <t>RIO/SP - PAVIMENTAÇÃO - Direito - 127,75 - 131,09 - 3,34</t>
  </si>
  <si>
    <t>RIO/SP - PAVIMENTAÇÃO - Esquerdo - 132,85 - 139,3 - 6,45000000000002</t>
  </si>
  <si>
    <t>RIO/SP - PAVIMENTAÇÃO - Esquerdo - 139,3 - 143,4 - 4,09999999999999</t>
  </si>
  <si>
    <t>RIO/SP - PAVIMENTAÇÃO - Esquerdo - 143,4 - 146,7 - 3,29999999999998</t>
  </si>
  <si>
    <t>RIO/SP - PAVIMENTAÇÃO - Esquerdo - 146,7 - 149,9 - 3,20000000000002</t>
  </si>
  <si>
    <t>RIO/SP - PAVIMENTAÇÃO - Esquerdo - 149,9 - 151,3 - 1,40000000000001</t>
  </si>
  <si>
    <t>RIO/SP - PAVIMENTAÇÃO - Direito - 133,11 - 139,2 - 6,08999999999997</t>
  </si>
  <si>
    <t>RIO/SP - PAVIMENTAÇÃO - Direito - 139,2 - 143,4 - 4,20000000000002</t>
  </si>
  <si>
    <t>RIO/SP - PAVIMENTAÇÃO - Direito - 143,4 - 146,7 - 3,29999999999998</t>
  </si>
  <si>
    <t>RIO/SP - PAVIMENTAÇÃO - Direito - 146,7 - 149,9 - 3,20000000000002</t>
  </si>
  <si>
    <t>RIO/SP - PAVIMENTAÇÃO - Direito - 149,9 - 151,3 - 1,40000000000001</t>
  </si>
  <si>
    <t>VIA COSTEIRA - PAVIMENTAÇÃO - Não Consta (pista Sul) - 249,78 - 250,42 - 0,639999999999986</t>
  </si>
  <si>
    <t>VIA COSTEIRA - PAVIMENTAÇÃO - Não Consta (pista Sul) - 251,7 - 252,3 - 0,600000000000023</t>
  </si>
  <si>
    <t>VIA COSTEIRA - PAVIMENTAÇÃO - Não Consta (pista Sul) - 252,35 - 252,92 - 0,569999999999993</t>
  </si>
  <si>
    <t>VIA COSTEIRA - PAVIMENTAÇÃO - Não Consta (pista Sul) - 263,63 - 264,47 - 0,840000000000032</t>
  </si>
  <si>
    <t>VIA COSTEIRA - PAVIMENTAÇÃO - Não Consta (pista Sul) - 268,96 - 269,08 - 0,120000000000005</t>
  </si>
  <si>
    <t>VIA COSTEIRA - PAVIMENTAÇÃO - Não Consta (pista Sul) - 269,42 - 269,98 - 0,560000000000002</t>
  </si>
  <si>
    <t>VIA COSTEIRA - PAVIMENTAÇÃO - Não Consta (Pista Norte) - 439,65 - 437,65 - 2</t>
  </si>
  <si>
    <t>VIA COSTEIRA - PAVIMENTAÇÃO - Não Consta (Pista Norte) - 414,65 - 413,2 - 1,44999999999999</t>
  </si>
  <si>
    <t>VIA COSTEIRA - PAVIMENTAÇÃO - Não Consta (Pista Norte) - 407,4 - 404,8 - 2,59999999999997</t>
  </si>
  <si>
    <t>ARAGUAIA - PAVIMENTAÇÃO - Não Consta (Decrescente) - 692,5 - 693,5 - 1</t>
  </si>
  <si>
    <t>ARAGUAIA - PAVIMENTAÇÃO - Não Consta (Crescente) - 284,1 - 284,8 - 0,699999999999989</t>
  </si>
  <si>
    <t>ARAGUAIA - PAVIMENTAÇÃO - Não Consta (Decrescente) - 284,2 - 284,8 - 0,600000000000023</t>
  </si>
  <si>
    <t>RIO/MINAS - PAVIMENTAÇÃO - Decrescente - 162,198 - 162,75 - 0,551999999999992</t>
  </si>
  <si>
    <t>RIO/MINAS - PAVIMENTAÇÃO - Decrescente - 163,25 - 163,5 - 0,25</t>
  </si>
  <si>
    <t>RIO/MINAS - PAVIMENTAÇÃO - Crescente - 175 - 177 - 2</t>
  </si>
  <si>
    <t>RIO/MINAS - PAVIMENTAÇÃO - Decrescente - 176,71 - 179,35 - 2,63999999999999</t>
  </si>
  <si>
    <t>RIO/MINAS - PAVIMENTAÇÃO - Crescente - 177,4 - 179,25 - 1,84999999999999</t>
  </si>
  <si>
    <t>RIO/MINAS - PAVIMENTAÇÃO - Crescente - 179,84 - 180,36 - 0,52000000000001</t>
  </si>
  <si>
    <t>RIO/MINAS - PAVIMENTAÇÃO - Decrescente - 180,75 - 181,1 - 0,349999999999994</t>
  </si>
  <si>
    <t>RIO/MINAS - PAVIMENTAÇÃO - Crescente - 180,95 - 182,552 - 1,602</t>
  </si>
  <si>
    <t>RIO/MINAS - PAVIMENTAÇÃO - Decrescente - 181,34 - 182,482 - 1,142</t>
  </si>
  <si>
    <t>RIO/MINAS - PAVIMENTAÇÃO - Crescente - 182,693 - 183,32 - 0,626999999999981</t>
  </si>
  <si>
    <t>RIO/MINAS - PAVIMENTAÇÃO - Decrescente - 182,812 - 185,3 - 2,488</t>
  </si>
  <si>
    <t>RIO/MINAS - PAVIMENTAÇÃO - Crescente - 183,66 - 186,33 - 2,67000000000002</t>
  </si>
  <si>
    <t>RIO/MINAS - PAVIMENTAÇÃO - Decrescente - 185,5 - 195,4 - 9,90000000000001</t>
  </si>
  <si>
    <t>RIO/MINAS - PAVIMENTAÇÃO - Crescente - 186,75 - 195,4 - 8,65000000000001</t>
  </si>
  <si>
    <t>RIO/MINAS - PAVIMENTAÇÃO - Crescente - 0,603 - 5,223 - 4,62</t>
  </si>
  <si>
    <t>RIO/MINAS - PAVIMENTAÇÃO - Decrescente - 0,758 - 3,028 - 2,27</t>
  </si>
  <si>
    <t>RIO/MINAS - PAVIMENTAÇÃO - Decrescente - 3,309 - 5,233 - 1,924</t>
  </si>
  <si>
    <t>RIO/MINAS - PAVIMENTAÇÃO - Crescente - 5,789 - 6,641 - 0,852</t>
  </si>
  <si>
    <t>RIO/MINAS - PAVIMENTAÇÃO - Decrescente - 5,789 - 6,642 - 0,853000000000001</t>
  </si>
  <si>
    <t>RIO/MINAS - PAVIMENTAÇÃO - Crescente - 17,668 - 19,209 - 1,541</t>
  </si>
  <si>
    <t>RIO/MINAS - PAVIMENTAÇÃO - Decrescente - 17,841 - 18,8 - 0,959</t>
  </si>
  <si>
    <t>RIO/MINAS - PAVIMENTAÇÃO - Decrescente - 19,676 - 21,478 - 1,802</t>
  </si>
  <si>
    <t>RIO/MINAS - PAVIMENTAÇÃO - Crescente - 19,681 - 21,588 - 1,907</t>
  </si>
  <si>
    <t>RIO/MINAS - PAVIMENTAÇÃO - Decrescente - 409,915 - 410,655 - 0,739999999999952</t>
  </si>
  <si>
    <t>RIO/MINAS - PAVIMENTAÇÃO - Crescente - 409,935 - 411,31 - 1,375</t>
  </si>
  <si>
    <t>RIO/MINAS - PAVIMENTAÇÃO - Decrescente - 411,345 - 411,855 - 0,509999999999991</t>
  </si>
  <si>
    <t>RIO/MINAS - PAVIMENTAÇÃO - Decrescente - 412,015 - 412,49 - 0,475000000000023</t>
  </si>
  <si>
    <t>RIO/MINAS - PAVIMENTAÇÃO - Decrescente - 416,24 - 417,105 - 0,865000000000009</t>
  </si>
  <si>
    <t>RIO/MINAS - PAVIMENTAÇÃO - Crescente - 416,34 - 417,56 - 1,22000000000003</t>
  </si>
  <si>
    <t>RIO/SP - PAVIMENTAÇÃO - Esquerdo - 300 - 303,9 - 3,89999999999998</t>
  </si>
  <si>
    <t>RIO/SP - PAVIMENTAÇÃO - Direito - 300,33 - 301,6 - 1,27000000000004</t>
  </si>
  <si>
    <t>RIO/SP - PAVIMENTAÇÃO - Direito - 303 - 304 - 1</t>
  </si>
  <si>
    <t>CONCESSÃO VIA SUL - PAVIMENTAÇÃO - São José do Herval (Direita) - 279,6 - 280,5 - 0,899999999999977</t>
  </si>
  <si>
    <t>CONCESSÃO VIA SUL - PAVIMENTAÇÃO - Estrela (esquerda) - 349,6 - 360,3 - 10,7</t>
  </si>
  <si>
    <t>CONCESSÃO VIA SUL - PAVIMENTAÇÃO - Estrela (Direita) - 349,6 - 360,3 - 10,7</t>
  </si>
  <si>
    <t>CONCESSÃO VIA SUL - PAVIMENTAÇÃO - Tabaí ( (esquerda) - 383,9 - 385,3 - 1,40000000000003</t>
  </si>
  <si>
    <t>CONCESSÃO VIA SUL - PAVIMENTAÇÃO - Triunfo (esquerdo) - 385,9 - 386,4 - 0,5</t>
  </si>
  <si>
    <t>CONCESSÃO VIA SUL - PAVIMENTAÇÃO - Triunfo (direita) - 385,9 - 386,4 - 0,5</t>
  </si>
  <si>
    <t>CONCESSÃO VIA SUL - PAVIMENTAÇÃO - Triunfo (esquerdo) - 386,4 - 388,4 - 2</t>
  </si>
  <si>
    <t>CONCESSÃO VIA SUL - PAVIMENTAÇÃO - Triunfo (direita) - 386,4 - 388,4 - 2</t>
  </si>
  <si>
    <t>CONCESSÃO VIA SUL - PAVIMENTAÇÃO - Triunfo/Montenegro  (Esquerdo) - 409,5 - 411,5 - 2</t>
  </si>
  <si>
    <t>CONCESSÃO VIA SUL - PAVIMENTAÇÃO - Triunfo/Montenegro  (Direito) - 409,5 - 411,5 - 2</t>
  </si>
  <si>
    <t>CONCESSÃO VIA SUL - PAVIMENTAÇÃO - Nova Santa Rita (Esquerda) - 430,5 - 437 - 6,5</t>
  </si>
  <si>
    <t>CONCESSÃO VIA SUL - PAVIMENTAÇÃO - Nova Santa Rita (Direita) - 430,5 - 437 - 6,5</t>
  </si>
  <si>
    <t>VIA COSTEIRA - PAVIMENTAÇÃO - Não Consta (pista Sul) - 288,92 - 291,2 - 2,27999999999997</t>
  </si>
  <si>
    <t>VIA COSTEIRA - PAVIMENTAÇÃO - Não Consta (pista Sul) - 291,9 - 294,54 - 2,64000000000004</t>
  </si>
  <si>
    <t>VIA COSTEIRA - PAVIMENTAÇÃO - Não Consta (pista Sul) - 295,96 - 296,64 - 0,680000000000007</t>
  </si>
  <si>
    <t>VIA COSTEIRA - PAVIMENTAÇÃO - Não Consta (pista Sul) - 297,36 - 298,46 - 1,09999999999997</t>
  </si>
  <si>
    <t>VIA COSTEIRA - PAVIMENTAÇÃO - Não Consta (pista Sul) - 298,46 - 299,4 - 0,939999999999998</t>
  </si>
  <si>
    <t>VIA COSTEIRA - PAVIMENTAÇÃO - Não Consta (pista Sul) - 385,2 - 386 - 0,800000000000011</t>
  </si>
  <si>
    <t>VIA COSTEIRA - PAVIMENTAÇÃO - Não Consta (pista Sul) - 386,3 - 387,35 - 1,05000000000001</t>
  </si>
  <si>
    <t>VIA COSTEIRA - PAVIMENTAÇÃO - Não Consta (pista Sul) - 391,35 - 391,75 - 0,399999999999977</t>
  </si>
  <si>
    <t>VIA COSTEIRA - PAVIMENTAÇÃO - Não Consta (pista Sul) - 392,44 - 392,91 - 0,470000000000027</t>
  </si>
  <si>
    <t>VIA COSTEIRA - PAVIMENTAÇÃO - Não Consta (pista Sul) - 395,2 - 396,63 - 1,43000000000001</t>
  </si>
  <si>
    <t>VIA COSTEIRA - PAVIMENTAÇÃO - Não Consta (pista Sul) - 438,1 - 439,1 - 1</t>
  </si>
  <si>
    <t>VIA COSTEIRA - PAVIMENTAÇÃO - Não Consta (pista Sul) - 447,2 - 448,2 - 1</t>
  </si>
  <si>
    <t>VIA COSTEIRA - PAVIMENTAÇÃO - Não Consta (pista Sul) - 459,7 - 460,15 - 0,449999999999989</t>
  </si>
  <si>
    <t>VIA COSTEIRA - PAVIMENTAÇÃO - Não Consta (Pista Norte) - 458 - 456 - 2</t>
  </si>
  <si>
    <t>VIA COSTEIRA - PAVIMENTAÇÃO - Não Consta (Pista Norte) - 448,2 - 447,2 - 1</t>
  </si>
  <si>
    <t>VIA COSTEIRA - PAVIMENTAÇÃO - Não Consta (Pista Norte) - 443,05 - 441,75 - 1,30000000000001</t>
  </si>
  <si>
    <t>VIA COSTEIRA - PAVIMENTAÇÃO - Não Consta (Pista Norte) - 388,85 - 386,2 - 2,65000000000003</t>
  </si>
  <si>
    <t>VIA COSTEIRA - PAVIMENTAÇÃO - Não Consta (Pista Norte) - 385,9 - 384 - 1,89999999999998</t>
  </si>
  <si>
    <t>VIA COSTEIRA - PAVIMENTAÇÃO - Não Consta (Pista Norte) - 383,3 - 382,63 - 0,670000000000016</t>
  </si>
  <si>
    <t>VIA COSTEIRA - PAVIMENTAÇÃO - Não Consta (Pista Norte) - 298,67 - 297,85 - 0,819999999999993</t>
  </si>
  <si>
    <t>VIA COSTEIRA - PAVIMENTAÇÃO - Não Consta (Pista Norte) - 297,85 - 297,15 - 0,700000000000045</t>
  </si>
  <si>
    <t>VIA COSTEIRA - PAVIMENTAÇÃO - Não Consta (Pista Norte) - 296,4 - 295,67 - 0,729999999999961</t>
  </si>
  <si>
    <t>VIA COSTEIRA - PAVIMENTAÇÃO - Não Consta (Pista Norte) - 264,38 - 263,55 - 0,829999999999984</t>
  </si>
  <si>
    <t>VIA COSTEIRA - PAVIMENTAÇÃO - Não Consta (Pista Norte) - 263,1 - 262,5 - 0,600000000000023</t>
  </si>
  <si>
    <t>VIA COSTEIRA - PAVIMENTAÇÃO - Não Consta (Pista Norte) - 255,5 - 254,75 - 0,75</t>
  </si>
  <si>
    <t>VIA COSTEIRA - PAVIMENTAÇÃO - Não Consta (Pista Norte) - 254,4 - 253,2 - 1,20000000000002</t>
  </si>
  <si>
    <t>VIA COSTEIRA - PAVIMENTAÇÃO - Não Consta (Pista Norte) - 252,15 - 251,6 - 0,550000000000011</t>
  </si>
  <si>
    <t>ARAGUAIA - PAVIMENTAÇÃO - Não Consta (Crescente) - 68,4 - 75,8 - 7,39999999999999</t>
  </si>
  <si>
    <t>ARAGUAIA - PAVIMENTAÇÃO - Não Consta (Decrescente) - 71,2 - 71,7 - 0,5</t>
  </si>
  <si>
    <t>ARAGUAIA - PAVIMENTAÇÃO - Não Consta (Crescente) - 173,8 - 178,8 - 5</t>
  </si>
  <si>
    <t>ARAGUAIA - PAVIMENTAÇÃO - Não Consta (Decrescente) - 175 - 175,8 - 0,800000000000011</t>
  </si>
  <si>
    <t>ARAGUAIA - PAVIMENTAÇÃO - Não Consta (Crescente) - 241,5 - 243,7 - 2,19999999999999</t>
  </si>
  <si>
    <t>ARAGUAIA - PAVIMENTAÇÃO - Não Consta (Decrescente) - 265 - 265,3 - 0,300000000000011</t>
  </si>
  <si>
    <t>ARAGUAIA - PAVIMENTAÇÃO - Não Consta (Crescente) - 265 - 265,9 - 0,899999999999977</t>
  </si>
  <si>
    <t>ARAGUAIA - PAVIMENTAÇÃO - Não Consta (Crescente) - 356,1 - 360,1 - 4</t>
  </si>
  <si>
    <t>ARAGUAIA - PAVIMENTAÇÃO - Não Consta (Crescente) - 396,2 - 396,7 - 0,5</t>
  </si>
  <si>
    <t>ARAGUAIA - PAVIMENTAÇÃO - Não Consta (Crescente) - 429,725 - 431,5 - 1,77499999999998</t>
  </si>
  <si>
    <t>ARAGUAIA - PAVIMENTAÇÃO - Não Consta (Crescente) - 432 - 436 - 4</t>
  </si>
  <si>
    <t>ARAGUAIA - PAVIMENTAÇÃO - Não Consta (Decrescente) - 432 - 436,5 - 4,5</t>
  </si>
  <si>
    <t>ARAGUAIA - PAVIMENTAÇÃO - Não Consta (Crescente) - 436,8 - 438,5 - 1,69999999999999</t>
  </si>
  <si>
    <t>ARAGUAIA - PAVIMENTAÇÃO - Não Consta (Decrescente) - 439,05 - 444,05 - 5</t>
  </si>
  <si>
    <t>ARAGUAIA - PAVIMENTAÇÃO - Não Consta (Crescente) - 440 - 444,1 - 4,10000000000002</t>
  </si>
  <si>
    <t>ARAGUAIA - PAVIMENTAÇÃO - Não Consta (Decrescente) - 409,4 - 410,56 - 1,16000000000003</t>
  </si>
  <si>
    <t>ARAGUAIA - PAVIMENTAÇÃO - Não Consta (Crescente) - 409,5 - 410,6 - 1,10000000000002</t>
  </si>
  <si>
    <t>ARAGUAIA - PAVIMENTAÇÃO - Não Consta (Decrescente) - 435,355 - 435,976 - 0,620999999999981</t>
  </si>
  <si>
    <t>ARAGUAIA - PAVIMENTAÇÃO - Não Consta (Crescente) - 435,356 - 435,476 - 0,120000000000005</t>
  </si>
  <si>
    <t>ARAGUAIA - PAVIMENTAÇÃO - Não Consta (Crescente) - 438,3 - 438,8 - 0,5</t>
  </si>
  <si>
    <t>RIO/MINAS - PAVIMENTAÇÃO - Crescente - 67,5 - 68 - 0,5</t>
  </si>
  <si>
    <t>RIO/MINAS - PAVIMENTAÇÃO - Decrescente - 67,5 - 68 - 0,5</t>
  </si>
  <si>
    <t>RIO/MINAS - PAVIMENTAÇÃO - Crescente - 105,5 - 105,9 - 0,400000000000006</t>
  </si>
  <si>
    <t>RIO/MINAS - PAVIMENTAÇÃO - Decrescente - 105,5 - 105,9 - 0,400000000000006</t>
  </si>
  <si>
    <t>RIO/MINAS - PAVIMENTAÇÃO - Crescente - 3,774 - 4,96 - 1,186</t>
  </si>
  <si>
    <t>RIO/MINAS - PAVIMENTAÇÃO - Crescente - 12,15 - 12,525 - 0,375</t>
  </si>
  <si>
    <t>RIO/MINAS - PAVIMENTAÇÃO - Crescente - 12,7 - 14,58 - 1,88</t>
  </si>
  <si>
    <t>RIO/MINAS - PAVIMENTAÇÃO - Decrescente - 12,8 - 14,18 - 1,38</t>
  </si>
  <si>
    <t>RIO/MINAS - PAVIMENTAÇÃO - Crescente - 16,832 - 17,063 - 0,230999999999998</t>
  </si>
  <si>
    <t>RIO/MINAS - PAVIMENTAÇÃO - Crescente - 17,25 - 18,124 - 0,873999999999999</t>
  </si>
  <si>
    <t>RIO/MINAS - PAVIMENTAÇÃO - Decrescente - 17,25 - 18,124 - 0,873999999999999</t>
  </si>
  <si>
    <t>RIO/MINAS - PAVIMENTAÇÃO - Crescente - 18,44 - 19 - 0,559999999999999</t>
  </si>
  <si>
    <t>RIO/MINAS - PAVIMENTAÇÃO - Decrescente - 18,44 - 19 - 0,559999999999999</t>
  </si>
  <si>
    <t>RIO/MINAS - PAVIMENTAÇÃO - Decrescente - 77,532 - 77,965 - 0,433000000000007</t>
  </si>
  <si>
    <t>RIO/MINAS - PAVIMENTAÇÃO - Decrescente - 497,435 - 498,34 - 0,904999999999973</t>
  </si>
  <si>
    <t>RIO/MINAS - PAVIMENTAÇÃO - Crescente - 524,345 - 526,4 - 2,05499999999995</t>
  </si>
  <si>
    <t>RIO/MINAS - PAVIMENTAÇÃO - Decrescente - 524,865 - 525,815 - 0,950000000000045</t>
  </si>
  <si>
    <t>RIO/MINAS - PAVIMENTAÇÃO - Crescente - 528,235 - 529,5 - 1,26499999999999</t>
  </si>
  <si>
    <t>RIO/MINAS - PAVIMENTAÇÃO - Decrescente - 528,235 - 529,5 - 1,26499999999999</t>
  </si>
  <si>
    <t>RIO/MINAS - PAVIMENTAÇÃO - Decrescente - 529,5 - 530,05 - 0,549999999999955</t>
  </si>
  <si>
    <t>RIO/MINAS - PAVIMENTAÇÃO - Crescente - 529,5 - 530,15 - 0,649999999999977</t>
  </si>
  <si>
    <t>RIO/MINAS - PAVIMENTAÇÃO - Crescente - 537 - 538,615 - 1,61500000000001</t>
  </si>
  <si>
    <t>RIO/MINAS - PAVIMENTAÇÃO - Decrescente - 537,46 - 538,615 - 1,15499999999997</t>
  </si>
  <si>
    <t>RIO/MINAS - PAVIMENTAÇÃO - Decrescente - 650,645 - 652,5 - 1,85500000000002</t>
  </si>
  <si>
    <t>RIO/MINAS - PAVIMENTAÇÃO - Crescente - 650,96 - 652,205 - 1,245</t>
  </si>
  <si>
    <t>RIO/MINAS - PAVIMENTAÇÃO - Crescente - 672,955 - 673,29 - 0,334999999999923</t>
  </si>
  <si>
    <t>RIO/MINAS - PAVIMENTAÇÃO - Crescente - 766,4 - 767 - 0,600000000000023</t>
  </si>
  <si>
    <t>RIO/MINAS - PAVIMENTAÇÃO - Decrescente - 767,91 - 769,465 - 1,55500000000006</t>
  </si>
  <si>
    <t>RIO/MINAS - PAVIMENTAÇÃO - Crescente - 768,54 - 770,75 - 2,21000000000004</t>
  </si>
  <si>
    <t>RIO/SP - PAVIMENTAÇÃO - Direito - 56,29 - 60,24 - 3,95</t>
  </si>
  <si>
    <t>RIO/SP - PAVIMENTAÇÃO - Esquerdo - 57,92 - 60,12 - 2,2</t>
  </si>
  <si>
    <t>RIO/SP - PAVIMENTAÇÃO - Esquerdo - 104,96 - 109,07 - 4,11</t>
  </si>
  <si>
    <t>RIO/SP - PAVIMENTAÇÃO - Direito - 105 - 109,12 - 4,12</t>
  </si>
  <si>
    <t>RIO/SP - PAVIMENTAÇÃO - Esquerdo - 109,49 - 117,49 - 8</t>
  </si>
  <si>
    <t>RIO/SP - PAVIMENTAÇÃO - Direito - 109,6 - 117,33 - 7,73</t>
  </si>
  <si>
    <t>RIO/SP - PAVIMENTAÇÃO - Esquerdo - 68,27 - 68,64 - 0,370000000000005</t>
  </si>
  <si>
    <t>RIO/SP - PAVIMENTAÇÃO - Esquerdo - 198,95 - 204,03 - 5,08000000000001</t>
  </si>
  <si>
    <t>RIO/SP - PAVIMENTAÇÃO - Direito - 199,17 - 203,77 - 4,60000000000002</t>
  </si>
  <si>
    <t>RIO/SP - PAVIMENTAÇÃO - Serra das Araras (Nova Pista Subida) - 218 - 226 - 8</t>
  </si>
  <si>
    <t>RIO/SP - PAVIMENTAÇÃO - Direito - 217,75 - 218,66 - 0,909999999999997</t>
  </si>
  <si>
    <t>RIO/SP - PAVIMENTAÇÃO - Esquerdo - 234,67 - 235,64 - 0,969999999999999</t>
  </si>
  <si>
    <t>RIO/SP - PAVIMENTAÇÃO - Direito - 255,85 - 257,05 - 1,20000000000002</t>
  </si>
  <si>
    <t>RIO/SP - PAVIMENTAÇÃO - Direito - 266,7 - 269 - 2,30000000000001</t>
  </si>
  <si>
    <t>RIO/SP - PAVIMENTAÇÃO - Direito - 269 - 270,19 - 1,19</t>
  </si>
  <si>
    <t>RIO/SP - PAVIMENTAÇÃO - Esquerdo - 267,45 - 269 - 1,55000000000001</t>
  </si>
  <si>
    <t>RIO/SP - PAVIMENTAÇÃO - Esquerdo - 269 - 270,13 - 1,13</t>
  </si>
  <si>
    <t>RIO/SP - PAVIMENTAÇÃO - Esquerdo - 270,13 - 270,79 - 0,660000000000025</t>
  </si>
  <si>
    <t>RIO/SP - PAVIMENTAÇÃO - Direito - 304,9 - 307,1 - 2,20000000000005</t>
  </si>
  <si>
    <t>RIO/SP - PAVIMENTAÇÃO - Direito - 307,5 - 309,38 - 1,88</t>
  </si>
  <si>
    <t>RIO/SP - PAVIMENTAÇÃO - Direito - 288,3 - 290 - 1,69999999999999</t>
  </si>
  <si>
    <t>RIO/SP - PAVIMENTAÇÃO - Direito - 314,24 - 315,24 - 1</t>
  </si>
  <si>
    <t>RIO/SP - PAVIMENTAÇÃO - Esquerdo - 314,29 - 315,17 - 0,879999999999995</t>
  </si>
  <si>
    <t>RIO/SP - PAVIMENTAÇÃO - Esquerdo - 315,5 - 317,21 - 1,70999999999998</t>
  </si>
  <si>
    <t>RIO/SP - PAVIMENTAÇÃO - Direito - 315,65 - 317,21 - 1,56</t>
  </si>
  <si>
    <t>RIO/SP - PAVIMENTAÇÃO - Direito - 322 - 322,75 - 0,75</t>
  </si>
  <si>
    <t>RIO/SP - PAVIMENTAÇÃO - Direito - 328,91 - 330,41 - 1,5</t>
  </si>
  <si>
    <t>RIO/SP - PAVIMENTAÇÃO - Esquerdo - 410 - 411,8 - 1,80000000000001</t>
  </si>
  <si>
    <t>RIO/SP - PAVIMENTAÇÃO - Esquerdo - 413,3 - 414,5 - 1,19999999999999</t>
  </si>
  <si>
    <t>RIO/SP - PAVIMENTAÇÃO - Esquerdo - 407,75 - 407,57 - 0,180000000000007</t>
  </si>
  <si>
    <t>RIO/SP - PAVIMENTAÇÃO - Esquerdo - 406,85 - 406,45 - 0,400000000000034</t>
  </si>
  <si>
    <t>RIO/SP - PAVIMENTAÇÃO - Esquerdo - 405,7 - 403,02 - 2,68000000000001</t>
  </si>
  <si>
    <t>RIO/SP - PAVIMENTAÇÃO - Direito - 399,75 - 400,2 - 0,449999999999989</t>
  </si>
  <si>
    <t>RIO/SP - PAVIMENTAÇÃO - Direito - 403,05 - 405,6 - 2,55000000000001</t>
  </si>
  <si>
    <t>RIO/SP - PAVIMENTAÇÃO - Direito - 406,38 - 407,7 - 1,31999999999999</t>
  </si>
  <si>
    <t>ARAGUAIA - DUPLICAÇÃO - Nada Consta - 176,03 - 199,43 - 23,4</t>
  </si>
  <si>
    <t>ARAGUAIA - DUPLICAÇÃO - Nada Consta - 288,5 - 302,43 - 13,93</t>
  </si>
  <si>
    <t>ARAGUAIA - DUPLICAÇÃO - Nada Consta - 302,43 - 319,24 - 16,81</t>
  </si>
  <si>
    <t>CONCESSÃO VIA SUL - DUPLICAÇÃO - Fontoura Xavier / Marques de Souza - 269,2 - 324,1 - 54,9</t>
  </si>
  <si>
    <t>ARAGUAIA - DUPLICAÇÃO - Nada Consta - 677 - 701,9 - 24,9</t>
  </si>
  <si>
    <t>ARAGUAIA - DUPLICAÇÃO - Nada Consta - 274,94 - 284,5 - 9,56</t>
  </si>
  <si>
    <t>ARAGUAIA - DUPLICAÇÃO - Nada Consta - 284,5 - 288,5 - 4</t>
  </si>
  <si>
    <t>ARAGUAIA - DUPLICAÇÃO - Nada Consta - 319,24 - 321,85 - 2,61000000000001</t>
  </si>
  <si>
    <t>RIO/MINAS - DUPLICAÇÃO - Nada Consta - 0 - 0,8 - 0,8</t>
  </si>
  <si>
    <t>RIO/MINAS - DUPLICAÇÃO - Nada Consta - 5,3 - 15,6 - 10,3</t>
  </si>
  <si>
    <t>RIO/MINAS - DUPLICAÇÃO - Nada Consta - 15,6 - 17,6 - 2</t>
  </si>
  <si>
    <t>RIO/MINAS - DUPLICAÇÃO - Nada Consta - 18,8 - 19,8 - 1</t>
  </si>
  <si>
    <t>RIO/MINAS - DUPLICAÇÃO - Nada Consta - 19,8 - 25,614 - 5,814</t>
  </si>
  <si>
    <t>RIO/MINAS - DUPLICAÇÃO - Nada Consta - 412,576 - 413,315 - 0,738999999999976</t>
  </si>
  <si>
    <t>RIO/MINAS - DUPLICAÇÃO - Nada Consta - 413,315 - 421,627 - 8,31200000000001</t>
  </si>
  <si>
    <t>CONCESSÃO VIA SUL - DUPLICAÇÃO - Carazinho - Tio Hugo - 178,5 - 213,1 - 34,6</t>
  </si>
  <si>
    <t>CONCESSÃO VIA SUL - DUPLICAÇÃO - Tabaí - Canoas - 385 - 444,3 - 59,3</t>
  </si>
  <si>
    <t>CERRADO - DUPLICAÇÃO - Trecho 13 - 709 - 735,6 - 26,6</t>
  </si>
  <si>
    <t>CERRADO - DUPLICAÇÃO - Trecho 14 - 735,6 - 751,6 - 16</t>
  </si>
  <si>
    <t>ARAGUAIA - DUPLICAÇÃO - Nada Consta - 624,3 - 663 - 38,7</t>
  </si>
  <si>
    <t>ARAGUAIA - DUPLICAÇÃO - Nada Consta - 701,9 - 720,8 - 18,9</t>
  </si>
  <si>
    <t>ARAGUAIA - DUPLICAÇÃO - Nada Consta - 724 - 759,5 - 35,5</t>
  </si>
  <si>
    <t>ARAGUAIA - DUPLICAÇÃO - Nada Consta - 760,644 - 797,3 - 36,6559999999999</t>
  </si>
  <si>
    <t>ARAGUAIA - DUPLICAÇÃO - Nada Consta - 800 - 802,531 - 2,53099999999995</t>
  </si>
  <si>
    <t>ARAGUAIA - DUPLICAÇÃO - Nada Consta - 0 - 31,52 - 31,52</t>
  </si>
  <si>
    <t>ARAGUAIA - DUPLICAÇÃO - Nada Consta - 31,52 - 57,26 - 25,74</t>
  </si>
  <si>
    <t>ARAGUAIA - DUPLICAÇÃO - Nada Consta - 57,26 - 71,08 - 13,82</t>
  </si>
  <si>
    <t>ARAGUAIA - DUPLICAÇÃO - Nada Consta - 71,08 - 107,12 - 36,04</t>
  </si>
  <si>
    <t>ARAGUAIA - DUPLICAÇÃO - Nada Consta - 107,12 - 124,42 - 17,3</t>
  </si>
  <si>
    <t>ARAGUAIA - DUPLICAÇÃO - Nada Consta - 124,42 - 141,85 - 17,43</t>
  </si>
  <si>
    <t>ARAGUAIA - DUPLICAÇÃO - Nada Consta - 141,85 - 176,03 - 34,18</t>
  </si>
  <si>
    <t>ARAGUAIA - DUPLICAÇÃO - Nada Consta - 199,43 - 212,45 - 13,02</t>
  </si>
  <si>
    <t>ARAGUAIA - DUPLICAÇÃO - Nada Consta - 212,45 - 242,5 - 30,05</t>
  </si>
  <si>
    <t>ARAGUAIA - DUPLICAÇÃO - Nada Consta - 242,5 - 274,94 - 32,44</t>
  </si>
  <si>
    <t>ARAGUAIA - DUPLICAÇÃO - Nada Consta - 321,85 - 357,29 - 35,44</t>
  </si>
  <si>
    <t>ARAGUAIA - DUPLICAÇÃO - Nada Consta - 357,29 - 360,12 - 2,82999999999998</t>
  </si>
  <si>
    <t>ARAGUAIA - DUPLICAÇÃO - Nada Consta - 360,12 - 369,65 - 9,52999999999997</t>
  </si>
  <si>
    <t>ARAGUAIA - DUPLICAÇÃO - Nada Consta - 369,65 - 377,17 - 7,52000000000004</t>
  </si>
  <si>
    <t>ARAGUAIA - DUPLICAÇÃO - Nada Consta - 377,17 - 401,97 - 24,8</t>
  </si>
  <si>
    <t>ARAGUAIA - DUPLICAÇÃO - Nada Consta - 401,97 - 420,53 - 18,5599999999999</t>
  </si>
  <si>
    <t>ARAGUAIA - DUPLICAÇÃO - Nada Consta - 409,3 - 439,51 - 30,21</t>
  </si>
  <si>
    <t>RIO/MINAS - DUPLICAÇÃO - Nada Consta - 0 - 22,2 - 22,2</t>
  </si>
  <si>
    <t>RIO/MINAS - DUPLICAÇÃO - Nada Consta - 22,2 - 22,5 - 0,300000000000001</t>
  </si>
  <si>
    <t>RIO/MINAS - DUPLICAÇÃO - Nada Consta - 22,5 - 38 - 15,5</t>
  </si>
  <si>
    <t>RIO/MINAS - DUPLICAÇÃO - Nada Consta - 38 - 54,11 - 16,11</t>
  </si>
  <si>
    <t>RIO/MINAS - DUPLICAÇÃO - Nada Consta - 54,11 - 57 - 2,89</t>
  </si>
  <si>
    <t>RIO/MINAS - DUPLICAÇÃO - Nada Consta - 57 - 77,9 - 20,9</t>
  </si>
  <si>
    <t>RIO/MINAS - DUPLICAÇÃO - Nada Consta - 77,9 - 90,5 - 12,6</t>
  </si>
  <si>
    <t>RIO/MINAS - DUPLICAÇÃO - Nada Consta - 105,185 - 105,9 - 0,715000000000003</t>
  </si>
  <si>
    <t>RIO/MINAS - DUPLICAÇÃO - Nada Consta - 421,627 - 457,47 - 35,843</t>
  </si>
  <si>
    <t>RIO/MINAS - DUPLICAÇÃO - Nada Consta - 486,296 - 500,111 - 13,815</t>
  </si>
  <si>
    <t>RIO/MINAS - DUPLICAÇÃO - Nada Consta - 500,111 - 520,517 - 20,4060000000001</t>
  </si>
  <si>
    <t>RIO/MINAS - DUPLICAÇÃO - Nada Consta - 520,517 - 523,531 - 3,0139999999999</t>
  </si>
  <si>
    <t>RIO/MINAS - DUPLICAÇÃO - Nada Consta - 523,531 - 526,621 - 3,09000000000003</t>
  </si>
  <si>
    <t>RIO/MINAS - DUPLICAÇÃO - Nada Consta - 528,2 - 528,345 - 0,144999999999982</t>
  </si>
  <si>
    <t>RIO/MINAS - DUPLICAÇÃO - Nada Consta - 528,345 - 562,3 - 33,9549999999999</t>
  </si>
  <si>
    <t>RIO/MINAS - DUPLICAÇÃO - Nada Consta - 702,8 - 703,136 - 0,336000000000013</t>
  </si>
  <si>
    <t>RIO/MINAS - DUPLICAÇÃO - Nada Consta - 703,136 - 704,31 - 1,17399999999998</t>
  </si>
  <si>
    <t>RIO/MINAS - DUPLICAÇÃO - Nada Consta - 704,31 - 737,257 - 32,947</t>
  </si>
  <si>
    <t>RIO/MINAS - DUPLICAÇÃO - Nada Consta - 737,257 - 745,457 - 8,20000000000005</t>
  </si>
  <si>
    <t>RIO/MINAS - DUPLICAÇÃO - Nada Consta - 745,457 - 765,76 - 20,303</t>
  </si>
  <si>
    <t>RIO/MINAS - DUPLICAÇÃO - Nada Consta - 765,76 - 773 - 7,24000000000001</t>
  </si>
  <si>
    <t>RIO/MINAS - DUPLICAÇÃO - Nada Consta - 814,364 - 815,05 - 0,685999999999922</t>
  </si>
  <si>
    <t>RIO/MINAS - DUPLICAÇÃO - Nada Consta - 815,05 - 816,944 - 1,89400000000001</t>
  </si>
  <si>
    <t>RIO/SP - DUPLICAÇÃO - Nada Consta - 416 - 428,3 - 12,3</t>
  </si>
  <si>
    <t>RIO/SP - DUPLICAÇÃO - Nada Consta - 428,3 - 433,1 - 4,80000000000001</t>
  </si>
  <si>
    <t>RIO/SP - DUPLICAÇÃO - Nada Consta - 433,1 - 481,8 - 48,7</t>
  </si>
  <si>
    <t>RIO/SP - DUPLICAÇÃO - Nada Consta - 481,8 - 496,1 - 14,3</t>
  </si>
  <si>
    <t>VIA COSTEIRA - OAE - Dispositivo em Desnível - 247 - 247 - 1</t>
  </si>
  <si>
    <t>VIA COSTEIRA - OAE - Dispositivo em Desnível - 252,27 - 252,27 - 1</t>
  </si>
  <si>
    <t>ARAGUAIA - OAE - Passagem Inferior - 721,9 - 721,9 - 1</t>
  </si>
  <si>
    <t>ARAGUAIA - OAE - Passagem Inferior - 723,5 - 723,5 - 1</t>
  </si>
  <si>
    <t>ARAGUAIA - OAE - Passagem Inferior - 176 - 176 - 1</t>
  </si>
  <si>
    <t>ARAGUAIA - OAE - Trombeta - 797,3 - 797,3 - 1</t>
  </si>
  <si>
    <t>ARAGUAIA - OAE - Diamante - 759,5 - 759,5 - 1</t>
  </si>
  <si>
    <t>ARAGUAIA - OAE - Diamante - 761,8 - 761,8 - 1</t>
  </si>
  <si>
    <t>ARAGUAIA - OAE - Diamante - 301,3 - 284,5 - 1</t>
  </si>
  <si>
    <t>ARAGUAIA - OAE - Diamante - 302,43 - 302,43 - 1</t>
  </si>
  <si>
    <t>VIA BRASIL - OAE - OAE - Vias Marginais - 625,2 - 625,2 - 1</t>
  </si>
  <si>
    <t>RIO/SP - OAE - Intersecção Diamante - 127,4 - 127,4 - 1</t>
  </si>
  <si>
    <t>RIO/SP - OAE - Intersecção Tipo Parclo - 139,3 - 139,3 - 1</t>
  </si>
  <si>
    <t>RIO/SP - OAE - Ponte - 127,52 - 127,52 - 1</t>
  </si>
  <si>
    <t>RIO/SP - OAE - Ponte - 127,98 - 127,98 - 2</t>
  </si>
  <si>
    <t>RIO/SP - OAE - Ponte - 128,06 - 128,06 - 2</t>
  </si>
  <si>
    <t>RIO/SP - OAE - Ponte - 132,09 - 132,09 - 1</t>
  </si>
  <si>
    <t>RIO/SP - OAE - Ponte - 136,33 - 136,33 - 1</t>
  </si>
  <si>
    <t>RIO/SP - OAE - Ponte - 137,45 - 137,45 - 2</t>
  </si>
  <si>
    <t>RIO/SP - OAE - Ponte - 137,45 - 137,45 - 1</t>
  </si>
  <si>
    <t>RIO/SP - OAE - Ponte - 139,3 - 139,3 - 1</t>
  </si>
  <si>
    <t>RIO/SP - OAE - Ponte - 139,74 - 139,74 - 2</t>
  </si>
  <si>
    <t>RIO/SP - OAE - Ponte - 146,06 - 146,06 - 2</t>
  </si>
  <si>
    <t>RIO/SP - OAE - Ponte - 146,08 - 146,08 - 1</t>
  </si>
  <si>
    <t>RIO/SP - OAE - Ponte - 146,09 - 146,09 - 1</t>
  </si>
  <si>
    <t>RIO/SP - OAE - Ponte - 146,72 - 146,72 - 1</t>
  </si>
  <si>
    <t>RIO/SP - OAE - Ponte - 146,76 - 146,76 - 1</t>
  </si>
  <si>
    <t>CONCESSÃO VIA SUL - OAE - Interconexão Tipo Diamante - São José do Herval - 279,5 - 279,5 - 1</t>
  </si>
  <si>
    <t>CONCESSÃO VIA SUL - OAE - Interconexão Tipo Diamante - Pouso Novo - 300,2 - 300,2 - 1</t>
  </si>
  <si>
    <t>VIA COSTEIRA - OAE - Dispositivo em Desnível - 261,5 - 261,5 - 1</t>
  </si>
  <si>
    <t>ARAGUAIA - OAE - Trombeta - 701,9 - 701,9 - 1</t>
  </si>
  <si>
    <t>ARAGUAIA - OAE - Diamante - 284,5 - 284,5 - 1</t>
  </si>
  <si>
    <t>ARAGUAIA - OAE - Diamante - 319,2 - 319,2 - 1</t>
  </si>
  <si>
    <t>RIO/MINAS - OAE - Intersecção Diamante - 195,5 - 195,5 - 1</t>
  </si>
  <si>
    <t>RIO/MINAS - OAE - Passagem Inferior - 6,1 - 673,266 - 1</t>
  </si>
  <si>
    <t>RIO/MINAS - OAE - Passagem Inferior - 6,7 - 6,7 - 1</t>
  </si>
  <si>
    <t>RIO/MINAS - OAE - Passagem Inferior - 15,585 - 15,585 - 1</t>
  </si>
  <si>
    <t>RIO/MINAS - OAE - Passagem Inferior - 19,757 - 19,757 - 1</t>
  </si>
  <si>
    <t>RIO/MINAS - OAE - Passagem Inferior - 21,276 - 21,276 - 1</t>
  </si>
  <si>
    <t>RIO/MINAS - OAE - Passagem Inferior - 23,39 - 23,39 - 1</t>
  </si>
  <si>
    <t>RIO/MINAS - OAE - Trevo Completo - 7,4 - 7,4 - 1</t>
  </si>
  <si>
    <t>VIA BRASIL - OAE - Trombeta - 997,3 - 997,3 - 1</t>
  </si>
  <si>
    <t>VIA BRASIL - OAE - Diamante - 1053 - 1001,5 - 1</t>
  </si>
  <si>
    <t>VIA BRASIL - OAE - Diamante - 1080,8 - 1080,8 - 1</t>
  </si>
  <si>
    <t>VIA BRASIL - OAE - Trombeta - 674,4 - 674,4 - 1</t>
  </si>
  <si>
    <t>RIO/SP - OAE - Intersecção Diamante - 124,8 - 124,8 - 1</t>
  </si>
  <si>
    <t>RIO/SP - OAE - Ponte - 111,13 - 111,13 - 2</t>
  </si>
  <si>
    <t>RIO/SP - OAE - Ponte - 111,35 - 111,35 - 2</t>
  </si>
  <si>
    <t>RIO/SP - OAE - Ponte - 113,03 - 113,03 - 1</t>
  </si>
  <si>
    <t>RIO/SP - OAE - Ponte - 114,85 - 114,85 - 2</t>
  </si>
  <si>
    <t>RIO/SP - OAE - Ponte - 116,07 - 116,07 - 2</t>
  </si>
  <si>
    <t>RIO/SP - OAE - Intersecção Diamante - 303,28 - 303,28 - 1</t>
  </si>
  <si>
    <t>RIO/SP - OAE - Ponte - 294,39 - 294,39 - 1</t>
  </si>
  <si>
    <t>RIO/SP - OAE - Ponte - 303,27 - 303,27 - 2</t>
  </si>
  <si>
    <t>CONCESSÃO VIA SUL - OAE - Passagem Inferior -  - 0,685 - 0,685 - 1</t>
  </si>
  <si>
    <t>CONCESSÃO VIA SUL - OAE - Passagem Inferior Norte - 22,5 - 22,5 - 1</t>
  </si>
  <si>
    <t>CONCESSÃO VIA SUL - OAE - Passagem Inferior Sul - 22,5 - 22,5 - 1</t>
  </si>
  <si>
    <t>CONCESSÃO VIA SUL - OAE - Passagem Inferior Norte - 67,9 - 67,9 - 1</t>
  </si>
  <si>
    <t>CONCESSÃO VIA SUL - OAE - Passagem Inferior Sul - 67,9 - 67,9 - 1</t>
  </si>
  <si>
    <t>CONCESSÃO VIA SUL - OAE - Passagem Inferior Norte - 71,9 - 71,9 - 1</t>
  </si>
  <si>
    <t>CONCESSÃO VIA SUL - OAE - Passagem Inferior Sul - 71,9 - 71,9 - 1</t>
  </si>
  <si>
    <t>CONCESSÃO VIA SUL - OAE - Interconexão Tipo Trombeta- Estrela - 354,8 - 354,8 - 1</t>
  </si>
  <si>
    <t>CONCESSÃO VIA SUL - OAE - Interconexão Tipo Diamante - Estrela - 360,3 - 360,3 - 1</t>
  </si>
  <si>
    <t>CONCESSÃO VIA SUL - OAE - Interconexão Tipo Diamante - Fazenda Vila Nova - 365,9 - 365,9 - 1</t>
  </si>
  <si>
    <t>CONCESSÃO VIA SUL - OAE - Interconexão Tipo Diamante - Triunfo - 385,9 - 385,9 - 1</t>
  </si>
  <si>
    <t>VIA COSTEIRA - OAE - Dispositivo em Desnível - 460,65 - 460,65 - 1</t>
  </si>
  <si>
    <t>ARAGUAIA - OAE - Passagem Inferior - 107,1 - 107,1 - 1</t>
  </si>
  <si>
    <t>ARAGUAIA - OAE - Passagem Inferior - 199,5 - 199,5 - 1</t>
  </si>
  <si>
    <t>ARAGUAIA - OAE - Trombeta - 109 - 109 - 1</t>
  </si>
  <si>
    <t>ARAGUAIA - OAE - Trombeta - 212,55 - 212,55 - 1</t>
  </si>
  <si>
    <t>ARAGUAIA - OAE - Trombeta - 242,5 - 242,5 - 1</t>
  </si>
  <si>
    <t>ARAGUAIA - OAE - Trombeta - 402 - 402 - 1</t>
  </si>
  <si>
    <t>ARAGUAIA - OAE - Diamante - 68,25 - 68,25 - 1</t>
  </si>
  <si>
    <t>ARAGUAIA - OAE - Diamante - 71,1 - 71,1 - 1</t>
  </si>
  <si>
    <t>ARAGUAIA - OAE - Diamante - 75,7 - 75,7 - 1</t>
  </si>
  <si>
    <t>ARAGUAIA - OAE - Diamante - 200,8 - 200,8 - 1</t>
  </si>
  <si>
    <t>ARAGUAIA - OAE - Diamante - 202,5 - 202,5 - 1</t>
  </si>
  <si>
    <t>ARAGUAIA - OAE - Diamante - 357,3 - 357,3 - 1</t>
  </si>
  <si>
    <t>ARAGUAIA - OAE - Diamante - 360,1 - 360,1 - 1</t>
  </si>
  <si>
    <t>ARAGUAIA - OAE - Diamante - 444,122 - 444,122 - 1</t>
  </si>
  <si>
    <t>ARAGUAIA - OAE - Trombeta - 389,4 - 389,4 - 1</t>
  </si>
  <si>
    <t>ARAGUAIA - OAE - Trombeta - 395,88 - 395,88 - 1</t>
  </si>
  <si>
    <t>ARAGUAIA - OAE - Trombeta - 410,56 - 410,56 - 1</t>
  </si>
  <si>
    <t>ARAGUAIA - OAE - Trombeta - 436,6 - 436,6 - 1</t>
  </si>
  <si>
    <t>ARAGUAIA - OAE - Diamante - 392,44 - 392,44 - 1</t>
  </si>
  <si>
    <t>ARAGUAIA - OAE - Diamante - 409,34 - 409,34 - 1</t>
  </si>
  <si>
    <t>ARAGUAIA - OAE - Diamante - 414,72 - 414,72 - 1</t>
  </si>
  <si>
    <t>RIO/MINAS - OAE - Intersecção Diamante - 47,45 - 47,45 - 1</t>
  </si>
  <si>
    <t>RIO/MINAS - OAE - Intersecção Diamante - 54,165 - 54,165 - 1</t>
  </si>
  <si>
    <t>RIO/MINAS - OAE - Intersecção Diamante - 80,9 - 80,9 - 1</t>
  </si>
  <si>
    <t>RIO/MINAS - OAE - Intersecção Diamante - 113,265 - 113,265 - 1</t>
  </si>
  <si>
    <t>RIO/MINAS - OAE - Passagem Inferior - 83,44 - 83,44 - 1</t>
  </si>
  <si>
    <t>RIO/MINAS - OAE - Passagem Inferior - 90,4 - 90,4 - 1</t>
  </si>
  <si>
    <t>RIO/MINAS - OAE - Passagem Inferior - 105,65 - 105,65 - 1</t>
  </si>
  <si>
    <t>RIO/MINAS - OAE - Passagem Inferior - 142,65 - 142,65 - 1</t>
  </si>
  <si>
    <t>RIO/MINAS - OAE - Intersecção Trombeta - 77,985 - 77,985 - 1</t>
  </si>
  <si>
    <t>RIO/MINAS - OAE - Intersecção Diamante - 422,41 - 195,5 - 1</t>
  </si>
  <si>
    <t>RIO/MINAS - OAE - Intersecção Diamante - 523,538 - 523,538 - 1</t>
  </si>
  <si>
    <t>RIO/MINAS - OAE - Intersecção Diamante - 703,32 - 703,32 - 1</t>
  </si>
  <si>
    <t>RIO/MINAS - OAE - Intersecção Diamante - 763,58 - 763,58 - 1</t>
  </si>
  <si>
    <t>RIO/MINAS - OAE - Intersecção Diamante - 765,75 - 765,75 - 1</t>
  </si>
  <si>
    <t>RIO/MINAS - OAE - Passagem Inferior - 673,266 - 673,266 - 1</t>
  </si>
  <si>
    <t>RIO/MINAS - OAE - Passagem Inferior - 704,084 - 704,084 - 1</t>
  </si>
  <si>
    <t>RIO/MINAS - OAE - Passagem Inferior - 737,1 - 737,1 - 1</t>
  </si>
  <si>
    <t>RIO/MINAS - OAE - Intersecção Trombeta - 470,375 - 470,375 - 1</t>
  </si>
  <si>
    <t>RIO/MINAS - OAE - Intersecção Trombeta - 607,444 - 607,444 - 1</t>
  </si>
  <si>
    <t>RIO/MINAS - OAE - Intersecção Trombeta - 815 - 815 - 1</t>
  </si>
  <si>
    <t>RIO/SP - OAE - Intersecção Diamante - 37,9 - 37,9 - 1</t>
  </si>
  <si>
    <t>RIO/SP - OAE - Intersecção Diamante - 48,3 - 48,3 - 1</t>
  </si>
  <si>
    <t>RIO/SP - OAE - Intersecção Diamante - 52,7 - 52,7 - 1</t>
  </si>
  <si>
    <t>RIO/SP - OAE - Intersecção Diamante - 58,2 - 58,2 - 1</t>
  </si>
  <si>
    <t>RIO/SP - OAE - Intersecção Diamante - 64,9 - 64,9 - 1</t>
  </si>
  <si>
    <t>RIO/SP - OAE - Intersecção Diamante - 67,2 - 67,2 - 1</t>
  </si>
  <si>
    <t>RIO/SP - OAE - Intersecção Diamante - 71,4 - 71,4 - 1</t>
  </si>
  <si>
    <t>RIO/SP - OAE - Intersecção Diamante - 80,9 - 80,9 - 1</t>
  </si>
  <si>
    <t>RIO/SP - OAE - Intersecção Diamante - 105,6 - 105,6 - 1</t>
  </si>
  <si>
    <t>RIO/SP - OAE - Intersecção Trombeta - 21,5 - 21,5 - 1</t>
  </si>
  <si>
    <t>RIO/SP - OAE - Intersecção Trombeta - 60,3 - 60,3 - 1</t>
  </si>
  <si>
    <t>RIO/SP - OAE - Intersecção Trombeta - 199,1 - 199,1 - 1</t>
  </si>
  <si>
    <t>RIO/SP - OAE - Intersecção Trevo Completo - 39,1 - 39,1 - 1</t>
  </si>
  <si>
    <t>RIO/SP - OAE - Intersecção Trevo Completo - 51,1 - 51,1 - 1</t>
  </si>
  <si>
    <t>RIO/SP - OAE - Intersecção Trevo Completo - 74,4 - 74,4 - 1</t>
  </si>
  <si>
    <t>RIO/SP - OAE - Intersecção Trevo Completo - 98,9 - 98,9 - 1</t>
  </si>
  <si>
    <t>RIO/SP - OAE - Intersecção Trevo Completo - 178,84 - 178,84 - 1</t>
  </si>
  <si>
    <t>RIO/SP - OAE - Ponte - 14,851 - 14,851 - 1</t>
  </si>
  <si>
    <t>RIO/SP - OAE - Ponte - 21,47 - 21,47 - 1</t>
  </si>
  <si>
    <t>RIO/SP - OAE - Ponte - 26,411 - 26,411 - 1</t>
  </si>
  <si>
    <t>RIO/SP - OAE - Ponte - 39,09 - 39,09 - 1</t>
  </si>
  <si>
    <t>RIO/SP - OAE - Ponte - 44,26 - 44,26 - 1</t>
  </si>
  <si>
    <t>RIO/SP - OAE - Ponte - 48,35 - 48,35 - 1</t>
  </si>
  <si>
    <t>RIO/SP - OAE - Ponte - 51,13 - 51,13 - 1</t>
  </si>
  <si>
    <t>RIO/SP - OAE - Ponte - 56,56 - 56,56 - 1</t>
  </si>
  <si>
    <t>RIO/SP - OAE - Ponte - 57,1 - 57,1 - 1</t>
  </si>
  <si>
    <t>RIO/SP - OAE - Ponte - 58,16 - 58,16 - 1</t>
  </si>
  <si>
    <t>RIO/SP - OAE - Ponte - 60,33 - 60,33 - 1</t>
  </si>
  <si>
    <t>RIO/SP - OAE - Ponte - 63,66 - 63,66 - 1</t>
  </si>
  <si>
    <t>RIO/SP - OAE - Ponte - 64,3 - 64,3 - 1</t>
  </si>
  <si>
    <t>RIO/SP - OAE - Ponte - 64,903 - 64,903 - 1</t>
  </si>
  <si>
    <t>RIO/SP - OAE - Ponte - 65,25 - 65,25 - 1</t>
  </si>
  <si>
    <t>RIO/SP - OAE - Ponte - 67,15 - 67,15 - 1</t>
  </si>
  <si>
    <t>RIO/SP - OAE - Ponte - 70,18 - 70,18 - 1</t>
  </si>
  <si>
    <t>RIO/SP - OAE - Ponte - 70,56 - 70,56 - 1</t>
  </si>
  <si>
    <t>RIO/SP - OAE - Ponte - 71,36 - 71,36 - 1</t>
  </si>
  <si>
    <t>RIO/SP - OAE - Ponte - 71,43 - 71,43 - 1</t>
  </si>
  <si>
    <t>RIO/SP - OAE - Ponte - 74,45 - 74,45 - 1</t>
  </si>
  <si>
    <t>RIO/SP - OAE - Ponte - 74,46 - 74,46 - 1</t>
  </si>
  <si>
    <t>RIO/SP - OAE - Ponte - 80,91 - 80,91 - 1</t>
  </si>
  <si>
    <t>RIO/SP - OAE - Ponte - 88,94 - 88,94 - 1</t>
  </si>
  <si>
    <t>RIO/SP - OAE - Ponte - 98,87 - 98,87 - 1</t>
  </si>
  <si>
    <t>RIO/SP - OAE - Ponte - 105,62 - 105,62 - 2</t>
  </si>
  <si>
    <t>RIO/SP - OAE - Ponte - 107,48 - 107,48 - 2</t>
  </si>
  <si>
    <t>RIO/SP - OAE - Ponte - 107,5 - 107,5 - 2</t>
  </si>
  <si>
    <t>RIO/SP - OAE - Ponte - 110,57 - 110,57 - 1</t>
  </si>
  <si>
    <t>RIO/SP - OAE - Ponte - 166,81 - 166,81 - 1</t>
  </si>
  <si>
    <t>RIO/SP - OAE - Ponte - 178,84 - 178,84 - 1</t>
  </si>
  <si>
    <t>RIO/SP - OAE - Ponte - 185,62 - 185,62 - 1</t>
  </si>
  <si>
    <t>RIO/SP - OAE - Ponte - 186,11 - 186,11 - 1</t>
  </si>
  <si>
    <t>RIO/SP - OAE - Ponte - 188,225 - 188,225 - 1</t>
  </si>
  <si>
    <t>RIO/SP - OAE - Ponte - 193,87 - 193,87 - 1</t>
  </si>
  <si>
    <t>RIO/SP - OAE - Ponte - 199,07 - 199,07 - 1</t>
  </si>
  <si>
    <t>RIO/SP - OAE - Ponte - 199,55 - 199,55 - 1</t>
  </si>
  <si>
    <t>RIO/SP - OAE - Ponte - 199,59 - 199,59 - 1</t>
  </si>
  <si>
    <t>RIO/SP - OAE - Ponte - 200,94 - 200,94 - 1</t>
  </si>
  <si>
    <t>RIO/SP - OAE - Intersecção Diamante - 43,6 - 43,6 - 1</t>
  </si>
  <si>
    <t>RIO/SP - OAE - Intersecção Diamante - 47,9 - 47,9 - 1</t>
  </si>
  <si>
    <t>RIO/SP - OAE - Intersecção Diamante - 50,2 - 50,2 - 1</t>
  </si>
  <si>
    <t>RIO/SP - OAE - Ponte - 43,6 - 43,6 - 1</t>
  </si>
  <si>
    <t>RIO/SP - OAE - Ponte - 47,9 - 47,9 - 1</t>
  </si>
  <si>
    <t>RIO/SP - OAE - Ponte - 50,2 - 50,2 - 1</t>
  </si>
  <si>
    <t>RIO/SP - OAE - Intersecção Diamante - 237,48 - 237,48 - 1</t>
  </si>
  <si>
    <t>RIO/SP - OAE - Intersecção Diamante - 241,05 - 241,05 - 1</t>
  </si>
  <si>
    <t>RIO/SP - OAE - Intersecção Diamante - 245,11 - 245,11 - 1</t>
  </si>
  <si>
    <t>RIO/SP - OAE - Intersecção Trombeta - 210,34 - 210,34 - 1</t>
  </si>
  <si>
    <t>RIO/SP - OAE - Intersecção Trombeta - 257,15 - 257,15 - 1</t>
  </si>
  <si>
    <t>RIO/SP - OAE - Intersecção Trombeta - 163,58 - 163,58 - 1</t>
  </si>
  <si>
    <t>RIO/SP - OAE - Intersecção Trombeta - 268,93 - 268,93 - 1</t>
  </si>
  <si>
    <t>RIO/SP - OAE - Intersecção Trombeta - 309,45 - 309,45 - 1</t>
  </si>
  <si>
    <t>RIO/SP - OAE - Intersecção Trombeta - 310,67 - 310,67 - 1</t>
  </si>
  <si>
    <t>RIO/SP - OAE - Ponte - 263,58 - 263,58 - 1</t>
  </si>
  <si>
    <t>RIO/SP - OAE - Ponte - 268,09 - 268,09 - 1</t>
  </si>
  <si>
    <t>RIO/SP - OAE - Ponte - 268,9 - 268,9 - 1</t>
  </si>
  <si>
    <t>RIO/SP - OAE - Ponte - 308,28 - 308,28 - 1</t>
  </si>
  <si>
    <t>RIO/SP - OAE - Ponte - 283,64 - 283,64 - 1</t>
  </si>
  <si>
    <t>RIO/SP - OAE - Ponte - 310,67 - 310,67 - 1</t>
  </si>
  <si>
    <t>RIO/SP - OAE - Ponte - 241,05 - 241,05 - 2</t>
  </si>
  <si>
    <t>RIO/SP - OAE - Ponte - 245,11 - 245,11 - 1</t>
  </si>
  <si>
    <t>RIO/SP - OAE - Ponte - 226,47 - 226,47 - 1</t>
  </si>
  <si>
    <t>RIO/SP - OAE - Ponte - 231,85 - 231,85 - 1</t>
  </si>
  <si>
    <t>RIO/SP - OAE - Ponte - 234,4 - 234,4 - 1</t>
  </si>
  <si>
    <t>RIO/SP - OAE - Ponte - 316,51 - 316,51 - 1</t>
  </si>
  <si>
    <t>RIO/SP - OAE - Ponte - 323,59 - 323,59 - 1</t>
  </si>
  <si>
    <t>RIO/SP - OAE - Ponte - 328,65 - 328,65 - 1</t>
  </si>
  <si>
    <t>RIO/SP - OAE - Ponte - 329,008 - 329,008 - 1</t>
  </si>
  <si>
    <t>RIO/SP - OAE - Ponte - 329,85 - 329,85 - 1</t>
  </si>
  <si>
    <t>RIO/SP - OAE - Ponte Pista Norte (Serra das Araras) - 218,35 - 218,35 - 1</t>
  </si>
  <si>
    <t>RIO/SP - OAE - Ponte Pista Norte (Serra das Araras) - 219,25 - 219,25 - 1</t>
  </si>
  <si>
    <t>RIO/SP - OAE - Ponte Pista Norte (Serra das Araras) - 219,7 - 219,7 - 1</t>
  </si>
  <si>
    <t>RIO/SP - OAE - Ponte Pista Norte (Serra das Araras) - 220,1 - 220,1 - 1</t>
  </si>
  <si>
    <t>RIO/SP - OAE - Ponte Pista Norte (Serra das Araras) - 220,84 - 220,84 - 1</t>
  </si>
  <si>
    <t>RIO/SP - OAE - Ponte Pista Norte (Serra das Araras) - 220,85 - 220,85 - 2</t>
  </si>
  <si>
    <t>RIO/SP - OAE - Ponte Pista Norte (Serra das Araras) - 221,43 - 221,43 - 1</t>
  </si>
  <si>
    <t>RIO/SP - OAE - Ponte Pista Norte (Serra das Araras) - 222 - 222 - 1</t>
  </si>
  <si>
    <t>RIO/SP - OAE - Ponte Pista Norte (Serra das Araras) - 222,49 - 222,49 - 1</t>
  </si>
  <si>
    <t>RIO/SP - OAE - Ponte Pista Norte (Serra das Araras) - 223,14 - 223,14 - 1</t>
  </si>
  <si>
    <t>RIO/SP - OAE - Ponte Pista Norte (Serra das Araras) - 224,09 - 224,09 - 1</t>
  </si>
  <si>
    <t>RIO/SP - OAE - Ponte Pista Norte (Serra das Araras) - 224,88 - 224,88 - 1</t>
  </si>
  <si>
    <t>RIO/SP - OAE - Ponte Pista Norte (Serra das Araras) - 225,35 - 225,35 - 1</t>
  </si>
  <si>
    <t>RIO/SP - OAE - Ponte Pista Norte (Serra das Araras) - 225,64 - 225,64 - 1</t>
  </si>
  <si>
    <t>RIO/SP - OAE - Ponte Pista Sul (Serra das Araras) - 219,25 - 219,25 - 1</t>
  </si>
  <si>
    <t>RIO/SP - OAE - Ponte Pista Sul (Serra das Araras) - 220,85 - 220,85 - 1</t>
  </si>
  <si>
    <t>RIO/SP - OAE - Ponte Pista Sul (Serra das Araras) - 222,14 - 222,14 - 1</t>
  </si>
  <si>
    <t>RIO/SP - OAE - Ponte Pista Sul (Serra das Araras) - 222,37 - 222,37 - 1</t>
  </si>
  <si>
    <t>RIO/SP - OAE - Ponte Pista Sul (Serra das Araras) - 222,5 - 222,5 - 1</t>
  </si>
  <si>
    <t>RIO/SP - OAE - Ponte Pista Sul (Serra das Araras) - 223,285 - 223,285 - 1</t>
  </si>
  <si>
    <t>RIO/SP - OAE - Ponte Pista Sul (Serra das Araras) - 223,98 - 223,98 - 1</t>
  </si>
  <si>
    <t>RIO/SP - OAE - Ponte Pista Sul (Serra das Araras) - 224,09 - 224,09 - 1</t>
  </si>
  <si>
    <t>RIO/SP - OAE - Ponte Pista Sul (Serra das Araras) - 224,32 - 224,32 - 1</t>
  </si>
  <si>
    <t>RIO/SP - OAE - Ponte Pista Sul (Serra das Araras) - 225,02 - 225,02 - 1</t>
  </si>
  <si>
    <t>RIO/SP - OAE - Ponte Pista Sul (Serra das Araras) - 225,66 - 225,66 - 1</t>
  </si>
  <si>
    <t>RIO/SP - OAE - Túnel BR 116 RJ (Serra das Araras) - 222,6 - 223 - 0,400000000000006</t>
  </si>
  <si>
    <t>RIO/SP - OAE - Intersecção Diamante - 420,7 - 420,7 - 1</t>
  </si>
  <si>
    <t>RIO/SP - OAE - Intersecção Diamante - 423,2 - 423,2 - 1</t>
  </si>
  <si>
    <t>RIO/SP - OAE - Intersecção Diamante - 428,5 - 428,5 - 1</t>
  </si>
  <si>
    <t>RIO/SP - OAE - Intersecção Diamante - 433,5 - 433,5 - 1</t>
  </si>
  <si>
    <t>RIO/SP - OAE - Intersecção Diamante - 456 - 456 - 1</t>
  </si>
  <si>
    <t>RIO/SP - OAE - Intersecção Diamante - 456,8 - 456,8 - 1</t>
  </si>
  <si>
    <t>RIO/SP - OAE - Intersecção Diamante - 471,1 - 471,1 - 1</t>
  </si>
  <si>
    <t>RIO/SP - OAE - Intersecção Diamante - 473,5 - 473,5 - 1</t>
  </si>
  <si>
    <t>RIO/SP - OAE - Intersecção Diamante - 477,3 - 477,3 - 1</t>
  </si>
  <si>
    <t>RIO/SP - OAE - Intersecção Diamante - 482,5 - 482,5 - 1</t>
  </si>
  <si>
    <t>RIO/SP - OAE - Intersecção Diamante - 485,7 - 485,7 - 1</t>
  </si>
  <si>
    <t>RIO/SP - OAE - Intersecção Diamante - 488,3 - 488,3 - 1</t>
  </si>
  <si>
    <t>RIO/SP - OAE - Intersecção Diamante - 505,1 - 505,1 - 1</t>
  </si>
  <si>
    <t>RIO/SP - OAE - Intersecção Diamante - 506,2 - 506,2 - 1</t>
  </si>
  <si>
    <t>RIO/SP - OAE - Intersecção Diamante - 511,6 - 511,6 - 1</t>
  </si>
  <si>
    <t>RIO/SP - OAE - Intersecção Diamante - 521,6 - 521,6 - 1</t>
  </si>
  <si>
    <t>RIO/SP - OAE - Intersecção Diamante - 524,9 - 524,9 - 1</t>
  </si>
  <si>
    <t>RIO/SP - OAE - Intersecção Diamante - 532,7 - 532,7 - 1</t>
  </si>
  <si>
    <t>RIO/SP - OAE - Intersecção Diamante - 534,5 - 534,5 - 1</t>
  </si>
  <si>
    <t>RIO/SP - OAE - Intersecção Diamante - 575,9 - 575,9 - 1</t>
  </si>
  <si>
    <t>RIO/SP - OAE - Intersecção Trombeta - 416,2 - 416,2 - 1</t>
  </si>
  <si>
    <t>RIO/SP - OAE - Intersecção Trombeta - 425,85 - 425,85 - 1</t>
  </si>
  <si>
    <t>RIO/SP - OAE - Intersecção Trombeta - 496,2 - 496,2 - 1</t>
  </si>
  <si>
    <t>RIO/SP - OAE - Intersecção Tipo Parclo - 408,08 - 408,08 - 1</t>
  </si>
  <si>
    <t>RIO/SP - OAE - Novas OAEs - 408,15 - 408,15 - 1</t>
  </si>
  <si>
    <t>RIO/SP - OAE - Novas OAEs - 416,206 - 416,206 - 1</t>
  </si>
  <si>
    <t>RIO/SP - OAE - Novas OAEs - 420,74 - 420,74 - 1</t>
  </si>
  <si>
    <t>RIO/SP - OAE - Novas OAEs - 422,977 - 422,977 - 1</t>
  </si>
  <si>
    <t>RIO/SP - OAE - Novas OAEs - 423,179 - 423,179 - 1</t>
  </si>
  <si>
    <t>RIO/SP - OAE - Novas OAEs - 425,85 - 425,85 - 1</t>
  </si>
  <si>
    <t>RIO/SP - OAE - Novas OAEs - 428,5 - 428,5 - 1</t>
  </si>
  <si>
    <t>RIO/SP - OAE - Novas OAEs - 429 - 429 - 1</t>
  </si>
  <si>
    <t>RIO/SP - OAE - Novas OAEs - 430,15 - 430,15 - 2</t>
  </si>
  <si>
    <t>RIO/SP - OAE - Novas OAEs - 433,5 - 433,5 - 1</t>
  </si>
  <si>
    <t>RIO/SP - OAE - Novas OAEs - 434,034 - 434,034 - 1</t>
  </si>
  <si>
    <t>RIO/SP - OAE - Novas OAEs - 438,56 - 438,56 - 1</t>
  </si>
  <si>
    <t>RIO/SP - OAE - Novas OAEs - 439,057 - 439,057 - 1</t>
  </si>
  <si>
    <t>RIO/SP - OAE - Novas OAEs - 440,02 - 440,02 - 1</t>
  </si>
  <si>
    <t>RIO/SP - OAE - Novas OAEs - 456 - 456 - 1</t>
  </si>
  <si>
    <t>RIO/SP - OAE - Novas OAEs - 456,82 - 456,82 - 1</t>
  </si>
  <si>
    <t>RIO/SP - OAE - Novas OAEs - 471,086 - 471,086 - 1</t>
  </si>
  <si>
    <t>RIO/SP - OAE - Novas OAEs - 471,415 - 471,415 - 1</t>
  </si>
  <si>
    <t>RIO/SP - OAE - Novas OAEs - 473,508 - 473,508 - 1</t>
  </si>
  <si>
    <t>RIO/SP - OAE - Novas OAEs - 477,149 - 477,149 - 1</t>
  </si>
  <si>
    <t>RIO/SP - OAE - Novas OAEs - 477,313 - 477,313 - 1</t>
  </si>
  <si>
    <t>RIO/SP - OAE - Novas OAEs - 482,5 - 482,5 - 1</t>
  </si>
  <si>
    <t>RIO/SP - OAE - Novas OAEs - 485,036 - 485,036 - 1</t>
  </si>
  <si>
    <t>RIO/SP - OAE - Novas OAEs - 485,716 - 485,716 - 1</t>
  </si>
  <si>
    <t>RIO/SP - OAE - Novas OAEs - 486,34 - 486,34 - 1</t>
  </si>
  <si>
    <t>RIO/SP - OAE - Novas OAEs - 488,208 - 488,208 - 1</t>
  </si>
  <si>
    <t>RIO/SP - OAE - Novas OAEs - 492,517 - 492,517 - 1</t>
  </si>
  <si>
    <t>RIO/SP - OAE - Novas OAEs - 505,079 - 505,079 - 1</t>
  </si>
  <si>
    <t>RIO/SP - OAE - Novas OAEs - 506,233 - 506,233 - 1</t>
  </si>
  <si>
    <t>RIO/SP - OAE - Novas OAEs - 511,607 - 511,607 - 1</t>
  </si>
  <si>
    <t>RIO/SP - OAE - Novas OAEs - 521,636 - 521,636 - 1</t>
  </si>
  <si>
    <t>RIO/SP - OAE - Novas OAEs - 524,937 - 524,937 - 2</t>
  </si>
  <si>
    <t>RIO/SP - OAE - Novas OAEs - 532,729 - 532,729 - 1</t>
  </si>
  <si>
    <t>RIO/SP - OAE - Novas OAEs - 534,483 - 534,483 - 2</t>
  </si>
  <si>
    <t>RIO/SP - OAE - Novas OAEs - 575,883 - 575,883 - 1</t>
  </si>
  <si>
    <t>RIO/SP - OAE - Túnel BR 101 RJ (Muriqui) - 418,2 - 418,8 - 0,600000000000023</t>
  </si>
  <si>
    <t>RIO/SP - OAE - Túnel BR 101 RJ (Mangaratiba Interno) - 429,8 - 430,6 - 0,800000000000011</t>
  </si>
  <si>
    <t>RIO/SP - OAE - Túnel BR 101 RJ (Mangaratiba Externo) - 429,8 - 430,6 - 0,800000000000011</t>
  </si>
  <si>
    <t>ARAGUAIA - CONTORNO - Segmento 41A - 389,374 - 395,464 - 6,08999999999997</t>
  </si>
  <si>
    <t>VIA BRASIL - FX ADICIONAL - Faixa Adicional  - 951,066 - 953,057 - 1,99099999999999</t>
  </si>
  <si>
    <t>VIA BRASIL - FX ADICIONAL - Faixa Adicional  - 955,854 - 960,351 - 4,49699999999996</t>
  </si>
  <si>
    <t>VIA BRASIL - FX ADICIONAL - Faixa Adicional  - 960,351 - 963,554 - 3,20299999999997</t>
  </si>
  <si>
    <t>VIA BRASIL - FX ADICIONAL - Faixa Adicional  - 966,567 - 967,861 - 1,29399999999998</t>
  </si>
  <si>
    <t>VIA BRASIL - FX ADICIONAL - Faixa Adicional  - 971,354 - 972,055 - 0,700999999999908</t>
  </si>
  <si>
    <t>VIA BRASIL - FX ADICIONAL - Faixa Adicional  - 972,055 - 973,254 - 1,19900000000007</t>
  </si>
  <si>
    <t>VIA BRASIL - FX ADICIONAL - Faixa Adicional  - 978,15 - 978,863 - 0,713000000000079</t>
  </si>
  <si>
    <t>RIO/SP - FX ADICIONAL - 3ª e 4ª faixa (LD e LE) - 124,9 - 128 - 6,19999999999999</t>
  </si>
  <si>
    <t>RIO/SP - FX ADICIONAL - 3ª e 4ª faixa (LD e LE) - 128 - 143,4 - 30,8</t>
  </si>
  <si>
    <t>RIO/SP - FX ADICIONAL - 3ª e 4ª faixa (LD e LE) - 143,4 - 146,7 - 6,59999999999997</t>
  </si>
  <si>
    <t>RIO/SP - FX ADICIONAL - 3ª e 4ª faixa (LD e LE) - 146,7 - 149,9 - 6,40000000000003</t>
  </si>
  <si>
    <t>RIO/SP - FX ADICIONAL - 3ª e 4ª faixa (LD e LE) - 149,9 - 151,3 - 2,80000000000001</t>
  </si>
  <si>
    <t>CERRADO - FX ADICIONAL - Implantação de 3ª Faixa - 64,7 - 113,2 - 48,5</t>
  </si>
  <si>
    <t>RIO/MINAS - FX ADICIONAL - Decrescente - 162,198 - 164,9 - 2,702</t>
  </si>
  <si>
    <t>RIO/MINAS - FX ADICIONAL - Crescente - 162,198 - 164,9 - 2,702</t>
  </si>
  <si>
    <t>RIO/MINAS - FX ADICIONAL - Decrescente - 164,9 - 167,3 - 2,40000000000001</t>
  </si>
  <si>
    <t>RIO/MINAS - FX ADICIONAL - Crescente - 164,9 - 167,3 - 2,40000000000001</t>
  </si>
  <si>
    <t>RIO/MINAS - FX ADICIONAL - Decrescente - 167,3 - 171,4 - 4,09999999999999</t>
  </si>
  <si>
    <t>RIO/MINAS - FX ADICIONAL - Crescente - 167,3 - 171,4 - 4,09999999999999</t>
  </si>
  <si>
    <t>RIO/MINAS - FX ADICIONAL - Decrescente - 171,4 - 174,6 - 3,19999999999999</t>
  </si>
  <si>
    <t>RIO/MINAS - FX ADICIONAL - Crescente - 171,4 - 174,6 - 3,19999999999999</t>
  </si>
  <si>
    <t>RIO/MINAS - FX ADICIONAL - Decrescente - 174,6 - 178,5 - 3,90000000000001</t>
  </si>
  <si>
    <t>RIO/MINAS - FX ADICIONAL - Crescente - 174,6 - 178,5 - 3,90000000000001</t>
  </si>
  <si>
    <t>RIO/MINAS - FX ADICIONAL - Decrescente - 178,5 - 182,6 - 4,09999999999999</t>
  </si>
  <si>
    <t>RIO/MINAS - FX ADICIONAL - Crescente - 178,5 - 182,6 - 4,09999999999999</t>
  </si>
  <si>
    <t>RIO/MINAS - FX ADICIONAL - Decrescente - 182,6 - 189,1 - 6,5</t>
  </si>
  <si>
    <t>RIO/MINAS - FX ADICIONAL - Crescente - 182,6 - 189,1 - 6,5</t>
  </si>
  <si>
    <t>RIO/MINAS - FX ADICIONAL - Decrescente - 189,1 - 195,45 - 6,34999999999999</t>
  </si>
  <si>
    <t>RIO/MINAS - FX ADICIONAL - Crescente - 189,1 - 195,45 - 6,34999999999999</t>
  </si>
  <si>
    <t>RIO/MINAS - FX ADICIONAL - Decrescente - 195,45 - 197,3 - 1,85000000000002</t>
  </si>
  <si>
    <t>RIO/MINAS - FX ADICIONAL - Crescente - 195,45 - 197,3 - 1,85000000000002</t>
  </si>
  <si>
    <t>VIA BRASIL - FX ADICIONAL - Faixa Adicional  - 978,863 - 980,167 - 1,30399999999997</t>
  </si>
  <si>
    <t>VIA BRASIL - FX ADICIONAL - Faixa Adicional  - 982,458 - 983,656 - 1,19799999999998</t>
  </si>
  <si>
    <t>VIA BRASIL - FX ADICIONAL - Faixa Adicional  - 994,459 - 997,152 - 2,6930000000001</t>
  </si>
  <si>
    <t>VIA BRASIL - FX ADICIONAL - Faixa Adicional  - 997,761 - 999,157 - 1,39600000000007</t>
  </si>
  <si>
    <t>VIA BRASIL - FX ADICIONAL - Faixa Adicional  - 1003,857 - 1004,36 - 0,503000000000043</t>
  </si>
  <si>
    <t>VIA BRASIL - FX ADICIONAL - Faixa Adicional  - 1019,754 - 1021,156 - 1,40199999999993</t>
  </si>
  <si>
    <t>VIA BRASIL - FX ADICIONAL - Faixa Adicional  - 1025,46 - 1026,55 - 1,08999999999992</t>
  </si>
  <si>
    <t>VIA BRASIL - FX ADICIONAL - Faixa Adicional  - 1040,055 - 1041,157 - 1,10199999999986</t>
  </si>
  <si>
    <t>RIO/SP - FX ADICIONAL - 3ª e 4ª faixa (LD e LE) - 110,7 - 117,4 - 13,4</t>
  </si>
  <si>
    <t>RIO/SP - FX ADICIONAL - 3ª e 4ª faixa (LD e LE) - 117,4 - 124,9 - 15</t>
  </si>
  <si>
    <t>RIO/SP - FX ADICIONAL - 3ª e 4ª faixa (LD e LE) - 157,8 - 166,8 - 18</t>
  </si>
  <si>
    <t>RIO/SP - FX ADICIONAL - 3ª e 4ª faixa (LD e LE) - 290,8 - 303,4 - 25,1999999999999</t>
  </si>
  <si>
    <t>CONCESSÃO VIA SUL - FX ADICIONAL - Entr. RS 030 - Acesso RS - 030 - 0,7 - 1,5 - 0,8</t>
  </si>
  <si>
    <t>CONCESSÃO VIA SUL - FX ADICIONAL - AcessoRS 030 - Entr. RS-118 - 1,5 - 74,4 - 72,9</t>
  </si>
  <si>
    <t>CERRADO - FX ADICIONAL - Implantação de 3ª Faixa - 793,4 - 795,9 - 2,5</t>
  </si>
  <si>
    <t>CERRADO - FX ADICIONAL - Implantação de 3ª Faixa - 0 - 4,9 - 4,9</t>
  </si>
  <si>
    <t>CERRADO - FX ADICIONAL - Implantação de 3ª Faixa - 4,9 - 9,3 - 4,4</t>
  </si>
  <si>
    <t>CERRADO - FX ADICIONAL - Implantação de 3ª Faixa - 9,3 - 16 - 6,7</t>
  </si>
  <si>
    <t>CERRADO - FX ADICIONAL - Implantação de 3ª Faixa - 16 - 64,7 - 48,7</t>
  </si>
  <si>
    <t>VIA COSTEIRA - FX ADICIONAL - Faixa Adicional Pista Sul - 256,5 - 258,08 - 1,57999999999998</t>
  </si>
  <si>
    <t>VIA COSTEIRA - FX ADICIONAL - Faixa Adicional (ambas as pistas) - 273 - 282,3 - 18,6</t>
  </si>
  <si>
    <t>VIA COSTEIRA - FX ADICIONAL - Faixa Adicional (ambas as pistas) - 312 - 317,25 - 10,5</t>
  </si>
  <si>
    <t>VIA COSTEIRA - FX ADICIONAL - Faixa Adicional (ambas as pistas) - 317,25 - 327,58 - 20,66</t>
  </si>
  <si>
    <t>VIA COSTEIRA - FX ADICIONAL - Faixa Adicional (ambas as pistas) - 327,58 - 328,3 - 1,44000000000005</t>
  </si>
  <si>
    <t>VIA COSTEIRA - FX ADICIONAL - Faixa Adicional (ambas as pistas) - 328,3 - 331 - 5,39999999999998</t>
  </si>
  <si>
    <t>VIA COSTEIRA - FX ADICIONAL - Faixa Adicional (ambas as pistas) - 331 - 335 - 8</t>
  </si>
  <si>
    <t>VIA COSTEIRA - FX ADICIONAL - Faixa Adicional (ambas as pistas) - 335 - 339,58 - 9,15999999999997</t>
  </si>
  <si>
    <t>VIA COSTEIRA - FX ADICIONAL - Faixa Adicional (ambas as pistas) - 339,58 - 351,14 - 23,12</t>
  </si>
  <si>
    <t>ARAGUAIA - FX ADICIONAL - 30 (SUL) - 435,5 - 444,132 - 8,63200000000001</t>
  </si>
  <si>
    <t>ARAGUAIA - FX ADICIONAL - 30 (NORTE) - 435,5 - 444,132 - 8,63200000000001</t>
  </si>
  <si>
    <t>ARAGUAIA - FX ADICIONAL - 42 (SUL) - 395,89 - 398,04 - 2,15000000000003</t>
  </si>
  <si>
    <t>ARAGUAIA - FX ADICIONAL - 42 (NORTE) - 398,016 - 399,25 - 1,23399999999998</t>
  </si>
  <si>
    <t>ARAGUAIA - FX ADICIONAL - 42 (SUL) - 401,651 - 404,895 - 3,24399999999997</t>
  </si>
  <si>
    <t>ARAGUAIA - FX ADICIONAL - 42 (NORTE) - 404,485 - 405,795 - 1,31</t>
  </si>
  <si>
    <t>ARAGUAIA - FX ADICIONAL - 42 (SUL) - 406,672 - 409,05 - 2,37799999999999</t>
  </si>
  <si>
    <t>RIO/MINAS - FX ADICIONAL - Decrescente - 90,5 - 94,963 - 4,46299999999999</t>
  </si>
  <si>
    <t>RIO/MINAS - FX ADICIONAL - Crescente - 94 - 95 - 1</t>
  </si>
  <si>
    <t>RIO/MINAS - FX ADICIONAL - Crescente - 97,563 - 99,026 - 1,46299999999999</t>
  </si>
  <si>
    <t>RIO/MINAS - FX ADICIONAL - Decrescente - 98,064 - 98,516 - 0,452000000000012</t>
  </si>
  <si>
    <t>RIO/MINAS - FX ADICIONAL - Decrescente - 101,006 - 101,35 - 0,343999999999994</t>
  </si>
  <si>
    <t>RIO/MINAS - FX ADICIONAL - Crescente - 103,035 - 104,032 - 0,997</t>
  </si>
  <si>
    <t>RIO/MINAS - FX ADICIONAL - Decrescente - 124,4 - 134,4 - 10</t>
  </si>
  <si>
    <t>RIO/MINAS - FX ADICIONAL - Decrescente - 134,4 - 139 - 4,59999999999999</t>
  </si>
  <si>
    <t>RIO/MINAS - FX ADICIONAL - Crescente - 139 - 145,2 - 6,19999999999999</t>
  </si>
  <si>
    <t>RIO/MINAS - FX ADICIONAL - Decrescente - 139 - 145,4 - 6,40000000000001</t>
  </si>
  <si>
    <t>RIO/MINAS - FX ADICIONAL - Decrescente - 197,3 - 204,8 - 7,5</t>
  </si>
  <si>
    <t>RIO/MINAS - FX ADICIONAL - Crescente - 197,3 - 204,8 - 7,5</t>
  </si>
  <si>
    <t>RIO/MINAS - FX ADICIONAL - Decrescente - 204,8 - 207,085 - 2,285</t>
  </si>
  <si>
    <t>RIO/MINAS - FX ADICIONAL - Crescente - 204,8 - 207,085 - 2,285</t>
  </si>
  <si>
    <t>RIO/MINAS - FX ADICIONAL - Decrescente - 457,5 - 458,6 - 1,10000000000002</t>
  </si>
  <si>
    <t>RIO/MINAS - FX ADICIONAL - Crescente - 458,8 - 460 - 1,19999999999999</t>
  </si>
  <si>
    <t>RIO/MINAS - FX ADICIONAL - Crescente - 461,1 - 462,3 - 1,19999999999999</t>
  </si>
  <si>
    <t>RIO/MINAS - FX ADICIONAL - Decrescente - 461,281 - 460 - 1,28100000000001</t>
  </si>
  <si>
    <t>RIO/MINAS - FX ADICIONAL - Crescente - 463,4 - 464,6 - 1,20000000000005</t>
  </si>
  <si>
    <t>RIO/MINAS - FX ADICIONAL - Decrescente - 463,5 - 462,2 - 1,30000000000001</t>
  </si>
  <si>
    <t>RIO/MINAS - FX ADICIONAL - Decrescente - 465,8 - 464,5 - 1,30000000000001</t>
  </si>
  <si>
    <t>RIO/MINAS - FX ADICIONAL - Decrescente - 468,1 - 466,8 - 1,30000000000001</t>
  </si>
  <si>
    <t>RIO/MINAS - FX ADICIONAL - Decrescente - 470,4 - 469,1 - 1,29999999999995</t>
  </si>
  <si>
    <t>RIO/MINAS - FX ADICIONAL - Crescente - 470,4 - 471,6 - 1,20000000000005</t>
  </si>
  <si>
    <t>RIO/MINAS - FX ADICIONAL - Decrescente - 473,4 - 472,2 - 1,19999999999999</t>
  </si>
  <si>
    <t>RIO/MINAS - FX ADICIONAL - Crescente - 475,7 - 476,9 - 1,19999999999999</t>
  </si>
  <si>
    <t>RIO/MINAS - FX ADICIONAL - Decrescente - 476,815 - 476,5 - 0,314999999999998</t>
  </si>
  <si>
    <t>RIO/MINAS - FX ADICIONAL - Crescente - 481 - 482,2 - 1,19999999999999</t>
  </si>
  <si>
    <t>RIO/MINAS - FX ADICIONAL - Decrescente - 482 - 480,8 - 1,19999999999999</t>
  </si>
  <si>
    <t>RIO/MINAS - FX ADICIONAL - Decrescente - 486,296 - 485,1 - 1,19599999999997</t>
  </si>
  <si>
    <t>RIO/MINAS - FX ADICIONAL - Crescente - 562,305 - 563,5 - 1,19500000000005</t>
  </si>
  <si>
    <t>RIO/MINAS - FX ADICIONAL - Decrescente - 567,4 - 563,5 - 3,89999999999998</t>
  </si>
  <si>
    <t>RIO/MINAS - FX ADICIONAL - Crescente - 567,5 - 568,705 - 1,20500000000004</t>
  </si>
  <si>
    <t>RIO/MINAS - FX ADICIONAL - Decrescente - 569,8 - 568,6 - 1,19999999999993</t>
  </si>
  <si>
    <t>RIO/MINAS - FX ADICIONAL - Crescente - 569,9 - 571,1 - 1,20000000000005</t>
  </si>
  <si>
    <t>RIO/MINAS - FX ADICIONAL - Decrescente - 572,2 - 571 - 1,20000000000005</t>
  </si>
  <si>
    <t>RIO/MINAS - FX ADICIONAL - Crescente - 572,3 - 573,5 - 1,20000000000005</t>
  </si>
  <si>
    <t>RIO/MINAS - FX ADICIONAL - Decrescente - 574,6 - 573,4 - 1,20000000000005</t>
  </si>
  <si>
    <t>RIO/MINAS - FX ADICIONAL - Crescente - 574,7 - 575,9 - 1,19999999999993</t>
  </si>
  <si>
    <t>RIO/MINAS - FX ADICIONAL - Decrescente - 577 - 575,8 - 1,20000000000005</t>
  </si>
  <si>
    <t>RIO/MINAS - FX ADICIONAL - Crescente - 577,11 - 578,305 - 1,19499999999994</t>
  </si>
  <si>
    <t>RIO/MINAS - FX ADICIONAL - Decrescente - 579,4 - 578,205 - 1,19499999999994</t>
  </si>
  <si>
    <t>RIO/MINAS - FX ADICIONAL - Crescente - 579,5 - 580,7 - 1,20000000000005</t>
  </si>
  <si>
    <t>RIO/MINAS - FX ADICIONAL - Decrescente - 581,8 - 580,6 - 1,19999999999993</t>
  </si>
  <si>
    <t>RIO/MINAS - FX ADICIONAL - Crescente - 581,9 - 583,1 - 1,20000000000005</t>
  </si>
  <si>
    <t>RIO/MINAS - FX ADICIONAL - Decrescente - 584,2 - 583 - 1,20000000000005</t>
  </si>
  <si>
    <t>RIO/MINAS - FX ADICIONAL - Crescente - 584,6 - 585,8 - 1,19999999999993</t>
  </si>
  <si>
    <t>RIO/MINAS - FX ADICIONAL - Decrescente - 586,2 - 585 - 1,20000000000005</t>
  </si>
  <si>
    <t>RIO/MINAS - FX ADICIONAL - Decrescente - 593,9 - 591 - 2,89999999999998</t>
  </si>
  <si>
    <t>RIO/MINAS - FX ADICIONAL - Crescente - 594 - 595,207 - 1,20699999999999</t>
  </si>
  <si>
    <t>RIO/MINAS - FX ADICIONAL - Decrescente - 598,6 - 597,4 - 1,20000000000005</t>
  </si>
  <si>
    <t>RIO/MINAS - FX ADICIONAL - Crescente - 598,7 - 599,9 - 1,19999999999993</t>
  </si>
  <si>
    <t>RIO/MINAS - FX ADICIONAL - Decrescente - 603,3 - 602,1 - 1,19999999999993</t>
  </si>
  <si>
    <t>RIO/MINAS - FX ADICIONAL - Crescente - 603,3 - 604,5 - 1,20000000000005</t>
  </si>
  <si>
    <t>RIO/MINAS - FX ADICIONAL - Decrescente - 608 - 606,8 - 1,20000000000005</t>
  </si>
  <si>
    <t>RIO/MINAS - FX ADICIONAL - Crescente - 608 - 609,2 - 1,20000000000005</t>
  </si>
  <si>
    <t>RIO/MINAS - FX ADICIONAL - Decrescente - 609,2 - 608 - 1,20000000000005</t>
  </si>
  <si>
    <t>RIO/MINAS - FX ADICIONAL - Crescente - 612,7 - 613,9 - 1,19999999999993</t>
  </si>
  <si>
    <t>RIO/MINAS - FX ADICIONAL - Decrescente - 617 - 615,5 - 1,5</t>
  </si>
  <si>
    <t>RIO/MINAS - FX ADICIONAL - Crescente - 617,3 - 618,5 - 1,20000000000005</t>
  </si>
  <si>
    <t>RIO/MINAS - FX ADICIONAL - Decrescente - 622,1 - 620,9 - 1,20000000000005</t>
  </si>
  <si>
    <t>RIO/MINAS - FX ADICIONAL - Crescente - 622,8 - 624 - 1,20000000000005</t>
  </si>
  <si>
    <t>RIO/MINAS - FX ADICIONAL - Decrescente - 627,2 - 626 - 1,20000000000005</t>
  </si>
  <si>
    <t>RIO/MINAS - FX ADICIONAL - Crescente - 627,5 - 628,7 - 1,20000000000005</t>
  </si>
  <si>
    <t>RIO/MINAS - FX ADICIONAL - Crescente - 636,5 - 637,7 - 1,20000000000005</t>
  </si>
  <si>
    <t>RIO/MINAS - FX ADICIONAL - Decrescente - 636,5 - 635,195 - 1,30499999999995</t>
  </si>
  <si>
    <t>RIO/MINAS - FX ADICIONAL - Crescente - 640,367 - 641,2 - 0,833000000000084</t>
  </si>
  <si>
    <t>RIO/MINAS - FX ADICIONAL - Crescente - 644 - 645,195 - 1,19500000000005</t>
  </si>
  <si>
    <t>RIO/MINAS - FX ADICIONAL - Decrescente - 645 - 643,8 - 1,20000000000005</t>
  </si>
  <si>
    <t>RIO/MINAS - FX ADICIONAL - Crescente - 648 - 649,195 - 1,19500000000005</t>
  </si>
  <si>
    <t>RIO/MINAS - FX ADICIONAL - Decrescente - 648 - 646,8 - 1,20000000000005</t>
  </si>
  <si>
    <t>RIO/MINAS - FX ADICIONAL - Crescente - 651,3 - 652,5 - 1,20000000000005</t>
  </si>
  <si>
    <t>RIO/MINAS - FX ADICIONAL - Decrescente - 651,3 - 650,1 - 1,19999999999993</t>
  </si>
  <si>
    <t>RIO/MINAS - FX ADICIONAL - Decrescente - 652,5 - 652,25 - 0,25</t>
  </si>
  <si>
    <t>RIO/MINAS - FX ADICIONAL - Crescente - 655 - 656,2 - 1,20000000000005</t>
  </si>
  <si>
    <t>RIO/MINAS - FX ADICIONAL - Crescente - 661,1 - 662,31 - 1,20999999999992</t>
  </si>
  <si>
    <t>RIO/MINAS - FX ADICIONAL - Crescente - 666 - 667,195 - 1,19500000000005</t>
  </si>
  <si>
    <t>RIO/MINAS - FX ADICIONAL - Decrescente - 669,9 - 668 - 1,89999999999998</t>
  </si>
  <si>
    <t>RIO/MINAS - FX ADICIONAL - Crescente - 671 - 672,2 - 1,20000000000005</t>
  </si>
  <si>
    <t>RIO/MINAS - FX ADICIONAL - Decrescente - 674,2 - 673 - 1,20000000000005</t>
  </si>
  <si>
    <t>RIO/MINAS - FX ADICIONAL - Crescente - 675,505 - 676,8 - 1,29499999999996</t>
  </si>
  <si>
    <t>RIO/MINAS - FX ADICIONAL - Decrescente - 678,5 - 677,3 - 1,20000000000005</t>
  </si>
  <si>
    <t>RIO/MINAS - FX ADICIONAL - Crescente - 680,2 - 681,4 - 1,19999999999993</t>
  </si>
  <si>
    <t>RIO/MINAS - FX ADICIONAL - Decrescente - 682,8 - 681,6 - 1,19999999999993</t>
  </si>
  <si>
    <t>RIO/MINAS - FX ADICIONAL - Crescente - 684 - 685,2 - 1,20000000000005</t>
  </si>
  <si>
    <t>RIO/MINAS - FX ADICIONAL - Decrescente - 687,1 - 685,9 - 1,20000000000005</t>
  </si>
  <si>
    <t>RIO/MINAS - FX ADICIONAL - Decrescente - 691,1 - 689,9 - 1,20000000000005</t>
  </si>
  <si>
    <t>RIO/MINAS - FX ADICIONAL - Decrescente - 695 - 694,4 - 0,600000000000023</t>
  </si>
  <si>
    <t>RIO/MINAS - FX ADICIONAL - Crescente - 695,3 - 696,5 - 1,20000000000005</t>
  </si>
  <si>
    <t>RIO/MINAS - FX ADICIONAL - Crescente - 699,3 - 700,5 - 1,20000000000005</t>
  </si>
  <si>
    <t>RIO/MINAS - FX ADICIONAL - Decrescente - 775,3 - 773,3 - 2</t>
  </si>
  <si>
    <t>RIO/MINAS - FX ADICIONAL - Crescente - 777,3 - 778,5 - 1,20000000000005</t>
  </si>
  <si>
    <t>RIO/MINAS - FX ADICIONAL - Decrescente - 777,4 - 776,2 - 1,19999999999993</t>
  </si>
  <si>
    <t>RIO/MINAS - FX ADICIONAL - Decrescente - 779,4 - 778,19 - 1,20999999999992</t>
  </si>
  <si>
    <t>RIO/MINAS - FX ADICIONAL - Crescente - 781,285 - 782,5 - 1,21500000000003</t>
  </si>
  <si>
    <t>RIO/MINAS - FX ADICIONAL - Decrescente - 781,4 - 780,2 - 1,19999999999993</t>
  </si>
  <si>
    <t>RIO/MINAS - FX ADICIONAL - Crescente - 783,305 - 784,5 - 1,19500000000005</t>
  </si>
  <si>
    <t>RIO/MINAS - FX ADICIONAL - Decrescente - 783,4 - 782,2 - 1,19999999999993</t>
  </si>
  <si>
    <t>RIO/MINAS - FX ADICIONAL - Decrescente - 785,4 - 784,195 - 1,20499999999993</t>
  </si>
  <si>
    <t>RIO/MINAS - FX ADICIONAL - Crescente - 787,308 - 788,5 - 1,19200000000001</t>
  </si>
  <si>
    <t>RIO/MINAS - FX ADICIONAL - Decrescente - 787,4 - 786,2 - 1,19999999999993</t>
  </si>
  <si>
    <t>RIO/MINAS - FX ADICIONAL - Crescente - 789,3 - 790,5 - 1,20000000000005</t>
  </si>
  <si>
    <t>RIO/MINAS - FX ADICIONAL - Decrescente - 789,4 - 788,2 - 1,19999999999993</t>
  </si>
  <si>
    <t>RIO/MINAS - FX ADICIONAL - Decrescente - 793,4 - 792,2 - 1,19999999999993</t>
  </si>
  <si>
    <t>RIO/MINAS - FX ADICIONAL - Crescente - 793,5 - 794,7 - 1,20000000000005</t>
  </si>
  <si>
    <t>RIO/MINAS - FX ADICIONAL - Crescente - 796,5 - 797,7 - 1,20000000000005</t>
  </si>
  <si>
    <t>RIO/MINAS - FX ADICIONAL - Decrescente - 798,4 - 797,2 - 1,19999999999993</t>
  </si>
  <si>
    <t>RIO/MINAS - FX ADICIONAL - Decrescente - 800,4 - 799,2 - 1,19999999999993</t>
  </si>
  <si>
    <t>RIO/MINAS - FX ADICIONAL - Crescente - 800,5 - 801,7 - 1,20000000000005</t>
  </si>
  <si>
    <t>RIO/MINAS - FX ADICIONAL - Decrescente - 802,4 - 801,2 - 1,19999999999993</t>
  </si>
  <si>
    <t>RIO/MINAS - FX ADICIONAL - Crescente - 802,5 - 803,7 - 1,20000000000005</t>
  </si>
  <si>
    <t>RIO/MINAS - FX ADICIONAL - Decrescente - 804,4 - 803,2 - 1,19999999999993</t>
  </si>
  <si>
    <t>RIO/MINAS - FX ADICIONAL - Crescente - 804,5 - 805,7 - 1,20000000000005</t>
  </si>
  <si>
    <t>RIO/MINAS - FX ADICIONAL - Crescente - 806,5 - 807,7 - 1,20000000000005</t>
  </si>
  <si>
    <t>RIO/MINAS - FX ADICIONAL - Decrescente - 806,6 - 805,4 - 1,20000000000005</t>
  </si>
  <si>
    <t>RIO/MINAS - FX ADICIONAL - Decrescente - 808,8 - 807,6 - 1,19999999999993</t>
  </si>
  <si>
    <t>RIO/MINAS - FX ADICIONAL - Crescente - 808,9 - 810,1 - 1,20000000000005</t>
  </si>
  <si>
    <t>RIO/MINAS - FX ADICIONAL - Decrescente - 811 - 809,805 - 1,19500000000005</t>
  </si>
  <si>
    <t>RIO/MINAS - FX ADICIONAL - Crescente - 811,1 - 812,3 - 1,19999999999993</t>
  </si>
  <si>
    <t>RIO/MINAS - FX ADICIONAL - Decrescente - 814,364 - 813,8 - 0,564000000000078</t>
  </si>
  <si>
    <t>RIO/SP - FX ADICIONAL - 3ª e 4ª faixa (LD e LE) - 21,8 - 33,7 - 23,8</t>
  </si>
  <si>
    <t>RIO/SP - FX ADICIONAL - 3ª faixa (LD e LE) - 33,7 - 36,4 - 5,39999999999999</t>
  </si>
  <si>
    <t>RIO/SP - FX ADICIONAL - 3ª faixa (LD e LE) - 36,4 - 39,1 - 5,40000000000001</t>
  </si>
  <si>
    <t>RIO/SP - FX ADICIONAL - 3ª faixa (LD e LE) - 39,1 - 51,2 - 24,2</t>
  </si>
  <si>
    <t>RIO/SP - FX ADICIONAL - 3ª e 4ª faixa (LD e LE) - 51,2 - 65 - 27,6</t>
  </si>
  <si>
    <t>RIO/SP - FX ADICIONAL - 3ª e 4ª faixa (LD e LE) - 166,8 - 169,1 - 4,59999999999997</t>
  </si>
  <si>
    <t>RIO/SP - FX ADICIONAL - 3ª e 4ª faixa (LD e LE) - 169,1 - 178,8 - 19,4</t>
  </si>
  <si>
    <t>RIO/SP - FX ADICIONAL - 3ª e 4ª faixa (LD e LE) - 99 - 110,7 - 23,4</t>
  </si>
  <si>
    <t>RIO/SP - FX ADICIONAL - 3ª e 4ª faixa (LD e LE) - 65 - 71,3 - 12,6</t>
  </si>
  <si>
    <t>RIO/SP - FX ADICIONAL - 3ª e 4ª faixa (LD e LE) - 71,3 - 74,5 - 6,40000000000001</t>
  </si>
  <si>
    <t>RIO/SP - FX ADICIONAL - 3ª e 4ª faixa (LD e LE) - 74,5 - 79,9 - 10,8</t>
  </si>
  <si>
    <t>RIO/SP - FX ADICIONAL - 3ª e 4ª faixa (LD e LE) - 79,9 - 85 - 10,2</t>
  </si>
  <si>
    <t>RIO/SP - FX ADICIONAL - 3ª e 4ª faixa (LD e LE) - 85 - 99 - 28</t>
  </si>
  <si>
    <t>RIO/SP - FX ADICIONAL - 3ª e 4ª faixa (LD e LE) - 199,6 - 204,7 - 10,2</t>
  </si>
  <si>
    <t>RIO/SP - FX ADICIONAL - 3ª e 4ª faixa (LD e LE) - 178,8 - 186,1 - 14,6</t>
  </si>
  <si>
    <t>RIO/SP - FX ADICIONAL - 3ª e 4ª faixa (LD e LE) - 186,1 - 199,6 - 27</t>
  </si>
  <si>
    <t>RIO/SP - FX ADICIONAL - 3ª faixa (LD) - 29,7 - 30,9 - 1,2</t>
  </si>
  <si>
    <t>RIO/SP - FX ADICIONAL - 3ª faixa (LD) - 37,3 - 38,5 - 1,2</t>
  </si>
  <si>
    <t>RIO/SP - FX ADICIONAL - 3ª faixa (LD) - 46,1 - 47,3 - 1,2</t>
  </si>
  <si>
    <t>RIO/SP - FX ADICIONAL - 3ª faixa (LE) - 25,6 - 26,8 - 1,2</t>
  </si>
  <si>
    <t>RIO/SP - FX ADICIONAL - 3ª faixa (LE) - 38,7 - 39,9 - 1,2</t>
  </si>
  <si>
    <t>RIO/SP - FX ADICIONAL - 3ª faixa (LE) - 46,1 - 47,3 - 1,2</t>
  </si>
  <si>
    <t>RIO/SP - FX ADICIONAL - 3ª faixa (LD e LE) - 207,7 - 210,3 - 5,20000000000005</t>
  </si>
  <si>
    <t>RIO/SP - FX ADICIONAL - 3ª faixa (LD e LE) - 210,3 - 218 - 15,4</t>
  </si>
  <si>
    <t>RIO/SP - FX ADICIONAL - 3ª faixa (LD e LE) - 226 - 230,9 - 9,80000000000001</t>
  </si>
  <si>
    <t>RIO/SP - FX ADICIONAL - 3ª faixa (LD e LE) - 230,9 - 235,8 - 9,80000000000001</t>
  </si>
  <si>
    <t>RIO/SP - FX ADICIONAL - 3ª faixa (LD e LE) - 235,8 - 257,2 - 42,8</t>
  </si>
  <si>
    <t>RIO/SP - FX ADICIONAL - 3ª e 4ª faixa (LD e LE) - 257,2 - 263,6 - 12,8000000000001</t>
  </si>
  <si>
    <t>RIO/SP - FX ADICIONAL - 3ª e 4ª faixa (LD e LE) - 263,6 - 269 - 10,8</t>
  </si>
  <si>
    <t>RIO/SP - FX ADICIONAL - 3ª e 4ª faixa (LD e LE) - 269 - 271,5 - 5</t>
  </si>
  <si>
    <t>RIO/SP - FX ADICIONAL - 3ª faixa (LD e LE) - 271,5 - 290,8 - 38,6</t>
  </si>
  <si>
    <t>RIO/SP - FX ADICIONAL - 3ª e 4ª faixa (LD e LE) - 303,4 - 309,5 - 12,2</t>
  </si>
  <si>
    <t>RIO/SP - FX ADICIONAL - 3ª e 4ª faixa (LD e LE) - 309,5 - 316,7 - 14,4</t>
  </si>
  <si>
    <t>RIO/SP - FX ADICIONAL - 3ª faixa (LD) - 330,85 - 331,27 - 0,419999999999959</t>
  </si>
  <si>
    <t>RIO/SP - FX ADICIONAL - 3ª faixa (LE) - 332 - 331,4 - 0,600000000000023</t>
  </si>
  <si>
    <t>RIO/SP - FX ADICIONAL - 3ª faixa (LD) - 500,2 - 502,4 - 2,19999999999999</t>
  </si>
  <si>
    <t>RIO/SP - FX ADICIONAL - 3ª faixa (LD) - 512 - 512,5 - 0,5</t>
  </si>
  <si>
    <t>RIO/SP - FX ADICIONAL - 3ª faixa (LD) - 518,7 - 519,5 - 0,799999999999955</t>
  </si>
  <si>
    <t>RIO/SP - FX ADICIONAL - 3ª faixa (LD) - 523 - 523,6 - 0,600000000000023</t>
  </si>
  <si>
    <t>RIO/SP - FX ADICIONAL - 3ª faixa (LD) - 526 - 526,7 - 0,700000000000045</t>
  </si>
  <si>
    <t>RIO/SP - FX ADICIONAL - 3ª faixa (LE) - 527,4 - 528,8 - 1,39999999999998</t>
  </si>
  <si>
    <t>RIO/SP - FX ADICIONAL - 3ª faixa (LE) - 522,9 - 523,7 - 0,800000000000068</t>
  </si>
  <si>
    <t>RIO/SP - FX ADICIONAL - 3ª faixa (LE) - 520,2 - 521,5 - 1,29999999999995</t>
  </si>
  <si>
    <t>RIO/SP - FX ADICIONAL - 3ª faixa (LE) - 512 - 512,5 - 0,5</t>
  </si>
  <si>
    <t>RIO/SP - FX ADICIONAL - 3ª faixa (LE) - 502,4 - 504 - 1,60000000000002</t>
  </si>
  <si>
    <t>RIO/SP - FX ADICIONAL - 3ª faixa (LD) - 529,5 - 530,4 - 0,899999999999977</t>
  </si>
  <si>
    <t>RIO/SP - FX ADICIONAL - 3ª faixa (LD) - 537,7 - 538,5 - 0,799999999999955</t>
  </si>
  <si>
    <t>RIO/SP - FX ADICIONAL - 3ª faixa (LD) - 546,4 - 548 - 1,60000000000002</t>
  </si>
  <si>
    <t>RIO/SP - FX ADICIONAL - 3ª faixa (LD) - 552,2 - 553,5 - 1,29999999999995</t>
  </si>
  <si>
    <t>RIO/SP - FX ADICIONAL - 3ª faixa (LD) - 562,6 - 563,3 - 0,699999999999932</t>
  </si>
  <si>
    <t>RIO/SP - FX ADICIONAL - 3ª faixa (LD) - 570 - 571,4 - 1,39999999999998</t>
  </si>
  <si>
    <t>RIO/SP - FX ADICIONAL - 3ª faixa (LE) - 573,1 - 574,7 - 1,60000000000002</t>
  </si>
  <si>
    <t>RIO/SP - FX ADICIONAL - 3ª faixa (LE) - 565 - 566,6 - 1,60000000000002</t>
  </si>
  <si>
    <t>RIO/SP - FX ADICIONAL - 3ª faixa (LE) - 553,6 - 555,6 - 2</t>
  </si>
  <si>
    <t>RIO/SP - FX ADICIONAL - 3ª faixa (LE) - 548 - 549,6 - 1,60000000000002</t>
  </si>
  <si>
    <t>RIO/SP - FX ADICIONAL - 3ª faixa (LE) - 541,1 - 541,9 - 0,799999999999955</t>
  </si>
  <si>
    <t>RIO/SP - FX ADICIONAL - 3ª faixa (LE) - 530 - 531,2 - 1,20000000000005</t>
  </si>
  <si>
    <t>Total</t>
  </si>
  <si>
    <t>https://anttgov.sharepoint.com/sites/GEFOP/SitePages/Acompanhamento_de_Obras.aspx</t>
  </si>
  <si>
    <t>META (2024)</t>
  </si>
  <si>
    <t>Obras</t>
  </si>
  <si>
    <t>%</t>
  </si>
  <si>
    <t>Analisado</t>
  </si>
  <si>
    <t>*</t>
  </si>
  <si>
    <t>Segmento Homogêneo 01 - km 0 ao 47,6</t>
  </si>
  <si>
    <t>Segmento Homogêneo 02 - km 47,6 ao 94,2</t>
  </si>
  <si>
    <t xml:space="preserve">Segmento Homogêneo 03 - km 94,2 ao 111 </t>
  </si>
  <si>
    <t xml:space="preserve">Segmento Homogêneo 04 - km 111 ao 119,5 </t>
  </si>
  <si>
    <t>Segmento Homogêneo 05 - km 119,5 ao 128,7</t>
  </si>
  <si>
    <t>Segmento Homogêneo 06 - km 128,7 ao 176,8</t>
  </si>
  <si>
    <t>Segmento Homogêneo 07 - km 176,8 ao 188,6</t>
  </si>
  <si>
    <t xml:space="preserve">Segmento Homogêneo 08 - km 188,6 ao 197 </t>
  </si>
  <si>
    <t xml:space="preserve">Segmento Homogêneo 09 - km 197 ao 246,9 </t>
  </si>
  <si>
    <t xml:space="preserve">Segmento Homogêneo 10 - km 246,9 ao 279 </t>
  </si>
  <si>
    <t>Segmento Homogêneo 11 - km 279 ao 315,4</t>
  </si>
  <si>
    <t xml:space="preserve">Segmento Homogêneo 12 - km 315,4 ao 321,3 </t>
  </si>
  <si>
    <t>Segmento Homogêneo 13 - km 321,3 ao 339,3</t>
  </si>
  <si>
    <t xml:space="preserve">Segmento Homogêneo 14 - km 339,3 ao 353,5 </t>
  </si>
  <si>
    <t>Segmento Homogêneo 15 - km 353,5 ao 408</t>
  </si>
  <si>
    <t>Segmento Homogêneo 16 - km 408 ao 421,5</t>
  </si>
  <si>
    <t>Segmento Homogêneo 17 - km 421,5 ao 460</t>
  </si>
  <si>
    <t>Segmento Homogêneo 18 - km 460 ao 481,2</t>
  </si>
  <si>
    <t>Segmento Homogêneo 19 - km 481,2 ao 507</t>
  </si>
  <si>
    <t xml:space="preserve">Segmento Homogêneo 20 - km 507 ao 590 </t>
  </si>
  <si>
    <t>Segmento Homogêneo 21 - km 590 ao 603</t>
  </si>
  <si>
    <t>Segmento Homogêneo 22 - km 603 ao 685</t>
  </si>
  <si>
    <t>Segmento Homogêneo 23 - km 685 ao 694,2</t>
  </si>
  <si>
    <t>Segmento Homogêneo 24 - km 694,2 ao 745</t>
  </si>
  <si>
    <t xml:space="preserve">Segmento Homogêneo 25 - km 745 ao 760 </t>
  </si>
  <si>
    <t>Segmento Homogêneo 26 - km 760 ao 820</t>
  </si>
  <si>
    <t>Segmento Homogêneo 27 - km 820 ao 839</t>
  </si>
  <si>
    <t>Segmento Homogêneo 28 - km 839 ao 855</t>
  </si>
  <si>
    <t>TRECHO DNIT</t>
  </si>
  <si>
    <t>PER</t>
  </si>
  <si>
    <t>TRECHO 108</t>
  </si>
  <si>
    <t>Previsto</t>
  </si>
  <si>
    <t>Ano 1</t>
  </si>
  <si>
    <t>Ano 2</t>
  </si>
  <si>
    <t>Ano 3</t>
  </si>
  <si>
    <t>Ano 4</t>
  </si>
  <si>
    <t xml:space="preserve">Duplicação - km 507,000 ao km 515,000 (1º Ano TAC) </t>
  </si>
  <si>
    <t xml:space="preserve"> Duplicação - km 515,000 ao km 574,000 (2º Ano TAC)</t>
  </si>
  <si>
    <t>km inicio</t>
  </si>
  <si>
    <t>km final</t>
  </si>
  <si>
    <t>extensão</t>
  </si>
  <si>
    <t xml:space="preserve">(1º Ano TAC) </t>
  </si>
  <si>
    <t xml:space="preserve">(2º Ano TAC) </t>
  </si>
  <si>
    <t>Ano 2 - PER</t>
  </si>
  <si>
    <t>Ano 3 - PER</t>
  </si>
  <si>
    <t>Duplicação SH-13</t>
  </si>
  <si>
    <t xml:space="preserve"> Duplicação - km 574,000 ao km 590,100 (3º Ano TAC)</t>
  </si>
  <si>
    <t xml:space="preserve">(3º Ano TAC) </t>
  </si>
  <si>
    <t>Regis</t>
  </si>
  <si>
    <t>50500.112193/2023-82</t>
  </si>
  <si>
    <t>Duplicação da Serra do Cafezal - 363+100 ao 367+200</t>
  </si>
  <si>
    <t>Duplicação da Serra do Cafezal - 336+700 ao 343+840</t>
  </si>
  <si>
    <t>Duplicação da Serra do Cafezal - 361+600 ao 363+100</t>
  </si>
  <si>
    <t xml:space="preserve">Duplicação da Serra do Cafezal - 353+700 ao 357+000 </t>
  </si>
  <si>
    <t xml:space="preserve">Duplicação da Serra do Cafezal - 343+840 ao 348+900 </t>
  </si>
  <si>
    <t>Duplicação da Serra do Cafezal - 357+000 ao 357+720</t>
  </si>
  <si>
    <t>Duplicação da Serra do Cafezal - 357+720 ao 361+600</t>
  </si>
  <si>
    <t xml:space="preserve">Duplicação da Serra do Cafezal - 349+300 ao 353+700 </t>
  </si>
  <si>
    <t>Duplicação da Serra do Cafezal - 348+900 ao 349+300</t>
  </si>
  <si>
    <t>363+100</t>
  </si>
  <si>
    <t>336+700</t>
  </si>
  <si>
    <t>361+600</t>
  </si>
  <si>
    <t>353+700</t>
  </si>
  <si>
    <t>343+840</t>
  </si>
  <si>
    <t>357+000</t>
  </si>
  <si>
    <t>357+720</t>
  </si>
  <si>
    <t>349+300</t>
  </si>
  <si>
    <t>348+900</t>
  </si>
  <si>
    <t>367+200</t>
  </si>
  <si>
    <t>874+900</t>
  </si>
  <si>
    <t>890+216</t>
  </si>
  <si>
    <t>938+500</t>
  </si>
  <si>
    <t>890+235</t>
  </si>
  <si>
    <t>586+025</t>
  </si>
  <si>
    <t>494+040</t>
  </si>
  <si>
    <t>935+360</t>
  </si>
  <si>
    <t>506+600</t>
  </si>
  <si>
    <t>515+370</t>
  </si>
  <si>
    <t xml:space="preserve">Implantação ruas Laterais do km 447+820 ao km 449+805 - Pista Sul e do km
449+00 ao km 447+820 - Pista Norte - Registro/SP. </t>
  </si>
  <si>
    <t>Implantação ruas Laterais do Km 487+851 ao km 490+220 - Pista Norte/Sul -
Cajati/SP - 3,66 km</t>
  </si>
  <si>
    <t>Implantação ruas Laterais do Km 474+830 ao Km 478+696 Pista Norte/Sul -
Jacupiranga/SP - 4,62 km</t>
  </si>
  <si>
    <t xml:space="preserve">Implantação de Ruas Laterais km 457,900 ao km 458,800 - Pariquera Açu - Pista
Norte - Km 0,90 </t>
  </si>
  <si>
    <t>Implantação de Ruas Laterais km 412,890 ao km 416,530 - Juquiá - Pista Norte/Sul -
Km 4,56</t>
  </si>
  <si>
    <t>Implantação de Ruas Laterais do km 6+100 ao km 6+600 - Quatro Barras/PR - Pista
Norte - Paraná - km 0,91</t>
  </si>
  <si>
    <t xml:space="preserve">Implantação de Ruas Laterais km 394,401 ao km 396,087 - Miracatu - Pista Norte -
Km 1,69 </t>
  </si>
  <si>
    <t>Implantação de Ruas Laterais do km 010+500 ao km 012+200 - Colombo - Paraná -
Pista Norte - Km 2,00</t>
  </si>
  <si>
    <t xml:space="preserve">Implantação de Ruas Laterais do km 013+300 ao km 014+800 - Colombo - Pista Sul
- Paraná - Km 1,66 </t>
  </si>
  <si>
    <t>Implantação de Ruas Laterais do km 013+100 ao km 014+500 - Colombo - Pista
Norte - Paraná - Km 2,40</t>
  </si>
  <si>
    <t xml:space="preserve">Implantação de Ruas Laterais do km 005+800 ao km 008+300 - Campina Grande do
Sul - Pista Sul - Km 2,89 </t>
  </si>
  <si>
    <t>Implantação de Ruas Laterais do km 000+800 ao km 002+250 - Campina Grande do
Sul- Pista Sul - Km 1,41</t>
  </si>
  <si>
    <t>Implantação de Ruas Laterais do km 16,200 ao km 17,500 - Curitiba - Pista Sul -
Paraná - km 1,20</t>
  </si>
  <si>
    <t>Implantação de Ruas Laterais - km 16,300 ao km 17,500 - Curitiba - Pista Norte -
Paraná - km 1,30</t>
  </si>
  <si>
    <t>Implantação de
Ruas Laterais em
Taboão da Serra,
Embu, São
Lourenço da
Serra e
Itapecerica da
Serra</t>
  </si>
  <si>
    <t>Implantação de
Ruas Laterais em
Miracatu,
Registro,
Pariquera-Açu,
Jacupiranga e
Cajati</t>
  </si>
  <si>
    <t>Implantação de
Ruas Laterais em
Campina Grande
do Sul, Quatro
Barras, Colombo
e Curitiba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</si>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</sst>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1" formatCode="_-* #,##0_-;\-* #,##0_-;_-* &quot;-&quot;_-;_-@_-"/>
    <numFmt numFmtId="44" formatCode="_-&quot;R$&quot;\ * #,##0.00_-;\-&quot;R$&quot;\ * #,##0.00_-;_-&quot;R$&quot;\ * &quot;-&quot;??_-;_-@_-"/>
    <numFmt numFmtId="43" formatCode="_-* #,##0.00_-;\-* #,##0.00_-;_-* &quot;-&quot;??_-;_-@_-"/>
    <numFmt numFmtId="164" formatCode="&quot;R$ &quot;#,##0_);[Red]\(&quot;R$ &quot;#,##0\)"/>
    <numFmt numFmtId="165" formatCode="&quot;R$ &quot;#,##0.00_);\(&quot;R$ &quot;#,##0.00\)"/>
    <numFmt numFmtId="166" formatCode="&quot;R$ &quot;#,##0.00_);[Red]\(&quot;R$ &quot;#,##0.00\)"/>
    <numFmt numFmtId="167" formatCode="_(&quot;R$ &quot;* #,##0.00_);_(&quot;R$ &quot;* \(#,##0.00\);_(&quot;R$ &quot;* &quot;-&quot;??_);_(@_)"/>
    <numFmt numFmtId="168" formatCode="_([$€]* #,##0.00_);_([$€]* \(#,##0.00\);_([$€]* &quot;-&quot;??_);_(@_)"/>
    <numFmt numFmtId="169" formatCode="_(&quot;Cr$&quot;* #,##0_);_(&quot;Cr$&quot;* \(#,##0\);_(&quot;Cr$&quot;* &quot;-&quot;_);_(@_)"/>
    <numFmt numFmtId="170" formatCode="&quot;$&quot;#.00"/>
    <numFmt numFmtId="171" formatCode="#.00"/>
    <numFmt numFmtId="172" formatCode="&quot;$&quot;#."/>
    <numFmt numFmtId="173" formatCode="%#.00"/>
    <numFmt numFmtId="174" formatCode="#,##0."/>
    <numFmt numFmtId="175" formatCode="#,##0.000"/>
    <numFmt numFmtId="176" formatCode="#,##0.0000000000000"/>
    <numFmt numFmtId="177" formatCode="[$-416]mmm\-yy;@"/>
    <numFmt numFmtId="178" formatCode="_(&quot;$&quot;* #,##0.00_);_(&quot;$&quot;* \(#,##0.00\);_(&quot;$&quot;* &quot;-&quot;??_);_(@_)"/>
    <numFmt numFmtId="179" formatCode="_(* #.##0.00_);_(* \(#.##0.00\);_(* &quot;-&quot;??_);_(@_)"/>
    <numFmt numFmtId="180" formatCode="_-* #,##0.00\ _€_-;\-* #,##0.00\ _€_-;_-* &quot;-&quot;??\ _€_-;_-@_-"/>
    <numFmt numFmtId="181" formatCode="#,##0&quot; Pts&quot;;[Red]\-#,##0&quot; Pts&quot;"/>
    <numFmt numFmtId="182" formatCode="0.0%"/>
    <numFmt numFmtId="183" formatCode="0.000000"/>
  </numFmts>
  <fonts count="53" x14ac:knownFonts="1">
    <font>
      <sz val="11"/>
      <color theme="1"/>
      <name val="Calibri"/>
      <family val="2"/>
      <scheme val="minor"/>
    </font>
    <font>
      <sz val="11"/>
      <color theme="1"/>
      <name val="Calibri"/>
      <family val="2"/>
      <scheme val="minor"/>
    </font>
    <font>
      <sz val="11"/>
      <color rgb="FF000000"/>
      <name val="Calibri"/>
      <family val="2"/>
    </font>
    <font>
      <b/>
      <sz val="11"/>
      <name val="Calibri"/>
      <family val="2"/>
      <scheme val="minor"/>
    </font>
    <font>
      <sz val="10"/>
      <name val="Arial"/>
      <family val="2"/>
    </font>
    <font>
      <sz val="11"/>
      <color rgb="FF9C0006"/>
      <name val="Calibri"/>
      <family val="2"/>
      <scheme val="minor"/>
    </font>
    <font>
      <b/>
      <sz val="11"/>
      <color theme="1"/>
      <name val="Calibri"/>
      <family val="2"/>
      <scheme val="minor"/>
    </font>
    <font>
      <b/>
      <sz val="11"/>
      <color rgb="FF00B050"/>
      <name val="Calibri"/>
      <family val="2"/>
      <scheme val="minor"/>
    </font>
    <font>
      <sz val="12"/>
      <name val="Helv"/>
    </font>
    <font>
      <b/>
      <sz val="1"/>
      <color indexed="8"/>
      <name val="Courier"/>
      <family val="3"/>
    </font>
    <font>
      <sz val="1"/>
      <color indexed="8"/>
      <name val="Courier"/>
      <family val="3"/>
    </font>
    <font>
      <sz val="8"/>
      <name val="Arial"/>
      <family val="2"/>
    </font>
    <font>
      <sz val="10"/>
      <name val="Helv"/>
    </font>
    <font>
      <sz val="10"/>
      <color indexed="8"/>
      <name val="MS Sans Serif"/>
      <family val="2"/>
    </font>
    <font>
      <i/>
      <sz val="1"/>
      <color indexed="8"/>
      <name val="Courier"/>
      <family val="3"/>
    </font>
    <font>
      <sz val="10"/>
      <name val="Courier"/>
      <family val="3"/>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0"/>
      <name val="MS Sans Serif"/>
      <family val="2"/>
    </font>
    <font>
      <sz val="11"/>
      <color rgb="FF9C6500"/>
      <name val="Calibri"/>
      <family val="2"/>
      <scheme val="minor"/>
    </font>
    <font>
      <sz val="10"/>
      <color rgb="FF000000"/>
      <name val="Times New Roman"/>
      <family val="1"/>
    </font>
    <font>
      <sz val="9"/>
      <color indexed="81"/>
      <name val="Segoe UI"/>
      <family val="2"/>
    </font>
    <font>
      <sz val="11"/>
      <color rgb="FF00B050"/>
      <name val="Calibri"/>
      <family val="2"/>
    </font>
    <font>
      <sz val="11"/>
      <name val="Calibri"/>
      <family val="2"/>
    </font>
    <font>
      <sz val="10"/>
      <color rgb="FF000000"/>
      <name val="Calibri"/>
      <family val="2"/>
    </font>
    <font>
      <b/>
      <sz val="11"/>
      <name val="Calibri"/>
      <family val="2"/>
    </font>
    <font>
      <sz val="11"/>
      <color rgb="FFFF0000"/>
      <name val="Calibri"/>
      <family val="2"/>
    </font>
    <font>
      <sz val="10"/>
      <color rgb="FF000000"/>
      <name val="Arial"/>
      <family val="2"/>
    </font>
    <font>
      <sz val="10"/>
      <color rgb="FFFF0000"/>
      <name val="Arial"/>
      <family val="2"/>
    </font>
    <font>
      <b/>
      <sz val="9"/>
      <color indexed="81"/>
      <name val="Segoe UI"/>
      <family val="2"/>
    </font>
    <font>
      <sz val="11"/>
      <color rgb="FFFF0000"/>
      <name val="Calibri"/>
      <family val="2"/>
      <scheme val="minor"/>
    </font>
    <font>
      <sz val="11"/>
      <name val="Calibri"/>
      <family val="2"/>
      <scheme val="minor"/>
    </font>
    <font>
      <sz val="11"/>
      <color theme="9" tint="-0.249977111117893"/>
      <name val="Calibri"/>
      <family val="2"/>
      <scheme val="minor"/>
    </font>
    <font>
      <sz val="11"/>
      <color theme="9" tint="-0.249977111117893"/>
      <name val="Calibri"/>
      <family val="2"/>
    </font>
    <font>
      <u/>
      <sz val="11"/>
      <color theme="10"/>
      <name val="Calibri"/>
      <family val="2"/>
      <scheme val="minor"/>
    </font>
    <font>
      <sz val="9"/>
      <color indexed="81"/>
      <name val="Segoe UI"/>
      <charset val="1"/>
    </font>
    <font>
      <b/>
      <sz val="9"/>
      <color indexed="81"/>
      <name val="Segoe UI"/>
      <charset val="1"/>
    </font>
    <font>
      <sz val="11"/>
      <color rgb="FF00B050"/>
      <name val="Calibri"/>
      <family val="2"/>
      <scheme val="minor"/>
    </font>
  </fonts>
  <fills count="38">
    <fill>
      <patternFill patternType="none"/>
    </fill>
    <fill>
      <patternFill patternType="gray125"/>
    </fill>
    <fill>
      <patternFill patternType="solid">
        <fgColor theme="4" tint="0.79998168889431442"/>
        <bgColor indexed="64"/>
      </patternFill>
    </fill>
    <fill>
      <patternFill patternType="solid">
        <fgColor rgb="FFFFC7CE"/>
      </patternFill>
    </fill>
    <fill>
      <patternFill patternType="solid">
        <fgColor rgb="FFFFEB9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8" tint="-0.249977111117893"/>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0"/>
        <bgColor indexed="64"/>
      </patternFill>
    </fill>
  </fills>
  <borders count="32">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rgb="FF000000"/>
      </right>
      <top style="thin">
        <color rgb="FF000000"/>
      </top>
      <bottom style="thin">
        <color rgb="FF000000"/>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theme="0"/>
      </right>
      <top/>
      <bottom/>
      <diagonal/>
    </border>
    <border>
      <left/>
      <right style="medium">
        <color theme="0"/>
      </right>
      <top/>
      <bottom style="thin">
        <color theme="0"/>
      </bottom>
      <diagonal/>
    </border>
    <border>
      <left style="medium">
        <color theme="0"/>
      </left>
      <right/>
      <top/>
      <bottom/>
      <diagonal/>
    </border>
  </borders>
  <cellStyleXfs count="902">
    <xf numFmtId="0" fontId="0" fillId="0" borderId="0"/>
    <xf numFmtId="0" fontId="4" fillId="0" borderId="0"/>
    <xf numFmtId="0" fontId="1" fillId="0" borderId="0"/>
    <xf numFmtId="37" fontId="8" fillId="0" borderId="0"/>
    <xf numFmtId="0" fontId="9" fillId="0" borderId="0">
      <protection locked="0"/>
    </xf>
    <xf numFmtId="0" fontId="9" fillId="0" borderId="0">
      <protection locked="0"/>
    </xf>
    <xf numFmtId="4" fontId="10" fillId="0" borderId="0">
      <protection locked="0"/>
    </xf>
    <xf numFmtId="41" fontId="11" fillId="0" borderId="0" applyFont="0" applyFill="0" applyBorder="0" applyAlignment="0" applyProtection="0"/>
    <xf numFmtId="0" fontId="12" fillId="0" borderId="0"/>
    <xf numFmtId="170" fontId="10" fillId="0" borderId="0">
      <protection locked="0"/>
    </xf>
    <xf numFmtId="169" fontId="11" fillId="0" borderId="0" applyFont="0" applyFill="0" applyBorder="0" applyAlignment="0" applyProtection="0"/>
    <xf numFmtId="0" fontId="10" fillId="0" borderId="0">
      <protection locked="0"/>
    </xf>
    <xf numFmtId="0" fontId="10" fillId="0" borderId="0">
      <protection locked="0"/>
    </xf>
    <xf numFmtId="0" fontId="9" fillId="0" borderId="0">
      <protection locked="0"/>
    </xf>
    <xf numFmtId="0" fontId="9" fillId="0" borderId="0">
      <protection locked="0"/>
    </xf>
    <xf numFmtId="168" fontId="13" fillId="0" borderId="0" applyFont="0" applyFill="0" applyBorder="0" applyAlignment="0" applyProtection="0"/>
    <xf numFmtId="0" fontId="10" fillId="0" borderId="0">
      <protection locked="0"/>
    </xf>
    <xf numFmtId="0" fontId="10" fillId="0" borderId="0">
      <protection locked="0"/>
    </xf>
    <xf numFmtId="0" fontId="14" fillId="0" borderId="0">
      <protection locked="0"/>
    </xf>
    <xf numFmtId="0" fontId="10" fillId="0" borderId="0">
      <protection locked="0"/>
    </xf>
    <xf numFmtId="0" fontId="10" fillId="0" borderId="0">
      <protection locked="0"/>
    </xf>
    <xf numFmtId="0" fontId="10" fillId="0" borderId="0">
      <protection locked="0"/>
    </xf>
    <xf numFmtId="0" fontId="14" fillId="0" borderId="0">
      <protection locked="0"/>
    </xf>
    <xf numFmtId="0" fontId="10" fillId="0" borderId="0">
      <protection locked="0"/>
    </xf>
    <xf numFmtId="171" fontId="10" fillId="0" borderId="0">
      <protection locked="0"/>
    </xf>
    <xf numFmtId="4" fontId="10" fillId="0" borderId="0">
      <protection locked="0"/>
    </xf>
    <xf numFmtId="171" fontId="10" fillId="0" borderId="0">
      <protection locked="0"/>
    </xf>
    <xf numFmtId="0" fontId="9" fillId="0" borderId="0">
      <protection locked="0"/>
    </xf>
    <xf numFmtId="0" fontId="9" fillId="0" borderId="0">
      <protection locked="0"/>
    </xf>
    <xf numFmtId="170" fontId="10" fillId="0" borderId="0">
      <protection locked="0"/>
    </xf>
    <xf numFmtId="172" fontId="10" fillId="0" borderId="0">
      <protection locked="0"/>
    </xf>
    <xf numFmtId="0" fontId="15" fillId="0" borderId="0"/>
    <xf numFmtId="0" fontId="4" fillId="0" borderId="0"/>
    <xf numFmtId="0" fontId="12" fillId="0" borderId="0"/>
    <xf numFmtId="173" fontId="10" fillId="0" borderId="0">
      <protection locked="0"/>
    </xf>
    <xf numFmtId="173" fontId="10" fillId="0" borderId="0">
      <protection locked="0"/>
    </xf>
    <xf numFmtId="4" fontId="10" fillId="0" borderId="0">
      <protection locked="0"/>
    </xf>
    <xf numFmtId="174" fontId="10" fillId="0" borderId="0">
      <protection locked="0"/>
    </xf>
    <xf numFmtId="0" fontId="10" fillId="0" borderId="9">
      <protection locked="0"/>
    </xf>
    <xf numFmtId="0" fontId="10" fillId="0" borderId="9">
      <protection locked="0"/>
    </xf>
    <xf numFmtId="0" fontId="16" fillId="0" borderId="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8" borderId="0" applyNumberFormat="0" applyBorder="0" applyAlignment="0" applyProtection="0"/>
    <xf numFmtId="0" fontId="16" fillId="11" borderId="0" applyNumberFormat="0" applyBorder="0" applyAlignment="0" applyProtection="0"/>
    <xf numFmtId="0" fontId="16" fillId="14"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0" fontId="17" fillId="15"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37" fontId="16" fillId="0" borderId="0"/>
    <xf numFmtId="37" fontId="16" fillId="0" borderId="0"/>
    <xf numFmtId="37" fontId="8" fillId="0" borderId="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22" borderId="0" applyNumberFormat="0" applyBorder="0" applyAlignment="0" applyProtection="0"/>
    <xf numFmtId="0" fontId="23" fillId="6"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9" fillId="23" borderId="10" applyNumberFormat="0" applyAlignment="0" applyProtection="0"/>
    <xf numFmtId="0" fontId="19" fillId="23" borderId="10" applyNumberFormat="0" applyAlignment="0" applyProtection="0"/>
    <xf numFmtId="0" fontId="19" fillId="23" borderId="10" applyNumberFormat="0" applyAlignment="0" applyProtection="0"/>
    <xf numFmtId="0" fontId="19" fillId="23" borderId="10" applyNumberFormat="0" applyAlignment="0" applyProtection="0"/>
    <xf numFmtId="0" fontId="20" fillId="24" borderId="11" applyNumberFormat="0" applyAlignment="0" applyProtection="0"/>
    <xf numFmtId="0" fontId="20" fillId="24" borderId="11" applyNumberFormat="0" applyAlignment="0" applyProtection="0"/>
    <xf numFmtId="0" fontId="20" fillId="24" borderId="11" applyNumberFormat="0" applyAlignment="0" applyProtection="0"/>
    <xf numFmtId="0" fontId="21" fillId="0" borderId="12" applyNumberFormat="0" applyFill="0" applyAlignment="0" applyProtection="0"/>
    <xf numFmtId="0" fontId="21" fillId="0" borderId="12" applyNumberFormat="0" applyFill="0" applyAlignment="0" applyProtection="0"/>
    <xf numFmtId="0" fontId="21" fillId="0" borderId="12" applyNumberFormat="0" applyFill="0" applyAlignment="0" applyProtection="0"/>
    <xf numFmtId="0" fontId="20" fillId="24" borderId="11" applyNumberFormat="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22" fillId="10" borderId="10" applyNumberFormat="0" applyAlignment="0" applyProtection="0"/>
    <xf numFmtId="0" fontId="22" fillId="10" borderId="10" applyNumberFormat="0" applyAlignment="0" applyProtection="0"/>
    <xf numFmtId="0" fontId="22" fillId="10" borderId="10" applyNumberFormat="0" applyAlignment="0" applyProtection="0"/>
    <xf numFmtId="0" fontId="27" fillId="0" borderId="0" applyNumberFormat="0" applyFill="0" applyBorder="0" applyAlignment="0" applyProtection="0"/>
    <xf numFmtId="0" fontId="18" fillId="7" borderId="0" applyNumberFormat="0" applyBorder="0" applyAlignment="0" applyProtection="0"/>
    <xf numFmtId="0" fontId="29" fillId="0" borderId="13" applyNumberFormat="0" applyFill="0" applyAlignment="0" applyProtection="0"/>
    <xf numFmtId="0" fontId="30" fillId="0" borderId="14" applyNumberFormat="0" applyFill="0" applyAlignment="0" applyProtection="0"/>
    <xf numFmtId="0" fontId="31" fillId="0" borderId="15" applyNumberFormat="0" applyFill="0" applyAlignment="0" applyProtection="0"/>
    <xf numFmtId="0" fontId="31" fillId="0" borderId="0" applyNumberFormat="0" applyFill="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2" fillId="10" borderId="10" applyNumberFormat="0" applyAlignment="0" applyProtection="0"/>
    <xf numFmtId="0" fontId="21" fillId="0" borderId="12" applyNumberFormat="0" applyFill="0" applyAlignment="0" applyProtection="0"/>
    <xf numFmtId="0" fontId="4" fillId="0" borderId="0"/>
    <xf numFmtId="41" fontId="4" fillId="0" borderId="0" applyFont="0" applyFill="0" applyBorder="0" applyAlignment="0" applyProtection="0"/>
    <xf numFmtId="167" fontId="4" fillId="0" borderId="0" applyFont="0" applyFill="0" applyBorder="0" applyAlignment="0" applyProtection="0"/>
    <xf numFmtId="177" fontId="4" fillId="0" borderId="0" applyFont="0" applyFill="0" applyBorder="0" applyAlignment="0" applyProtection="0"/>
    <xf numFmtId="179" fontId="4" fillId="0" borderId="0" applyFont="0" applyFill="0" applyBorder="0" applyAlignment="0" applyProtection="0"/>
    <xf numFmtId="177" fontId="4" fillId="0" borderId="0" applyFont="0" applyFill="0" applyBorder="0" applyAlignment="0" applyProtection="0"/>
    <xf numFmtId="175" fontId="4" fillId="0" borderId="0" applyFont="0" applyFill="0" applyBorder="0" applyAlignment="0" applyProtection="0"/>
    <xf numFmtId="177" fontId="4" fillId="0" borderId="0" applyFont="0" applyFill="0" applyBorder="0" applyAlignment="0" applyProtection="0"/>
    <xf numFmtId="167" fontId="4" fillId="0" borderId="0" applyFont="0" applyFill="0" applyBorder="0" applyAlignment="0" applyProtection="0"/>
    <xf numFmtId="177" fontId="4" fillId="0" borderId="0" applyFont="0" applyFill="0" applyBorder="0" applyAlignment="0" applyProtection="0"/>
    <xf numFmtId="167" fontId="4"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4" fillId="0" borderId="0"/>
    <xf numFmtId="0" fontId="4" fillId="0" borderId="0"/>
    <xf numFmtId="0" fontId="4" fillId="0" borderId="0"/>
    <xf numFmtId="0" fontId="1" fillId="0" borderId="0"/>
    <xf numFmtId="0" fontId="1" fillId="0" borderId="0"/>
    <xf numFmtId="0" fontId="16" fillId="0" borderId="0"/>
    <xf numFmtId="0" fontId="16" fillId="0" borderId="0"/>
    <xf numFmtId="0" fontId="4" fillId="0" borderId="0"/>
    <xf numFmtId="0" fontId="16" fillId="26" borderId="16" applyNumberFormat="0" applyFont="0" applyAlignment="0" applyProtection="0"/>
    <xf numFmtId="0" fontId="4" fillId="26" borderId="16" applyNumberFormat="0" applyFont="0" applyAlignment="0" applyProtection="0"/>
    <xf numFmtId="0" fontId="4" fillId="26" borderId="16" applyNumberFormat="0" applyFont="0" applyAlignment="0" applyProtection="0"/>
    <xf numFmtId="0" fontId="16" fillId="26" borderId="16" applyNumberFormat="0" applyFont="0" applyAlignment="0" applyProtection="0"/>
    <xf numFmtId="0" fontId="25" fillId="23" borderId="17" applyNumberFormat="0" applyAlignment="0" applyProtection="0"/>
    <xf numFmtId="9" fontId="16" fillId="0" borderId="0" applyFont="0" applyFill="0" applyBorder="0" applyAlignment="0" applyProtection="0"/>
    <xf numFmtId="9" fontId="1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5" fillId="23" borderId="17" applyNumberFormat="0" applyAlignment="0" applyProtection="0"/>
    <xf numFmtId="0" fontId="25" fillId="23" borderId="17" applyNumberFormat="0" applyAlignment="0" applyProtection="0"/>
    <xf numFmtId="0" fontId="25" fillId="23" borderId="17" applyNumberFormat="0" applyAlignment="0" applyProtection="0"/>
    <xf numFmtId="43" fontId="16" fillId="0" borderId="0" applyFont="0" applyFill="0" applyBorder="0" applyAlignment="0" applyProtection="0"/>
    <xf numFmtId="43" fontId="4" fillId="0" borderId="0" applyFont="0" applyFill="0" applyBorder="0" applyAlignment="0" applyProtection="0"/>
    <xf numFmtId="176" fontId="4" fillId="0" borderId="0" applyFont="0" applyFill="0" applyBorder="0" applyAlignment="0" applyProtection="0"/>
    <xf numFmtId="43" fontId="16" fillId="0" borderId="0" applyFont="0" applyFill="0" applyBorder="0" applyAlignment="0" applyProtection="0"/>
    <xf numFmtId="166"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68" fontId="4" fillId="0" borderId="0" applyFont="0" applyFill="0" applyBorder="0" applyAlignment="0" applyProtection="0"/>
    <xf numFmtId="180" fontId="4" fillId="0" borderId="0" applyFont="0" applyFill="0" applyBorder="0" applyAlignment="0" applyProtection="0"/>
    <xf numFmtId="166"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30" fillId="0" borderId="14" applyNumberFormat="0" applyFill="0" applyAlignment="0" applyProtection="0"/>
    <xf numFmtId="0" fontId="30" fillId="0" borderId="14" applyNumberFormat="0" applyFill="0" applyAlignment="0" applyProtection="0"/>
    <xf numFmtId="0" fontId="30" fillId="0" borderId="14" applyNumberFormat="0" applyFill="0" applyAlignment="0" applyProtection="0"/>
    <xf numFmtId="0" fontId="31" fillId="0" borderId="15" applyNumberFormat="0" applyFill="0" applyAlignment="0" applyProtection="0"/>
    <xf numFmtId="0" fontId="31" fillId="0" borderId="15" applyNumberFormat="0" applyFill="0" applyAlignment="0" applyProtection="0"/>
    <xf numFmtId="0" fontId="31" fillId="0" borderId="15"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32" fillId="0" borderId="18" applyNumberFormat="0" applyFill="0" applyAlignment="0" applyProtection="0"/>
    <xf numFmtId="0" fontId="32" fillId="0" borderId="18" applyNumberFormat="0" applyFill="0" applyAlignment="0" applyProtection="0"/>
    <xf numFmtId="0" fontId="10" fillId="0" borderId="9">
      <protection locked="0"/>
    </xf>
    <xf numFmtId="0" fontId="32" fillId="0" borderId="18" applyNumberFormat="0" applyFill="0" applyAlignment="0" applyProtection="0"/>
    <xf numFmtId="0" fontId="10" fillId="0" borderId="9">
      <protection locked="0"/>
    </xf>
    <xf numFmtId="0" fontId="2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44" fontId="1" fillId="0" borderId="0" applyFont="0" applyFill="0" applyBorder="0" applyAlignment="0" applyProtection="0"/>
    <xf numFmtId="0" fontId="4" fillId="0" borderId="0"/>
    <xf numFmtId="0" fontId="4" fillId="0" borderId="0"/>
    <xf numFmtId="0" fontId="4" fillId="0" borderId="0"/>
    <xf numFmtId="0" fontId="4" fillId="0" borderId="0"/>
    <xf numFmtId="0" fontId="5" fillId="3" borderId="0" applyNumberFormat="0" applyBorder="0" applyAlignment="0" applyProtection="0"/>
    <xf numFmtId="0" fontId="34" fillId="4" borderId="0" applyNumberFormat="0" applyBorder="0" applyAlignment="0" applyProtection="0"/>
    <xf numFmtId="0" fontId="35" fillId="0" borderId="0"/>
    <xf numFmtId="9" fontId="35" fillId="0" borderId="0" applyFont="0" applyFill="0" applyBorder="0" applyAlignment="0" applyProtection="0"/>
    <xf numFmtId="43" fontId="35" fillId="0" borderId="0" applyFont="0" applyFill="0" applyBorder="0" applyAlignment="0" applyProtection="0"/>
    <xf numFmtId="0" fontId="35" fillId="0" borderId="0"/>
    <xf numFmtId="43" fontId="35" fillId="0" borderId="0" applyFont="0" applyFill="0" applyBorder="0" applyAlignment="0" applyProtection="0"/>
    <xf numFmtId="9" fontId="35" fillId="0" borderId="0" applyFont="0" applyFill="0" applyBorder="0" applyAlignment="0" applyProtection="0"/>
    <xf numFmtId="0" fontId="35" fillId="0" borderId="0"/>
    <xf numFmtId="43"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49" fillId="0" borderId="0" applyNumberForma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cellStyleXfs>
  <cellXfs count="160">
    <xf numFmtId="0" fontId="0" fillId="0" borderId="0" xfId="0"/>
    <xf numFmtId="2" fontId="0" fillId="0" borderId="0" xfId="0" applyNumberFormat="1"/>
    <xf numFmtId="0" fontId="0" fillId="0" borderId="8" xfId="0" applyBorder="1" applyAlignment="1">
      <alignment horizontal="center" vertical="center"/>
    </xf>
    <xf numFmtId="0" fontId="7" fillId="0" borderId="8" xfId="0" applyFont="1" applyBorder="1" applyAlignment="1">
      <alignment horizontal="center" vertical="center" wrapText="1"/>
    </xf>
    <xf numFmtId="0" fontId="2" fillId="27" borderId="8" xfId="0" applyFont="1" applyFill="1" applyBorder="1" applyAlignment="1">
      <alignment horizontal="center" vertical="center" wrapText="1"/>
    </xf>
    <xf numFmtId="4" fontId="2" fillId="2" borderId="8" xfId="0" applyNumberFormat="1" applyFont="1" applyFill="1" applyBorder="1" applyAlignment="1">
      <alignment horizontal="center" vertical="center" wrapText="1"/>
    </xf>
    <xf numFmtId="4" fontId="2" fillId="2" borderId="2" xfId="0" applyNumberFormat="1" applyFont="1" applyFill="1" applyBorder="1" applyAlignment="1">
      <alignment horizontal="center" vertical="center" wrapText="1"/>
    </xf>
    <xf numFmtId="4" fontId="38" fillId="2" borderId="8" xfId="0" applyNumberFormat="1" applyFont="1" applyFill="1" applyBorder="1" applyAlignment="1">
      <alignment horizontal="center" vertical="center" wrapText="1"/>
    </xf>
    <xf numFmtId="0" fontId="4" fillId="2" borderId="8" xfId="0" applyFont="1" applyFill="1" applyBorder="1" applyAlignment="1">
      <alignment horizontal="center" wrapText="1"/>
    </xf>
    <xf numFmtId="0" fontId="6" fillId="0" borderId="8" xfId="0" applyFont="1" applyBorder="1" applyAlignment="1">
      <alignment horizontal="center" vertical="center"/>
    </xf>
    <xf numFmtId="0" fontId="42" fillId="2" borderId="8" xfId="0" applyFont="1" applyFill="1" applyBorder="1" applyAlignment="1">
      <alignment horizontal="center" wrapText="1"/>
    </xf>
    <xf numFmtId="0" fontId="6" fillId="0" borderId="8" xfId="0" applyFont="1" applyBorder="1" applyAlignment="1">
      <alignment horizontal="center" vertical="center" wrapText="1"/>
    </xf>
    <xf numFmtId="0" fontId="37" fillId="2" borderId="8" xfId="0" applyFont="1" applyFill="1" applyBorder="1" applyAlignment="1">
      <alignment horizontal="center" vertical="center" wrapText="1"/>
    </xf>
    <xf numFmtId="0" fontId="11" fillId="0" borderId="8" xfId="0" applyFont="1" applyBorder="1" applyAlignment="1">
      <alignment horizontal="center" vertical="center" wrapText="1"/>
    </xf>
    <xf numFmtId="0" fontId="43" fillId="2" borderId="8" xfId="0" applyFont="1" applyFill="1" applyBorder="1" applyAlignment="1">
      <alignment horizontal="center" wrapText="1"/>
    </xf>
    <xf numFmtId="0" fontId="39" fillId="2" borderId="8"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38" fillId="2" borderId="8" xfId="0" applyFont="1" applyFill="1" applyBorder="1" applyAlignment="1">
      <alignment horizontal="center" vertical="center" wrapText="1"/>
    </xf>
    <xf numFmtId="0" fontId="40" fillId="2" borderId="8"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41"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11" fillId="0" borderId="2" xfId="0" applyFont="1" applyBorder="1" applyAlignment="1">
      <alignment horizontal="center" vertical="center" wrapText="1"/>
    </xf>
    <xf numFmtId="0" fontId="0" fillId="0" borderId="0" xfId="0" applyAlignment="1">
      <alignment horizontal="center"/>
    </xf>
    <xf numFmtId="0" fontId="11" fillId="0" borderId="0" xfId="0" applyFont="1" applyAlignment="1">
      <alignment horizontal="center" vertical="center" wrapText="1"/>
    </xf>
    <xf numFmtId="4" fontId="2" fillId="28" borderId="8" xfId="0" applyNumberFormat="1" applyFont="1" applyFill="1" applyBorder="1" applyAlignment="1">
      <alignment horizontal="center" vertical="center" wrapText="1"/>
    </xf>
    <xf numFmtId="4" fontId="2" fillId="2" borderId="0" xfId="0" applyNumberFormat="1" applyFont="1" applyFill="1" applyAlignment="1">
      <alignment horizontal="center" vertical="center" wrapText="1"/>
    </xf>
    <xf numFmtId="0" fontId="38" fillId="2" borderId="0" xfId="0" applyFont="1" applyFill="1" applyAlignment="1">
      <alignment horizontal="center" vertical="center" wrapText="1"/>
    </xf>
    <xf numFmtId="4" fontId="38"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0" fontId="40" fillId="2" borderId="0" xfId="0" applyFont="1" applyFill="1" applyAlignment="1">
      <alignment horizontal="center" vertical="center" wrapText="1"/>
    </xf>
    <xf numFmtId="0" fontId="3" fillId="0" borderId="8" xfId="0" applyFont="1" applyBorder="1" applyAlignment="1">
      <alignment horizontal="center" vertical="center" wrapText="1"/>
    </xf>
    <xf numFmtId="0" fontId="2" fillId="2" borderId="19" xfId="0" applyFont="1" applyFill="1" applyBorder="1" applyAlignment="1">
      <alignment horizontal="left" vertical="center" wrapText="1"/>
    </xf>
    <xf numFmtId="0" fontId="0" fillId="0" borderId="8" xfId="0" applyBorder="1" applyAlignment="1">
      <alignment horizontal="center"/>
    </xf>
    <xf numFmtId="4" fontId="2" fillId="2" borderId="20" xfId="0" applyNumberFormat="1" applyFont="1" applyFill="1" applyBorder="1" applyAlignment="1">
      <alignment horizontal="center" vertical="center" wrapText="1"/>
    </xf>
    <xf numFmtId="4" fontId="2" fillId="2" borderId="21" xfId="0" applyNumberFormat="1" applyFont="1" applyFill="1" applyBorder="1" applyAlignment="1">
      <alignment horizontal="center" vertical="center" wrapText="1"/>
    </xf>
    <xf numFmtId="0" fontId="38" fillId="2" borderId="21" xfId="0" applyFont="1" applyFill="1" applyBorder="1" applyAlignment="1">
      <alignment horizontal="center" vertical="center" wrapText="1"/>
    </xf>
    <xf numFmtId="4" fontId="38" fillId="2" borderId="21" xfId="0" applyNumberFormat="1"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40" fillId="2" borderId="21" xfId="0" applyFont="1" applyFill="1" applyBorder="1" applyAlignment="1">
      <alignment horizontal="center" vertical="center" wrapText="1"/>
    </xf>
    <xf numFmtId="0" fontId="0" fillId="0" borderId="21" xfId="0" applyBorder="1" applyAlignment="1">
      <alignment horizontal="center"/>
    </xf>
    <xf numFmtId="4" fontId="2" fillId="2" borderId="8" xfId="0" applyNumberFormat="1" applyFont="1" applyFill="1" applyBorder="1" applyAlignment="1">
      <alignment horizontal="left" vertical="center"/>
    </xf>
    <xf numFmtId="0" fontId="0" fillId="0" borderId="8" xfId="0" applyBorder="1"/>
    <xf numFmtId="0" fontId="0" fillId="27" borderId="0" xfId="0" applyFill="1"/>
    <xf numFmtId="0" fontId="38" fillId="27" borderId="8" xfId="0" applyFont="1" applyFill="1" applyBorder="1" applyAlignment="1">
      <alignment horizontal="center" vertical="center" wrapText="1"/>
    </xf>
    <xf numFmtId="0" fontId="0" fillId="27" borderId="8" xfId="0" applyFill="1" applyBorder="1" applyAlignment="1">
      <alignment horizontal="center"/>
    </xf>
    <xf numFmtId="0" fontId="0" fillId="27" borderId="0" xfId="0" applyFill="1" applyAlignment="1">
      <alignment horizontal="center"/>
    </xf>
    <xf numFmtId="0" fontId="45" fillId="27" borderId="8" xfId="0" applyFont="1" applyFill="1" applyBorder="1" applyAlignment="1">
      <alignment horizontal="center" vertical="center"/>
    </xf>
    <xf numFmtId="0" fontId="11" fillId="27" borderId="8" xfId="0" applyFont="1" applyFill="1" applyBorder="1" applyAlignment="1">
      <alignment horizontal="center" vertical="center" wrapText="1"/>
    </xf>
    <xf numFmtId="0" fontId="0" fillId="27" borderId="21" xfId="0" applyFill="1" applyBorder="1" applyAlignment="1">
      <alignment horizontal="center"/>
    </xf>
    <xf numFmtId="4" fontId="2" fillId="27" borderId="8" xfId="0" applyNumberFormat="1" applyFont="1" applyFill="1" applyBorder="1" applyAlignment="1">
      <alignment horizontal="left" vertical="center"/>
    </xf>
    <xf numFmtId="0" fontId="48" fillId="2" borderId="8" xfId="0" applyFont="1" applyFill="1" applyBorder="1" applyAlignment="1">
      <alignment horizontal="center" vertical="center" wrapText="1"/>
    </xf>
    <xf numFmtId="0" fontId="47" fillId="0" borderId="8" xfId="0" applyFont="1" applyBorder="1" applyAlignment="1">
      <alignment horizontal="center"/>
    </xf>
    <xf numFmtId="0" fontId="45" fillId="0" borderId="8" xfId="0" applyFont="1" applyBorder="1" applyAlignment="1">
      <alignment horizontal="center"/>
    </xf>
    <xf numFmtId="0" fontId="46" fillId="0" borderId="8" xfId="0" applyFont="1" applyBorder="1"/>
    <xf numFmtId="0" fontId="49" fillId="0" borderId="0" xfId="898"/>
    <xf numFmtId="0" fontId="0" fillId="30" borderId="8" xfId="0" applyFill="1" applyBorder="1"/>
    <xf numFmtId="0" fontId="0" fillId="30" borderId="0" xfId="0" applyFill="1" applyAlignment="1">
      <alignment horizontal="center"/>
    </xf>
    <xf numFmtId="0" fontId="46" fillId="0" borderId="0" xfId="0" applyFont="1"/>
    <xf numFmtId="0" fontId="45" fillId="0" borderId="0" xfId="0" applyFont="1"/>
    <xf numFmtId="182" fontId="0" fillId="0" borderId="8" xfId="897" applyNumberFormat="1" applyFont="1" applyBorder="1"/>
    <xf numFmtId="0" fontId="6" fillId="31" borderId="8" xfId="0" applyFont="1" applyFill="1" applyBorder="1"/>
    <xf numFmtId="182" fontId="46" fillId="0" borderId="8" xfId="897" applyNumberFormat="1" applyFont="1" applyBorder="1"/>
    <xf numFmtId="0" fontId="0" fillId="32" borderId="8" xfId="0" applyFill="1" applyBorder="1"/>
    <xf numFmtId="0" fontId="0" fillId="34" borderId="8" xfId="0" applyFill="1" applyBorder="1"/>
    <xf numFmtId="0" fontId="6" fillId="0" borderId="8" xfId="0" applyFont="1" applyBorder="1"/>
    <xf numFmtId="0" fontId="45" fillId="30" borderId="8" xfId="0" applyFont="1" applyFill="1" applyBorder="1"/>
    <xf numFmtId="0" fontId="0" fillId="0" borderId="2" xfId="0" applyBorder="1"/>
    <xf numFmtId="10" fontId="0" fillId="0" borderId="8" xfId="0" applyNumberFormat="1" applyBorder="1"/>
    <xf numFmtId="9" fontId="0" fillId="0" borderId="8" xfId="0" applyNumberFormat="1" applyBorder="1"/>
    <xf numFmtId="2" fontId="0" fillId="0" borderId="8" xfId="0" applyNumberFormat="1" applyBorder="1"/>
    <xf numFmtId="10" fontId="0" fillId="0" borderId="8" xfId="897" applyNumberFormat="1" applyFont="1" applyBorder="1"/>
    <xf numFmtId="0" fontId="0" fillId="0" borderId="8" xfId="0" applyBorder="1" applyAlignment="1">
      <alignment vertical="center" wrapText="1"/>
    </xf>
    <xf numFmtId="0" fontId="0" fillId="35" borderId="8" xfId="0" applyFill="1" applyBorder="1"/>
    <xf numFmtId="0" fontId="0" fillId="35" borderId="0" xfId="0" applyFill="1"/>
    <xf numFmtId="0" fontId="0" fillId="0" borderId="21" xfId="0" applyBorder="1"/>
    <xf numFmtId="0" fontId="0" fillId="0" borderId="25" xfId="0" applyBorder="1"/>
    <xf numFmtId="9" fontId="0" fillId="0" borderId="8" xfId="897" applyFont="1" applyBorder="1"/>
    <xf numFmtId="17" fontId="0" fillId="0" borderId="0" xfId="0" applyNumberFormat="1"/>
    <xf numFmtId="0" fontId="0" fillId="0" borderId="0" xfId="0" applyAlignment="1">
      <alignment wrapText="1"/>
    </xf>
    <xf numFmtId="0" fontId="45" fillId="33" borderId="0" xfId="0" applyFont="1" applyFill="1"/>
    <xf numFmtId="0" fontId="2" fillId="29" borderId="8" xfId="0" applyFont="1" applyFill="1" applyBorder="1" applyAlignment="1">
      <alignment horizontal="center" vertical="center" wrapText="1"/>
    </xf>
    <xf numFmtId="0" fontId="0" fillId="29" borderId="8" xfId="0" applyFill="1" applyBorder="1" applyAlignment="1">
      <alignment horizontal="center"/>
    </xf>
    <xf numFmtId="0" fontId="11" fillId="30" borderId="2" xfId="0" applyFont="1" applyFill="1" applyBorder="1" applyAlignment="1">
      <alignment horizontal="center" vertical="center" wrapText="1"/>
    </xf>
    <xf numFmtId="0" fontId="11" fillId="30" borderId="8" xfId="0" applyFont="1" applyFill="1" applyBorder="1" applyAlignment="1">
      <alignment horizontal="center" vertical="center" wrapText="1"/>
    </xf>
    <xf numFmtId="0" fontId="0" fillId="30" borderId="8" xfId="0" applyFill="1" applyBorder="1" applyAlignment="1">
      <alignment horizontal="center"/>
    </xf>
    <xf numFmtId="0" fontId="0" fillId="30" borderId="21" xfId="0" applyFill="1" applyBorder="1" applyAlignment="1">
      <alignment horizontal="center"/>
    </xf>
    <xf numFmtId="4" fontId="2" fillId="30" borderId="8" xfId="0" applyNumberFormat="1" applyFont="1" applyFill="1" applyBorder="1" applyAlignment="1">
      <alignment horizontal="left" vertical="center"/>
    </xf>
    <xf numFmtId="10" fontId="0" fillId="0" borderId="0" xfId="0" applyNumberFormat="1"/>
    <xf numFmtId="2" fontId="46" fillId="0" borderId="0" xfId="897" applyNumberFormat="1" applyFont="1" applyFill="1" applyBorder="1" applyAlignment="1">
      <alignment horizontal="center"/>
    </xf>
    <xf numFmtId="2" fontId="46" fillId="0" borderId="26" xfId="899" applyNumberFormat="1" applyFont="1" applyFill="1" applyBorder="1" applyAlignment="1">
      <alignment horizontal="center"/>
    </xf>
    <xf numFmtId="2" fontId="46" fillId="0" borderId="5" xfId="899" applyNumberFormat="1" applyFont="1" applyFill="1" applyBorder="1" applyAlignment="1">
      <alignment horizontal="center"/>
    </xf>
    <xf numFmtId="2" fontId="46" fillId="0" borderId="4" xfId="899" applyNumberFormat="1" applyFont="1" applyFill="1" applyBorder="1" applyAlignment="1">
      <alignment horizontal="center"/>
    </xf>
    <xf numFmtId="2" fontId="46" fillId="0" borderId="23" xfId="899" applyNumberFormat="1" applyFont="1" applyFill="1" applyBorder="1" applyAlignment="1">
      <alignment horizontal="center"/>
    </xf>
    <xf numFmtId="2" fontId="46" fillId="0" borderId="0" xfId="899" applyNumberFormat="1" applyFont="1" applyFill="1" applyBorder="1" applyAlignment="1">
      <alignment horizontal="center"/>
    </xf>
    <xf numFmtId="2" fontId="46" fillId="0" borderId="27" xfId="899" applyNumberFormat="1" applyFont="1" applyFill="1" applyBorder="1" applyAlignment="1">
      <alignment horizontal="center"/>
    </xf>
    <xf numFmtId="182" fontId="46" fillId="0" borderId="0" xfId="897" applyNumberFormat="1" applyFont="1" applyFill="1" applyAlignment="1">
      <alignment horizontal="center"/>
    </xf>
    <xf numFmtId="2" fontId="46" fillId="0" borderId="1" xfId="899" applyNumberFormat="1" applyFont="1" applyFill="1" applyBorder="1" applyAlignment="1">
      <alignment horizontal="center"/>
    </xf>
    <xf numFmtId="0" fontId="3" fillId="0" borderId="21" xfId="0" applyFont="1" applyBorder="1" applyAlignment="1">
      <alignment horizontal="center" vertical="center"/>
    </xf>
    <xf numFmtId="0" fontId="3" fillId="0" borderId="6" xfId="0" applyFont="1" applyBorder="1" applyAlignment="1">
      <alignment horizontal="center" vertical="center" wrapText="1"/>
    </xf>
    <xf numFmtId="0" fontId="3" fillId="0" borderId="21" xfId="0" applyFont="1" applyBorder="1" applyAlignment="1">
      <alignment vertical="center" wrapText="1"/>
    </xf>
    <xf numFmtId="0" fontId="3" fillId="0" borderId="6" xfId="0" applyFont="1" applyBorder="1" applyAlignment="1">
      <alignment horizontal="center" vertical="center"/>
    </xf>
    <xf numFmtId="0" fontId="3" fillId="0" borderId="4" xfId="0" applyFont="1" applyBorder="1" applyAlignment="1">
      <alignment horizontal="center" vertical="center" wrapText="1"/>
    </xf>
    <xf numFmtId="0" fontId="46" fillId="0" borderId="26" xfId="0" applyFont="1" applyBorder="1" applyAlignment="1">
      <alignment horizontal="center"/>
    </xf>
    <xf numFmtId="0" fontId="46" fillId="0" borderId="5" xfId="0" applyFont="1" applyBorder="1" applyAlignment="1">
      <alignment horizontal="center"/>
    </xf>
    <xf numFmtId="0" fontId="46" fillId="0" borderId="4" xfId="0" applyFont="1" applyBorder="1" applyAlignment="1">
      <alignment horizontal="center"/>
    </xf>
    <xf numFmtId="2" fontId="46" fillId="0" borderId="27" xfId="0" applyNumberFormat="1" applyFont="1" applyBorder="1" applyAlignment="1">
      <alignment horizontal="center"/>
    </xf>
    <xf numFmtId="0" fontId="46" fillId="0" borderId="23" xfId="0" applyFont="1" applyBorder="1" applyAlignment="1">
      <alignment horizontal="center"/>
    </xf>
    <xf numFmtId="0" fontId="46" fillId="0" borderId="0" xfId="0" applyFont="1" applyAlignment="1">
      <alignment horizontal="center"/>
    </xf>
    <xf numFmtId="0" fontId="46" fillId="0" borderId="27" xfId="0" applyFont="1" applyBorder="1" applyAlignment="1">
      <alignment horizontal="center"/>
    </xf>
    <xf numFmtId="2" fontId="46" fillId="0" borderId="23" xfId="0" applyNumberFormat="1" applyFont="1" applyBorder="1" applyAlignment="1">
      <alignment horizontal="center"/>
    </xf>
    <xf numFmtId="2" fontId="46" fillId="0" borderId="0" xfId="0" applyNumberFormat="1" applyFont="1" applyAlignment="1">
      <alignment horizontal="center"/>
    </xf>
    <xf numFmtId="0" fontId="52" fillId="0" borderId="23" xfId="0" applyFont="1" applyBorder="1" applyAlignment="1">
      <alignment horizontal="center"/>
    </xf>
    <xf numFmtId="2" fontId="46" fillId="0" borderId="23" xfId="897" applyNumberFormat="1" applyFont="1" applyFill="1" applyBorder="1" applyAlignment="1">
      <alignment horizontal="center"/>
    </xf>
    <xf numFmtId="0" fontId="52" fillId="0" borderId="0" xfId="0" applyFont="1" applyAlignment="1">
      <alignment horizontal="center"/>
    </xf>
    <xf numFmtId="2" fontId="45" fillId="0" borderId="0" xfId="899" applyNumberFormat="1" applyFont="1" applyFill="1" applyBorder="1" applyAlignment="1">
      <alignment horizontal="center"/>
    </xf>
    <xf numFmtId="2" fontId="45" fillId="0" borderId="27" xfId="0" applyNumberFormat="1" applyFont="1" applyBorder="1" applyAlignment="1">
      <alignment horizontal="center"/>
    </xf>
    <xf numFmtId="2" fontId="46" fillId="0" borderId="5" xfId="0" applyNumberFormat="1" applyFont="1" applyBorder="1" applyAlignment="1">
      <alignment horizontal="center"/>
    </xf>
    <xf numFmtId="0" fontId="46" fillId="0" borderId="8" xfId="0" applyFont="1" applyBorder="1" applyAlignment="1">
      <alignment wrapText="1"/>
    </xf>
    <xf numFmtId="1" fontId="46" fillId="0" borderId="8" xfId="0" applyNumberFormat="1" applyFont="1" applyBorder="1"/>
    <xf numFmtId="0" fontId="46" fillId="0" borderId="20" xfId="0" applyFont="1" applyBorder="1" applyAlignment="1">
      <alignment horizontal="center"/>
    </xf>
    <xf numFmtId="0" fontId="46" fillId="0" borderId="1" xfId="0" applyFont="1" applyBorder="1" applyAlignment="1">
      <alignment horizontal="center"/>
    </xf>
    <xf numFmtId="0" fontId="46" fillId="0" borderId="28" xfId="0" applyFont="1" applyBorder="1" applyAlignment="1">
      <alignment horizontal="center"/>
    </xf>
    <xf numFmtId="2" fontId="46" fillId="0" borderId="20" xfId="0" applyNumberFormat="1" applyFont="1" applyBorder="1" applyAlignment="1">
      <alignment horizontal="center"/>
    </xf>
    <xf numFmtId="2" fontId="46" fillId="0" borderId="1" xfId="0" applyNumberFormat="1" applyFont="1" applyBorder="1" applyAlignment="1">
      <alignment horizontal="center"/>
    </xf>
    <xf numFmtId="2" fontId="46" fillId="0" borderId="28" xfId="0" applyNumberFormat="1" applyFont="1" applyBorder="1" applyAlignment="1">
      <alignment horizontal="center"/>
    </xf>
    <xf numFmtId="183" fontId="46" fillId="0" borderId="0" xfId="0" applyNumberFormat="1" applyFont="1" applyAlignment="1">
      <alignment horizontal="center"/>
    </xf>
    <xf numFmtId="182" fontId="46" fillId="0" borderId="0" xfId="0" applyNumberFormat="1" applyFont="1" applyAlignment="1">
      <alignment horizontal="center"/>
    </xf>
    <xf numFmtId="10" fontId="46" fillId="0" borderId="0" xfId="0" applyNumberFormat="1" applyFont="1" applyAlignment="1">
      <alignment horizontal="center"/>
    </xf>
    <xf numFmtId="14" fontId="46" fillId="0" borderId="0" xfId="0" applyNumberFormat="1" applyFont="1" applyAlignment="1">
      <alignment horizontal="center"/>
    </xf>
    <xf numFmtId="0" fontId="45" fillId="0" borderId="8" xfId="0" applyFont="1" applyBorder="1"/>
    <xf numFmtId="2" fontId="45" fillId="0" borderId="23" xfId="0" applyNumberFormat="1" applyFont="1" applyBorder="1" applyAlignment="1">
      <alignment horizontal="center"/>
    </xf>
    <xf numFmtId="2" fontId="45" fillId="0" borderId="0" xfId="0" applyNumberFormat="1" applyFont="1" applyAlignment="1">
      <alignment horizontal="center"/>
    </xf>
    <xf numFmtId="0" fontId="3" fillId="37" borderId="8" xfId="0" applyFont="1" applyFill="1" applyBorder="1"/>
    <xf numFmtId="0" fontId="3" fillId="0" borderId="8" xfId="0" applyFont="1" applyBorder="1"/>
    <xf numFmtId="0" fontId="7" fillId="0" borderId="8"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6" fillId="0" borderId="8"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xf>
    <xf numFmtId="0" fontId="0" fillId="0" borderId="2" xfId="0" applyBorder="1" applyAlignment="1">
      <alignment horizontal="center" vertical="center"/>
    </xf>
    <xf numFmtId="0" fontId="0" fillId="36" borderId="29" xfId="0" applyFill="1" applyBorder="1" applyAlignment="1">
      <alignment horizontal="left" vertical="center" wrapText="1"/>
    </xf>
    <xf numFmtId="0" fontId="0" fillId="36" borderId="30" xfId="0" applyFill="1" applyBorder="1" applyAlignment="1">
      <alignment horizontal="left" vertical="center" wrapText="1"/>
    </xf>
    <xf numFmtId="0" fontId="0" fillId="36" borderId="29" xfId="0" applyFill="1" applyBorder="1" applyAlignment="1">
      <alignment horizontal="center" vertical="center" wrapText="1"/>
    </xf>
    <xf numFmtId="0" fontId="0" fillId="36" borderId="30" xfId="0" applyFill="1" applyBorder="1" applyAlignment="1">
      <alignment horizontal="center" vertical="center" wrapText="1"/>
    </xf>
    <xf numFmtId="0" fontId="0" fillId="0" borderId="31" xfId="0" applyBorder="1" applyAlignment="1">
      <alignment horizontal="center" vertical="center"/>
    </xf>
    <xf numFmtId="182" fontId="0" fillId="0" borderId="6" xfId="897" applyNumberFormat="1" applyFont="1" applyBorder="1" applyAlignment="1">
      <alignment horizontal="center" vertical="center"/>
    </xf>
    <xf numFmtId="182" fontId="0" fillId="0" borderId="2" xfId="897" applyNumberFormat="1" applyFont="1" applyBorder="1" applyAlignment="1">
      <alignment horizontal="center" vertical="center"/>
    </xf>
    <xf numFmtId="0" fontId="0" fillId="34" borderId="6" xfId="0" applyFill="1" applyBorder="1" applyAlignment="1">
      <alignment horizontal="center" vertical="center"/>
    </xf>
    <xf numFmtId="0" fontId="0" fillId="34" borderId="2" xfId="0" applyFill="1" applyBorder="1" applyAlignment="1">
      <alignment horizontal="center" vertical="center"/>
    </xf>
    <xf numFmtId="0" fontId="0" fillId="0" borderId="6" xfId="0" applyBorder="1" applyAlignment="1">
      <alignment horizontal="center"/>
    </xf>
    <xf numFmtId="0" fontId="0" fillId="0" borderId="2" xfId="0" applyBorder="1" applyAlignment="1">
      <alignment horizontal="center"/>
    </xf>
    <xf numFmtId="0" fontId="0" fillId="0" borderId="8" xfId="0" applyBorder="1" applyAlignment="1">
      <alignment horizontal="center"/>
    </xf>
  </cellXfs>
  <cellStyles count="902">
    <cellStyle name="20% - Accent1" xfId="41" xr:uid="{25300DC2-AB3C-435E-B32F-90E07AA54C6A}"/>
    <cellStyle name="20% - Accent2" xfId="42" xr:uid="{F7ED1EDE-2849-4D9F-95C2-F7FEF2E6EFEA}"/>
    <cellStyle name="20% - Accent3" xfId="43" xr:uid="{D26CB4B5-267F-458C-BBE6-49E5759AFBD0}"/>
    <cellStyle name="20% - Accent4" xfId="44" xr:uid="{C80E229D-F6E5-4BD0-B86D-4ACC7097E759}"/>
    <cellStyle name="20% - Accent5" xfId="45" xr:uid="{47DEA80D-1695-4F45-93BC-0E0307B8E645}"/>
    <cellStyle name="20% - Accent6" xfId="46" xr:uid="{103C551D-8027-4003-94A2-16C5C405786F}"/>
    <cellStyle name="20% - Ênfase1 2" xfId="48" xr:uid="{EF43DCA9-B92C-4769-9AB8-BA5B3AC6ECB6}"/>
    <cellStyle name="20% - Ênfase1 3" xfId="49" xr:uid="{AE5AFD45-C481-4EAC-BFE1-6B7121A2BF75}"/>
    <cellStyle name="20% - Ênfase1 4" xfId="47" xr:uid="{663254BA-A73A-4656-A110-D7A7BB8E53DD}"/>
    <cellStyle name="20% - Ênfase2 2" xfId="51" xr:uid="{495DB6D9-61E4-40ED-85C7-CC5A71623E3C}"/>
    <cellStyle name="20% - Ênfase2 3" xfId="52" xr:uid="{D1A3D39C-7641-4DB6-ACE8-29F285AE59CB}"/>
    <cellStyle name="20% - Ênfase2 4" xfId="50" xr:uid="{92823636-C761-46F1-B047-611124934B28}"/>
    <cellStyle name="20% - Ênfase3 2" xfId="54" xr:uid="{5702160C-A299-4764-BDD0-00AE7A56FC08}"/>
    <cellStyle name="20% - Ênfase3 3" xfId="55" xr:uid="{C9D4BD0C-019F-4B1C-92A9-D7EF8F49A86C}"/>
    <cellStyle name="20% - Ênfase3 4" xfId="53" xr:uid="{8940C97C-89AA-4856-977F-CDAE2515947E}"/>
    <cellStyle name="20% - Ênfase4 2" xfId="57" xr:uid="{72B24AA2-5F2E-4095-8314-CE7EF0F20D89}"/>
    <cellStyle name="20% - Ênfase4 3" xfId="58" xr:uid="{A7FD4D52-6BF8-40EF-82F7-E1935417014B}"/>
    <cellStyle name="20% - Ênfase4 4" xfId="56" xr:uid="{5F2D3E37-49FD-4CDE-BC30-66E7629D7097}"/>
    <cellStyle name="20% - Ênfase5 2" xfId="60" xr:uid="{D99F1C08-D2E7-4BB7-9C26-A27D7E3EDF52}"/>
    <cellStyle name="20% - Ênfase5 3" xfId="61" xr:uid="{367E2DE2-FB6A-4976-B242-CE6C2A87CFDD}"/>
    <cellStyle name="20% - Ênfase5 4" xfId="59" xr:uid="{8BDF2F39-AFD5-423F-9360-BB7549DF046D}"/>
    <cellStyle name="20% - Ênfase6 2" xfId="63" xr:uid="{F8E87EBE-39A9-4617-862F-84949F09982C}"/>
    <cellStyle name="20% - Ênfase6 3" xfId="64" xr:uid="{B1748823-00F3-4DD7-A27D-439A86678430}"/>
    <cellStyle name="20% - Ênfase6 4" xfId="62" xr:uid="{2C120B86-56D7-437D-BEC1-7932C1CC5EC1}"/>
    <cellStyle name="40% - Accent1" xfId="65" xr:uid="{65F0E5FE-D22A-4E86-A664-72DF9EADFC50}"/>
    <cellStyle name="40% - Accent2" xfId="66" xr:uid="{931B26DF-C676-4F03-9638-34D4F8E75F2E}"/>
    <cellStyle name="40% - Accent3" xfId="67" xr:uid="{7E6C9D89-E7D0-4B51-AD49-FEDFCEAFACC6}"/>
    <cellStyle name="40% - Accent4" xfId="68" xr:uid="{3B5A6898-AB50-4DDC-960F-70C4E43FBE8D}"/>
    <cellStyle name="40% - Accent5" xfId="69" xr:uid="{58F3654E-BC1D-40DF-ACA4-2999DAF8761A}"/>
    <cellStyle name="40% - Accent6" xfId="70" xr:uid="{3CBDC124-EDB4-4CE0-900F-15E89D604500}"/>
    <cellStyle name="40% - Ênfase1 2" xfId="72" xr:uid="{A2C0F17A-9F1A-455C-9B83-4F8962308290}"/>
    <cellStyle name="40% - Ênfase1 3" xfId="73" xr:uid="{1FBA42C1-3FAC-4864-BF73-D5EAEC960417}"/>
    <cellStyle name="40% - Ênfase1 4" xfId="71" xr:uid="{96265607-8608-421E-A8C7-06B8FABF9358}"/>
    <cellStyle name="40% - Ênfase2 2" xfId="75" xr:uid="{FCD3F430-E77C-4C4C-847A-03C3EF3AD8C6}"/>
    <cellStyle name="40% - Ênfase2 3" xfId="76" xr:uid="{1D1CF8AA-98F6-4CC1-87E2-A4B59CDE1568}"/>
    <cellStyle name="40% - Ênfase2 4" xfId="74" xr:uid="{489F0FBD-50AF-421B-853A-C7772E8F3290}"/>
    <cellStyle name="40% - Ênfase3 2" xfId="78" xr:uid="{BF76E832-40C2-4893-989C-26196AEA7176}"/>
    <cellStyle name="40% - Ênfase3 3" xfId="79" xr:uid="{9F5FF0D3-7C6F-4FAF-8AD6-76040C587219}"/>
    <cellStyle name="40% - Ênfase3 4" xfId="77" xr:uid="{A2B13BA8-6DF5-49E6-BB6D-0FD121E2E914}"/>
    <cellStyle name="40% - Ênfase4 2" xfId="81" xr:uid="{42CCA161-502C-4B03-84DC-12611EF38BB6}"/>
    <cellStyle name="40% - Ênfase4 3" xfId="82" xr:uid="{1ACA01B2-6E23-4EDE-AB0A-9E9FFB02475C}"/>
    <cellStyle name="40% - Ênfase4 4" xfId="80" xr:uid="{FE9F0C41-DCB1-45FC-BCD9-6DEF868331AC}"/>
    <cellStyle name="40% - Ênfase5 2" xfId="84" xr:uid="{97CD824E-B951-4191-A635-ADFE57A99BAA}"/>
    <cellStyle name="40% - Ênfase5 3" xfId="85" xr:uid="{2DDA4096-7EF4-4DAF-B5D0-713F53203450}"/>
    <cellStyle name="40% - Ênfase5 4" xfId="83" xr:uid="{B140152C-103E-4CBC-BB76-F92A0DE2E9FD}"/>
    <cellStyle name="40% - Ênfase6 2" xfId="87" xr:uid="{9FB1746F-0019-4803-B69E-D01598687FC6}"/>
    <cellStyle name="40% - Ênfase6 3" xfId="88" xr:uid="{8365094D-064A-4AD8-9E43-F4B773142317}"/>
    <cellStyle name="40% - Ênfase6 4" xfId="86" xr:uid="{B22F2D7F-7201-4704-BC55-7B0E0E3E7EED}"/>
    <cellStyle name="60% - Accent1" xfId="89" xr:uid="{DA21B8CF-0CE2-421C-BB69-56E23CA5CE85}"/>
    <cellStyle name="60% - Accent2" xfId="90" xr:uid="{1C1A6EB1-2081-4C5B-82CD-2B72DA917131}"/>
    <cellStyle name="60% - Accent3" xfId="91" xr:uid="{9806F83C-C102-4A09-ADFC-87BFEB18403F}"/>
    <cellStyle name="60% - Accent4" xfId="92" xr:uid="{39C25793-C4FA-496F-98DF-440BB169E125}"/>
    <cellStyle name="60% - Accent5" xfId="93" xr:uid="{32F9EE63-357A-499E-90B9-8927BAE41350}"/>
    <cellStyle name="60% - Accent6" xfId="94" xr:uid="{4CF6D6AD-034F-4E55-A962-D2D42941C3C4}"/>
    <cellStyle name="60% - Ênfase1 2" xfId="96" xr:uid="{A9B7BF37-F457-491A-91B0-9CE307C81803}"/>
    <cellStyle name="60% - Ênfase1 3" xfId="97" xr:uid="{08232AEA-73F8-4D79-9512-E981CA8C7253}"/>
    <cellStyle name="60% - Ênfase1 4" xfId="95" xr:uid="{FCAE127C-7CDC-4271-885B-994CD3AB3C58}"/>
    <cellStyle name="60% - Ênfase2 2" xfId="99" xr:uid="{60346DBA-6975-4837-B8B6-CD7BC13DE209}"/>
    <cellStyle name="60% - Ênfase2 3" xfId="100" xr:uid="{4CAEE358-0816-4CEC-B2AE-5186CC4020AB}"/>
    <cellStyle name="60% - Ênfase2 4" xfId="98" xr:uid="{ACBEEB48-769E-4679-B5A3-DCA5845A3A88}"/>
    <cellStyle name="60% - Ênfase3 2" xfId="102" xr:uid="{7882B715-2A79-40BC-B772-9BE6E7C2BF2C}"/>
    <cellStyle name="60% - Ênfase3 3" xfId="103" xr:uid="{D16E1BB5-C8C1-4D0F-9DEB-E837B567CC3C}"/>
    <cellStyle name="60% - Ênfase3 4" xfId="101" xr:uid="{6AB6646A-FBDC-402E-9FE5-4F6CC7533A87}"/>
    <cellStyle name="60% - Ênfase4 2" xfId="105" xr:uid="{2ECE0E5C-D449-4702-A32C-DBF1BF868890}"/>
    <cellStyle name="60% - Ênfase4 3" xfId="106" xr:uid="{69EFA8AD-B39F-4B6B-89A8-0DD66C872C3C}"/>
    <cellStyle name="60% - Ênfase4 4" xfId="104" xr:uid="{782FD8C7-1789-4875-89B9-93852600E85B}"/>
    <cellStyle name="60% - Ênfase5 2" xfId="108" xr:uid="{99145064-BBB3-4ACF-881D-62024ED4E415}"/>
    <cellStyle name="60% - Ênfase5 3" xfId="109" xr:uid="{26CC7439-324A-4F67-B528-AD447ED25C23}"/>
    <cellStyle name="60% - Ênfase5 4" xfId="107" xr:uid="{C677D68B-B8C2-43F9-B172-C954FF5E068A}"/>
    <cellStyle name="60% - Ênfase6 2" xfId="111" xr:uid="{2988FB5E-FF51-437F-B2C1-7A6C9DB4CFB5}"/>
    <cellStyle name="60% - Ênfase6 3" xfId="112" xr:uid="{15190B96-8DA2-4B54-978B-C5681E35D1FC}"/>
    <cellStyle name="60% - Ênfase6 4" xfId="110" xr:uid="{7A5B921D-7D9C-4DE9-A7E6-A47D25714F1E}"/>
    <cellStyle name="A3 297 x 420 mm" xfId="3" xr:uid="{F48EAEED-210B-4E04-B507-7BDF15D48A1D}"/>
    <cellStyle name="A3 297 x 420 mm 2" xfId="114" xr:uid="{B2B435B0-6F0A-4468-8C34-B4460E679078}"/>
    <cellStyle name="A3 297 x 420 mm 3" xfId="115" xr:uid="{1A1EBEBD-46FA-4092-B378-88B2B4741C3C}"/>
    <cellStyle name="A3 297 x 420 mm 4" xfId="113" xr:uid="{986EB055-AAAA-47ED-9908-CF40ED406DD8}"/>
    <cellStyle name="Accent1" xfId="116" xr:uid="{1F02225A-28CA-454E-985F-EA1FF751B284}"/>
    <cellStyle name="Accent2" xfId="117" xr:uid="{E6F9C16B-E963-4350-8A5A-9AA7789CD899}"/>
    <cellStyle name="Accent3" xfId="118" xr:uid="{08904E8F-5EA4-4FBD-A56A-29251BE0B280}"/>
    <cellStyle name="Accent4" xfId="119" xr:uid="{82151097-6F02-46C6-BCB0-CF33B2F8E7FC}"/>
    <cellStyle name="Accent5" xfId="120" xr:uid="{FBF0749B-8619-4EBA-8DA1-CDA4B197377F}"/>
    <cellStyle name="Accent6" xfId="121" xr:uid="{FAEDEC28-AB2F-4E06-A0D6-68C1B275BBDB}"/>
    <cellStyle name="Bad" xfId="122" xr:uid="{9031DD69-7254-474A-9B4D-FDD2753421F0}"/>
    <cellStyle name="Bom 2" xfId="124" xr:uid="{971E1322-0821-4461-80B7-6F7E50480DA7}"/>
    <cellStyle name="Bom 3" xfId="125" xr:uid="{18EE7416-3273-4E72-B75C-017B474D8ADF}"/>
    <cellStyle name="Bom 4" xfId="123" xr:uid="{BBEF57D9-B509-470E-8AB8-6EDE5497E8C8}"/>
    <cellStyle name="Cabecera 1" xfId="4" xr:uid="{FBF71522-2CDF-4A20-952A-3E7CA1D49C4D}"/>
    <cellStyle name="Cabecera 2" xfId="5" xr:uid="{80383BC1-30A5-4D1B-AB9B-D7261169DE26}"/>
    <cellStyle name="Calculation" xfId="126" xr:uid="{F5F5E0BC-AA3D-4E71-8054-EFA653C981ED}"/>
    <cellStyle name="Cálculo 2" xfId="128" xr:uid="{3904E725-BFF4-4160-AB14-10517639034E}"/>
    <cellStyle name="Cálculo 3" xfId="129" xr:uid="{DF74EE98-2B67-4E37-B489-C577DDD8E648}"/>
    <cellStyle name="Cálculo 4" xfId="127" xr:uid="{247EE6FE-8209-4BBA-B0B5-4F5D26103025}"/>
    <cellStyle name="Célula de Verificação 2" xfId="131" xr:uid="{B3704186-4936-4103-AD68-9F682B991645}"/>
    <cellStyle name="Célula de Verificação 3" xfId="132" xr:uid="{F91728B5-CB86-4E1F-850F-AF39E8347024}"/>
    <cellStyle name="Célula de Verificação 4" xfId="130" xr:uid="{358ABA09-16E9-4AFB-9DA1-6B2150521DC6}"/>
    <cellStyle name="Célula Vinculada 2" xfId="134" xr:uid="{0B8A6760-69A6-47FF-936F-D876EC7A48E4}"/>
    <cellStyle name="Célula Vinculada 3" xfId="135" xr:uid="{FBB4C10D-9BD6-47FE-B587-924418B1BDDE}"/>
    <cellStyle name="Célula Vinculada 4" xfId="133" xr:uid="{3F425DD3-F712-469D-BF3D-6B020B7E8EDC}"/>
    <cellStyle name="Check Cell" xfId="136" xr:uid="{DBFED4FB-3535-45DE-BC2E-32C11DD9F9F5}"/>
    <cellStyle name="Comma" xfId="6" xr:uid="{296BF5FE-92DE-4489-AD96-9DACBDFF72B5}"/>
    <cellStyle name="Comma [0]" xfId="7" xr:uid="{2657A12B-8022-4E30-A6E6-4F2EF899EC13}"/>
    <cellStyle name="Comma0 - Estilo2" xfId="8" xr:uid="{E23B849A-143F-4DAB-BEED-B58C24CBA3AF}"/>
    <cellStyle name="Currency" xfId="9" xr:uid="{5C86A7FC-F720-49E4-81FA-C9B5373A8151}"/>
    <cellStyle name="Currency [0]" xfId="10" xr:uid="{D7497EF6-9208-417A-83ED-AED329B5AF7D}"/>
    <cellStyle name="Date" xfId="11" xr:uid="{5A218DD9-FBD0-4D18-99B4-946C1D4AEE6E}"/>
    <cellStyle name="Dia" xfId="12" xr:uid="{A8A488FA-07E6-4D53-A67D-3EF40A440A10}"/>
    <cellStyle name="Encabez1" xfId="13" xr:uid="{89FDBB74-5130-4E78-8CED-A6DB5562B400}"/>
    <cellStyle name="Encabez2" xfId="14" xr:uid="{B3FACC0A-FA3D-4CF2-B44B-8AE0CE1CD45A}"/>
    <cellStyle name="Ênfase1 2" xfId="138" xr:uid="{DB569B08-DE22-4B61-8F79-06E3CBEFBF7F}"/>
    <cellStyle name="Ênfase1 3" xfId="139" xr:uid="{E85FDCA5-7E0D-4DB0-A3BF-41C3AFE902D9}"/>
    <cellStyle name="Ênfase1 4" xfId="137" xr:uid="{6A97610F-EA29-4018-893C-8F389269B91D}"/>
    <cellStyle name="Ênfase2 2" xfId="141" xr:uid="{4697A8E9-419C-4AB9-957C-6BD729679656}"/>
    <cellStyle name="Ênfase2 3" xfId="142" xr:uid="{4BDBD7AF-2A72-40F1-9AED-A0DC44160BAF}"/>
    <cellStyle name="Ênfase2 4" xfId="140" xr:uid="{7793EC68-0D15-4412-B581-35875746BABD}"/>
    <cellStyle name="Ênfase3 2" xfId="144" xr:uid="{C8B268FC-EAC1-4932-927D-28D8026A5E68}"/>
    <cellStyle name="Ênfase3 3" xfId="145" xr:uid="{9A513178-B7EB-4F2D-A7B7-CB34CD1D823B}"/>
    <cellStyle name="Ênfase3 4" xfId="143" xr:uid="{552998F6-4F5D-49FA-9260-1B4992D0973D}"/>
    <cellStyle name="Ênfase4 2" xfId="147" xr:uid="{9585B963-1DA0-4043-98CE-72443EE4F42F}"/>
    <cellStyle name="Ênfase4 3" xfId="148" xr:uid="{6E388768-39EE-4E2B-B6C5-D88BC57FE87B}"/>
    <cellStyle name="Ênfase4 4" xfId="146" xr:uid="{95E80EA5-E34F-46D7-8AB6-F0C7CB4E47C4}"/>
    <cellStyle name="Ênfase5 2" xfId="150" xr:uid="{988A7FB4-623A-4DDA-8EE8-B53FE6D54CDC}"/>
    <cellStyle name="Ênfase5 3" xfId="151" xr:uid="{8A7073D4-7167-40BA-97DF-DC8F3A7ECF53}"/>
    <cellStyle name="Ênfase5 4" xfId="149" xr:uid="{E55FBBBE-3AAF-4916-B526-A7B07683937E}"/>
    <cellStyle name="Ênfase6 2" xfId="153" xr:uid="{26F14AD4-17E8-4BF3-9DE4-04610D8BE6D2}"/>
    <cellStyle name="Ênfase6 3" xfId="154" xr:uid="{71A443F4-7B17-482D-BDE6-CCD6D068F148}"/>
    <cellStyle name="Ênfase6 4" xfId="152" xr:uid="{C58C2DD6-CEBD-4394-89F5-8A61DE493A53}"/>
    <cellStyle name="Entrada 2" xfId="156" xr:uid="{7E2CCA9C-98AE-4160-8D45-9C3206E888D5}"/>
    <cellStyle name="Entrada 3" xfId="157" xr:uid="{5F0B712B-A648-4E4A-92DB-7AA6B495A43C}"/>
    <cellStyle name="Entrada 4" xfId="155" xr:uid="{8F0DA000-F4EC-4B3A-BF4C-BBD66F59AB16}"/>
    <cellStyle name="Euro" xfId="15" xr:uid="{562F4F26-CB9E-453C-B1B6-EDA9B4FBAA32}"/>
    <cellStyle name="Explanatory Text" xfId="158" xr:uid="{89F2F178-95BE-440C-BDA6-253FA78DF850}"/>
    <cellStyle name="F2" xfId="16" xr:uid="{77E255B5-979E-4F7A-9479-2C6DBD6B033D}"/>
    <cellStyle name="F3" xfId="17" xr:uid="{91CA2C7C-0D97-42E1-812D-99D02FEA957A}"/>
    <cellStyle name="F4" xfId="18" xr:uid="{BFC6EB57-DBCD-4003-84DC-1F4C7BB3C85D}"/>
    <cellStyle name="F5" xfId="19" xr:uid="{4F132567-A6A7-4C31-B092-03AFB88CFB3A}"/>
    <cellStyle name="F6" xfId="20" xr:uid="{77F7FFB5-9954-4B70-A5D3-F1CE508D25F2}"/>
    <cellStyle name="F7" xfId="21" xr:uid="{E10D80B0-0954-4AD7-A9A2-0F2C5CE08348}"/>
    <cellStyle name="F8" xfId="22" xr:uid="{A66C2469-C958-4B46-AA6E-CFCDCFBE8221}"/>
    <cellStyle name="Fecha" xfId="23" xr:uid="{B88D6FF6-B7A6-4744-B2F4-B1437C709C16}"/>
    <cellStyle name="Fijo" xfId="24" xr:uid="{0C2593DE-33CF-40CF-9384-72635D31D8F0}"/>
    <cellStyle name="Financiero" xfId="25" xr:uid="{7F7960E3-05F2-4762-AD8E-380E4378F994}"/>
    <cellStyle name="Fixed" xfId="26" xr:uid="{999BB1B3-0E9B-4F57-A70D-F4D07A7739FB}"/>
    <cellStyle name="Good" xfId="159" xr:uid="{77477AED-279E-400A-9E4C-5847AD915E36}"/>
    <cellStyle name="Heading 1" xfId="160" xr:uid="{605D0384-2E5C-41A2-977A-E4DC4424EFB3}"/>
    <cellStyle name="Heading 2" xfId="161" xr:uid="{78D3FA8C-92CA-4CB7-B2DE-3CBDE31BA9F2}"/>
    <cellStyle name="Heading 3" xfId="162" xr:uid="{2767134B-53E5-4EB7-9B49-69017476BAFE}"/>
    <cellStyle name="Heading 4" xfId="163" xr:uid="{C2B362BF-DA9D-4E2D-AB9B-7599864C945E}"/>
    <cellStyle name="Heading1" xfId="27" xr:uid="{297F231F-2C09-4C8A-BDD0-45FAE372D279}"/>
    <cellStyle name="Heading2" xfId="28" xr:uid="{7A7BC10A-1BEA-4B92-B4AA-4CC0B97E6AFF}"/>
    <cellStyle name="Hiperlink" xfId="898" builtinId="8"/>
    <cellStyle name="Incorreto" xfId="885" xr:uid="{6BA498BC-D2CD-42D2-833A-D9D29C388E47}"/>
    <cellStyle name="Incorreto 2" xfId="165" xr:uid="{AAA5B87D-BDBB-491D-8F5E-249BF3A73D21}"/>
    <cellStyle name="Incorreto 3" xfId="166" xr:uid="{29500849-2E99-4E9A-BA4F-BDFA4E5D2D15}"/>
    <cellStyle name="Incorreto 4" xfId="164" xr:uid="{9D7CE7F6-DBB5-44EA-94BB-FEFEB4CA0E18}"/>
    <cellStyle name="Input" xfId="167" xr:uid="{9505ADB0-A9B1-4856-9900-47A2374484C2}"/>
    <cellStyle name="Linked Cell" xfId="168" xr:uid="{3F8694CE-A44B-4550-905F-DCCD0D970CA9}"/>
    <cellStyle name="M S SANS SERIF" xfId="169" xr:uid="{D4BEAD9B-8480-45D9-90F3-236E9B6AE9EA}"/>
    <cellStyle name="Millares_Hoja Mensual 2008 - Lote 02 - Autopista Planalto Sul - Mar2008" xfId="170" xr:uid="{ED504518-C0A0-46FB-B5FE-7615D95F3716}"/>
    <cellStyle name="Moeda 10" xfId="880" xr:uid="{97351D02-53C8-4E6D-903C-17B3C678E683}"/>
    <cellStyle name="Moeda 11" xfId="895" xr:uid="{E7DA1CF3-E978-4C20-B81F-F4450CE03D6E}"/>
    <cellStyle name="Moeda 2" xfId="171" xr:uid="{0A5CFAE6-7C22-49AD-87E0-E68A80641C7F}"/>
    <cellStyle name="Moeda 3" xfId="172" xr:uid="{035D789F-62E0-4DD2-A3CF-FF78ED453910}"/>
    <cellStyle name="Moeda 4" xfId="173" xr:uid="{26614B43-F97A-477E-BC39-3167CC4C5634}"/>
    <cellStyle name="Moeda 5" xfId="174" xr:uid="{7B5049FB-4DD6-452D-AD6C-E33752CA675E}"/>
    <cellStyle name="Moeda 5 2" xfId="175" xr:uid="{37E90C2F-DE7B-4C89-88C5-0BF7AB9B2194}"/>
    <cellStyle name="Moeda 6" xfId="176" xr:uid="{FD2FC4A8-C807-45DC-AA61-81972F68ED63}"/>
    <cellStyle name="Moeda 7" xfId="177" xr:uid="{BF1D10F4-42B1-4C36-B9D7-5F73FAC0E196}"/>
    <cellStyle name="Moeda 8" xfId="178" xr:uid="{05BEE64E-8FD5-43AC-97B3-349FB16E8380}"/>
    <cellStyle name="Moeda 9" xfId="179" xr:uid="{DBDA4A3A-166D-419A-9938-B1B8C01673D2}"/>
    <cellStyle name="Moneda [0]_Abrev." xfId="180" xr:uid="{769A9D50-45F1-492F-9005-31F25AB5AAC5}"/>
    <cellStyle name="Moneda_Abrev." xfId="181" xr:uid="{2BBE87E3-5324-4705-803C-F641A149EE9B}"/>
    <cellStyle name="Monetario" xfId="29" xr:uid="{9FC2C399-44C4-4FC9-BABB-EC0097A39218}"/>
    <cellStyle name="Monetario0" xfId="30" xr:uid="{6C977752-D2E0-406E-BFED-732DD3EB123D}"/>
    <cellStyle name="Neutra" xfId="886" xr:uid="{1075E085-4D9C-4E4E-83EF-C5B283D595EC}"/>
    <cellStyle name="Neutra 2" xfId="183" xr:uid="{38286079-8617-4307-9DD0-5457EDED7E22}"/>
    <cellStyle name="Neutra 3" xfId="184" xr:uid="{E3EC001B-BE40-4518-92D6-A2CC0D611F24}"/>
    <cellStyle name="Neutra 4" xfId="182" xr:uid="{06FDC6F1-3BC6-45E9-BA76-94D4ED6A47D1}"/>
    <cellStyle name="Neutral" xfId="185" xr:uid="{A6D88A2A-F57C-41AF-A8C5-3A136CDC9C35}"/>
    <cellStyle name="No-definido" xfId="31" xr:uid="{5011F38C-43E0-4F40-8E1C-7A1D0DF8957E}"/>
    <cellStyle name="Normal" xfId="0" builtinId="0"/>
    <cellStyle name="Normal 2" xfId="2" xr:uid="{4FE30A4D-E3EC-4460-BD67-C78056AB11F5}"/>
    <cellStyle name="Normal 2 10" xfId="269" xr:uid="{23161493-F58E-4984-837E-639E8B41FE6A}"/>
    <cellStyle name="Normal 2 10 2" xfId="285" xr:uid="{A700891F-BD05-45A9-8615-57B02124BC96}"/>
    <cellStyle name="Normal 2 10 2 2" xfId="318" xr:uid="{D69B6B0C-EE01-4491-B628-281737A6DEFF}"/>
    <cellStyle name="Normal 2 10 2 2 2" xfId="449" xr:uid="{1902CD31-E7AA-4939-A067-98C6DE76431F}"/>
    <cellStyle name="Normal 2 10 2 2 3" xfId="580" xr:uid="{D19195F2-3B4D-4375-A743-D750D203D76F}"/>
    <cellStyle name="Normal 2 10 2 2 4" xfId="711" xr:uid="{4152CBBC-EF29-42A8-AF77-00739B87735A}"/>
    <cellStyle name="Normal 2 10 2 2 5" xfId="842" xr:uid="{81EE4399-A156-4513-8714-485BD0AB933A}"/>
    <cellStyle name="Normal 2 10 2 3" xfId="350" xr:uid="{A1F3D482-62A5-4E64-9990-1E104BBC06C1}"/>
    <cellStyle name="Normal 2 10 2 3 2" xfId="481" xr:uid="{0BC9AAE3-550C-4BAA-A487-3C0BE74119AF}"/>
    <cellStyle name="Normal 2 10 2 3 3" xfId="612" xr:uid="{7BEAC882-AC4C-4A5A-8FD7-7B73CA4D4C21}"/>
    <cellStyle name="Normal 2 10 2 3 4" xfId="743" xr:uid="{4C2398F5-D9A3-47D6-B744-6A0BF8B512C0}"/>
    <cellStyle name="Normal 2 10 2 3 5" xfId="874" xr:uid="{5A620F24-1C4A-42DE-9312-5AB02EC75E4D}"/>
    <cellStyle name="Normal 2 10 2 4" xfId="417" xr:uid="{88E78CF3-95C6-4F6E-B42B-511ECF924E0B}"/>
    <cellStyle name="Normal 2 10 2 4 2" xfId="548" xr:uid="{51E98931-5063-4FD8-818C-1E0E795F1623}"/>
    <cellStyle name="Normal 2 10 2 4 3" xfId="679" xr:uid="{187AF9B0-3AEE-4FA9-A8DB-B1740DB03980}"/>
    <cellStyle name="Normal 2 10 2 4 4" xfId="810" xr:uid="{75D6423A-8DE0-4CCA-AB13-8458C40CA16B}"/>
    <cellStyle name="Normal 2 10 2 5" xfId="382" xr:uid="{DC578EC3-9BE9-478D-83CD-92FA6A626511}"/>
    <cellStyle name="Normal 2 10 2 6" xfId="513" xr:uid="{8D4D39AD-E874-44EC-9EAE-F35219DCCD32}"/>
    <cellStyle name="Normal 2 10 2 7" xfId="644" xr:uid="{6DA62FAC-C5BA-4F7B-9CE3-ACCE055C7F7C}"/>
    <cellStyle name="Normal 2 10 2 8" xfId="775" xr:uid="{2E42963F-CB59-4AFA-A8DA-BB7990D0C4B4}"/>
    <cellStyle name="Normal 2 10 3" xfId="302" xr:uid="{F3FFED5B-9DDC-4977-BDF5-A971DEFFDC67}"/>
    <cellStyle name="Normal 2 10 3 2" xfId="433" xr:uid="{09BD756D-6777-48F3-A13C-762A8B470481}"/>
    <cellStyle name="Normal 2 10 3 3" xfId="564" xr:uid="{1FCEE738-07C1-4CF8-B212-4FA0AF233D1F}"/>
    <cellStyle name="Normal 2 10 3 4" xfId="695" xr:uid="{6F66ABBB-D706-4654-918E-A04B379BA010}"/>
    <cellStyle name="Normal 2 10 3 5" xfId="826" xr:uid="{AAE3A0E4-4959-4347-BD60-88CD17A7EF0C}"/>
    <cellStyle name="Normal 2 10 4" xfId="334" xr:uid="{A9698101-8992-49D6-A274-9EE6341C75BD}"/>
    <cellStyle name="Normal 2 10 4 2" xfId="465" xr:uid="{52A94CFE-1084-422E-835C-5E5E56168C4F}"/>
    <cellStyle name="Normal 2 10 4 3" xfId="596" xr:uid="{229C324F-1B6C-474A-ADEA-7428298E62D8}"/>
    <cellStyle name="Normal 2 10 4 4" xfId="727" xr:uid="{1DE8DBAC-27B6-45B7-8DC6-3D4C6CC8341D}"/>
    <cellStyle name="Normal 2 10 4 5" xfId="858" xr:uid="{D3021868-0ED1-4203-AD0D-C87E4FC20E93}"/>
    <cellStyle name="Normal 2 10 5" xfId="401" xr:uid="{178063EE-EE9A-4E1F-9ED1-1C91C4FB4EBD}"/>
    <cellStyle name="Normal 2 10 5 2" xfId="532" xr:uid="{3880D6B0-7819-474E-A97F-EEC454B08B5E}"/>
    <cellStyle name="Normal 2 10 5 3" xfId="663" xr:uid="{4AB9CE70-5685-4AD2-B1A7-B4C42D0AEBBE}"/>
    <cellStyle name="Normal 2 10 5 4" xfId="794" xr:uid="{C71B8527-9106-4B1A-9F14-902EE4D6A268}"/>
    <cellStyle name="Normal 2 10 6" xfId="366" xr:uid="{537E2306-5840-4B0E-88A7-883E13BA8692}"/>
    <cellStyle name="Normal 2 10 7" xfId="497" xr:uid="{6D77AFB7-EFE4-4631-8B65-C14CBA8B5110}"/>
    <cellStyle name="Normal 2 10 8" xfId="628" xr:uid="{8D3DF5FF-C67A-4535-A82E-D1FA83FE3F5E}"/>
    <cellStyle name="Normal 2 10 9" xfId="759" xr:uid="{B78935C2-363D-4259-8428-1AB65374B2BB}"/>
    <cellStyle name="Normal 2 11" xfId="272" xr:uid="{CA50A499-2DE7-412E-BD58-8D82F8F014D2}"/>
    <cellStyle name="Normal 2 11 2" xfId="305" xr:uid="{8CFC38A5-AB76-492A-BE92-F162715C8309}"/>
    <cellStyle name="Normal 2 11 2 2" xfId="436" xr:uid="{C38741EE-B67F-42C6-91FC-88A3E262DE8E}"/>
    <cellStyle name="Normal 2 11 2 3" xfId="567" xr:uid="{C128B7AB-ACF5-4B56-9A58-A608A3C28CBC}"/>
    <cellStyle name="Normal 2 11 2 4" xfId="698" xr:uid="{00213483-832E-4B78-AE1F-86CF654A7B41}"/>
    <cellStyle name="Normal 2 11 2 5" xfId="829" xr:uid="{3B218003-9B06-4FFF-A7A1-EF519116BF7C}"/>
    <cellStyle name="Normal 2 11 3" xfId="337" xr:uid="{3A19381D-440B-4770-8315-5D40D78A6285}"/>
    <cellStyle name="Normal 2 11 3 2" xfId="468" xr:uid="{41144584-CB05-4FEA-8FAB-9CA4A9D143A8}"/>
    <cellStyle name="Normal 2 11 3 3" xfId="599" xr:uid="{4190FAC7-23B4-4FA5-A346-E8D555EAF392}"/>
    <cellStyle name="Normal 2 11 3 4" xfId="730" xr:uid="{FE08FD4A-526F-442B-9456-A23595B1231C}"/>
    <cellStyle name="Normal 2 11 3 5" xfId="861" xr:uid="{3E3E64DA-40E3-47B4-9FB1-A2820B0E99F0}"/>
    <cellStyle name="Normal 2 11 4" xfId="404" xr:uid="{A486B160-4CA8-4B5D-A001-1B50E414084A}"/>
    <cellStyle name="Normal 2 11 4 2" xfId="535" xr:uid="{A862DA03-25FD-4C23-B863-1CBF804EDB6A}"/>
    <cellStyle name="Normal 2 11 4 3" xfId="666" xr:uid="{96103509-F268-4962-A8FA-D5D89DDC38B1}"/>
    <cellStyle name="Normal 2 11 4 4" xfId="797" xr:uid="{DFA42834-AA69-4E20-8183-840BB9387211}"/>
    <cellStyle name="Normal 2 11 5" xfId="369" xr:uid="{0B1D511D-F38D-444D-BAF7-3CA0A61B9882}"/>
    <cellStyle name="Normal 2 11 6" xfId="500" xr:uid="{E90DA011-1005-44B8-9EC5-EF92FD70150D}"/>
    <cellStyle name="Normal 2 11 7" xfId="631" xr:uid="{48EE2FFD-DB76-4977-AE20-7BF83B21765D}"/>
    <cellStyle name="Normal 2 11 8" xfId="762" xr:uid="{4D7BC31B-0309-4399-B711-FC6ABA955AE0}"/>
    <cellStyle name="Normal 2 12" xfId="256" xr:uid="{421D64E8-346C-4B79-96E3-B05A959B6245}"/>
    <cellStyle name="Normal 2 12 2" xfId="388" xr:uid="{5B32CF3E-E749-4EF7-93D7-6008980B4AD7}"/>
    <cellStyle name="Normal 2 12 3" xfId="519" xr:uid="{9B04D641-21B4-4B23-BC55-FEC08BC3AF31}"/>
    <cellStyle name="Normal 2 12 4" xfId="650" xr:uid="{5B8FE83D-E7DE-4AE8-941F-440F0F31AF0D}"/>
    <cellStyle name="Normal 2 12 5" xfId="781" xr:uid="{63C37257-02B0-4585-AB7B-1DAA83126B70}"/>
    <cellStyle name="Normal 2 13" xfId="289" xr:uid="{5BC54E6F-8205-47F1-B245-C70D1B202482}"/>
    <cellStyle name="Normal 2 13 2" xfId="420" xr:uid="{1607DD37-E63A-44F7-8499-D7A2056AD043}"/>
    <cellStyle name="Normal 2 13 3" xfId="551" xr:uid="{5A1E908A-69B4-4955-AD63-CAEAFBE8FDF1}"/>
    <cellStyle name="Normal 2 13 4" xfId="682" xr:uid="{7B8015AD-389D-4263-A1BC-6CA1C735233E}"/>
    <cellStyle name="Normal 2 13 5" xfId="813" xr:uid="{FB3029D7-33EC-4863-BA6C-2AE960C7C5BB}"/>
    <cellStyle name="Normal 2 14" xfId="321" xr:uid="{4B6B7059-4601-4C0D-9B23-2D1EDE3B6C9B}"/>
    <cellStyle name="Normal 2 14 2" xfId="452" xr:uid="{A935AED5-2F57-4BC4-BDB2-913B321AA79F}"/>
    <cellStyle name="Normal 2 14 3" xfId="583" xr:uid="{BAA465C8-F028-4F8E-BCCF-24E8D60FE566}"/>
    <cellStyle name="Normal 2 14 4" xfId="714" xr:uid="{EB1369B8-93FF-4129-AD39-158712B0C43F}"/>
    <cellStyle name="Normal 2 14 5" xfId="845" xr:uid="{3E247728-B006-4DC5-9431-FF361F32F6A4}"/>
    <cellStyle name="Normal 2 15" xfId="385" xr:uid="{980961DF-76FD-4436-A947-C5C633D2B3F7}"/>
    <cellStyle name="Normal 2 15 2" xfId="516" xr:uid="{86214A02-C503-4656-BF14-0E6B0BC2131A}"/>
    <cellStyle name="Normal 2 15 3" xfId="647" xr:uid="{4F1ED7E3-53B5-4591-891F-254CC0E55BF1}"/>
    <cellStyle name="Normal 2 15 4" xfId="778" xr:uid="{92EF37EA-397A-47D8-90EB-1BE737A5F660}"/>
    <cellStyle name="Normal 2 16" xfId="353" xr:uid="{A3876143-E0FE-4096-AD2C-3BE66F5B5864}"/>
    <cellStyle name="Normal 2 17" xfId="484" xr:uid="{BC473C1B-68DF-4EFF-B39E-317CB813C9A5}"/>
    <cellStyle name="Normal 2 18" xfId="615" xr:uid="{8F4BD3B7-6853-4AFD-8FC1-81EF72E01C9F}"/>
    <cellStyle name="Normal 2 19" xfId="746" xr:uid="{305F2A4A-B220-48EE-8FB6-12C4DC2CCE91}"/>
    <cellStyle name="Normal 2 2" xfId="32" xr:uid="{8F191065-7603-44E3-9335-E4D1251636F0}"/>
    <cellStyle name="Normal 2 2 2" xfId="1" xr:uid="{39CFE3C1-AA60-4713-910E-1AE93CF490A2}"/>
    <cellStyle name="Normal 2 2 3" xfId="187" xr:uid="{0A79AD19-E2A2-44C4-954F-A27E88FA2BCE}"/>
    <cellStyle name="Normal 2 20" xfId="878" xr:uid="{95752C65-A689-497A-AD43-B11D1932B1B9}"/>
    <cellStyle name="Normal 2 3" xfId="188" xr:uid="{A427FEC6-2622-4C61-8ADA-E9C006A3B2EB}"/>
    <cellStyle name="Normal 2 3 2" xfId="189" xr:uid="{64B51FD6-3453-4041-80BB-62AD90C924E5}"/>
    <cellStyle name="Normal 2 3 2 10" xfId="386" xr:uid="{680A2413-0929-4FB2-ABD8-E3232B1A71C1}"/>
    <cellStyle name="Normal 2 3 2 10 2" xfId="517" xr:uid="{A4C3352F-EB18-469E-B5D7-464821B4A130}"/>
    <cellStyle name="Normal 2 3 2 10 3" xfId="648" xr:uid="{EB90F1D0-53D0-4257-A707-65B6AE97EE0F}"/>
    <cellStyle name="Normal 2 3 2 10 4" xfId="779" xr:uid="{6669D1B6-9BBA-457E-8F8E-89634457048E}"/>
    <cellStyle name="Normal 2 3 2 11" xfId="355" xr:uid="{8C321139-D00B-4228-B170-0383C3459818}"/>
    <cellStyle name="Normal 2 3 2 12" xfId="486" xr:uid="{B5368A75-3541-44BC-8AE2-5B2FCFDB241F}"/>
    <cellStyle name="Normal 2 3 2 13" xfId="617" xr:uid="{F29A281C-C2F2-4927-BF5B-DD4A808CE97D}"/>
    <cellStyle name="Normal 2 3 2 14" xfId="748" xr:uid="{52C8E982-3EB3-4C8A-8121-12EAFA4BDF97}"/>
    <cellStyle name="Normal 2 3 2 2" xfId="261" xr:uid="{AA3A4CE1-301D-4C97-8862-22716D2641A1}"/>
    <cellStyle name="Normal 2 3 2 2 2" xfId="277" xr:uid="{2597BBEE-C7AD-4912-99EE-81B510078C82}"/>
    <cellStyle name="Normal 2 3 2 2 2 2" xfId="310" xr:uid="{19732F65-D220-40A7-B279-ADECA35A7923}"/>
    <cellStyle name="Normal 2 3 2 2 2 2 2" xfId="441" xr:uid="{C019B07C-4E0F-47C8-B365-93A855113EF4}"/>
    <cellStyle name="Normal 2 3 2 2 2 2 3" xfId="572" xr:uid="{EF0F67AA-2FD3-44A8-8817-C84CC99D0559}"/>
    <cellStyle name="Normal 2 3 2 2 2 2 4" xfId="703" xr:uid="{E283697A-C026-43A1-B60D-5733723629CB}"/>
    <cellStyle name="Normal 2 3 2 2 2 2 5" xfId="834" xr:uid="{463D3229-9924-4293-9F2D-17B3EA3667DB}"/>
    <cellStyle name="Normal 2 3 2 2 2 3" xfId="342" xr:uid="{D5460799-279B-4744-A9D6-483752F514FA}"/>
    <cellStyle name="Normal 2 3 2 2 2 3 2" xfId="473" xr:uid="{744E3FF2-9285-490A-898C-A292C42C81F1}"/>
    <cellStyle name="Normal 2 3 2 2 2 3 3" xfId="604" xr:uid="{D05ADC55-80FF-4361-A637-7CC79EC4CB07}"/>
    <cellStyle name="Normal 2 3 2 2 2 3 4" xfId="735" xr:uid="{382FCE4A-457D-416B-BFAB-EF4165F85B29}"/>
    <cellStyle name="Normal 2 3 2 2 2 3 5" xfId="866" xr:uid="{29503911-459A-4ADF-A7C9-10EAB9EE14E3}"/>
    <cellStyle name="Normal 2 3 2 2 2 4" xfId="409" xr:uid="{D1FD1436-C323-4876-8D6A-342F905B608C}"/>
    <cellStyle name="Normal 2 3 2 2 2 4 2" xfId="540" xr:uid="{F96C44A7-2B89-464C-8187-7C39FE772C76}"/>
    <cellStyle name="Normal 2 3 2 2 2 4 3" xfId="671" xr:uid="{A6257158-2F17-4B14-B879-63C0775B7472}"/>
    <cellStyle name="Normal 2 3 2 2 2 4 4" xfId="802" xr:uid="{28EC06FF-E487-4087-BF5E-B55BBEDB8E69}"/>
    <cellStyle name="Normal 2 3 2 2 2 5" xfId="374" xr:uid="{F846BDAA-3837-4AD0-A6DB-F3D5A29D7D33}"/>
    <cellStyle name="Normal 2 3 2 2 2 6" xfId="505" xr:uid="{C4FBB537-CD18-4FC5-8CF0-FA0A893312DC}"/>
    <cellStyle name="Normal 2 3 2 2 2 7" xfId="636" xr:uid="{15B196DE-67AC-4DF0-A32C-FD2419F5BFA9}"/>
    <cellStyle name="Normal 2 3 2 2 2 8" xfId="767" xr:uid="{F9C47EE3-428A-44A5-BDE0-172D1E8B58E9}"/>
    <cellStyle name="Normal 2 3 2 2 3" xfId="294" xr:uid="{E126E569-731E-41E3-B61F-AAF1BD0351A2}"/>
    <cellStyle name="Normal 2 3 2 2 3 2" xfId="425" xr:uid="{2F2FEB83-1591-4C5F-BBA2-4C224BF5E556}"/>
    <cellStyle name="Normal 2 3 2 2 3 3" xfId="556" xr:uid="{6DACA02D-A4D2-4AF9-9661-8C0865AF0549}"/>
    <cellStyle name="Normal 2 3 2 2 3 4" xfId="687" xr:uid="{8E3A3A44-10BB-425D-A4C5-1F0BC8DBCE83}"/>
    <cellStyle name="Normal 2 3 2 2 3 5" xfId="818" xr:uid="{008271FE-313D-4924-BAC9-594178E0432D}"/>
    <cellStyle name="Normal 2 3 2 2 4" xfId="326" xr:uid="{B69667F6-77C2-4DCB-BB79-023F7103F536}"/>
    <cellStyle name="Normal 2 3 2 2 4 2" xfId="457" xr:uid="{6BDE0B40-8709-4D61-A036-ECC401C8C2A3}"/>
    <cellStyle name="Normal 2 3 2 2 4 3" xfId="588" xr:uid="{FEFD0F3D-E5B7-435C-A98A-56041079629A}"/>
    <cellStyle name="Normal 2 3 2 2 4 4" xfId="719" xr:uid="{FB2C6A2E-D15E-4F2D-889B-ACC9484E92E1}"/>
    <cellStyle name="Normal 2 3 2 2 4 5" xfId="850" xr:uid="{9E14B7EB-7CD6-4542-AA5D-E7D29ADBB962}"/>
    <cellStyle name="Normal 2 3 2 2 5" xfId="393" xr:uid="{4DF8E4F8-82F5-46CA-8D59-FEB0FDC1BDA8}"/>
    <cellStyle name="Normal 2 3 2 2 5 2" xfId="524" xr:uid="{DB428718-A0E9-4C72-8850-5996E03B7193}"/>
    <cellStyle name="Normal 2 3 2 2 5 3" xfId="655" xr:uid="{075C3CA5-CAE6-43EA-96E6-A64BC7C9114F}"/>
    <cellStyle name="Normal 2 3 2 2 5 4" xfId="786" xr:uid="{DF25F201-E87B-4F8F-933B-52649C16116D}"/>
    <cellStyle name="Normal 2 3 2 2 6" xfId="358" xr:uid="{856FEAFC-8E67-4E15-9E9F-082738E976DE}"/>
    <cellStyle name="Normal 2 3 2 2 7" xfId="489" xr:uid="{EEDC9D33-8586-42D9-A905-4CC607C70F37}"/>
    <cellStyle name="Normal 2 3 2 2 8" xfId="620" xr:uid="{C641278C-6575-4012-B3B4-3A46467204AC}"/>
    <cellStyle name="Normal 2 3 2 2 9" xfId="751" xr:uid="{85B3811D-6C43-446D-B7AC-3A800DB8F65A}"/>
    <cellStyle name="Normal 2 3 2 3" xfId="264" xr:uid="{1019B020-9789-4155-A100-FFAFCC2B526D}"/>
    <cellStyle name="Normal 2 3 2 3 2" xfId="280" xr:uid="{E932D16D-0CA8-47D5-B606-6A8647E4572E}"/>
    <cellStyle name="Normal 2 3 2 3 2 2" xfId="313" xr:uid="{79D72A32-7887-4B30-830A-9313F65BFEA8}"/>
    <cellStyle name="Normal 2 3 2 3 2 2 2" xfId="444" xr:uid="{8F581B41-8CF3-49F3-A17D-F34DFCACBD07}"/>
    <cellStyle name="Normal 2 3 2 3 2 2 3" xfId="575" xr:uid="{4983EF5F-ED47-4CE6-B80C-57FD4CBCB958}"/>
    <cellStyle name="Normal 2 3 2 3 2 2 4" xfId="706" xr:uid="{77324F2D-06B7-41F0-8985-F50423157987}"/>
    <cellStyle name="Normal 2 3 2 3 2 2 5" xfId="837" xr:uid="{CBDB4817-60C7-4365-9FAA-6710EB4E5B3E}"/>
    <cellStyle name="Normal 2 3 2 3 2 3" xfId="345" xr:uid="{8D357E92-24BB-44D2-9CFC-4C9050E85CAF}"/>
    <cellStyle name="Normal 2 3 2 3 2 3 2" xfId="476" xr:uid="{1455CC55-5632-4B37-A7AE-756CD669CCEB}"/>
    <cellStyle name="Normal 2 3 2 3 2 3 3" xfId="607" xr:uid="{AA20D3CF-8A0B-4850-8F9D-892FD8936407}"/>
    <cellStyle name="Normal 2 3 2 3 2 3 4" xfId="738" xr:uid="{AC818C0D-A8F6-484F-BA04-A770E93BD990}"/>
    <cellStyle name="Normal 2 3 2 3 2 3 5" xfId="869" xr:uid="{68CB97BC-64D6-45C1-BBD0-8815E9924359}"/>
    <cellStyle name="Normal 2 3 2 3 2 4" xfId="412" xr:uid="{07C52EFE-A6BB-4627-8AC1-5F560FED2928}"/>
    <cellStyle name="Normal 2 3 2 3 2 4 2" xfId="543" xr:uid="{520B0954-CA34-4EB4-A28A-E429B78882B9}"/>
    <cellStyle name="Normal 2 3 2 3 2 4 3" xfId="674" xr:uid="{24BE76AE-4E8B-4E8F-9320-774EF7905891}"/>
    <cellStyle name="Normal 2 3 2 3 2 4 4" xfId="805" xr:uid="{BABD689F-226F-4CC0-8C06-A5E70E0E746C}"/>
    <cellStyle name="Normal 2 3 2 3 2 5" xfId="377" xr:uid="{CD89647F-760A-41B2-B3EC-497F8330F6D8}"/>
    <cellStyle name="Normal 2 3 2 3 2 6" xfId="508" xr:uid="{650A7CE6-C42E-40ED-8214-7BD032999F25}"/>
    <cellStyle name="Normal 2 3 2 3 2 7" xfId="639" xr:uid="{848370AB-B732-4AF5-8215-025B37A54E2C}"/>
    <cellStyle name="Normal 2 3 2 3 2 8" xfId="770" xr:uid="{1CB7B4A3-6B9C-4F1E-9156-1A7EF97075C4}"/>
    <cellStyle name="Normal 2 3 2 3 3" xfId="297" xr:uid="{F5AC4B1D-BC8A-49AB-A570-C10CEE8B795D}"/>
    <cellStyle name="Normal 2 3 2 3 3 2" xfId="428" xr:uid="{1533F8C0-D838-47C2-8D63-50FEDCC2F8E5}"/>
    <cellStyle name="Normal 2 3 2 3 3 3" xfId="559" xr:uid="{E34B9425-47EA-4D61-A2DF-B300AA381C18}"/>
    <cellStyle name="Normal 2 3 2 3 3 4" xfId="690" xr:uid="{765AB40C-6C17-4A18-BB93-E960B0A80ED9}"/>
    <cellStyle name="Normal 2 3 2 3 3 5" xfId="821" xr:uid="{3B039AB6-84B9-454C-8674-82E49DDA6ADD}"/>
    <cellStyle name="Normal 2 3 2 3 4" xfId="329" xr:uid="{69D0CD9B-B7F0-4A8A-8D11-780EB91763CD}"/>
    <cellStyle name="Normal 2 3 2 3 4 2" xfId="460" xr:uid="{12DF3B14-44A0-4C7B-B7F6-C2902C1BB3AD}"/>
    <cellStyle name="Normal 2 3 2 3 4 3" xfId="591" xr:uid="{7FE1029E-5A1B-4390-B072-1AF44ACF9215}"/>
    <cellStyle name="Normal 2 3 2 3 4 4" xfId="722" xr:uid="{790398C2-04E5-448D-BA75-0764E145B16E}"/>
    <cellStyle name="Normal 2 3 2 3 4 5" xfId="853" xr:uid="{3E056AD2-1CAF-4E59-B88A-24554ACFDC7E}"/>
    <cellStyle name="Normal 2 3 2 3 5" xfId="396" xr:uid="{05850700-5E19-4D30-A26B-92DFEDBBF6D5}"/>
    <cellStyle name="Normal 2 3 2 3 5 2" xfId="527" xr:uid="{36D42AE1-5B61-4AB6-83BA-5E1F11F3826E}"/>
    <cellStyle name="Normal 2 3 2 3 5 3" xfId="658" xr:uid="{9EA30983-0C7C-498E-872E-57DED4617DBB}"/>
    <cellStyle name="Normal 2 3 2 3 5 4" xfId="789" xr:uid="{8073AB33-639E-45AC-A710-F404FC2978F4}"/>
    <cellStyle name="Normal 2 3 2 3 6" xfId="361" xr:uid="{C40C781D-545F-46D2-A70A-2933D32FB4C3}"/>
    <cellStyle name="Normal 2 3 2 3 7" xfId="492" xr:uid="{6F13F60B-CBF6-490C-89C7-4D35BE10E0A0}"/>
    <cellStyle name="Normal 2 3 2 3 8" xfId="623" xr:uid="{5C934006-EF8F-49E8-A99C-18FB2E7985BD}"/>
    <cellStyle name="Normal 2 3 2 3 9" xfId="754" xr:uid="{F2661074-13FF-4098-BEC0-BF3683204127}"/>
    <cellStyle name="Normal 2 3 2 4" xfId="267" xr:uid="{F2A7761C-FF95-4336-AF7A-AA1EE9D61954}"/>
    <cellStyle name="Normal 2 3 2 4 2" xfId="283" xr:uid="{F652ED5E-4F74-4680-8F58-FEA3A7ABD8DE}"/>
    <cellStyle name="Normal 2 3 2 4 2 2" xfId="316" xr:uid="{3195A9E6-0057-44B2-88B1-58D11C8EA280}"/>
    <cellStyle name="Normal 2 3 2 4 2 2 2" xfId="447" xr:uid="{AE7E325C-E5F9-4C3D-8078-95CDE37F6EEC}"/>
    <cellStyle name="Normal 2 3 2 4 2 2 3" xfId="578" xr:uid="{D3F33918-980A-4C29-B492-01853012116A}"/>
    <cellStyle name="Normal 2 3 2 4 2 2 4" xfId="709" xr:uid="{108C2BA6-990D-4338-B97D-D5D495AF60AF}"/>
    <cellStyle name="Normal 2 3 2 4 2 2 5" xfId="840" xr:uid="{E85D2423-5AEA-4C1F-BBB3-8DA6DA39E19D}"/>
    <cellStyle name="Normal 2 3 2 4 2 3" xfId="348" xr:uid="{95C43A73-9FE9-4C78-8F11-796E24F6E008}"/>
    <cellStyle name="Normal 2 3 2 4 2 3 2" xfId="479" xr:uid="{1C8E22A6-489C-420D-B6E0-FC1E66173415}"/>
    <cellStyle name="Normal 2 3 2 4 2 3 3" xfId="610" xr:uid="{D66D2094-3C26-48C1-A4A8-C82734963BBA}"/>
    <cellStyle name="Normal 2 3 2 4 2 3 4" xfId="741" xr:uid="{649A2E22-BA8A-4373-AC25-72DD287B34F6}"/>
    <cellStyle name="Normal 2 3 2 4 2 3 5" xfId="872" xr:uid="{679B86D1-38FF-4CB5-B154-F9CED2D97974}"/>
    <cellStyle name="Normal 2 3 2 4 2 4" xfId="415" xr:uid="{085829CD-9A84-4A39-AF62-4183586D33FE}"/>
    <cellStyle name="Normal 2 3 2 4 2 4 2" xfId="546" xr:uid="{5F1C4BB2-E9E1-483F-9DD7-B6427ABA9FA5}"/>
    <cellStyle name="Normal 2 3 2 4 2 4 3" xfId="677" xr:uid="{1F24D5B6-BD58-450B-AD02-0D0307283DB7}"/>
    <cellStyle name="Normal 2 3 2 4 2 4 4" xfId="808" xr:uid="{DB4103CC-7D5D-4181-8925-C37776DAC89B}"/>
    <cellStyle name="Normal 2 3 2 4 2 5" xfId="380" xr:uid="{CA2DD5DF-C04B-40B2-9DC2-47FD3C0B2452}"/>
    <cellStyle name="Normal 2 3 2 4 2 6" xfId="511" xr:uid="{D3048C88-133B-4871-9183-CF1EBDCD59B5}"/>
    <cellStyle name="Normal 2 3 2 4 2 7" xfId="642" xr:uid="{54CFA63F-87FA-4147-AED1-EF7C7D05C5CD}"/>
    <cellStyle name="Normal 2 3 2 4 2 8" xfId="773" xr:uid="{96E9C07C-40E8-46AE-9957-DE2E881D8942}"/>
    <cellStyle name="Normal 2 3 2 4 3" xfId="300" xr:uid="{D91DB14E-C096-427B-87C1-3F8395D1A9B6}"/>
    <cellStyle name="Normal 2 3 2 4 3 2" xfId="431" xr:uid="{5E6AF975-AF8C-44A4-BE6E-B05F080A9167}"/>
    <cellStyle name="Normal 2 3 2 4 3 3" xfId="562" xr:uid="{884B8451-EBCC-4B66-B820-1290D9F02E69}"/>
    <cellStyle name="Normal 2 3 2 4 3 4" xfId="693" xr:uid="{9C1B013E-3795-4C1B-97C0-D5F217B110BD}"/>
    <cellStyle name="Normal 2 3 2 4 3 5" xfId="824" xr:uid="{D2371149-48DC-490D-950B-EB4523EDE711}"/>
    <cellStyle name="Normal 2 3 2 4 4" xfId="332" xr:uid="{830C371C-AFFC-421D-9D61-F5D5429D896E}"/>
    <cellStyle name="Normal 2 3 2 4 4 2" xfId="463" xr:uid="{B33F562F-166D-4403-BB26-886C224A6F48}"/>
    <cellStyle name="Normal 2 3 2 4 4 3" xfId="594" xr:uid="{D956C1A8-9C32-4ECA-960A-2BAE2F0A639A}"/>
    <cellStyle name="Normal 2 3 2 4 4 4" xfId="725" xr:uid="{79DC1AD1-1B36-4151-AF09-C325F2FDFEAA}"/>
    <cellStyle name="Normal 2 3 2 4 4 5" xfId="856" xr:uid="{4280A966-91BF-47A1-A558-E74B3D13E103}"/>
    <cellStyle name="Normal 2 3 2 4 5" xfId="399" xr:uid="{29BBB166-9E6B-4C0F-949E-E796C408C4EE}"/>
    <cellStyle name="Normal 2 3 2 4 5 2" xfId="530" xr:uid="{907E3723-0411-4349-B7C0-B7CDFCF6E93F}"/>
    <cellStyle name="Normal 2 3 2 4 5 3" xfId="661" xr:uid="{08C4FCB2-D34A-4CF0-820C-DD09DAFC5B77}"/>
    <cellStyle name="Normal 2 3 2 4 5 4" xfId="792" xr:uid="{ED89163F-B7F4-4A6D-BF29-B5C03EAC9D69}"/>
    <cellStyle name="Normal 2 3 2 4 6" xfId="364" xr:uid="{2BA59A8D-E0AB-4804-BD80-311577612B8D}"/>
    <cellStyle name="Normal 2 3 2 4 7" xfId="495" xr:uid="{EA5BDA56-874C-4B14-8D9D-7FC0B3FA0321}"/>
    <cellStyle name="Normal 2 3 2 4 8" xfId="626" xr:uid="{06692EB8-7169-4366-A7FA-E11EDFA83536}"/>
    <cellStyle name="Normal 2 3 2 4 9" xfId="757" xr:uid="{754B5C49-E974-4A15-9E7E-D1AB8E3E8850}"/>
    <cellStyle name="Normal 2 3 2 5" xfId="270" xr:uid="{7340AA9B-605F-433F-A33E-632D3F518F1E}"/>
    <cellStyle name="Normal 2 3 2 5 2" xfId="286" xr:uid="{406B8E70-6031-4F37-A21E-49A79339F1EC}"/>
    <cellStyle name="Normal 2 3 2 5 2 2" xfId="319" xr:uid="{45E004DE-BA25-402C-863C-9476CCC6056F}"/>
    <cellStyle name="Normal 2 3 2 5 2 2 2" xfId="450" xr:uid="{81B40186-703E-404A-8B7E-7755756EEA73}"/>
    <cellStyle name="Normal 2 3 2 5 2 2 3" xfId="581" xr:uid="{C9D6D7FD-4D1A-4836-A42E-DF54B38A6547}"/>
    <cellStyle name="Normal 2 3 2 5 2 2 4" xfId="712" xr:uid="{A14F0C07-BB0B-4886-A55F-3CC61261ACEA}"/>
    <cellStyle name="Normal 2 3 2 5 2 2 5" xfId="843" xr:uid="{D62A962F-125E-427E-86FE-482FAFC95376}"/>
    <cellStyle name="Normal 2 3 2 5 2 3" xfId="351" xr:uid="{37EFB008-EFD4-4706-8402-A0204071BD65}"/>
    <cellStyle name="Normal 2 3 2 5 2 3 2" xfId="482" xr:uid="{63A262BA-62E9-485A-A48C-09A05C930360}"/>
    <cellStyle name="Normal 2 3 2 5 2 3 3" xfId="613" xr:uid="{A15E2D3E-65DF-491F-8C84-F2B43C7F8C4A}"/>
    <cellStyle name="Normal 2 3 2 5 2 3 4" xfId="744" xr:uid="{5499AAE1-7E69-4AE3-919C-22E19ECBF95F}"/>
    <cellStyle name="Normal 2 3 2 5 2 3 5" xfId="875" xr:uid="{D2ED9EF3-42F0-4D77-8E39-393EABC3326E}"/>
    <cellStyle name="Normal 2 3 2 5 2 4" xfId="418" xr:uid="{8F21893E-1973-4601-92F7-A4B02330A329}"/>
    <cellStyle name="Normal 2 3 2 5 2 4 2" xfId="549" xr:uid="{A56EE81B-C13B-4B61-AB55-2764EC9FC75B}"/>
    <cellStyle name="Normal 2 3 2 5 2 4 3" xfId="680" xr:uid="{8B902C66-5229-4FB2-A8CC-2DF347A410DE}"/>
    <cellStyle name="Normal 2 3 2 5 2 4 4" xfId="811" xr:uid="{6A9349B5-F71A-4602-ACDB-A98163010CE9}"/>
    <cellStyle name="Normal 2 3 2 5 2 5" xfId="383" xr:uid="{E248A537-5B12-4DAB-B8BD-4889EF593FD6}"/>
    <cellStyle name="Normal 2 3 2 5 2 6" xfId="514" xr:uid="{020CBD34-1253-429D-A9CB-9910F3D378E4}"/>
    <cellStyle name="Normal 2 3 2 5 2 7" xfId="645" xr:uid="{CFA5045E-3D19-48BE-A3B7-44CF6AD6F3F6}"/>
    <cellStyle name="Normal 2 3 2 5 2 8" xfId="776" xr:uid="{58F6E1DD-F6F2-49A1-9E7E-5C684214B8B5}"/>
    <cellStyle name="Normal 2 3 2 5 3" xfId="303" xr:uid="{CA562309-5C89-4C0B-B4B1-54C347523D2C}"/>
    <cellStyle name="Normal 2 3 2 5 3 2" xfId="434" xr:uid="{6F3DBBA4-A2D9-4875-B9C5-EB30403BD898}"/>
    <cellStyle name="Normal 2 3 2 5 3 3" xfId="565" xr:uid="{CB9FB83E-B682-4F79-8973-FF7DE7F09CEE}"/>
    <cellStyle name="Normal 2 3 2 5 3 4" xfId="696" xr:uid="{BE38A748-B8B1-4A25-B22C-9F488F13C208}"/>
    <cellStyle name="Normal 2 3 2 5 3 5" xfId="827" xr:uid="{B525BD42-D42F-498A-886F-645BE0E8436F}"/>
    <cellStyle name="Normal 2 3 2 5 4" xfId="335" xr:uid="{BA5DB552-DDA5-43EA-B220-66D64B09D79E}"/>
    <cellStyle name="Normal 2 3 2 5 4 2" xfId="466" xr:uid="{1D3C6BA8-824D-4468-88ED-592EFA714449}"/>
    <cellStyle name="Normal 2 3 2 5 4 3" xfId="597" xr:uid="{345A4A70-B1F0-481D-8EC9-37783FA0BCCC}"/>
    <cellStyle name="Normal 2 3 2 5 4 4" xfId="728" xr:uid="{71DCE1B9-229A-4C94-AA69-581CFF276E6A}"/>
    <cellStyle name="Normal 2 3 2 5 4 5" xfId="859" xr:uid="{A4A25233-1BEA-4F16-8693-A7467B86BCE5}"/>
    <cellStyle name="Normal 2 3 2 5 5" xfId="402" xr:uid="{97383707-B77B-4B99-A3F4-CE87FA5024E7}"/>
    <cellStyle name="Normal 2 3 2 5 5 2" xfId="533" xr:uid="{6340A328-6E3C-4BF9-BA9F-46073A5A8202}"/>
    <cellStyle name="Normal 2 3 2 5 5 3" xfId="664" xr:uid="{6727AAB2-756C-4CF6-A7FC-415AE7F131AA}"/>
    <cellStyle name="Normal 2 3 2 5 5 4" xfId="795" xr:uid="{C310141A-4453-42AB-A39B-3E6B3318B6E9}"/>
    <cellStyle name="Normal 2 3 2 5 6" xfId="367" xr:uid="{02F238CD-A75C-4B8C-A4D4-4799A5A94A43}"/>
    <cellStyle name="Normal 2 3 2 5 7" xfId="498" xr:uid="{D203C177-6BA2-4429-AE4A-FFA341B501B6}"/>
    <cellStyle name="Normal 2 3 2 5 8" xfId="629" xr:uid="{FA94334D-7EE1-404B-AB3D-F8C56DE98C58}"/>
    <cellStyle name="Normal 2 3 2 5 9" xfId="760" xr:uid="{F5F8B7DA-19D7-49DD-ADE8-7D906351DAFB}"/>
    <cellStyle name="Normal 2 3 2 6" xfId="274" xr:uid="{D62125FC-5CA2-4DDF-ACA4-D53BA2FC9500}"/>
    <cellStyle name="Normal 2 3 2 6 2" xfId="307" xr:uid="{CD9E26C6-0D71-4269-A488-A8BC6CC02D80}"/>
    <cellStyle name="Normal 2 3 2 6 2 2" xfId="438" xr:uid="{83D4E1AA-BDA8-4701-9F6A-28802675A72F}"/>
    <cellStyle name="Normal 2 3 2 6 2 3" xfId="569" xr:uid="{78663C6C-EFFB-4264-A088-413395F47369}"/>
    <cellStyle name="Normal 2 3 2 6 2 4" xfId="700" xr:uid="{835C8825-81BF-4D1C-B54E-7FF2B8CE1186}"/>
    <cellStyle name="Normal 2 3 2 6 2 5" xfId="831" xr:uid="{85D016FC-C9DD-4D93-91C3-169DA6E6989D}"/>
    <cellStyle name="Normal 2 3 2 6 3" xfId="339" xr:uid="{DF7E3149-0D49-4F0D-A506-EE8AB2A65CE6}"/>
    <cellStyle name="Normal 2 3 2 6 3 2" xfId="470" xr:uid="{8437B3A0-E577-481E-A3AE-551F65C377BB}"/>
    <cellStyle name="Normal 2 3 2 6 3 3" xfId="601" xr:uid="{A06A62B1-2477-4281-917A-998E351F9E0D}"/>
    <cellStyle name="Normal 2 3 2 6 3 4" xfId="732" xr:uid="{6E29E30F-7C87-42F5-8904-18EAC45041F9}"/>
    <cellStyle name="Normal 2 3 2 6 3 5" xfId="863" xr:uid="{6905E7F1-6AE5-46EE-A3A3-559048343E4A}"/>
    <cellStyle name="Normal 2 3 2 6 4" xfId="406" xr:uid="{C4C89F13-30AB-4707-A997-26D74A737479}"/>
    <cellStyle name="Normal 2 3 2 6 4 2" xfId="537" xr:uid="{F7E6F678-A7A0-4352-8402-BEC4143BA4EB}"/>
    <cellStyle name="Normal 2 3 2 6 4 3" xfId="668" xr:uid="{ACD01FCF-9898-442D-86D4-DCF68452D68C}"/>
    <cellStyle name="Normal 2 3 2 6 4 4" xfId="799" xr:uid="{0E7AE158-059C-41FD-8F34-8AAB8AD95901}"/>
    <cellStyle name="Normal 2 3 2 6 5" xfId="371" xr:uid="{F52FA600-5F09-43F5-B0E2-74719C59DB76}"/>
    <cellStyle name="Normal 2 3 2 6 6" xfId="502" xr:uid="{5CEC34A8-7C0D-41CC-828C-09BEE3D44769}"/>
    <cellStyle name="Normal 2 3 2 6 7" xfId="633" xr:uid="{B3969392-72AA-4B9D-9330-D52F76A341B9}"/>
    <cellStyle name="Normal 2 3 2 6 8" xfId="764" xr:uid="{7D48CE32-3C91-4E89-B815-17675E101B23}"/>
    <cellStyle name="Normal 2 3 2 7" xfId="258" xr:uid="{616ADC21-10B6-406C-9699-900654A28B73}"/>
    <cellStyle name="Normal 2 3 2 7 2" xfId="390" xr:uid="{BA069CD0-E7E8-4BCC-B967-F84F5F4C5DB5}"/>
    <cellStyle name="Normal 2 3 2 7 3" xfId="521" xr:uid="{E33FDCF5-6B4C-48F1-ABF6-8467EE638C18}"/>
    <cellStyle name="Normal 2 3 2 7 4" xfId="652" xr:uid="{3B03ADC8-2F22-4777-90DF-596ADAABCA64}"/>
    <cellStyle name="Normal 2 3 2 7 5" xfId="783" xr:uid="{4CC3C075-67BB-48BC-B776-72D4E3F59F4F}"/>
    <cellStyle name="Normal 2 3 2 8" xfId="291" xr:uid="{19013C48-7DC3-45CE-8158-E6D15851208A}"/>
    <cellStyle name="Normal 2 3 2 8 2" xfId="422" xr:uid="{4B4E42A5-BC32-45ED-93D3-E2343BD99C0D}"/>
    <cellStyle name="Normal 2 3 2 8 3" xfId="553" xr:uid="{DB6D8F70-24D8-457C-A02D-080B257DD012}"/>
    <cellStyle name="Normal 2 3 2 8 4" xfId="684" xr:uid="{DB8887E3-A85A-4E07-A315-E1B92143D2A6}"/>
    <cellStyle name="Normal 2 3 2 8 5" xfId="815" xr:uid="{EC86E7F4-9829-4B8B-BBDD-7E05C11F04BC}"/>
    <cellStyle name="Normal 2 3 2 9" xfId="323" xr:uid="{2C04D884-F3F4-4AA1-87E5-29A2DC44A17F}"/>
    <cellStyle name="Normal 2 3 2 9 2" xfId="454" xr:uid="{8ED8C29A-CDAE-4C40-B229-9C13569D81B0}"/>
    <cellStyle name="Normal 2 3 2 9 3" xfId="585" xr:uid="{8779E7FE-24E5-4C7E-9A40-8CEF034EE97F}"/>
    <cellStyle name="Normal 2 3 2 9 4" xfId="716" xr:uid="{83DDE14E-E5E8-4094-8A69-0B8B65B2B16C}"/>
    <cellStyle name="Normal 2 3 2 9 5" xfId="847" xr:uid="{B297317E-EE58-48F6-BFB4-54CA203A4747}"/>
    <cellStyle name="Normal 2 4" xfId="190" xr:uid="{91C7812F-2A61-4BFC-B88F-A311CD25754F}"/>
    <cellStyle name="Normal 2 4 10" xfId="387" xr:uid="{BE0B2BE6-95AC-477C-98D3-E3E1C1F5B071}"/>
    <cellStyle name="Normal 2 4 10 2" xfId="518" xr:uid="{287DC211-462F-4E32-B5C1-357503203BF7}"/>
    <cellStyle name="Normal 2 4 10 3" xfId="649" xr:uid="{6DFC3924-6449-4334-89AA-77529770DD0F}"/>
    <cellStyle name="Normal 2 4 10 4" xfId="780" xr:uid="{FBBD5031-8AD5-4A47-A5BD-7788EF603FC7}"/>
    <cellStyle name="Normal 2 4 11" xfId="356" xr:uid="{A2F320DC-4487-4148-917E-C5846B6EBF0C}"/>
    <cellStyle name="Normal 2 4 12" xfId="487" xr:uid="{ACE78919-C212-4652-BBEE-85159C34D086}"/>
    <cellStyle name="Normal 2 4 13" xfId="618" xr:uid="{BBD85A07-50DB-4006-9379-DC46C4EC4180}"/>
    <cellStyle name="Normal 2 4 14" xfId="749" xr:uid="{4DB1A98F-FAD2-46AE-8AB9-940AC8289069}"/>
    <cellStyle name="Normal 2 4 2" xfId="262" xr:uid="{BCDE0D21-BFEC-4DC2-9F15-9866585CEB4A}"/>
    <cellStyle name="Normal 2 4 2 2" xfId="278" xr:uid="{BD48A1E1-DABB-4D23-9F63-51743387317D}"/>
    <cellStyle name="Normal 2 4 2 2 2" xfId="311" xr:uid="{8F51751C-8F40-478E-9DB2-006E298B6C96}"/>
    <cellStyle name="Normal 2 4 2 2 2 2" xfId="442" xr:uid="{C74C3F47-05A7-4A65-A44A-787355BE830A}"/>
    <cellStyle name="Normal 2 4 2 2 2 3" xfId="573" xr:uid="{A975760A-522A-4441-AA23-27E0CC3AB459}"/>
    <cellStyle name="Normal 2 4 2 2 2 4" xfId="704" xr:uid="{5368C35D-E5D4-4F36-BD42-9F56B27010AF}"/>
    <cellStyle name="Normal 2 4 2 2 2 5" xfId="835" xr:uid="{CAB444CE-11C7-4E7C-A52F-AB27DE7D4C2C}"/>
    <cellStyle name="Normal 2 4 2 2 3" xfId="343" xr:uid="{DEC3B90A-9AF4-4618-AF09-EDF2CEC04490}"/>
    <cellStyle name="Normal 2 4 2 2 3 2" xfId="474" xr:uid="{25A485A5-3AFE-4CB1-ACFE-B2B030023F4F}"/>
    <cellStyle name="Normal 2 4 2 2 3 3" xfId="605" xr:uid="{78657D5D-5FB0-426A-A37E-2E4F4EF0A1D5}"/>
    <cellStyle name="Normal 2 4 2 2 3 4" xfId="736" xr:uid="{2D908653-721F-4516-86F2-05370DA2E3F1}"/>
    <cellStyle name="Normal 2 4 2 2 3 5" xfId="867" xr:uid="{42F0F14A-E358-4AEF-95ED-1D71FF7C7246}"/>
    <cellStyle name="Normal 2 4 2 2 4" xfId="410" xr:uid="{85697BCC-37CE-4EF5-8E40-53DFCE3B7C91}"/>
    <cellStyle name="Normal 2 4 2 2 4 2" xfId="541" xr:uid="{50598E33-7050-42C5-9B42-8A2E4BC70468}"/>
    <cellStyle name="Normal 2 4 2 2 4 3" xfId="672" xr:uid="{C5C0DDE3-609D-4B70-B7DF-8463AD29A62E}"/>
    <cellStyle name="Normal 2 4 2 2 4 4" xfId="803" xr:uid="{2079AEAF-D762-48EE-999C-5E9CB47F4A5F}"/>
    <cellStyle name="Normal 2 4 2 2 5" xfId="375" xr:uid="{99F9B82F-C9E6-4782-9756-28D159527A8F}"/>
    <cellStyle name="Normal 2 4 2 2 6" xfId="506" xr:uid="{95EAA6F9-7B25-45A9-8F2E-51A905A9D921}"/>
    <cellStyle name="Normal 2 4 2 2 7" xfId="637" xr:uid="{809E9E98-55FB-4C70-A8FC-E7D7492699BD}"/>
    <cellStyle name="Normal 2 4 2 2 8" xfId="768" xr:uid="{F12448D4-DCC3-4A24-8F6E-C28F15EE11E4}"/>
    <cellStyle name="Normal 2 4 2 3" xfId="295" xr:uid="{B66BE406-C2FB-4F3E-B214-28B2718DC985}"/>
    <cellStyle name="Normal 2 4 2 3 2" xfId="426" xr:uid="{D4A4B89B-DBE9-41C6-8F8F-37CCA466042E}"/>
    <cellStyle name="Normal 2 4 2 3 3" xfId="557" xr:uid="{E85C7A0C-9358-4931-B91B-105183CE662C}"/>
    <cellStyle name="Normal 2 4 2 3 4" xfId="688" xr:uid="{3DF6C69A-E840-4D0F-A2FE-BD02BAAAB74F}"/>
    <cellStyle name="Normal 2 4 2 3 5" xfId="819" xr:uid="{0677DC87-5DBA-4464-A3B4-3A6844030FB4}"/>
    <cellStyle name="Normal 2 4 2 4" xfId="327" xr:uid="{5C6EEA29-057B-4F62-A86C-7659AA00B34B}"/>
    <cellStyle name="Normal 2 4 2 4 2" xfId="458" xr:uid="{DE7DB727-3ED1-4C31-8CE3-CC60E8209D80}"/>
    <cellStyle name="Normal 2 4 2 4 3" xfId="589" xr:uid="{D789C087-1E80-44F3-855D-F6D5AB0DD659}"/>
    <cellStyle name="Normal 2 4 2 4 4" xfId="720" xr:uid="{89F512AA-0200-44F8-B651-D85497405EF3}"/>
    <cellStyle name="Normal 2 4 2 4 5" xfId="851" xr:uid="{B10ABD56-54A7-4245-82C5-5A567C2EED42}"/>
    <cellStyle name="Normal 2 4 2 5" xfId="394" xr:uid="{D3533C03-2352-4963-8AEC-5227E6D76A6F}"/>
    <cellStyle name="Normal 2 4 2 5 2" xfId="525" xr:uid="{409FDC16-ACBA-40EF-90C3-94FC95D5D3AC}"/>
    <cellStyle name="Normal 2 4 2 5 3" xfId="656" xr:uid="{17C336EA-674B-426F-8CC9-DE11ED788443}"/>
    <cellStyle name="Normal 2 4 2 5 4" xfId="787" xr:uid="{91DA84C0-13AE-4859-86F8-8AD5B2DEE7EF}"/>
    <cellStyle name="Normal 2 4 2 6" xfId="359" xr:uid="{C90E2AC2-E9C0-442C-93D8-A59001E7695F}"/>
    <cellStyle name="Normal 2 4 2 7" xfId="490" xr:uid="{BDA1AFEA-7D8F-4764-B41A-29A936B25CE5}"/>
    <cellStyle name="Normal 2 4 2 8" xfId="621" xr:uid="{D1A23F9D-CA65-478C-81AB-752F48B8AB8A}"/>
    <cellStyle name="Normal 2 4 2 9" xfId="752" xr:uid="{489AD705-74F0-48A4-A7BE-989AC29ED331}"/>
    <cellStyle name="Normal 2 4 3" xfId="265" xr:uid="{15C0338D-B072-4247-A6E3-444BD0ED3567}"/>
    <cellStyle name="Normal 2 4 3 2" xfId="281" xr:uid="{ACBA864D-4300-40C3-BF01-060C487A9750}"/>
    <cellStyle name="Normal 2 4 3 2 2" xfId="314" xr:uid="{2D664639-6D34-4334-97E3-CFED0BDD66BB}"/>
    <cellStyle name="Normal 2 4 3 2 2 2" xfId="445" xr:uid="{85FC0C38-17D2-47F4-8600-FCBD6BB0B4D8}"/>
    <cellStyle name="Normal 2 4 3 2 2 3" xfId="576" xr:uid="{6FDACD59-3FEC-4F1C-A214-C889CA7B4BA9}"/>
    <cellStyle name="Normal 2 4 3 2 2 4" xfId="707" xr:uid="{42F8615F-69B5-480F-8622-EF9CE45B33AD}"/>
    <cellStyle name="Normal 2 4 3 2 2 5" xfId="838" xr:uid="{C3857BF3-D051-4D02-9463-C390EA9D6D1B}"/>
    <cellStyle name="Normal 2 4 3 2 3" xfId="346" xr:uid="{A1669680-E1C4-4F32-A991-C6ED76DA095F}"/>
    <cellStyle name="Normal 2 4 3 2 3 2" xfId="477" xr:uid="{D2F68E9F-60A3-46F8-97A5-7B9351F7FEA2}"/>
    <cellStyle name="Normal 2 4 3 2 3 3" xfId="608" xr:uid="{12B8413C-40E6-4243-9E44-7B608020B9AD}"/>
    <cellStyle name="Normal 2 4 3 2 3 4" xfId="739" xr:uid="{19ABBCA7-AD0C-45B2-BBFC-E9632AB8DB07}"/>
    <cellStyle name="Normal 2 4 3 2 3 5" xfId="870" xr:uid="{0744A84D-0E3B-411B-8719-F68C67500448}"/>
    <cellStyle name="Normal 2 4 3 2 4" xfId="413" xr:uid="{34701BEC-E3C6-4BC5-95AF-EFF7774DA48F}"/>
    <cellStyle name="Normal 2 4 3 2 4 2" xfId="544" xr:uid="{7CAC2F32-B8E3-44CB-B418-57C666686165}"/>
    <cellStyle name="Normal 2 4 3 2 4 3" xfId="675" xr:uid="{54727DDF-C0CF-4176-A941-F83E29A3E06A}"/>
    <cellStyle name="Normal 2 4 3 2 4 4" xfId="806" xr:uid="{61E7BBDC-3893-4806-9394-AABF93E223BD}"/>
    <cellStyle name="Normal 2 4 3 2 5" xfId="378" xr:uid="{5389DFC4-B95B-49DB-96C9-EF60F9EF0586}"/>
    <cellStyle name="Normal 2 4 3 2 6" xfId="509" xr:uid="{F77CC91C-E509-4EBE-9570-3DC6BC3FF330}"/>
    <cellStyle name="Normal 2 4 3 2 7" xfId="640" xr:uid="{FB7C627E-D3BD-4FA9-A90D-FCE3F1D34B0B}"/>
    <cellStyle name="Normal 2 4 3 2 8" xfId="771" xr:uid="{220754DA-7A6E-490C-816C-B188A079084F}"/>
    <cellStyle name="Normal 2 4 3 3" xfId="298" xr:uid="{C20F3FF9-36BF-4A9F-A59F-21C5D267595C}"/>
    <cellStyle name="Normal 2 4 3 3 2" xfId="429" xr:uid="{8B3E7B1C-4E72-4230-8F64-8302E8732AA4}"/>
    <cellStyle name="Normal 2 4 3 3 3" xfId="560" xr:uid="{139EE0B7-BF82-4382-BDD1-E64A67DE07CF}"/>
    <cellStyle name="Normal 2 4 3 3 4" xfId="691" xr:uid="{592F03BA-1DB2-4FBB-942E-50FE0224BF91}"/>
    <cellStyle name="Normal 2 4 3 3 5" xfId="822" xr:uid="{BF3598E7-B739-4FB8-8921-100357CF22CA}"/>
    <cellStyle name="Normal 2 4 3 4" xfId="330" xr:uid="{E946992A-07EA-4842-AAEA-BB5A3E5247AF}"/>
    <cellStyle name="Normal 2 4 3 4 2" xfId="461" xr:uid="{4C010D34-08B9-464B-AAC4-55BED125AB94}"/>
    <cellStyle name="Normal 2 4 3 4 3" xfId="592" xr:uid="{6EC88748-CF15-491D-B189-9C38D191F014}"/>
    <cellStyle name="Normal 2 4 3 4 4" xfId="723" xr:uid="{64BCD5AC-74D8-486D-A09A-3B04F6876CD3}"/>
    <cellStyle name="Normal 2 4 3 4 5" xfId="854" xr:uid="{DF35AB1C-2A36-49C0-BC2B-01F4E69850E9}"/>
    <cellStyle name="Normal 2 4 3 5" xfId="397" xr:uid="{C2D9BFDC-3B8E-43C4-A338-2ADDD007B11B}"/>
    <cellStyle name="Normal 2 4 3 5 2" xfId="528" xr:uid="{9090EB4B-C8CA-4174-B601-FADC893F8EE0}"/>
    <cellStyle name="Normal 2 4 3 5 3" xfId="659" xr:uid="{CA021B14-9858-4666-9A06-B64D710683C4}"/>
    <cellStyle name="Normal 2 4 3 5 4" xfId="790" xr:uid="{A65FA085-CA01-4E46-A051-47D975768D56}"/>
    <cellStyle name="Normal 2 4 3 6" xfId="362" xr:uid="{8E59D475-780C-4E0A-964A-987029D10134}"/>
    <cellStyle name="Normal 2 4 3 7" xfId="493" xr:uid="{D7148498-F8CC-409E-A785-43B44603EB7F}"/>
    <cellStyle name="Normal 2 4 3 8" xfId="624" xr:uid="{E479BE82-398E-4F5D-86C1-C3F0DF03D567}"/>
    <cellStyle name="Normal 2 4 3 9" xfId="755" xr:uid="{B2787553-2C1C-4725-BA11-35D0ACCE6FB2}"/>
    <cellStyle name="Normal 2 4 4" xfId="268" xr:uid="{08FD4852-BD92-4F90-A6B5-9C109D0411B2}"/>
    <cellStyle name="Normal 2 4 4 2" xfId="284" xr:uid="{6C7D1B5F-CCDF-4FC3-99AC-7BA12CB45AE9}"/>
    <cellStyle name="Normal 2 4 4 2 2" xfId="317" xr:uid="{70441520-A270-4E20-BF61-0B6D4FD42B98}"/>
    <cellStyle name="Normal 2 4 4 2 2 2" xfId="448" xr:uid="{2F4ADDC6-6923-4465-8107-6AFCB4429DDE}"/>
    <cellStyle name="Normal 2 4 4 2 2 3" xfId="579" xr:uid="{957223A4-B223-4AA1-9D05-75652D0B0714}"/>
    <cellStyle name="Normal 2 4 4 2 2 4" xfId="710" xr:uid="{8B00F6B2-AFC4-455A-AA1D-53A5EE69A601}"/>
    <cellStyle name="Normal 2 4 4 2 2 5" xfId="841" xr:uid="{B0F37CA8-E2AA-47DD-8A1C-EB8534D76829}"/>
    <cellStyle name="Normal 2 4 4 2 3" xfId="349" xr:uid="{2A061AE9-65DF-4044-96A6-44D6DFC1F295}"/>
    <cellStyle name="Normal 2 4 4 2 3 2" xfId="480" xr:uid="{67053828-FA6D-44A3-886C-72226F358AA3}"/>
    <cellStyle name="Normal 2 4 4 2 3 3" xfId="611" xr:uid="{AF560DF8-EE40-46E6-92B3-227B99AC10FD}"/>
    <cellStyle name="Normal 2 4 4 2 3 4" xfId="742" xr:uid="{1F769AD6-59E8-4584-8990-FBA66B2A516C}"/>
    <cellStyle name="Normal 2 4 4 2 3 5" xfId="873" xr:uid="{33A34EDB-F615-4807-91E0-11B791C2042B}"/>
    <cellStyle name="Normal 2 4 4 2 4" xfId="416" xr:uid="{E989ABAB-5B42-4103-9B99-6ED9485A1BDC}"/>
    <cellStyle name="Normal 2 4 4 2 4 2" xfId="547" xr:uid="{6730BC53-51B7-4EA4-832C-4118F422CB06}"/>
    <cellStyle name="Normal 2 4 4 2 4 3" xfId="678" xr:uid="{926223F7-95F9-4BFD-8A09-51A2F894BA81}"/>
    <cellStyle name="Normal 2 4 4 2 4 4" xfId="809" xr:uid="{01448CEF-2C64-4658-880B-F2C794232715}"/>
    <cellStyle name="Normal 2 4 4 2 5" xfId="381" xr:uid="{03522783-34A1-4F2A-B349-E80B138E57A8}"/>
    <cellStyle name="Normal 2 4 4 2 6" xfId="512" xr:uid="{0D6257F9-7C56-4831-8DF3-D69FB4D87B60}"/>
    <cellStyle name="Normal 2 4 4 2 7" xfId="643" xr:uid="{74C12F00-CC40-4FBC-B9FB-5152E74B1232}"/>
    <cellStyle name="Normal 2 4 4 2 8" xfId="774" xr:uid="{D8AD4BBE-E8C9-4A20-A448-FEEEFE67C82C}"/>
    <cellStyle name="Normal 2 4 4 3" xfId="301" xr:uid="{8D23BADD-E21D-43A4-9225-5E84477094A7}"/>
    <cellStyle name="Normal 2 4 4 3 2" xfId="432" xr:uid="{8B1AE2B3-0C2D-4708-9FE9-1C014136E93F}"/>
    <cellStyle name="Normal 2 4 4 3 3" xfId="563" xr:uid="{E7FBCB9F-CBE7-43DC-A562-D19C90BD0024}"/>
    <cellStyle name="Normal 2 4 4 3 4" xfId="694" xr:uid="{598436A0-C1A5-49C8-8CF8-1AB745FFBACB}"/>
    <cellStyle name="Normal 2 4 4 3 5" xfId="825" xr:uid="{8FFC4726-B942-4526-B481-31EC31ABE6A2}"/>
    <cellStyle name="Normal 2 4 4 4" xfId="333" xr:uid="{11D7E248-AAF8-4609-BE05-4136B69F9811}"/>
    <cellStyle name="Normal 2 4 4 4 2" xfId="464" xr:uid="{AB22D3CA-8E91-480F-A94E-F31ADEA3E5D8}"/>
    <cellStyle name="Normal 2 4 4 4 3" xfId="595" xr:uid="{E651C074-9506-4480-ABBB-A128044CF058}"/>
    <cellStyle name="Normal 2 4 4 4 4" xfId="726" xr:uid="{7B06D1A3-72F1-4CAE-B441-ECEBC28B5820}"/>
    <cellStyle name="Normal 2 4 4 4 5" xfId="857" xr:uid="{84907B4A-169E-4C1E-898D-92424FC7BD7B}"/>
    <cellStyle name="Normal 2 4 4 5" xfId="400" xr:uid="{AC8A9B22-0B01-45E6-926C-A87ACA0F4BF9}"/>
    <cellStyle name="Normal 2 4 4 5 2" xfId="531" xr:uid="{A25C89A3-2E5B-46BE-B159-7CD523B1DBB2}"/>
    <cellStyle name="Normal 2 4 4 5 3" xfId="662" xr:uid="{CDCA1448-CA4D-4D35-B4ED-D99053D737E7}"/>
    <cellStyle name="Normal 2 4 4 5 4" xfId="793" xr:uid="{DD2A8188-EF8C-486A-B235-0E01272C1CEB}"/>
    <cellStyle name="Normal 2 4 4 6" xfId="365" xr:uid="{44D5D57C-4FFE-4A9E-9DFF-C9D1B86A2DD1}"/>
    <cellStyle name="Normal 2 4 4 7" xfId="496" xr:uid="{9B98D463-26F9-4486-89FE-BD61AD8B9DB0}"/>
    <cellStyle name="Normal 2 4 4 8" xfId="627" xr:uid="{5FF16341-824E-4318-9E81-C9C60608F250}"/>
    <cellStyle name="Normal 2 4 4 9" xfId="758" xr:uid="{100E086B-B48D-4504-AC2E-4EE47C478FC8}"/>
    <cellStyle name="Normal 2 4 5" xfId="271" xr:uid="{56F2DCC7-B064-4386-AA30-C05A422C8B0C}"/>
    <cellStyle name="Normal 2 4 5 2" xfId="287" xr:uid="{9EF4A5C0-D934-4B90-80D1-E0EA78340013}"/>
    <cellStyle name="Normal 2 4 5 2 2" xfId="320" xr:uid="{F2F71974-EEF0-4DDC-826E-8CD465803AA0}"/>
    <cellStyle name="Normal 2 4 5 2 2 2" xfId="451" xr:uid="{A6BF59AF-3E70-45AD-ACD8-A58E6B521AAE}"/>
    <cellStyle name="Normal 2 4 5 2 2 3" xfId="582" xr:uid="{802ECA8B-7F79-471F-B9A0-8A3B4C8528E0}"/>
    <cellStyle name="Normal 2 4 5 2 2 4" xfId="713" xr:uid="{38F3C735-A245-44BE-97CE-0425F613337F}"/>
    <cellStyle name="Normal 2 4 5 2 2 5" xfId="844" xr:uid="{6E6438AD-2884-4401-95C6-A2B6C6E2C593}"/>
    <cellStyle name="Normal 2 4 5 2 3" xfId="352" xr:uid="{3CBFAB92-5ACB-418B-B0A7-D527673816D8}"/>
    <cellStyle name="Normal 2 4 5 2 3 2" xfId="483" xr:uid="{3434CDB5-F87A-40D2-84FC-FE7DCC4E6A11}"/>
    <cellStyle name="Normal 2 4 5 2 3 3" xfId="614" xr:uid="{8965C76F-D175-4520-B6AF-DA43692A2B56}"/>
    <cellStyle name="Normal 2 4 5 2 3 4" xfId="745" xr:uid="{685B2CF1-8A42-451D-8BD8-B880AA6B0ED9}"/>
    <cellStyle name="Normal 2 4 5 2 3 5" xfId="876" xr:uid="{3DC0E628-8B2E-4436-A615-B420CF34A9D3}"/>
    <cellStyle name="Normal 2 4 5 2 4" xfId="419" xr:uid="{570768E7-DB9F-43A2-864F-35A0E1C2A204}"/>
    <cellStyle name="Normal 2 4 5 2 4 2" xfId="550" xr:uid="{44A8A1F8-9B71-4DF4-976E-CE3F67C235BB}"/>
    <cellStyle name="Normal 2 4 5 2 4 3" xfId="681" xr:uid="{2028AD81-B7B2-49C9-84F5-0E5CA1FFFF1A}"/>
    <cellStyle name="Normal 2 4 5 2 4 4" xfId="812" xr:uid="{88AF3675-BDB6-41B5-AAF8-6D98D4DB5407}"/>
    <cellStyle name="Normal 2 4 5 2 5" xfId="384" xr:uid="{82F7FA50-B152-4B36-AA46-15DDF3CF9F8F}"/>
    <cellStyle name="Normal 2 4 5 2 6" xfId="515" xr:uid="{06378296-0B30-4563-9E18-0E3ED2AAFB7C}"/>
    <cellStyle name="Normal 2 4 5 2 7" xfId="646" xr:uid="{8E51B4DB-19D6-4073-B47B-1AFFBF2D8D93}"/>
    <cellStyle name="Normal 2 4 5 2 8" xfId="777" xr:uid="{71FD4064-81FC-402C-A5CB-515D2C9F5209}"/>
    <cellStyle name="Normal 2 4 5 3" xfId="304" xr:uid="{6884C2BA-6F61-49E5-A7DC-F32B2C5DCA7D}"/>
    <cellStyle name="Normal 2 4 5 3 2" xfId="435" xr:uid="{81AC89C4-B409-4FE7-BCE3-2BDC2A590081}"/>
    <cellStyle name="Normal 2 4 5 3 3" xfId="566" xr:uid="{91872D6F-6101-4901-876D-D27DEA085214}"/>
    <cellStyle name="Normal 2 4 5 3 4" xfId="697" xr:uid="{05AC8601-715C-496A-B20D-604D5CB5ACE5}"/>
    <cellStyle name="Normal 2 4 5 3 5" xfId="828" xr:uid="{B24B4305-1D52-4849-ABBB-A8CD0ADD9314}"/>
    <cellStyle name="Normal 2 4 5 4" xfId="336" xr:uid="{9EAB5609-5333-4395-8177-5403F54E93E7}"/>
    <cellStyle name="Normal 2 4 5 4 2" xfId="467" xr:uid="{B9A34B0D-1D9B-4D1C-85E7-FA335F209114}"/>
    <cellStyle name="Normal 2 4 5 4 3" xfId="598" xr:uid="{2C19081A-58E1-4C0A-8E3D-5655587D2AE2}"/>
    <cellStyle name="Normal 2 4 5 4 4" xfId="729" xr:uid="{09A87BD6-DDA5-4077-A65E-2B5C278E3156}"/>
    <cellStyle name="Normal 2 4 5 4 5" xfId="860" xr:uid="{9116796B-B13A-4920-B2A7-4E132B3BC884}"/>
    <cellStyle name="Normal 2 4 5 5" xfId="403" xr:uid="{CB304D92-BC58-4453-A560-74B1141BB852}"/>
    <cellStyle name="Normal 2 4 5 5 2" xfId="534" xr:uid="{3C5013B9-6C86-48B2-9566-867B99216E88}"/>
    <cellStyle name="Normal 2 4 5 5 3" xfId="665" xr:uid="{DBB0ACE8-FC1D-44BD-8347-3233274EFFE9}"/>
    <cellStyle name="Normal 2 4 5 5 4" xfId="796" xr:uid="{9762E77E-30F7-4014-BFB1-0B470C658594}"/>
    <cellStyle name="Normal 2 4 5 6" xfId="368" xr:uid="{82472C68-06EA-42AC-8607-815768EDE153}"/>
    <cellStyle name="Normal 2 4 5 7" xfId="499" xr:uid="{4CDE652F-86BB-475A-8E79-CEB2D9C0D85F}"/>
    <cellStyle name="Normal 2 4 5 8" xfId="630" xr:uid="{23102704-A520-40C1-8C8F-FAE8DE6EDB61}"/>
    <cellStyle name="Normal 2 4 5 9" xfId="761" xr:uid="{8CD29FF4-377D-4CDB-BC33-B9632F420624}"/>
    <cellStyle name="Normal 2 4 6" xfId="275" xr:uid="{30F8E479-9EB0-4E00-9AB9-1DDC56B4807D}"/>
    <cellStyle name="Normal 2 4 6 2" xfId="308" xr:uid="{822E6BC9-B57E-4C08-9332-17175BBDC8EF}"/>
    <cellStyle name="Normal 2 4 6 2 2" xfId="439" xr:uid="{60F1D532-6167-4ECD-BF80-932A301FD69D}"/>
    <cellStyle name="Normal 2 4 6 2 3" xfId="570" xr:uid="{EBB59808-D51D-4B60-A15B-6481B212DC91}"/>
    <cellStyle name="Normal 2 4 6 2 4" xfId="701" xr:uid="{E23A64A1-4A92-44A7-B107-607EE6364D8B}"/>
    <cellStyle name="Normal 2 4 6 2 5" xfId="832" xr:uid="{38B4E876-7D7F-48D3-8355-1DD88D516ED0}"/>
    <cellStyle name="Normal 2 4 6 3" xfId="340" xr:uid="{E3E2DFC5-3078-4BC3-B7FE-245EED8E6E5E}"/>
    <cellStyle name="Normal 2 4 6 3 2" xfId="471" xr:uid="{FAAE3C48-0A62-4E69-84D5-899FF8CEB126}"/>
    <cellStyle name="Normal 2 4 6 3 3" xfId="602" xr:uid="{1A79B647-9DDD-4DC2-9D68-F55F053E2CA5}"/>
    <cellStyle name="Normal 2 4 6 3 4" xfId="733" xr:uid="{03D536A9-BC88-4AB5-BE17-51EF99637C0A}"/>
    <cellStyle name="Normal 2 4 6 3 5" xfId="864" xr:uid="{E1FBE8C3-D108-4F1A-9757-87CDE5D11F9A}"/>
    <cellStyle name="Normal 2 4 6 4" xfId="407" xr:uid="{2E770AA0-F84D-46A2-9F4D-135DF9A7D9B4}"/>
    <cellStyle name="Normal 2 4 6 4 2" xfId="538" xr:uid="{9C2A9FEC-5B80-477F-938F-77831DA939DD}"/>
    <cellStyle name="Normal 2 4 6 4 3" xfId="669" xr:uid="{E3677BFF-ED58-4ADE-9FC4-DDEE28023F8D}"/>
    <cellStyle name="Normal 2 4 6 4 4" xfId="800" xr:uid="{66D145D1-3E02-4556-B583-F15E6F33604C}"/>
    <cellStyle name="Normal 2 4 6 5" xfId="372" xr:uid="{096A8A29-1B0D-488F-831C-F48A54974BD4}"/>
    <cellStyle name="Normal 2 4 6 6" xfId="503" xr:uid="{CB645252-8541-454F-AA71-23CA6A9F5AE5}"/>
    <cellStyle name="Normal 2 4 6 7" xfId="634" xr:uid="{266E47AD-F34C-44DC-8F91-FDAF344D5C3A}"/>
    <cellStyle name="Normal 2 4 6 8" xfId="765" xr:uid="{D35036DC-C75E-4D33-864A-805E99321EBA}"/>
    <cellStyle name="Normal 2 4 7" xfId="259" xr:uid="{149495E6-4648-4B83-A809-260F0E5D547B}"/>
    <cellStyle name="Normal 2 4 7 2" xfId="391" xr:uid="{A5706C05-DF63-445C-A2A6-0E29134CD02E}"/>
    <cellStyle name="Normal 2 4 7 3" xfId="522" xr:uid="{2479060F-EAFF-4672-AA08-9883AD99B0D9}"/>
    <cellStyle name="Normal 2 4 7 4" xfId="653" xr:uid="{8D1D251D-18C3-4AB0-85E6-66176A041C7C}"/>
    <cellStyle name="Normal 2 4 7 5" xfId="784" xr:uid="{A64963F8-7DA8-416F-85AB-5EB5B57D79D3}"/>
    <cellStyle name="Normal 2 4 8" xfId="292" xr:uid="{40BD3347-63D6-4FB4-BA51-93620776ED98}"/>
    <cellStyle name="Normal 2 4 8 2" xfId="423" xr:uid="{0B35CFEA-7608-4602-B9B7-D7EE79BA0636}"/>
    <cellStyle name="Normal 2 4 8 3" xfId="554" xr:uid="{31358A12-B698-467E-941E-601D34994C4E}"/>
    <cellStyle name="Normal 2 4 8 4" xfId="685" xr:uid="{44DD53FC-0C3E-4362-8C6F-0715A82A87C7}"/>
    <cellStyle name="Normal 2 4 8 5" xfId="816" xr:uid="{179E59F5-9500-4B2F-9A52-89B103570004}"/>
    <cellStyle name="Normal 2 4 9" xfId="324" xr:uid="{79E96A2D-F0FC-47DC-AC22-0F3251AAD117}"/>
    <cellStyle name="Normal 2 4 9 2" xfId="455" xr:uid="{8064A27F-B7E3-4FF0-8F6C-24E9BF01ECBA}"/>
    <cellStyle name="Normal 2 4 9 3" xfId="586" xr:uid="{0BCD6056-EC9A-4677-BC7D-9D02466EFCD0}"/>
    <cellStyle name="Normal 2 4 9 4" xfId="717" xr:uid="{03873D4B-179B-4E5D-A07A-690A27EC73EE}"/>
    <cellStyle name="Normal 2 4 9 5" xfId="848" xr:uid="{40DE2AE2-7328-432F-B035-777F3DE9E3FC}"/>
    <cellStyle name="Normal 2 5" xfId="186" xr:uid="{7ACC02F6-6471-44A7-ABA2-83C139F79CC1}"/>
    <cellStyle name="Normal 2 6" xfId="257" xr:uid="{647A72A9-C3A1-4CD3-A95C-33DF9AF347A0}"/>
    <cellStyle name="Normal 2 6 2" xfId="273" xr:uid="{8D4519A1-5217-445A-B57B-6D2FC037F6DA}"/>
    <cellStyle name="Normal 2 6 2 2" xfId="306" xr:uid="{1EAF1011-AE1E-4C7C-995A-54B35B7EC88B}"/>
    <cellStyle name="Normal 2 6 2 2 2" xfId="437" xr:uid="{D0FDC984-7C89-4C50-AB20-1D7030821265}"/>
    <cellStyle name="Normal 2 6 2 2 3" xfId="568" xr:uid="{F3EC71EF-DE4D-4C46-89E0-712309E8E570}"/>
    <cellStyle name="Normal 2 6 2 2 4" xfId="699" xr:uid="{7D7459ED-7284-449D-8A3E-6CDD57145470}"/>
    <cellStyle name="Normal 2 6 2 2 5" xfId="830" xr:uid="{51B85488-6F17-4A4B-8FED-922FC3B4D68B}"/>
    <cellStyle name="Normal 2 6 2 3" xfId="338" xr:uid="{7C92A608-9CD4-4924-A87B-A32B93F31CE6}"/>
    <cellStyle name="Normal 2 6 2 3 2" xfId="469" xr:uid="{34A5BEA1-C79D-436F-A8A8-21966A4A7CB4}"/>
    <cellStyle name="Normal 2 6 2 3 3" xfId="600" xr:uid="{110EEFD2-2A94-4CC0-ADB4-F2DD4A3BBDF8}"/>
    <cellStyle name="Normal 2 6 2 3 4" xfId="731" xr:uid="{60E26A37-ABA0-42F6-86EF-A52E1A8120E6}"/>
    <cellStyle name="Normal 2 6 2 3 5" xfId="862" xr:uid="{24073FC7-2A9E-4B19-8858-108F1F9C6F7B}"/>
    <cellStyle name="Normal 2 6 2 4" xfId="405" xr:uid="{CAFF2102-E0F3-41F5-BAA1-132FD79F536F}"/>
    <cellStyle name="Normal 2 6 2 4 2" xfId="536" xr:uid="{5C050173-14EB-43F4-8063-7AE36E3BC09B}"/>
    <cellStyle name="Normal 2 6 2 4 3" xfId="667" xr:uid="{616D70BC-D2EE-4A2C-9611-BEEF4B30C135}"/>
    <cellStyle name="Normal 2 6 2 4 4" xfId="798" xr:uid="{8FBFA4CB-5F00-47DA-B6EB-DDA677F3B5C6}"/>
    <cellStyle name="Normal 2 6 2 5" xfId="370" xr:uid="{18047B06-A59E-43BF-B20D-BFB1A052DBCA}"/>
    <cellStyle name="Normal 2 6 2 6" xfId="501" xr:uid="{9833D04B-950B-4AD7-B17A-1A996BC921A6}"/>
    <cellStyle name="Normal 2 6 2 7" xfId="632" xr:uid="{D8A9E70F-6348-4F82-A8DB-D3A23D720EB0}"/>
    <cellStyle name="Normal 2 6 2 8" xfId="763" xr:uid="{A0CC66A8-F2C7-495C-B00C-F8790BAE3991}"/>
    <cellStyle name="Normal 2 6 3" xfId="290" xr:uid="{EDFDF466-24E4-47F0-8E61-930767AD28CD}"/>
    <cellStyle name="Normal 2 6 3 2" xfId="421" xr:uid="{071F999B-00F7-4085-8EDA-E3C879FF1CE2}"/>
    <cellStyle name="Normal 2 6 3 3" xfId="552" xr:uid="{2A4CFF25-C66F-4277-AD11-202F448AFE2A}"/>
    <cellStyle name="Normal 2 6 3 4" xfId="683" xr:uid="{DE283202-BE75-4E35-AAF0-0BEF02A74A5B}"/>
    <cellStyle name="Normal 2 6 3 5" xfId="814" xr:uid="{4F93D73C-0EFC-4D1F-B1ED-3C8A8BAF1FDF}"/>
    <cellStyle name="Normal 2 6 4" xfId="322" xr:uid="{78CBEC92-0A30-4BA9-922D-4D0B442A5A3D}"/>
    <cellStyle name="Normal 2 6 4 2" xfId="453" xr:uid="{23BB745A-83BF-4B9C-B164-0142BD30FA68}"/>
    <cellStyle name="Normal 2 6 4 3" xfId="584" xr:uid="{D82C9E6C-48C7-44E4-AD9E-548C4CA26EC1}"/>
    <cellStyle name="Normal 2 6 4 4" xfId="715" xr:uid="{D67A7A3D-14AA-4C47-A5B9-B03AB03C1B14}"/>
    <cellStyle name="Normal 2 6 4 5" xfId="846" xr:uid="{62F57957-E717-40AD-8FE9-684CF1D45849}"/>
    <cellStyle name="Normal 2 6 5" xfId="389" xr:uid="{1F6BDC1F-B8B6-4B16-99BE-589918267020}"/>
    <cellStyle name="Normal 2 6 5 2" xfId="520" xr:uid="{7A7C9C89-7900-45F0-AE0D-713F1F550232}"/>
    <cellStyle name="Normal 2 6 5 3" xfId="651" xr:uid="{9F1CCB85-FC7B-4A8E-AB80-770A6CA9B13B}"/>
    <cellStyle name="Normal 2 6 5 4" xfId="782" xr:uid="{A5F0C1EF-8699-4F68-B5AE-8D4E96BBB24E}"/>
    <cellStyle name="Normal 2 6 6" xfId="354" xr:uid="{0302C800-0931-4A39-A278-43A12C1C54DA}"/>
    <cellStyle name="Normal 2 6 7" xfId="485" xr:uid="{107E3084-2548-4EBA-B9ED-5E7710D6E0F8}"/>
    <cellStyle name="Normal 2 6 8" xfId="616" xr:uid="{1FF023D8-C91E-43EA-8F5D-F72036439A34}"/>
    <cellStyle name="Normal 2 6 9" xfId="747" xr:uid="{FF50ADFE-F334-45E7-BEC8-0235BA9C110E}"/>
    <cellStyle name="Normal 2 7" xfId="260" xr:uid="{709C162E-756B-49BE-B312-F85F8DEC7A99}"/>
    <cellStyle name="Normal 2 7 2" xfId="276" xr:uid="{11ED6D80-F7E3-4C02-B98F-5355C5FBEC64}"/>
    <cellStyle name="Normal 2 7 2 2" xfId="309" xr:uid="{DB51ED6E-E9ED-41A6-BEE3-5447A6ED237F}"/>
    <cellStyle name="Normal 2 7 2 2 2" xfId="440" xr:uid="{5BCD4D40-7E65-4CDA-9DD9-3DEFA7FBA21D}"/>
    <cellStyle name="Normal 2 7 2 2 3" xfId="571" xr:uid="{633A220E-6C2D-498E-896E-45EAAF036FE8}"/>
    <cellStyle name="Normal 2 7 2 2 4" xfId="702" xr:uid="{87EC53F7-1F65-4DA7-B4F5-24F5AD9336A5}"/>
    <cellStyle name="Normal 2 7 2 2 5" xfId="833" xr:uid="{CA910299-492A-4D74-8C56-3BF7B5468A73}"/>
    <cellStyle name="Normal 2 7 2 3" xfId="341" xr:uid="{3DA7D399-120A-4A59-B7B0-7BDD80EB003A}"/>
    <cellStyle name="Normal 2 7 2 3 2" xfId="472" xr:uid="{5C5AC192-4B82-4943-8426-4BDCAD1EE017}"/>
    <cellStyle name="Normal 2 7 2 3 3" xfId="603" xr:uid="{5B8D38BC-0448-4E65-9B9A-0D15F705BF99}"/>
    <cellStyle name="Normal 2 7 2 3 4" xfId="734" xr:uid="{E972B5ED-FF8B-44C9-A843-34763E3291A2}"/>
    <cellStyle name="Normal 2 7 2 3 5" xfId="865" xr:uid="{E0BC1649-E2D1-488A-8065-2B53FA5EFCB9}"/>
    <cellStyle name="Normal 2 7 2 4" xfId="408" xr:uid="{B808F12C-5572-44E7-8D83-27196A2DFECA}"/>
    <cellStyle name="Normal 2 7 2 4 2" xfId="539" xr:uid="{7104FD7D-CE13-40F2-9BA6-A1BD51CC2450}"/>
    <cellStyle name="Normal 2 7 2 4 3" xfId="670" xr:uid="{F94A77A9-55B8-40B7-B6DE-3469775BDBE2}"/>
    <cellStyle name="Normal 2 7 2 4 4" xfId="801" xr:uid="{D2B7D040-E546-4971-85BE-2BA460A740EC}"/>
    <cellStyle name="Normal 2 7 2 5" xfId="373" xr:uid="{DEE4D3AC-E9A3-4340-B397-9C91A3E07340}"/>
    <cellStyle name="Normal 2 7 2 6" xfId="504" xr:uid="{B2044D91-2D50-4E17-9E82-9095ADA552AC}"/>
    <cellStyle name="Normal 2 7 2 7" xfId="635" xr:uid="{54713DD1-ED2E-4607-8963-68770A1D59F4}"/>
    <cellStyle name="Normal 2 7 2 8" xfId="766" xr:uid="{1F072C82-3F00-4EFE-8F38-DDD08051BBA2}"/>
    <cellStyle name="Normal 2 7 3" xfId="293" xr:uid="{652FB99C-2047-4FA2-AB89-E221E3F3BBDF}"/>
    <cellStyle name="Normal 2 7 3 2" xfId="424" xr:uid="{4E9A2E49-7287-4041-87C7-9AB5F1C5F936}"/>
    <cellStyle name="Normal 2 7 3 3" xfId="555" xr:uid="{501702F2-AC4D-4EE9-A7F4-78CBD2C32001}"/>
    <cellStyle name="Normal 2 7 3 4" xfId="686" xr:uid="{9F34BEF4-A784-4E87-B9F6-A1E4B85DB5A7}"/>
    <cellStyle name="Normal 2 7 3 5" xfId="817" xr:uid="{43A69F36-7F0A-4F60-BC9A-AFE5D5275D7D}"/>
    <cellStyle name="Normal 2 7 4" xfId="325" xr:uid="{DF23E747-8DF1-4EA5-9BF3-DC2A613260B1}"/>
    <cellStyle name="Normal 2 7 4 2" xfId="456" xr:uid="{9623C5E7-52EF-4126-A58B-528493415542}"/>
    <cellStyle name="Normal 2 7 4 3" xfId="587" xr:uid="{4A080F4B-6AAB-419D-A2DF-AFCDEA8A0470}"/>
    <cellStyle name="Normal 2 7 4 4" xfId="718" xr:uid="{543D3BF8-3C19-456F-8B14-8ED6CB29917D}"/>
    <cellStyle name="Normal 2 7 4 5" xfId="849" xr:uid="{29B625D1-7D82-4934-92B2-BE70A5346653}"/>
    <cellStyle name="Normal 2 7 5" xfId="392" xr:uid="{60E84BDF-3CB4-409D-B222-EC09C6E0478A}"/>
    <cellStyle name="Normal 2 7 5 2" xfId="523" xr:uid="{799F09AD-46D8-4382-ABEA-63F6B6F59505}"/>
    <cellStyle name="Normal 2 7 5 3" xfId="654" xr:uid="{BEF9B1D0-B4C0-405B-84F9-E3C01B0538E9}"/>
    <cellStyle name="Normal 2 7 5 4" xfId="785" xr:uid="{62F55448-3BE4-482F-A4FF-139E19576430}"/>
    <cellStyle name="Normal 2 7 6" xfId="357" xr:uid="{6C2FEB96-912A-4520-B2BF-FF0E767C6F0E}"/>
    <cellStyle name="Normal 2 7 7" xfId="488" xr:uid="{F1503063-AE45-45C3-B57F-155D9BB4FDA7}"/>
    <cellStyle name="Normal 2 7 8" xfId="619" xr:uid="{735E87E6-56D3-48FF-9A4B-41EA0F02B151}"/>
    <cellStyle name="Normal 2 7 9" xfId="750" xr:uid="{72687A39-B14F-442C-91F3-2CC7F9A514E7}"/>
    <cellStyle name="Normal 2 8" xfId="263" xr:uid="{04BA30FB-42D3-489C-AA7F-73CAF599923E}"/>
    <cellStyle name="Normal 2 8 2" xfId="279" xr:uid="{689880F9-2637-4110-905B-90CCE990519D}"/>
    <cellStyle name="Normal 2 8 2 2" xfId="312" xr:uid="{14AFA24A-3BAD-4263-9636-92218F03DECD}"/>
    <cellStyle name="Normal 2 8 2 2 2" xfId="443" xr:uid="{54F699EE-1160-41DD-8A60-62C4DC16E2E7}"/>
    <cellStyle name="Normal 2 8 2 2 3" xfId="574" xr:uid="{2B093A24-C44C-4319-9598-61B21A224CCC}"/>
    <cellStyle name="Normal 2 8 2 2 4" xfId="705" xr:uid="{48D78E5B-6B29-4AF0-8C8B-6903BB2BCC76}"/>
    <cellStyle name="Normal 2 8 2 2 5" xfId="836" xr:uid="{5226C6D6-2B7C-4685-85D4-C76101BC8F3D}"/>
    <cellStyle name="Normal 2 8 2 3" xfId="344" xr:uid="{FCD89470-F187-4D22-AB05-14ECFA6064D5}"/>
    <cellStyle name="Normal 2 8 2 3 2" xfId="475" xr:uid="{57A557BC-66C3-49F7-A13D-1A78CCCB5A22}"/>
    <cellStyle name="Normal 2 8 2 3 3" xfId="606" xr:uid="{4125C0FD-D2D1-498F-AC24-CFDA996E1F3C}"/>
    <cellStyle name="Normal 2 8 2 3 4" xfId="737" xr:uid="{089787B5-B612-4B74-B736-80FE5385074A}"/>
    <cellStyle name="Normal 2 8 2 3 5" xfId="868" xr:uid="{7A3363F7-ECF0-4CFD-9020-E0000BD45D44}"/>
    <cellStyle name="Normal 2 8 2 4" xfId="411" xr:uid="{A02AF15B-C1D1-4903-9658-D11BEFBB94EE}"/>
    <cellStyle name="Normal 2 8 2 4 2" xfId="542" xr:uid="{F0A3C8FA-9CE7-44A6-8BD9-6C49BB82088A}"/>
    <cellStyle name="Normal 2 8 2 4 3" xfId="673" xr:uid="{163631AA-6643-416C-92C2-0F8F74F395A6}"/>
    <cellStyle name="Normal 2 8 2 4 4" xfId="804" xr:uid="{6E74D042-0D48-439F-8E29-EFECBBE47314}"/>
    <cellStyle name="Normal 2 8 2 5" xfId="376" xr:uid="{237B462A-A2F0-4C2D-936C-D525999E2600}"/>
    <cellStyle name="Normal 2 8 2 6" xfId="507" xr:uid="{241B3A29-838D-4EBC-8451-F6489301727E}"/>
    <cellStyle name="Normal 2 8 2 7" xfId="638" xr:uid="{F408A20D-5A9E-4475-A3E8-10CBA0721A87}"/>
    <cellStyle name="Normal 2 8 2 8" xfId="769" xr:uid="{AD3C5585-6F6A-418B-A420-FDE98F990391}"/>
    <cellStyle name="Normal 2 8 3" xfId="296" xr:uid="{43B96829-8596-4776-BFA0-DC8FAA6A90CC}"/>
    <cellStyle name="Normal 2 8 3 2" xfId="427" xr:uid="{E20AA223-6901-4ED0-9DED-A5C13D67B608}"/>
    <cellStyle name="Normal 2 8 3 3" xfId="558" xr:uid="{DE07E555-E2A3-48C9-9759-975156D583FB}"/>
    <cellStyle name="Normal 2 8 3 4" xfId="689" xr:uid="{8F9229B3-CB60-4186-A69C-95CC499194B6}"/>
    <cellStyle name="Normal 2 8 3 5" xfId="820" xr:uid="{4ABF0403-CB40-4D72-A731-3C7635A953A5}"/>
    <cellStyle name="Normal 2 8 4" xfId="328" xr:uid="{1E508744-B180-4EAF-8C0C-27ACE7658AC0}"/>
    <cellStyle name="Normal 2 8 4 2" xfId="459" xr:uid="{1F34BBFB-D403-45A8-89CB-97E2954DC625}"/>
    <cellStyle name="Normal 2 8 4 3" xfId="590" xr:uid="{42E2F27D-F379-40D5-B860-E4989AC4DBC9}"/>
    <cellStyle name="Normal 2 8 4 4" xfId="721" xr:uid="{F2D02617-B2EA-4C3A-A9FE-74B5C5897CEB}"/>
    <cellStyle name="Normal 2 8 4 5" xfId="852" xr:uid="{F92BAB4A-F3E5-4AF4-8337-C23DB8E514A3}"/>
    <cellStyle name="Normal 2 8 5" xfId="395" xr:uid="{B8F87EEA-21C5-4C13-A945-179C4B439404}"/>
    <cellStyle name="Normal 2 8 5 2" xfId="526" xr:uid="{A17B9FE5-6D0A-4B50-A764-AEA737E8EDC2}"/>
    <cellStyle name="Normal 2 8 5 3" xfId="657" xr:uid="{4C623CA2-6839-443A-BDE8-BD99F222D636}"/>
    <cellStyle name="Normal 2 8 5 4" xfId="788" xr:uid="{35119C87-467C-40CC-99CD-0586207E1A5F}"/>
    <cellStyle name="Normal 2 8 6" xfId="360" xr:uid="{AF3C9C02-F512-4310-A845-C9D021D2C233}"/>
    <cellStyle name="Normal 2 8 7" xfId="491" xr:uid="{232A1BAD-A7CD-4142-922A-EC5560811283}"/>
    <cellStyle name="Normal 2 8 8" xfId="622" xr:uid="{CBF46425-F354-4328-8B1A-F6680C296FC4}"/>
    <cellStyle name="Normal 2 8 9" xfId="753" xr:uid="{BE06FA95-0D12-409C-94DA-093AD2F5EC13}"/>
    <cellStyle name="Normal 2 9" xfId="266" xr:uid="{77F515FF-F4EB-48A6-8C4C-FBAE5A1DE788}"/>
    <cellStyle name="Normal 2 9 2" xfId="282" xr:uid="{90FC0658-670D-40EA-BCCF-2C469558A351}"/>
    <cellStyle name="Normal 2 9 2 2" xfId="315" xr:uid="{BC3D7136-0F98-459A-8409-F8E96FEABCC8}"/>
    <cellStyle name="Normal 2 9 2 2 2" xfId="446" xr:uid="{9E6699EC-E927-46A2-85CD-3524A341C547}"/>
    <cellStyle name="Normal 2 9 2 2 3" xfId="577" xr:uid="{DF5CA505-AEF3-4AAD-BC2A-A956E7C2C9D6}"/>
    <cellStyle name="Normal 2 9 2 2 4" xfId="708" xr:uid="{9C537543-27DD-4411-BDED-5E3A4A38AED8}"/>
    <cellStyle name="Normal 2 9 2 2 5" xfId="839" xr:uid="{80EE880A-1903-4AAD-B4C6-AF2155C40D9B}"/>
    <cellStyle name="Normal 2 9 2 3" xfId="347" xr:uid="{302A4DC8-19AA-430A-A07A-BEFBA69225A0}"/>
    <cellStyle name="Normal 2 9 2 3 2" xfId="478" xr:uid="{D8637D7E-22D1-4383-A31B-42509DCBB98D}"/>
    <cellStyle name="Normal 2 9 2 3 3" xfId="609" xr:uid="{E9F2287F-2626-404D-B8F6-0E9548CCF614}"/>
    <cellStyle name="Normal 2 9 2 3 4" xfId="740" xr:uid="{5EA654B8-C8D2-4ABE-B5A6-D28BCFAF8584}"/>
    <cellStyle name="Normal 2 9 2 3 5" xfId="871" xr:uid="{0B985381-84F3-4D37-A3C6-8E6C3CE53AF9}"/>
    <cellStyle name="Normal 2 9 2 4" xfId="414" xr:uid="{365CFF61-6E1C-4CE1-B886-2FE06B3C93DB}"/>
    <cellStyle name="Normal 2 9 2 4 2" xfId="545" xr:uid="{F14458C8-A3A5-4A2C-919E-490DFE9749B1}"/>
    <cellStyle name="Normal 2 9 2 4 3" xfId="676" xr:uid="{9DAF1920-FBA3-4076-933F-B08C94087E83}"/>
    <cellStyle name="Normal 2 9 2 4 4" xfId="807" xr:uid="{1DE5E61A-9181-46EB-9387-0BD86BD0C178}"/>
    <cellStyle name="Normal 2 9 2 5" xfId="379" xr:uid="{C873D714-B6A9-458B-A645-6F71DC4FFE1E}"/>
    <cellStyle name="Normal 2 9 2 6" xfId="510" xr:uid="{D8A572B2-36DD-41A6-AF04-F5AF5AA65208}"/>
    <cellStyle name="Normal 2 9 2 7" xfId="641" xr:uid="{0BD70721-7A15-4B15-AC13-EA7413394352}"/>
    <cellStyle name="Normal 2 9 2 8" xfId="772" xr:uid="{9D8B84EC-CDF7-4DD7-8982-000ECA26B18E}"/>
    <cellStyle name="Normal 2 9 3" xfId="299" xr:uid="{DFF23086-4A3C-4785-AEEB-06A59A21309D}"/>
    <cellStyle name="Normal 2 9 3 2" xfId="430" xr:uid="{1E08D0BF-4A65-4634-9653-B2544802FF15}"/>
    <cellStyle name="Normal 2 9 3 3" xfId="561" xr:uid="{969C2510-3694-43CD-A14D-B0312C01108F}"/>
    <cellStyle name="Normal 2 9 3 4" xfId="692" xr:uid="{D24EC1F7-52B9-499F-A44A-D5D4F7C26F7F}"/>
    <cellStyle name="Normal 2 9 3 5" xfId="823" xr:uid="{828EE4AA-0D73-4DE8-83FC-589CCC23DDA6}"/>
    <cellStyle name="Normal 2 9 4" xfId="331" xr:uid="{93345109-963E-4EC0-8521-715DF333A331}"/>
    <cellStyle name="Normal 2 9 4 2" xfId="462" xr:uid="{B6E21D8A-C5A0-427E-8D1F-0D69869F1340}"/>
    <cellStyle name="Normal 2 9 4 3" xfId="593" xr:uid="{63231A07-AF45-465C-90B4-FAC3C28240E4}"/>
    <cellStyle name="Normal 2 9 4 4" xfId="724" xr:uid="{4AFEEAE3-16D2-4AE8-B093-2E879B43C775}"/>
    <cellStyle name="Normal 2 9 4 5" xfId="855" xr:uid="{D88731DA-F6F3-4B31-9902-E276E784AA39}"/>
    <cellStyle name="Normal 2 9 5" xfId="398" xr:uid="{99F7A0E4-3165-4EF3-9166-58D11C733695}"/>
    <cellStyle name="Normal 2 9 5 2" xfId="529" xr:uid="{A4AF10DF-F91B-439C-9689-BCAF2AB7E340}"/>
    <cellStyle name="Normal 2 9 5 3" xfId="660" xr:uid="{692FDCE2-4EE7-4864-A4C8-6267DA3733FF}"/>
    <cellStyle name="Normal 2 9 5 4" xfId="791" xr:uid="{56A66355-1B83-4398-A4E7-1805AE579BA1}"/>
    <cellStyle name="Normal 2 9 6" xfId="363" xr:uid="{F3318D45-D816-43E1-88B1-E9F1064C8787}"/>
    <cellStyle name="Normal 2 9 7" xfId="494" xr:uid="{7B5320CB-0F8C-407B-A48A-E93F916D6FA3}"/>
    <cellStyle name="Normal 2 9 8" xfId="625" xr:uid="{FDB2281D-1D57-4A91-9899-73E90FF49CC2}"/>
    <cellStyle name="Normal 2 9 9" xfId="756" xr:uid="{E3F7350E-7119-4D6D-8341-6BE5E8C6C799}"/>
    <cellStyle name="Normal 3" xfId="191" xr:uid="{6FC73AFC-F467-4060-9794-9993D589EDF5}"/>
    <cellStyle name="Normal 3 2" xfId="192" xr:uid="{0296CFE3-78EA-4F74-8F32-7EB6E09AF675}"/>
    <cellStyle name="Normal 3 3" xfId="193" xr:uid="{353A525C-A2BE-4A18-8384-3B065280112E}"/>
    <cellStyle name="Normal 3 4" xfId="887" xr:uid="{75453264-9B4B-4AD2-B74C-400EC95BA962}"/>
    <cellStyle name="Normal 3 5" xfId="890" xr:uid="{C4B816BE-9894-4683-915A-C12643E3F9D0}"/>
    <cellStyle name="Normal 3 5 2" xfId="893" xr:uid="{22875870-B67E-4FE8-8C45-A67F8ED58020}"/>
    <cellStyle name="Normal 3 6" xfId="900" xr:uid="{B9C57888-D39D-47C1-A759-C0D7A89DE8B5}"/>
    <cellStyle name="Normal 4" xfId="40" xr:uid="{AE39C200-45F7-4CCB-B61F-B60393B65AB7}"/>
    <cellStyle name="Normal 5" xfId="877" xr:uid="{CE094D4C-4B91-44BC-8839-AFB897D0DBE5}"/>
    <cellStyle name="Normal 6" xfId="881" xr:uid="{F6FE1185-86A9-40F8-A901-904A85EB2E2D}"/>
    <cellStyle name="Normal 6 2" xfId="882" xr:uid="{FDA6AE6A-FAEF-42A8-AFC1-EF7EFAC07C63}"/>
    <cellStyle name="Normal 7" xfId="883" xr:uid="{A77B37F5-9770-4C76-8B63-264480122D46}"/>
    <cellStyle name="Normal 7 2" xfId="884" xr:uid="{DC99609E-2D93-4922-A581-B139B739C716}"/>
    <cellStyle name="Nota 2" xfId="195" xr:uid="{DCEA56FF-70AF-494B-8AC2-B061AFFAC636}"/>
    <cellStyle name="Nota 3" xfId="196" xr:uid="{A2636C15-12F9-4C27-BAC1-34DEC677E2B8}"/>
    <cellStyle name="Nota 4" xfId="194" xr:uid="{3C48BC9B-3FE3-4497-9686-9F554735C569}"/>
    <cellStyle name="Note" xfId="197" xr:uid="{06C885A0-9E1F-469C-B04C-DC7D4051ED73}"/>
    <cellStyle name="Output" xfId="198" xr:uid="{4B55619C-B496-4A10-A3A4-CD43A66AC486}"/>
    <cellStyle name="Percen - Estilo1" xfId="33" xr:uid="{E283C5F5-2A04-4A60-A1C3-2B5EA8422EEC}"/>
    <cellStyle name="Percent" xfId="34" xr:uid="{AFD499B6-1A3F-4329-877D-59D5EC85971F}"/>
    <cellStyle name="Porcentagem" xfId="897" builtinId="5"/>
    <cellStyle name="Porcentagem 2" xfId="200" xr:uid="{12B00537-93FA-4E75-B72A-71F6AB8A053A}"/>
    <cellStyle name="Porcentagem 2 2" xfId="201" xr:uid="{291EDF80-664D-48C7-A47C-765FCFC0AA33}"/>
    <cellStyle name="Porcentagem 2 2 2" xfId="202" xr:uid="{D34FA59B-BFB4-4FE5-AD2A-6663CED83187}"/>
    <cellStyle name="Porcentagem 2 3" xfId="203" xr:uid="{72D82173-E2D6-4C84-BC83-B52C847E9778}"/>
    <cellStyle name="Porcentagem 2 4" xfId="888" xr:uid="{CCF0C9C5-06EE-488D-8AA8-4EF48D084BAA}"/>
    <cellStyle name="Porcentagem 2 4 2" xfId="892" xr:uid="{795A41B6-2546-4D82-A5A7-EDEBB1C33CE5}"/>
    <cellStyle name="Porcentagem 2 5" xfId="901" xr:uid="{202FA342-BCE1-42FB-8BC2-7C60B8FB4AA7}"/>
    <cellStyle name="Porcentagem 3" xfId="204" xr:uid="{F1BE4230-3BBF-4144-99DC-3C9AC9AED908}"/>
    <cellStyle name="Porcentagem 4" xfId="205" xr:uid="{AC928353-DA23-42E4-9563-2277EA89F12C}"/>
    <cellStyle name="Porcentagem 5" xfId="206" xr:uid="{B60E59C2-FBF7-4D67-AE40-C1C51577AA3E}"/>
    <cellStyle name="Porcentagem 6" xfId="199" xr:uid="{7D1EAD9D-2590-409A-91AD-4412F5B348CC}"/>
    <cellStyle name="Porcentagem 7" xfId="879" xr:uid="{71EC1A5B-F78A-4E30-8C1E-7DA0AE559C28}"/>
    <cellStyle name="Porcentaje" xfId="35" xr:uid="{C527729A-B474-4F87-951A-A09ACB817AA9}"/>
    <cellStyle name="Punto" xfId="36" xr:uid="{8E3636FE-A0CB-4BA6-A05C-8E5E837D34AA}"/>
    <cellStyle name="Punto0" xfId="37" xr:uid="{48701329-67DC-4D44-AD31-883F8D95F407}"/>
    <cellStyle name="Saída 2" xfId="208" xr:uid="{AE33F495-3FBD-42CA-9283-36AB68C65A92}"/>
    <cellStyle name="Saída 3" xfId="209" xr:uid="{AAC8B253-8B5D-427C-9BE1-A7A63707E721}"/>
    <cellStyle name="Saída 4" xfId="207" xr:uid="{7EC69DBC-A291-4784-A5E8-69DD559CCDC3}"/>
    <cellStyle name="Separador de milhares 10" xfId="211" xr:uid="{0081936F-FDE9-4CCD-98FF-E9957BFCA300}"/>
    <cellStyle name="Separador de milhares 12" xfId="212" xr:uid="{897A6C86-D098-4747-B22A-5916FCB57227}"/>
    <cellStyle name="Separador de milhares 2" xfId="213" xr:uid="{CE6F2757-6369-42AF-999E-96912605E887}"/>
    <cellStyle name="Separador de milhares 2 2" xfId="214" xr:uid="{3A460890-3F38-4CFF-AB3D-BEE31A67DCEC}"/>
    <cellStyle name="Separador de milhares 2 2 2" xfId="215" xr:uid="{8EE32FFD-6AFC-40D8-9DD5-940A7F56E186}"/>
    <cellStyle name="Separador de milhares 2 2 3" xfId="216" xr:uid="{E0D80BF6-CF35-46F7-8DBF-A13A6C51410F}"/>
    <cellStyle name="Separador de milhares 2 3" xfId="217" xr:uid="{88817CBE-4270-437F-8B79-8706C30C84EC}"/>
    <cellStyle name="Separador de milhares 3" xfId="218" xr:uid="{F49678D7-D350-4657-9453-E6CC1FCA6B54}"/>
    <cellStyle name="Separador de milhares 3 2" xfId="219" xr:uid="{A509DF12-3556-41CA-B22D-0BA3755F7488}"/>
    <cellStyle name="Separador de milhares 4" xfId="220" xr:uid="{79B64A5A-0108-4792-8273-B36104E8B6E5}"/>
    <cellStyle name="Separador de milhares 5" xfId="221" xr:uid="{5F4F5670-1C58-452A-AB06-DB59210200B6}"/>
    <cellStyle name="Separador de milhares 6" xfId="222" xr:uid="{875D7D05-F8B8-4CFF-8B36-62A5C3566B7D}"/>
    <cellStyle name="Separador de milhares 7" xfId="223" xr:uid="{D4CF1699-F418-4BA4-8C14-48CE98DA1CDB}"/>
    <cellStyle name="Separador de milhares 7 2" xfId="224" xr:uid="{4C778C06-973F-4AA8-8678-7EAF61C97F90}"/>
    <cellStyle name="Separador de milhares 8" xfId="225" xr:uid="{1065D458-62B4-4541-9A92-DECF95D50729}"/>
    <cellStyle name="Separador de milhares 8 2" xfId="226" xr:uid="{C1AFE0DF-A174-442D-9188-2EA44EE083D9}"/>
    <cellStyle name="Separador de milhares 9" xfId="227" xr:uid="{2CC9C9A4-0073-4E27-8B27-416E7612CDAE}"/>
    <cellStyle name="Texto de Aviso 2" xfId="229" xr:uid="{04F0DCCF-4761-49ED-8525-FE275E9E7D26}"/>
    <cellStyle name="Texto de Aviso 3" xfId="230" xr:uid="{9286C030-520F-41C5-8F06-AD4F9F34887F}"/>
    <cellStyle name="Texto de Aviso 4" xfId="228" xr:uid="{F48B95EF-E09B-44C6-855D-477CFE3DE263}"/>
    <cellStyle name="Texto Explicativo 2" xfId="232" xr:uid="{110B2BD9-30BC-4E39-BA2F-A040DE3BE0DA}"/>
    <cellStyle name="Texto Explicativo 3" xfId="233" xr:uid="{A53DD8EB-432D-48F1-BE71-4BC33E687D26}"/>
    <cellStyle name="Texto Explicativo 4" xfId="231" xr:uid="{195CCE82-F5F6-41FD-AB95-E71944C5ADE2}"/>
    <cellStyle name="Title" xfId="234" xr:uid="{71052220-3FFF-4055-B616-FA1C14875544}"/>
    <cellStyle name="Título 1 2" xfId="237" xr:uid="{23964D69-4B05-476A-96FA-763C21EDC386}"/>
    <cellStyle name="Título 1 3" xfId="238" xr:uid="{1D3FC967-70EE-487A-8B41-D6EA613A11E0}"/>
    <cellStyle name="Título 1 4" xfId="236" xr:uid="{BF8A70F6-A881-4D47-ACEA-90B9140F6C63}"/>
    <cellStyle name="Título 2 2" xfId="240" xr:uid="{211BFD67-4751-4392-A565-D9605A3B1BF3}"/>
    <cellStyle name="Título 2 3" xfId="241" xr:uid="{06009684-6E0E-4ADB-B99D-89C425C0ED44}"/>
    <cellStyle name="Título 2 4" xfId="239" xr:uid="{9FF40EDC-4220-492C-8E16-BFF0BE465E98}"/>
    <cellStyle name="Título 3 2" xfId="243" xr:uid="{05BB9F82-975E-44D9-82F4-A39BF9663E3D}"/>
    <cellStyle name="Título 3 3" xfId="244" xr:uid="{D591BF50-8103-4DFC-B8C1-083F7EB06B9C}"/>
    <cellStyle name="Título 3 4" xfId="242" xr:uid="{8F01BCCD-3EB4-4E57-A9D8-74FE138965FD}"/>
    <cellStyle name="Título 4 2" xfId="246" xr:uid="{99FDCABD-3988-4FC6-96F4-7C559DEA6115}"/>
    <cellStyle name="Título 4 3" xfId="247" xr:uid="{B34A05AF-94CD-4632-88FC-B704DCEAC276}"/>
    <cellStyle name="Título 4 4" xfId="245" xr:uid="{D59FDA90-9F56-4859-8DAA-E7639C129691}"/>
    <cellStyle name="Título 5" xfId="248" xr:uid="{62D5BDBA-92F9-4844-B0D8-2B14BD534998}"/>
    <cellStyle name="Título 6" xfId="249" xr:uid="{52240AAD-E23F-43CE-8CDA-09F009F0D4F1}"/>
    <cellStyle name="Título 7" xfId="235" xr:uid="{003D7DB7-D048-43B9-98D3-20FA3CAE3E13}"/>
    <cellStyle name="Total 2" xfId="39" xr:uid="{F3BAE81A-13FF-4991-B407-9699F071FFFD}"/>
    <cellStyle name="Total 2 2" xfId="252" xr:uid="{B6FDC6EE-5337-480B-A252-3D6651707791}"/>
    <cellStyle name="Total 2 3" xfId="251" xr:uid="{34A19B58-E5B6-4484-81FD-BED7B3964DF9}"/>
    <cellStyle name="Total 3" xfId="253" xr:uid="{1829F29E-013A-4524-B993-0C1A66D27988}"/>
    <cellStyle name="Total 4" xfId="254" xr:uid="{AAE88DEF-E0C1-4D85-9A8A-771C0FFD1C4F}"/>
    <cellStyle name="Total 5" xfId="250" xr:uid="{AA1CC218-EB62-4DA2-B2F6-2B026711B94E}"/>
    <cellStyle name="Total 6" xfId="38" xr:uid="{BDFD1FC9-4D80-440C-B7A8-9C183C96DA7F}"/>
    <cellStyle name="Vírgula" xfId="899" builtinId="3"/>
    <cellStyle name="Vírgula 2" xfId="210" xr:uid="{3017F946-27F0-4015-BB19-1F327C5F4845}"/>
    <cellStyle name="Vírgula 2 2" xfId="889" xr:uid="{F03BD6B9-E35E-4DBC-AE3A-7DBBBCF9FCB0}"/>
    <cellStyle name="Vírgula 2 2 2" xfId="891" xr:uid="{2BD3AF24-8BFE-4C73-9574-C74F1271E21C}"/>
    <cellStyle name="Vírgula 3" xfId="288" xr:uid="{3BD9CD34-8DC6-4396-A79C-0FE71062A666}"/>
    <cellStyle name="Vírgula 4" xfId="894" xr:uid="{0CE792CB-19FE-48D4-8D9A-3762D4136552}"/>
    <cellStyle name="Vírgula 5" xfId="896" xr:uid="{B6ED1CA1-2D92-4250-9A8C-3523FB01669B}"/>
    <cellStyle name="Warning Text" xfId="255" xr:uid="{E54383F0-38E4-4F00-A717-35B200B53A4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lisson Jobim Pereira Nascimento" id="{09E662DD-A6F6-4434-B61D-D8CB44A6E606}" userId="S::alisson.nascimento@presidencia.gov.br::695bbba7-af20-4ec5-b3d3-8d3621e1ed64"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0" dT="2023-12-08T13:01:34.62" personId="{09E662DD-A6F6-4434-B61D-D8CB44A6E606}" id="{E155D9EB-E3E7-4ECE-9DA6-B9C29D7EB1A7}">
    <text>* Houve um remanejamento das Vias Marginais previstas para serem executadas em Monte Alegre de Minas (TH 11) tendo em vista sua execução ter sido ocorrida pelo Departamento Nacional de Infraestrutura de Transportes (DNIT) antes da assunção da rodovia pela Ecovias do Cerrado.</text>
  </threadedComment>
  <threadedComment ref="C61" dT="2023-12-08T13:01:39.26" personId="{09E662DD-A6F6-4434-B61D-D8CB44A6E606}" id="{A43E12DB-60C7-49E9-9259-1E92F83F5DC1}">
    <text>* Houve um remanejamento das Vias Marginais previstas para serem executadas em Monte Alegre de Minas (TH 11) tendo em vista sua execução ter sido ocorrida pelo Departamento Nacional de Infraestrutura de Transportes (DNIT) antes da assunção da rodovia pela Ecovias do Cerrado.</text>
  </threadedComment>
  <threadedComment ref="F130" dT="2023-11-27T19:04:39.95" personId="{09E662DD-A6F6-4434-B61D-D8CB44A6E606}" id="{ADC67C30-0F28-466A-81FA-0C167216EA55}">
    <text>SÃO 8 TUNEIS COM MÉDIA DE 800 METROS. EM TORNO DE 7 KM O TOTAL.</text>
  </threadedComment>
  <threadedComment ref="F161" dT="2023-11-24T19:10:16.48" personId="{09E662DD-A6F6-4434-B61D-D8CB44A6E606}" id="{2365C413-224C-4A58-B2ED-20CFB30B7AD1}">
    <text xml:space="preserve">Contorno de Florianópolis, em pista dupla, com 47,33 km em cada sentido (total de 94,66 km), a ser executado do 7º ao 12º ano. </text>
  </threadedComment>
  <threadedComment ref="F225" dT="2023-11-24T19:10:16.48" personId="{09E662DD-A6F6-4434-B61D-D8CB44A6E606}" id="{CB8F8B02-06B9-4C94-9754-970BCB2644F1}">
    <text xml:space="preserve">Contorno de Florianópolis, em pista dupla, com 47,33 km em cada sentido (total de 94,66 km), a ser executado do 7º ao 12º ano. </text>
  </threadedComment>
  <threadedComment ref="F244" dT="2023-11-24T19:10:16.48" personId="{09E662DD-A6F6-4434-B61D-D8CB44A6E606}" id="{22D7DDE3-EC54-4DB6-9BD4-1B1023CA6D2B}">
    <text xml:space="preserve">Contorno de Florianópolis, em pista dupla, com 47,33 km em cada sentido (total de 94,66 km), a ser executado do 7º ao 12º ano. </text>
  </threadedComment>
  <threadedComment ref="F286" dT="2023-11-24T19:10:16.48" personId="{09E662DD-A6F6-4434-B61D-D8CB44A6E606}" id="{2C9FAC28-05E9-4BDB-A2EF-9E27D970F210}">
    <text xml:space="preserve">Contorno de Florianópolis, em pista dupla, com 47,33 km em cada sentido (total de 94,66 km), a ser executado do 7º ao 12º ano. </text>
  </threadedComment>
  <threadedComment ref="F308" dT="2023-11-24T19:10:16.48" personId="{09E662DD-A6F6-4434-B61D-D8CB44A6E606}" id="{BAC6D021-A628-4669-A790-F9F5900FBD80}">
    <text xml:space="preserve">Contorno de Florianópolis, em pista dupla, com 47,33 km em cada sentido (total de 94,66 km), a ser executado do 7º ao 12º ano. </text>
  </threadedComment>
  <threadedComment ref="C419" dT="2023-11-20T12:50:50.74" personId="{09E662DD-A6F6-4434-B61D-D8CB44A6E606}" id="{CFC430EC-ED95-42A3-92B6-D4508B008CFE}">
    <text>Como se trata de um viaduto elevado foi considerado o custo de uma interconexão em diamante</text>
  </threadedComment>
  <threadedComment ref="D419" dT="2023-11-20T13:07:06.40" personId="{09E662DD-A6F6-4434-B61D-D8CB44A6E606}" id="{DA5680CA-1A95-4F40-A490-545BF3721E87}">
    <text>Estaca 1 + 16</text>
  </threadedComment>
  <threadedComment ref="E419" dT="2023-11-20T13:07:25.78" personId="{09E662DD-A6F6-4434-B61D-D8CB44A6E606}" id="{E81C6200-700E-454B-8F85-B2B1AA93C590}">
    <text>Estaca 121 + 18</text>
  </threadedComment>
  <threadedComment ref="C421" dT="2023-11-20T12:50:50.74" personId="{09E662DD-A6F6-4434-B61D-D8CB44A6E606}" id="{4D41A9B1-2DD6-481D-8AE3-D5E8AD042804}">
    <text>Como se trata de um viaduto elevado foi considerado o custo de uma interconexão em diamante</text>
  </threadedComment>
  <threadedComment ref="C422" dT="2023-11-20T12:55:33.07" personId="{09E662DD-A6F6-4434-B61D-D8CB44A6E606}" id="{8CA504ED-AA40-45BA-AD1E-B5B95458A09D}">
    <text>Foi considerado o custo de um túnel, em torno de 50% por ser embaixo de uma praça.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GEFOP/SitePages/Acompanhamento_de_Obras.aspx"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AD7E-BDF7-4F60-A9B1-C58B621465F9}">
  <dimension ref="A1:W1713"/>
  <sheetViews>
    <sheetView workbookViewId="0">
      <pane ySplit="2" topLeftCell="A3" activePane="bottomLeft" state="frozen"/>
      <selection sqref="A1:A2"/>
      <selection pane="bottomLeft" sqref="A1:A2"/>
    </sheetView>
  </sheetViews>
  <sheetFormatPr defaultRowHeight="15" x14ac:dyDescent="0.25"/>
  <cols>
    <col min="1" max="1" width="21" style="23" bestFit="1" customWidth="1"/>
    <col min="2" max="2" width="21" style="24" customWidth="1"/>
    <col min="3" max="3" width="112.85546875" style="23" customWidth="1"/>
    <col min="4" max="4" width="7.5703125" style="23" bestFit="1" customWidth="1"/>
    <col min="5" max="5" width="6.5703125" style="23" bestFit="1" customWidth="1"/>
    <col min="6" max="6" width="8.85546875" style="23" bestFit="1" customWidth="1"/>
    <col min="7" max="7" width="21.7109375" style="23" customWidth="1"/>
    <col min="8" max="8" width="12.140625" style="23" customWidth="1"/>
    <col min="9" max="9" width="9.140625" style="23" customWidth="1"/>
    <col min="10" max="10" width="11.5703125" style="23" bestFit="1" customWidth="1"/>
    <col min="11" max="11" width="14" style="23" customWidth="1"/>
    <col min="12" max="14" width="14.85546875" style="23" customWidth="1"/>
    <col min="15" max="15" width="9.85546875" bestFit="1" customWidth="1"/>
    <col min="16" max="16" width="10.140625" bestFit="1" customWidth="1"/>
    <col min="17" max="17" width="9.85546875" bestFit="1" customWidth="1"/>
    <col min="18" max="18" width="10.140625" bestFit="1" customWidth="1"/>
    <col min="19" max="19" width="14.140625" customWidth="1"/>
    <col min="20" max="20" width="16.42578125" bestFit="1" customWidth="1"/>
    <col min="21" max="22" width="15.7109375" customWidth="1"/>
    <col min="23" max="23" width="13.140625" bestFit="1" customWidth="1"/>
  </cols>
  <sheetData>
    <row r="1" spans="1:23" ht="45" x14ac:dyDescent="0.25">
      <c r="A1" s="140" t="s">
        <v>2</v>
      </c>
      <c r="B1" s="140" t="s">
        <v>325</v>
      </c>
      <c r="C1" s="140" t="s">
        <v>10</v>
      </c>
      <c r="D1" s="140" t="s">
        <v>11</v>
      </c>
      <c r="E1" s="140" t="s">
        <v>12</v>
      </c>
      <c r="F1" s="140" t="s">
        <v>13</v>
      </c>
      <c r="G1" s="9"/>
      <c r="H1" s="11" t="s">
        <v>364</v>
      </c>
      <c r="I1" s="11" t="s">
        <v>309</v>
      </c>
      <c r="J1" s="31" t="s">
        <v>310</v>
      </c>
      <c r="K1" s="31" t="s">
        <v>312</v>
      </c>
      <c r="L1" s="137" t="s">
        <v>311</v>
      </c>
      <c r="M1" s="138"/>
      <c r="N1" s="139"/>
      <c r="O1" s="136" t="s">
        <v>313</v>
      </c>
      <c r="P1" s="136"/>
      <c r="Q1" s="136" t="s">
        <v>309</v>
      </c>
      <c r="R1" s="136"/>
      <c r="S1" s="3" t="s">
        <v>310</v>
      </c>
      <c r="T1" s="3" t="s">
        <v>312</v>
      </c>
      <c r="U1" s="136" t="s">
        <v>311</v>
      </c>
      <c r="V1" s="136"/>
      <c r="W1" s="136"/>
    </row>
    <row r="2" spans="1:23" x14ac:dyDescent="0.25">
      <c r="A2" s="140"/>
      <c r="B2" s="140"/>
      <c r="C2" s="140"/>
      <c r="D2" s="140"/>
      <c r="E2" s="140"/>
      <c r="F2" s="140"/>
      <c r="G2" s="9"/>
      <c r="H2" s="9"/>
      <c r="I2" s="9"/>
      <c r="J2" s="9"/>
      <c r="K2" s="9"/>
      <c r="L2" s="9">
        <v>2025</v>
      </c>
      <c r="M2" s="9">
        <v>2026</v>
      </c>
      <c r="N2" s="9" t="s">
        <v>932</v>
      </c>
      <c r="O2" s="3" t="s">
        <v>314</v>
      </c>
      <c r="P2" s="3" t="s">
        <v>315</v>
      </c>
      <c r="Q2" s="3" t="s">
        <v>314</v>
      </c>
      <c r="R2" s="3" t="s">
        <v>315</v>
      </c>
      <c r="S2" s="3" t="s">
        <v>314</v>
      </c>
      <c r="T2" s="3" t="s">
        <v>316</v>
      </c>
      <c r="U2" s="3">
        <v>2025</v>
      </c>
      <c r="V2" s="3">
        <v>2026</v>
      </c>
      <c r="W2" s="3" t="s">
        <v>931</v>
      </c>
    </row>
    <row r="3" spans="1:23" x14ac:dyDescent="0.25">
      <c r="A3" s="22" t="s">
        <v>382</v>
      </c>
      <c r="B3" s="13" t="s">
        <v>317</v>
      </c>
      <c r="C3" s="6" t="s">
        <v>14</v>
      </c>
      <c r="D3" s="6">
        <v>337.7</v>
      </c>
      <c r="E3" s="6">
        <v>340.7</v>
      </c>
      <c r="F3" s="34">
        <f>E3-D3</f>
        <v>3</v>
      </c>
      <c r="G3" s="42" t="str">
        <f>_xlfn.TEXTJOIN(" - ",TRUE,A3:F3)</f>
        <v>CONCESSÃO VIA SUL - PAVIMENTAÇÃO - Vias Marginais- Lajeado LD - 337,7 - 340,7 - 3</v>
      </c>
      <c r="H3" s="26" t="s">
        <v>363</v>
      </c>
      <c r="I3" s="26"/>
      <c r="J3" s="26"/>
      <c r="K3" s="26"/>
      <c r="L3" s="26"/>
      <c r="M3" s="26"/>
      <c r="N3" s="26"/>
    </row>
    <row r="4" spans="1:23" x14ac:dyDescent="0.25">
      <c r="A4" s="22" t="s">
        <v>382</v>
      </c>
      <c r="B4" s="13" t="s">
        <v>317</v>
      </c>
      <c r="C4" s="5" t="s">
        <v>14</v>
      </c>
      <c r="D4" s="5">
        <v>340.7</v>
      </c>
      <c r="E4" s="5">
        <v>344.2</v>
      </c>
      <c r="F4" s="35">
        <f t="shared" ref="F4:F6" si="0">E4-D4</f>
        <v>3.5</v>
      </c>
      <c r="G4" s="42" t="str">
        <f t="shared" ref="G4:G66" si="1">_xlfn.TEXTJOIN(" - ",TRUE,A4:F4)</f>
        <v>CONCESSÃO VIA SUL - PAVIMENTAÇÃO - Vias Marginais- Lajeado LD - 340,7 - 344,2 - 3,5</v>
      </c>
      <c r="H4" s="26" t="s">
        <v>363</v>
      </c>
      <c r="I4" s="26"/>
      <c r="J4" s="26"/>
      <c r="K4" s="26"/>
      <c r="L4" s="26"/>
      <c r="M4" s="26"/>
      <c r="N4" s="26"/>
    </row>
    <row r="5" spans="1:23" x14ac:dyDescent="0.25">
      <c r="A5" s="22" t="s">
        <v>382</v>
      </c>
      <c r="B5" s="13" t="s">
        <v>317</v>
      </c>
      <c r="C5" s="5" t="s">
        <v>15</v>
      </c>
      <c r="D5" s="5">
        <v>337.7</v>
      </c>
      <c r="E5" s="5">
        <v>340.7</v>
      </c>
      <c r="F5" s="35">
        <f t="shared" si="0"/>
        <v>3</v>
      </c>
      <c r="G5" s="42" t="str">
        <f t="shared" si="1"/>
        <v>CONCESSÃO VIA SUL - PAVIMENTAÇÃO - Vias Marginais- Lajeado LE - 337,7 - 340,7 - 3</v>
      </c>
      <c r="H5" s="26" t="s">
        <v>363</v>
      </c>
      <c r="I5" s="26"/>
      <c r="J5" s="26"/>
      <c r="K5" s="26"/>
      <c r="L5" s="26"/>
      <c r="M5" s="26"/>
      <c r="N5" s="26"/>
    </row>
    <row r="6" spans="1:23" x14ac:dyDescent="0.25">
      <c r="A6" s="22" t="s">
        <v>382</v>
      </c>
      <c r="B6" s="13" t="s">
        <v>317</v>
      </c>
      <c r="C6" s="5" t="s">
        <v>15</v>
      </c>
      <c r="D6" s="5">
        <v>340.7</v>
      </c>
      <c r="E6" s="5">
        <v>344.2</v>
      </c>
      <c r="F6" s="35">
        <f t="shared" si="0"/>
        <v>3.5</v>
      </c>
      <c r="G6" s="42" t="str">
        <f t="shared" si="1"/>
        <v>CONCESSÃO VIA SUL - PAVIMENTAÇÃO - Vias Marginais- Lajeado LE - 340,7 - 344,2 - 3,5</v>
      </c>
      <c r="H6" s="26" t="s">
        <v>363</v>
      </c>
      <c r="I6" s="26"/>
      <c r="J6" s="26"/>
      <c r="K6" s="26"/>
      <c r="L6" s="26"/>
      <c r="M6" s="26"/>
      <c r="N6" s="26"/>
    </row>
    <row r="7" spans="1:23" x14ac:dyDescent="0.25">
      <c r="A7" s="22" t="s">
        <v>382</v>
      </c>
      <c r="B7" s="13" t="s">
        <v>318</v>
      </c>
      <c r="C7" s="5" t="s">
        <v>16</v>
      </c>
      <c r="D7" s="5">
        <v>324.10000000000002</v>
      </c>
      <c r="E7" s="5">
        <v>324.60000000000002</v>
      </c>
      <c r="F7" s="35">
        <f>E7-D7</f>
        <v>0.5</v>
      </c>
      <c r="G7" s="42" t="str">
        <f t="shared" si="1"/>
        <v>CONCESSÃO VIA SUL - DUPLICAÇÃO - Duplicação - Marques de Souza/ Lajeado - Subtrecho 01 - 324,1 - 324,6 - 0,5</v>
      </c>
      <c r="H7" s="26" t="s">
        <v>363</v>
      </c>
      <c r="I7" s="26"/>
      <c r="J7" s="26"/>
      <c r="K7" s="26"/>
      <c r="L7" s="26"/>
      <c r="M7" s="26"/>
      <c r="N7" s="26"/>
    </row>
    <row r="8" spans="1:23" x14ac:dyDescent="0.25">
      <c r="A8" s="22" t="s">
        <v>382</v>
      </c>
      <c r="B8" s="13" t="s">
        <v>318</v>
      </c>
      <c r="C8" s="5" t="s">
        <v>17</v>
      </c>
      <c r="D8" s="5">
        <v>324.60000000000002</v>
      </c>
      <c r="E8" s="5">
        <v>324.654</v>
      </c>
      <c r="F8" s="35">
        <f t="shared" ref="F8:F24" si="2">E8-D8</f>
        <v>5.3999999999973625E-2</v>
      </c>
      <c r="G8" s="42" t="str">
        <f t="shared" si="1"/>
        <v>CONCESSÃO VIA SUL - DUPLICAÇÃO - Duplicação - Marques de Souza/ Lajeado - Subtrecho 02 - OAE km 326+100  SNV* - 324,6 - 324,654 - 0,0539999999999736</v>
      </c>
      <c r="H8" s="26" t="s">
        <v>363</v>
      </c>
      <c r="I8" s="26"/>
      <c r="J8" s="26"/>
      <c r="K8" s="26"/>
      <c r="L8" s="26"/>
      <c r="M8" s="26"/>
      <c r="N8" s="26"/>
    </row>
    <row r="9" spans="1:23" x14ac:dyDescent="0.25">
      <c r="A9" s="22" t="s">
        <v>382</v>
      </c>
      <c r="B9" s="13" t="s">
        <v>318</v>
      </c>
      <c r="C9" s="5" t="s">
        <v>18</v>
      </c>
      <c r="D9" s="5">
        <v>324.654</v>
      </c>
      <c r="E9" s="5">
        <v>328.3</v>
      </c>
      <c r="F9" s="35">
        <f t="shared" si="2"/>
        <v>3.646000000000015</v>
      </c>
      <c r="G9" s="42" t="str">
        <f t="shared" si="1"/>
        <v>CONCESSÃO VIA SUL - DUPLICAÇÃO - Duplicação - Marques de Souza/ Lajeado - Subtrecho 03 - 324,654 - 328,3 - 3,64600000000002</v>
      </c>
      <c r="H9" s="26" t="s">
        <v>363</v>
      </c>
      <c r="I9" s="26"/>
      <c r="J9" s="26"/>
      <c r="K9" s="26"/>
      <c r="L9" s="26"/>
      <c r="M9" s="26"/>
      <c r="N9" s="26"/>
    </row>
    <row r="10" spans="1:23" x14ac:dyDescent="0.25">
      <c r="A10" s="22" t="s">
        <v>382</v>
      </c>
      <c r="B10" s="13" t="s">
        <v>318</v>
      </c>
      <c r="C10" s="5" t="s">
        <v>19</v>
      </c>
      <c r="D10" s="5">
        <v>328.3</v>
      </c>
      <c r="E10" s="5">
        <v>328.35399999999998</v>
      </c>
      <c r="F10" s="35">
        <f t="shared" si="2"/>
        <v>5.3999999999973625E-2</v>
      </c>
      <c r="G10" s="42" t="str">
        <f t="shared" si="1"/>
        <v>CONCESSÃO VIA SUL - DUPLICAÇÃO - Duplicação - Marques de Souza/ Lajeado - Subtrecho 04 - OAE km 329+700 SNV* - 328,3 - 328,354 - 0,0539999999999736</v>
      </c>
      <c r="H10" s="26" t="s">
        <v>363</v>
      </c>
      <c r="I10" s="26"/>
      <c r="J10" s="26"/>
      <c r="K10" s="26"/>
      <c r="L10" s="26"/>
      <c r="M10" s="26"/>
      <c r="N10" s="26"/>
    </row>
    <row r="11" spans="1:23" x14ac:dyDescent="0.25">
      <c r="A11" s="22" t="s">
        <v>382</v>
      </c>
      <c r="B11" s="13" t="s">
        <v>318</v>
      </c>
      <c r="C11" s="5" t="s">
        <v>20</v>
      </c>
      <c r="D11" s="5">
        <v>328.35399999999998</v>
      </c>
      <c r="E11" s="5">
        <v>328.75</v>
      </c>
      <c r="F11" s="35">
        <f t="shared" si="2"/>
        <v>0.39600000000001501</v>
      </c>
      <c r="G11" s="42" t="str">
        <f t="shared" si="1"/>
        <v>CONCESSÃO VIA SUL - DUPLICAÇÃO - Duplicação - Marques de Souza/ Lajeado - Subtrecho 05 - 328,354 - 328,75 - 0,396000000000015</v>
      </c>
      <c r="H11" s="26" t="s">
        <v>363</v>
      </c>
      <c r="I11" s="26"/>
      <c r="J11" s="26"/>
      <c r="K11" s="26"/>
      <c r="L11" s="26"/>
      <c r="M11" s="26"/>
      <c r="N11" s="26"/>
    </row>
    <row r="12" spans="1:23" x14ac:dyDescent="0.25">
      <c r="A12" s="22" t="s">
        <v>382</v>
      </c>
      <c r="B12" s="13" t="s">
        <v>318</v>
      </c>
      <c r="C12" s="5" t="s">
        <v>21</v>
      </c>
      <c r="D12" s="5">
        <v>328.75</v>
      </c>
      <c r="E12" s="5">
        <v>328.79399999999998</v>
      </c>
      <c r="F12" s="35">
        <f t="shared" si="2"/>
        <v>4.399999999998272E-2</v>
      </c>
      <c r="G12" s="42" t="str">
        <f t="shared" si="1"/>
        <v>CONCESSÃO VIA SUL - DUPLICAÇÃO - Duplicação - Marques de Souza/ Lajeado - Subtrecho 06 - OAE km 330+200 SNV* - 328,75 - 328,794 - 0,0439999999999827</v>
      </c>
      <c r="H12" s="26" t="s">
        <v>363</v>
      </c>
      <c r="I12" s="26"/>
      <c r="J12" s="26"/>
      <c r="K12" s="26"/>
      <c r="L12" s="26"/>
      <c r="M12" s="26"/>
      <c r="N12" s="26"/>
    </row>
    <row r="13" spans="1:23" x14ac:dyDescent="0.25">
      <c r="A13" s="22" t="s">
        <v>382</v>
      </c>
      <c r="B13" s="13" t="s">
        <v>318</v>
      </c>
      <c r="C13" s="5" t="s">
        <v>22</v>
      </c>
      <c r="D13" s="5">
        <v>328.79399999999998</v>
      </c>
      <c r="E13" s="5">
        <v>329.5</v>
      </c>
      <c r="F13" s="35">
        <f t="shared" si="2"/>
        <v>0.70600000000001728</v>
      </c>
      <c r="G13" s="42" t="str">
        <f t="shared" si="1"/>
        <v>CONCESSÃO VIA SUL - DUPLICAÇÃO - Duplicação - Marques de Souza/ Lajeado - Subtrecho 07 - 328,794 - 329,5 - 0,706000000000017</v>
      </c>
      <c r="H13" s="26" t="s">
        <v>363</v>
      </c>
      <c r="I13" s="26"/>
      <c r="J13" s="26"/>
      <c r="K13" s="26"/>
      <c r="L13" s="26"/>
      <c r="M13" s="26"/>
      <c r="N13" s="26"/>
    </row>
    <row r="14" spans="1:23" x14ac:dyDescent="0.25">
      <c r="A14" s="22" t="s">
        <v>382</v>
      </c>
      <c r="B14" s="13" t="s">
        <v>318</v>
      </c>
      <c r="C14" s="5" t="s">
        <v>23</v>
      </c>
      <c r="D14" s="5">
        <v>329.5</v>
      </c>
      <c r="E14" s="5">
        <v>329.54399999999998</v>
      </c>
      <c r="F14" s="35">
        <f t="shared" si="2"/>
        <v>4.399999999998272E-2</v>
      </c>
      <c r="G14" s="42" t="str">
        <f t="shared" si="1"/>
        <v>CONCESSÃO VIA SUL - DUPLICAÇÃO - Duplicação - Marques de Souza/ Lajeado - Subtrecho 08 - km 331+000 SNV* - 329,5 - 329,544 - 0,0439999999999827</v>
      </c>
      <c r="H14" s="26" t="s">
        <v>363</v>
      </c>
      <c r="I14" s="26"/>
      <c r="J14" s="26"/>
      <c r="K14" s="26"/>
      <c r="L14" s="26"/>
      <c r="M14" s="26"/>
      <c r="N14" s="26"/>
    </row>
    <row r="15" spans="1:23" x14ac:dyDescent="0.25">
      <c r="A15" s="22" t="s">
        <v>382</v>
      </c>
      <c r="B15" s="13" t="s">
        <v>318</v>
      </c>
      <c r="C15" s="5" t="s">
        <v>24</v>
      </c>
      <c r="D15" s="5">
        <v>329.54399999999998</v>
      </c>
      <c r="E15" s="5">
        <v>330.03</v>
      </c>
      <c r="F15" s="35">
        <f t="shared" si="2"/>
        <v>0.48599999999999</v>
      </c>
      <c r="G15" s="42" t="str">
        <f t="shared" si="1"/>
        <v>CONCESSÃO VIA SUL - DUPLICAÇÃO - Duplicação - Marques de Souza/ Lajeado - Subtrecho 09 - 329,544 - 330,03 - 0,48599999999999</v>
      </c>
      <c r="H15" s="26" t="s">
        <v>363</v>
      </c>
      <c r="I15" s="26"/>
      <c r="J15" s="26"/>
      <c r="K15" s="26"/>
      <c r="L15" s="26"/>
      <c r="M15" s="26"/>
      <c r="N15" s="26"/>
    </row>
    <row r="16" spans="1:23" x14ac:dyDescent="0.25">
      <c r="A16" s="22" t="s">
        <v>382</v>
      </c>
      <c r="B16" s="13" t="s">
        <v>318</v>
      </c>
      <c r="C16" s="5" t="s">
        <v>25</v>
      </c>
      <c r="D16" s="5">
        <v>330.03</v>
      </c>
      <c r="E16" s="5">
        <v>330.07400000000001</v>
      </c>
      <c r="F16" s="35">
        <f t="shared" si="2"/>
        <v>4.4000000000039563E-2</v>
      </c>
      <c r="G16" s="42" t="str">
        <f t="shared" si="1"/>
        <v>CONCESSÃO VIA SUL - DUPLICAÇÃO - Duplicação - Marques de Souza/ Lajeado - Subtrecho 10 - km 331+400 SNV* - 330,03 - 330,074 - 0,0440000000000396</v>
      </c>
      <c r="H16" s="26" t="s">
        <v>363</v>
      </c>
      <c r="I16" s="26"/>
      <c r="J16" s="26"/>
      <c r="K16" s="26"/>
      <c r="L16" s="26"/>
      <c r="M16" s="26"/>
      <c r="N16" s="26"/>
    </row>
    <row r="17" spans="1:14" x14ac:dyDescent="0.25">
      <c r="A17" s="22" t="s">
        <v>382</v>
      </c>
      <c r="B17" s="13" t="s">
        <v>318</v>
      </c>
      <c r="C17" s="5" t="s">
        <v>26</v>
      </c>
      <c r="D17" s="5">
        <v>330.07400000000001</v>
      </c>
      <c r="E17" s="5">
        <v>331.6</v>
      </c>
      <c r="F17" s="35">
        <f t="shared" si="2"/>
        <v>1.5260000000000105</v>
      </c>
      <c r="G17" s="42" t="str">
        <f t="shared" si="1"/>
        <v>CONCESSÃO VIA SUL - DUPLICAÇÃO - Duplicação - Marques de Souza/ Lajeado - Subtrecho 11 - 330,074 - 331,6 - 1,52600000000001</v>
      </c>
      <c r="H17" s="26" t="s">
        <v>363</v>
      </c>
      <c r="I17" s="26"/>
      <c r="J17" s="26"/>
      <c r="K17" s="26"/>
      <c r="L17" s="26"/>
      <c r="M17" s="26"/>
      <c r="N17" s="26"/>
    </row>
    <row r="18" spans="1:14" x14ac:dyDescent="0.25">
      <c r="A18" s="22" t="s">
        <v>382</v>
      </c>
      <c r="B18" s="13" t="s">
        <v>318</v>
      </c>
      <c r="C18" s="5" t="s">
        <v>27</v>
      </c>
      <c r="D18" s="5">
        <v>331.6</v>
      </c>
      <c r="E18" s="5">
        <v>332.95</v>
      </c>
      <c r="F18" s="35">
        <f t="shared" si="2"/>
        <v>1.3499999999999659</v>
      </c>
      <c r="G18" s="42" t="str">
        <f t="shared" si="1"/>
        <v>CONCESSÃO VIA SUL - DUPLICAÇÃO - Duplicação - Marques de Souza/ Lajeado - Subtrecho 12 - 331,6 - 332,95 - 1,34999999999997</v>
      </c>
      <c r="H18" s="26" t="s">
        <v>363</v>
      </c>
      <c r="I18" s="26"/>
      <c r="J18" s="26"/>
      <c r="K18" s="26"/>
      <c r="L18" s="26"/>
      <c r="M18" s="26"/>
      <c r="N18" s="26"/>
    </row>
    <row r="19" spans="1:14" x14ac:dyDescent="0.25">
      <c r="A19" s="22" t="s">
        <v>382</v>
      </c>
      <c r="B19" s="13" t="s">
        <v>318</v>
      </c>
      <c r="C19" s="5" t="s">
        <v>28</v>
      </c>
      <c r="D19" s="5">
        <v>332.95</v>
      </c>
      <c r="E19" s="5">
        <v>335.67700000000002</v>
      </c>
      <c r="F19" s="35">
        <f t="shared" si="2"/>
        <v>2.7270000000000323</v>
      </c>
      <c r="G19" s="42" t="str">
        <f t="shared" si="1"/>
        <v>CONCESSÃO VIA SUL - DUPLICAÇÃO - Duplicação - Marques de Souza/ Lajeado - Subtrecho 13 - 332,95 - 335,677 - 2,72700000000003</v>
      </c>
      <c r="H19" s="26" t="s">
        <v>363</v>
      </c>
      <c r="I19" s="26"/>
      <c r="J19" s="26"/>
      <c r="K19" s="26"/>
      <c r="L19" s="26"/>
      <c r="M19" s="26"/>
      <c r="N19" s="26"/>
    </row>
    <row r="20" spans="1:14" x14ac:dyDescent="0.25">
      <c r="A20" s="22" t="s">
        <v>382</v>
      </c>
      <c r="B20" s="13" t="s">
        <v>318</v>
      </c>
      <c r="C20" s="5" t="s">
        <v>29</v>
      </c>
      <c r="D20" s="5">
        <v>335.67700000000002</v>
      </c>
      <c r="E20" s="5">
        <v>337.7</v>
      </c>
      <c r="F20" s="35">
        <f t="shared" si="2"/>
        <v>2.0229999999999677</v>
      </c>
      <c r="G20" s="42" t="str">
        <f t="shared" si="1"/>
        <v>CONCESSÃO VIA SUL - DUPLICAÇÃO - Duplicação - Marques de Souza/ Lajeado - Subtrecho 14 - 335,677 - 337,7 - 2,02299999999997</v>
      </c>
      <c r="H20" s="26" t="s">
        <v>363</v>
      </c>
      <c r="I20" s="26"/>
      <c r="J20" s="26"/>
      <c r="K20" s="26"/>
      <c r="L20" s="26"/>
      <c r="M20" s="26"/>
      <c r="N20" s="26"/>
    </row>
    <row r="21" spans="1:14" x14ac:dyDescent="0.25">
      <c r="A21" s="22" t="s">
        <v>382</v>
      </c>
      <c r="B21" s="13" t="s">
        <v>318</v>
      </c>
      <c r="C21" s="5" t="s">
        <v>30</v>
      </c>
      <c r="D21" s="5">
        <v>337.79199999999997</v>
      </c>
      <c r="E21" s="5">
        <v>337.92500000000001</v>
      </c>
      <c r="F21" s="35">
        <f t="shared" si="2"/>
        <v>0.1330000000000382</v>
      </c>
      <c r="G21" s="42" t="str">
        <f t="shared" si="1"/>
        <v>CONCESSÃO VIA SUL - DUPLICAÇÃO - Duplicação - Marques de Souza/ Lajeado - Subtrecho 15 - OAE km 339+100 SNV* - 337,792 - 337,925 - 0,133000000000038</v>
      </c>
      <c r="H21" s="26" t="s">
        <v>363</v>
      </c>
      <c r="I21" s="26"/>
      <c r="J21" s="26"/>
      <c r="K21" s="26"/>
      <c r="L21" s="26"/>
      <c r="M21" s="26"/>
      <c r="N21" s="26"/>
    </row>
    <row r="22" spans="1:14" x14ac:dyDescent="0.25">
      <c r="A22" s="22" t="s">
        <v>382</v>
      </c>
      <c r="B22" s="13" t="s">
        <v>318</v>
      </c>
      <c r="C22" s="5" t="s">
        <v>31</v>
      </c>
      <c r="D22" s="5">
        <v>337.78199999999998</v>
      </c>
      <c r="E22" s="5">
        <v>340.35</v>
      </c>
      <c r="F22" s="35">
        <f t="shared" si="2"/>
        <v>2.5680000000000405</v>
      </c>
      <c r="G22" s="42" t="str">
        <f t="shared" si="1"/>
        <v>CONCESSÃO VIA SUL - DUPLICAÇÃO - Duplicação - Marques de Souza/ Lajeado - Subtrecho 16 - OAE km 339+100 SNV* - 337,782 - 340,35 - 2,56800000000004</v>
      </c>
      <c r="H22" s="26" t="s">
        <v>363</v>
      </c>
      <c r="I22" s="26"/>
      <c r="J22" s="26"/>
      <c r="K22" s="26"/>
      <c r="L22" s="26"/>
      <c r="M22" s="26"/>
      <c r="N22" s="26"/>
    </row>
    <row r="23" spans="1:14" x14ac:dyDescent="0.25">
      <c r="A23" s="22" t="s">
        <v>382</v>
      </c>
      <c r="B23" s="13" t="s">
        <v>318</v>
      </c>
      <c r="C23" s="5" t="s">
        <v>32</v>
      </c>
      <c r="D23" s="5">
        <v>340.35</v>
      </c>
      <c r="E23" s="5">
        <v>343.9</v>
      </c>
      <c r="F23" s="35">
        <f t="shared" si="2"/>
        <v>3.5499999999999545</v>
      </c>
      <c r="G23" s="42" t="str">
        <f t="shared" si="1"/>
        <v>CONCESSÃO VIA SUL - DUPLICAÇÃO - Duplicação - Marques de Souza/ Lajeado - Subtrecho 17 - 340,35 - 343,9 - 3,54999999999995</v>
      </c>
      <c r="H23" s="26" t="s">
        <v>363</v>
      </c>
      <c r="I23" s="26"/>
      <c r="J23" s="26"/>
      <c r="K23" s="26"/>
      <c r="L23" s="26"/>
      <c r="M23" s="26"/>
      <c r="N23" s="26"/>
    </row>
    <row r="24" spans="1:14" x14ac:dyDescent="0.25">
      <c r="A24" s="22" t="s">
        <v>382</v>
      </c>
      <c r="B24" s="13" t="s">
        <v>318</v>
      </c>
      <c r="C24" s="5" t="s">
        <v>33</v>
      </c>
      <c r="D24" s="5">
        <v>343.9</v>
      </c>
      <c r="E24" s="5">
        <v>344.4</v>
      </c>
      <c r="F24" s="35">
        <f t="shared" si="2"/>
        <v>0.5</v>
      </c>
      <c r="G24" s="42" t="str">
        <f t="shared" si="1"/>
        <v>CONCESSÃO VIA SUL - DUPLICAÇÃO - Duplicação - Marques de Souza/ Lajeado - Subtrecho 18 - 343,9 - 344,4 - 0,5</v>
      </c>
      <c r="H24" s="26" t="s">
        <v>363</v>
      </c>
      <c r="I24" s="26"/>
      <c r="J24" s="26"/>
      <c r="K24" s="26"/>
      <c r="L24" s="26"/>
      <c r="M24" s="26"/>
      <c r="N24" s="26"/>
    </row>
    <row r="25" spans="1:14" x14ac:dyDescent="0.25">
      <c r="A25" s="22" t="s">
        <v>382</v>
      </c>
      <c r="B25" s="13" t="s">
        <v>319</v>
      </c>
      <c r="C25" s="5" t="s">
        <v>34</v>
      </c>
      <c r="D25" s="5">
        <v>0</v>
      </c>
      <c r="E25" s="5">
        <v>0</v>
      </c>
      <c r="F25" s="35">
        <v>1</v>
      </c>
      <c r="G25" s="42" t="str">
        <f t="shared" si="1"/>
        <v>CONCESSÃO VIA SUL - OAE - Ponte sobre o Rio Mampituba - 0 - 0 - 1</v>
      </c>
      <c r="H25" s="26" t="s">
        <v>363</v>
      </c>
      <c r="I25" s="26"/>
      <c r="J25" s="26"/>
      <c r="K25" s="26"/>
      <c r="L25" s="26"/>
      <c r="M25" s="26"/>
      <c r="N25" s="26"/>
    </row>
    <row r="26" spans="1:14" x14ac:dyDescent="0.25">
      <c r="A26" s="22" t="s">
        <v>382</v>
      </c>
      <c r="B26" s="13" t="s">
        <v>319</v>
      </c>
      <c r="C26" s="5" t="s">
        <v>35</v>
      </c>
      <c r="D26" s="5">
        <v>52.93</v>
      </c>
      <c r="E26" s="5">
        <v>52.93</v>
      </c>
      <c r="F26" s="35">
        <v>1</v>
      </c>
      <c r="G26" s="42" t="str">
        <f t="shared" si="1"/>
        <v>CONCESSÃO VIA SUL - OAE - Ponte sobre o Rio Sanga Funda - 52,93 - 52,93 - 1</v>
      </c>
      <c r="H26" s="26" t="s">
        <v>363</v>
      </c>
      <c r="I26" s="26"/>
      <c r="J26" s="26"/>
      <c r="K26" s="26"/>
      <c r="L26" s="26"/>
      <c r="M26" s="26"/>
      <c r="N26" s="26"/>
    </row>
    <row r="27" spans="1:14" x14ac:dyDescent="0.25">
      <c r="A27" s="22" t="s">
        <v>382</v>
      </c>
      <c r="B27" s="13" t="s">
        <v>319</v>
      </c>
      <c r="C27" s="5" t="s">
        <v>36</v>
      </c>
      <c r="D27" s="5">
        <v>4.83</v>
      </c>
      <c r="E27" s="5">
        <v>4.83</v>
      </c>
      <c r="F27" s="35">
        <v>1</v>
      </c>
      <c r="G27" s="42" t="str">
        <f t="shared" si="1"/>
        <v>CONCESSÃO VIA SUL - OAE - Interconexão Tipo Trombeta - Osório - 4,83 - 4,83 - 1</v>
      </c>
      <c r="H27" s="26" t="s">
        <v>363</v>
      </c>
      <c r="I27" s="26"/>
      <c r="J27" s="26"/>
      <c r="K27" s="26"/>
      <c r="L27" s="26"/>
      <c r="M27" s="26"/>
      <c r="N27" s="26"/>
    </row>
    <row r="28" spans="1:14" x14ac:dyDescent="0.25">
      <c r="A28" s="22" t="s">
        <v>382</v>
      </c>
      <c r="B28" s="13" t="s">
        <v>319</v>
      </c>
      <c r="C28" s="5" t="s">
        <v>37</v>
      </c>
      <c r="D28" s="5">
        <v>32.17</v>
      </c>
      <c r="E28" s="5">
        <v>32.17</v>
      </c>
      <c r="F28" s="35">
        <v>1</v>
      </c>
      <c r="G28" s="42" t="str">
        <f t="shared" si="1"/>
        <v>CONCESSÃO VIA SUL - OAE - Interconexão Tipo Diamante - Sto. Antônio Patrulha - 32,17 - 32,17 - 1</v>
      </c>
      <c r="H28" s="26" t="s">
        <v>363</v>
      </c>
      <c r="I28" s="26"/>
      <c r="J28" s="26"/>
      <c r="K28" s="26"/>
      <c r="L28" s="26"/>
      <c r="M28" s="26"/>
      <c r="N28" s="26"/>
    </row>
    <row r="29" spans="1:14" x14ac:dyDescent="0.25">
      <c r="A29" s="22" t="s">
        <v>382</v>
      </c>
      <c r="B29" s="13" t="s">
        <v>319</v>
      </c>
      <c r="C29" s="5" t="s">
        <v>38</v>
      </c>
      <c r="D29" s="5">
        <v>62.6</v>
      </c>
      <c r="E29" s="5">
        <v>62.6</v>
      </c>
      <c r="F29" s="35">
        <v>1</v>
      </c>
      <c r="G29" s="42" t="str">
        <f t="shared" si="1"/>
        <v>CONCESSÃO VIA SUL - OAE - Interconexão Tipo Diamante - Gravataí - 62,6 - 62,6 - 1</v>
      </c>
      <c r="H29" s="26" t="s">
        <v>363</v>
      </c>
      <c r="I29" s="26"/>
      <c r="J29" s="26"/>
      <c r="K29" s="26"/>
      <c r="L29" s="26"/>
      <c r="M29" s="26"/>
      <c r="N29" s="26"/>
    </row>
    <row r="30" spans="1:14" x14ac:dyDescent="0.25">
      <c r="A30" s="22" t="s">
        <v>382</v>
      </c>
      <c r="B30" s="13" t="s">
        <v>319</v>
      </c>
      <c r="C30" s="5" t="s">
        <v>39</v>
      </c>
      <c r="D30" s="5">
        <v>80.05</v>
      </c>
      <c r="E30" s="5">
        <v>80.05</v>
      </c>
      <c r="F30" s="35">
        <v>1</v>
      </c>
      <c r="G30" s="42" t="str">
        <f t="shared" si="1"/>
        <v>CONCESSÃO VIA SUL - OAE - Interconexão Tipo Trombeta - Gravataí - 80,05 - 80,05 - 1</v>
      </c>
      <c r="H30" s="26" t="s">
        <v>363</v>
      </c>
      <c r="I30" s="26"/>
      <c r="J30" s="26"/>
      <c r="K30" s="26"/>
      <c r="L30" s="26"/>
      <c r="M30" s="26"/>
      <c r="N30" s="26"/>
    </row>
    <row r="31" spans="1:14" x14ac:dyDescent="0.25">
      <c r="A31" s="22" t="s">
        <v>382</v>
      </c>
      <c r="B31" s="13" t="s">
        <v>319</v>
      </c>
      <c r="C31" s="5" t="s">
        <v>40</v>
      </c>
      <c r="D31" s="5">
        <v>80.08</v>
      </c>
      <c r="E31" s="5">
        <v>80.08</v>
      </c>
      <c r="F31" s="35">
        <v>1</v>
      </c>
      <c r="G31" s="42" t="str">
        <f t="shared" si="1"/>
        <v>CONCESSÃO VIA SUL - OAE - Passagem Superior - 80,08 - 80,08 - 1</v>
      </c>
      <c r="H31" s="26" t="s">
        <v>363</v>
      </c>
      <c r="I31" s="26"/>
      <c r="J31" s="26"/>
      <c r="K31" s="26"/>
      <c r="L31" s="26"/>
      <c r="M31" s="26"/>
      <c r="N31" s="26"/>
    </row>
    <row r="32" spans="1:14" x14ac:dyDescent="0.25">
      <c r="A32" s="22" t="s">
        <v>382</v>
      </c>
      <c r="B32" s="13" t="s">
        <v>319</v>
      </c>
      <c r="C32" s="5" t="s">
        <v>41</v>
      </c>
      <c r="D32" s="5">
        <v>81.099999999999994</v>
      </c>
      <c r="E32" s="5">
        <v>81.099999999999994</v>
      </c>
      <c r="F32" s="35">
        <v>1</v>
      </c>
      <c r="G32" s="42" t="str">
        <f t="shared" si="1"/>
        <v>CONCESSÃO VIA SUL - OAE - Ponte sobre o Canal DNOS II - 81,1 - 81,1 - 1</v>
      </c>
      <c r="H32" s="26" t="s">
        <v>363</v>
      </c>
      <c r="I32" s="26"/>
      <c r="J32" s="26"/>
      <c r="K32" s="26"/>
      <c r="L32" s="26"/>
      <c r="M32" s="26"/>
      <c r="N32" s="26"/>
    </row>
    <row r="33" spans="1:14" x14ac:dyDescent="0.25">
      <c r="A33" s="22" t="s">
        <v>382</v>
      </c>
      <c r="B33" s="13" t="s">
        <v>319</v>
      </c>
      <c r="C33" s="5" t="s">
        <v>42</v>
      </c>
      <c r="D33" s="5">
        <v>83.59</v>
      </c>
      <c r="E33" s="5">
        <v>83.59</v>
      </c>
      <c r="F33" s="35">
        <v>1</v>
      </c>
      <c r="G33" s="42" t="str">
        <f t="shared" si="1"/>
        <v>CONCESSÃO VIA SUL - OAE - Interconexão Tipo Diamante - Cachoeirinha - 83,59 - 83,59 - 1</v>
      </c>
      <c r="H33" s="26" t="s">
        <v>363</v>
      </c>
      <c r="I33" s="26"/>
      <c r="J33" s="26"/>
      <c r="K33" s="26"/>
      <c r="L33" s="26"/>
      <c r="M33" s="26"/>
      <c r="N33" s="26"/>
    </row>
    <row r="34" spans="1:14" x14ac:dyDescent="0.25">
      <c r="A34" s="22" t="s">
        <v>382</v>
      </c>
      <c r="B34" s="13" t="s">
        <v>319</v>
      </c>
      <c r="C34" s="5" t="s">
        <v>40</v>
      </c>
      <c r="D34" s="5">
        <v>83.65</v>
      </c>
      <c r="E34" s="5">
        <v>83.65</v>
      </c>
      <c r="F34" s="35">
        <v>1</v>
      </c>
      <c r="G34" s="42" t="str">
        <f t="shared" si="1"/>
        <v>CONCESSÃO VIA SUL - OAE - Passagem Superior - 83,65 - 83,65 - 1</v>
      </c>
      <c r="H34" s="26" t="s">
        <v>363</v>
      </c>
      <c r="I34" s="26"/>
      <c r="J34" s="26"/>
      <c r="K34" s="26"/>
      <c r="L34" s="26"/>
      <c r="M34" s="26"/>
      <c r="N34" s="26"/>
    </row>
    <row r="35" spans="1:14" x14ac:dyDescent="0.25">
      <c r="A35" s="22" t="s">
        <v>382</v>
      </c>
      <c r="B35" s="13" t="s">
        <v>319</v>
      </c>
      <c r="C35" s="5" t="s">
        <v>43</v>
      </c>
      <c r="D35" s="5">
        <v>85.84</v>
      </c>
      <c r="E35" s="5">
        <v>85.84</v>
      </c>
      <c r="F35" s="35">
        <v>1</v>
      </c>
      <c r="G35" s="42" t="str">
        <f t="shared" si="1"/>
        <v>CONCESSÃO VIA SUL - OAE - Passagem Inferior - Porto Alegre - Norte - 85,84 - 85,84 - 1</v>
      </c>
      <c r="H35" s="26" t="s">
        <v>363</v>
      </c>
      <c r="I35" s="26"/>
      <c r="J35" s="26"/>
      <c r="K35" s="26"/>
      <c r="L35" s="26"/>
      <c r="M35" s="26"/>
      <c r="N35" s="26"/>
    </row>
    <row r="36" spans="1:14" x14ac:dyDescent="0.25">
      <c r="A36" s="22" t="s">
        <v>382</v>
      </c>
      <c r="B36" s="13" t="s">
        <v>319</v>
      </c>
      <c r="C36" s="5" t="s">
        <v>44</v>
      </c>
      <c r="D36" s="5">
        <v>85.84</v>
      </c>
      <c r="E36" s="5">
        <v>85.84</v>
      </c>
      <c r="F36" s="35">
        <v>1</v>
      </c>
      <c r="G36" s="42" t="str">
        <f t="shared" si="1"/>
        <v>CONCESSÃO VIA SUL - OAE - Passagem Inferior - Porto Alegre - Sul - 85,84 - 85,84 - 1</v>
      </c>
      <c r="H36" s="26" t="s">
        <v>363</v>
      </c>
      <c r="I36" s="26"/>
      <c r="J36" s="26"/>
      <c r="K36" s="26"/>
      <c r="L36" s="26"/>
      <c r="M36" s="26"/>
      <c r="N36" s="26"/>
    </row>
    <row r="37" spans="1:14" x14ac:dyDescent="0.25">
      <c r="A37" s="22" t="s">
        <v>382</v>
      </c>
      <c r="B37" s="13" t="s">
        <v>319</v>
      </c>
      <c r="C37" s="5" t="s">
        <v>45</v>
      </c>
      <c r="D37" s="5">
        <v>339.9</v>
      </c>
      <c r="E37" s="5">
        <v>339.9</v>
      </c>
      <c r="F37" s="35">
        <v>1</v>
      </c>
      <c r="G37" s="42" t="str">
        <f t="shared" si="1"/>
        <v>CONCESSÃO VIA SUL - OAE - Passagem Inferior -  Arnoldo Scherer Duplicação - 339,9 - 339,9 - 1</v>
      </c>
      <c r="H37" s="26" t="s">
        <v>363</v>
      </c>
      <c r="I37" s="26"/>
      <c r="J37" s="26"/>
      <c r="K37" s="26"/>
      <c r="L37" s="26"/>
      <c r="M37" s="26"/>
      <c r="N37" s="26"/>
    </row>
    <row r="38" spans="1:14" x14ac:dyDescent="0.25">
      <c r="A38" s="22" t="s">
        <v>382</v>
      </c>
      <c r="B38" s="13" t="s">
        <v>319</v>
      </c>
      <c r="C38" s="5" t="s">
        <v>46</v>
      </c>
      <c r="D38" s="5">
        <v>340.2</v>
      </c>
      <c r="E38" s="5">
        <v>340.2</v>
      </c>
      <c r="F38" s="35">
        <v>1</v>
      </c>
      <c r="G38" s="42" t="str">
        <f t="shared" si="1"/>
        <v>CONCESSÃO VIA SUL - OAE - Interseção Diamante - km 340+200 - BR 386-RS - Duplicação - 340,2 - 340,2 - 1</v>
      </c>
      <c r="H38" s="26" t="s">
        <v>363</v>
      </c>
      <c r="I38" s="26"/>
      <c r="J38" s="26"/>
      <c r="K38" s="26"/>
      <c r="L38" s="26"/>
      <c r="M38" s="26"/>
      <c r="N38" s="26"/>
    </row>
    <row r="39" spans="1:14" x14ac:dyDescent="0.25">
      <c r="A39" s="22" t="s">
        <v>382</v>
      </c>
      <c r="B39" s="13" t="s">
        <v>319</v>
      </c>
      <c r="C39" s="5" t="s">
        <v>47</v>
      </c>
      <c r="D39" s="5">
        <v>343.45</v>
      </c>
      <c r="E39" s="5">
        <v>343.45</v>
      </c>
      <c r="F39" s="35">
        <v>1</v>
      </c>
      <c r="G39" s="42" t="str">
        <f t="shared" si="1"/>
        <v>CONCESSÃO VIA SUL - OAE - Passagem Inferior - Lajeado / Montanhas - 343,45 - 343,45 - 1</v>
      </c>
      <c r="H39" s="26" t="s">
        <v>363</v>
      </c>
      <c r="I39" s="26"/>
      <c r="J39" s="26"/>
      <c r="K39" s="26"/>
      <c r="L39" s="26"/>
      <c r="M39" s="26"/>
      <c r="N39" s="26"/>
    </row>
    <row r="40" spans="1:14" x14ac:dyDescent="0.25">
      <c r="A40" s="22" t="s">
        <v>382</v>
      </c>
      <c r="B40" s="13" t="s">
        <v>319</v>
      </c>
      <c r="C40" s="5" t="s">
        <v>48</v>
      </c>
      <c r="D40" s="5">
        <v>344.2</v>
      </c>
      <c r="E40" s="5">
        <v>344.2</v>
      </c>
      <c r="F40" s="35">
        <v>1</v>
      </c>
      <c r="G40" s="42" t="str">
        <f t="shared" si="1"/>
        <v>CONCESSÃO VIA SUL - OAE - Passagem Inferior - Lajeado / Olarias - 344,2 - 344,2 - 1</v>
      </c>
      <c r="H40" s="26" t="s">
        <v>363</v>
      </c>
      <c r="I40" s="26"/>
      <c r="J40" s="26"/>
      <c r="K40" s="26"/>
      <c r="L40" s="26"/>
      <c r="M40" s="26"/>
      <c r="N40" s="26"/>
    </row>
    <row r="41" spans="1:14" x14ac:dyDescent="0.25">
      <c r="A41" s="22" t="s">
        <v>382</v>
      </c>
      <c r="B41" s="13" t="s">
        <v>319</v>
      </c>
      <c r="C41" s="17" t="s">
        <v>49</v>
      </c>
      <c r="D41" s="17">
        <v>344.4</v>
      </c>
      <c r="E41" s="17">
        <v>344.4</v>
      </c>
      <c r="F41" s="36">
        <v>1</v>
      </c>
      <c r="G41" s="42" t="str">
        <f t="shared" si="1"/>
        <v>CONCESSÃO VIA SUL - OAE - Interconexão Tipo Trevo Completo - Lajeado - Reformulação - 344,4 - 344,4 - 1</v>
      </c>
      <c r="H41" s="26" t="s">
        <v>363</v>
      </c>
      <c r="I41" s="27"/>
      <c r="J41" s="27"/>
      <c r="K41" s="27"/>
      <c r="L41" s="27"/>
      <c r="M41" s="27"/>
      <c r="N41" s="27"/>
    </row>
    <row r="42" spans="1:14" x14ac:dyDescent="0.25">
      <c r="A42" s="22" t="s">
        <v>382</v>
      </c>
      <c r="B42" s="13" t="s">
        <v>319</v>
      </c>
      <c r="C42" s="17" t="s">
        <v>49</v>
      </c>
      <c r="D42" s="17">
        <v>345.35</v>
      </c>
      <c r="E42" s="17">
        <v>345.35</v>
      </c>
      <c r="F42" s="36">
        <v>1</v>
      </c>
      <c r="G42" s="42" t="str">
        <f t="shared" si="1"/>
        <v>CONCESSÃO VIA SUL - OAE - Interconexão Tipo Trevo Completo - Lajeado - Reformulação - 345,35 - 345,35 - 1</v>
      </c>
      <c r="H42" s="26" t="s">
        <v>363</v>
      </c>
      <c r="I42" s="27"/>
      <c r="J42" s="27"/>
      <c r="K42" s="27"/>
      <c r="L42" s="27"/>
      <c r="M42" s="27"/>
      <c r="N42" s="27"/>
    </row>
    <row r="43" spans="1:14" x14ac:dyDescent="0.25">
      <c r="A43" s="22" t="s">
        <v>382</v>
      </c>
      <c r="B43" s="13" t="s">
        <v>319</v>
      </c>
      <c r="C43" s="45" t="s">
        <v>50</v>
      </c>
      <c r="D43" s="17">
        <v>347.43</v>
      </c>
      <c r="E43" s="17">
        <v>347.43</v>
      </c>
      <c r="F43" s="36">
        <v>1</v>
      </c>
      <c r="G43" s="42" t="str">
        <f t="shared" si="1"/>
        <v>CONCESSÃO VIA SUL - OAE - Interconexão Tipo Diamante - Lajeado - Reformulação do diamante existente - 347,43 - 347,43 - 1</v>
      </c>
      <c r="H43" s="26" t="s">
        <v>363</v>
      </c>
      <c r="I43" s="27"/>
      <c r="J43" s="27"/>
      <c r="K43" s="27"/>
      <c r="L43" s="27"/>
      <c r="M43" s="27"/>
      <c r="N43" s="27"/>
    </row>
    <row r="44" spans="1:14" x14ac:dyDescent="0.25">
      <c r="A44" s="22" t="s">
        <v>382</v>
      </c>
      <c r="B44" s="13" t="s">
        <v>319</v>
      </c>
      <c r="C44" s="17" t="s">
        <v>51</v>
      </c>
      <c r="D44" s="17">
        <v>348.8</v>
      </c>
      <c r="E44" s="17">
        <v>348.8</v>
      </c>
      <c r="F44" s="36">
        <v>1</v>
      </c>
      <c r="G44" s="42" t="str">
        <f t="shared" si="1"/>
        <v>CONCESSÃO VIA SUL - OAE - Interconexão Tipo Trombeta - Estrela - Reformulação - 348,8 - 348,8 - 1</v>
      </c>
      <c r="H44" s="26" t="s">
        <v>363</v>
      </c>
      <c r="I44" s="27"/>
      <c r="J44" s="27"/>
      <c r="K44" s="27"/>
      <c r="L44" s="27"/>
      <c r="M44" s="27"/>
      <c r="N44" s="27"/>
    </row>
    <row r="45" spans="1:14" x14ac:dyDescent="0.25">
      <c r="A45" s="22" t="s">
        <v>382</v>
      </c>
      <c r="B45" s="13" t="s">
        <v>319</v>
      </c>
      <c r="C45" s="52" t="s">
        <v>52</v>
      </c>
      <c r="D45" s="17">
        <v>349.5</v>
      </c>
      <c r="E45" s="17">
        <v>349.5</v>
      </c>
      <c r="F45" s="36">
        <v>1</v>
      </c>
      <c r="G45" s="42" t="str">
        <f t="shared" si="1"/>
        <v>CONCESSÃO VIA SUL - OAE - Interconexão Tipo Trevo Completo - Estrela - Reformulação - 349,5 - 349,5 - 1</v>
      </c>
      <c r="H45" s="26" t="s">
        <v>363</v>
      </c>
      <c r="I45" s="27"/>
      <c r="J45" s="27"/>
      <c r="K45" s="27"/>
      <c r="L45" s="27"/>
      <c r="M45" s="27"/>
      <c r="N45" s="27"/>
    </row>
    <row r="46" spans="1:14" x14ac:dyDescent="0.25">
      <c r="A46" s="22" t="s">
        <v>382</v>
      </c>
      <c r="B46" s="13" t="s">
        <v>319</v>
      </c>
      <c r="C46" s="17" t="s">
        <v>53</v>
      </c>
      <c r="D46" s="17">
        <v>352.58</v>
      </c>
      <c r="E46" s="17">
        <v>352.58</v>
      </c>
      <c r="F46" s="36">
        <v>1</v>
      </c>
      <c r="G46" s="42" t="str">
        <f t="shared" si="1"/>
        <v>CONCESSÃO VIA SUL - OAE - Interconexão Tipo Trombeta - Estrela  - 352,58 - 352,58 - 1</v>
      </c>
      <c r="H46" s="26" t="s">
        <v>363</v>
      </c>
      <c r="I46" s="27"/>
      <c r="J46" s="27"/>
      <c r="K46" s="27"/>
      <c r="L46" s="27"/>
      <c r="M46" s="27"/>
      <c r="N46" s="27"/>
    </row>
    <row r="47" spans="1:14" x14ac:dyDescent="0.25">
      <c r="A47" s="22" t="s">
        <v>382</v>
      </c>
      <c r="B47" s="13" t="s">
        <v>319</v>
      </c>
      <c r="C47" s="7" t="s">
        <v>54</v>
      </c>
      <c r="D47" s="7">
        <v>372.95</v>
      </c>
      <c r="E47" s="7">
        <v>372.95</v>
      </c>
      <c r="F47" s="37">
        <v>1</v>
      </c>
      <c r="G47" s="42" t="str">
        <f t="shared" si="1"/>
        <v>CONCESSÃO VIA SUL - OAE - Ponte sobre o Arroio Concórdia - 372,95 - 372,95 - 1</v>
      </c>
      <c r="H47" s="26" t="s">
        <v>363</v>
      </c>
      <c r="I47" s="28"/>
      <c r="J47" s="28"/>
      <c r="K47" s="28"/>
      <c r="L47" s="28"/>
      <c r="M47" s="28"/>
      <c r="N47" s="28"/>
    </row>
    <row r="48" spans="1:14" x14ac:dyDescent="0.25">
      <c r="A48" s="22" t="s">
        <v>382</v>
      </c>
      <c r="B48" s="13" t="s">
        <v>319</v>
      </c>
      <c r="C48" s="54" t="s">
        <v>336</v>
      </c>
      <c r="D48" s="7">
        <v>390.8</v>
      </c>
      <c r="E48" s="7">
        <v>390.8</v>
      </c>
      <c r="F48" s="37">
        <v>1</v>
      </c>
      <c r="G48" s="42" t="str">
        <f t="shared" si="1"/>
        <v>CONCESSÃO VIA SUL - OAE - Interconexão - Trevo Completo (BR-287/BR-479) - Triunfo - Km 392+700 SNV* - 390,8 - 390,8 - 1</v>
      </c>
      <c r="H48" s="26" t="s">
        <v>363</v>
      </c>
      <c r="I48" s="28"/>
      <c r="J48" s="28"/>
      <c r="K48" s="28"/>
      <c r="L48" s="28"/>
      <c r="M48" s="28"/>
      <c r="N48" s="28"/>
    </row>
    <row r="49" spans="1:14" x14ac:dyDescent="0.25">
      <c r="A49" s="22" t="s">
        <v>382</v>
      </c>
      <c r="B49" s="13" t="s">
        <v>319</v>
      </c>
      <c r="C49" s="7" t="s">
        <v>55</v>
      </c>
      <c r="D49" s="7">
        <v>432.9</v>
      </c>
      <c r="E49" s="7">
        <v>432.9</v>
      </c>
      <c r="F49" s="37">
        <v>1</v>
      </c>
      <c r="G49" s="42" t="str">
        <f t="shared" si="1"/>
        <v>CONCESSÃO VIA SUL - OAE - Interconexão Tipo Diamante - Nova Santa Rita - km 434,800 SNV* - 432,9 - 432,9 - 1</v>
      </c>
      <c r="H49" s="26" t="s">
        <v>363</v>
      </c>
      <c r="I49" s="28"/>
      <c r="J49" s="28"/>
      <c r="K49" s="28"/>
      <c r="L49" s="28"/>
      <c r="M49" s="28"/>
      <c r="N49" s="28"/>
    </row>
    <row r="50" spans="1:14" x14ac:dyDescent="0.25">
      <c r="A50" s="22" t="s">
        <v>382</v>
      </c>
      <c r="B50" s="13" t="s">
        <v>319</v>
      </c>
      <c r="C50" s="7" t="s">
        <v>56</v>
      </c>
      <c r="D50" s="7">
        <v>433.6</v>
      </c>
      <c r="E50" s="7">
        <v>433.6</v>
      </c>
      <c r="F50" s="37">
        <v>1</v>
      </c>
      <c r="G50" s="42" t="str">
        <f t="shared" si="1"/>
        <v>CONCESSÃO VIA SUL - OAE - Interconexão Tipo Diamante  - Nova Santa Rita  km 435,500 SNV - 433,6 - 433,6 - 1</v>
      </c>
      <c r="H50" s="26" t="s">
        <v>363</v>
      </c>
      <c r="I50" s="28"/>
      <c r="J50" s="28"/>
      <c r="K50" s="28"/>
      <c r="L50" s="28"/>
      <c r="M50" s="28"/>
      <c r="N50" s="28"/>
    </row>
    <row r="51" spans="1:14" x14ac:dyDescent="0.25">
      <c r="A51" s="22" t="s">
        <v>382</v>
      </c>
      <c r="B51" s="13" t="s">
        <v>320</v>
      </c>
      <c r="C51" s="5" t="s">
        <v>57</v>
      </c>
      <c r="D51" s="5">
        <v>344.4</v>
      </c>
      <c r="E51" s="5">
        <v>344.64</v>
      </c>
      <c r="F51" s="35">
        <f>E51-D51</f>
        <v>0.24000000000000909</v>
      </c>
      <c r="G51" s="42" t="str">
        <f t="shared" si="1"/>
        <v>CONCESSÃO VIA SUL - FX ADICIONAL - Faixa Adicional Lajeado / Estrela- Subtrecho 1 - 344,4 - 344,64 - 0,240000000000009</v>
      </c>
      <c r="H51" s="26" t="s">
        <v>363</v>
      </c>
      <c r="I51" s="26"/>
      <c r="J51" s="26"/>
      <c r="K51" s="26"/>
      <c r="L51" s="26"/>
      <c r="M51" s="26"/>
      <c r="N51" s="26"/>
    </row>
    <row r="52" spans="1:14" x14ac:dyDescent="0.25">
      <c r="A52" s="22" t="s">
        <v>382</v>
      </c>
      <c r="B52" s="13" t="s">
        <v>320</v>
      </c>
      <c r="C52" s="5" t="s">
        <v>58</v>
      </c>
      <c r="D52" s="5">
        <v>344.64</v>
      </c>
      <c r="E52" s="5">
        <v>345</v>
      </c>
      <c r="F52" s="35">
        <f t="shared" ref="F52:F61" si="3">E52-D52</f>
        <v>0.36000000000001364</v>
      </c>
      <c r="G52" s="42" t="str">
        <f t="shared" si="1"/>
        <v>CONCESSÃO VIA SUL - FX ADICIONAL - Faixa Adicional Lajeado / Estrela- Subtrecho 2 - 344,64 - 345 - 0,360000000000014</v>
      </c>
      <c r="H52" s="26" t="s">
        <v>363</v>
      </c>
      <c r="I52" s="26"/>
      <c r="J52" s="26"/>
      <c r="K52" s="26"/>
      <c r="L52" s="26"/>
      <c r="M52" s="26"/>
      <c r="N52" s="26"/>
    </row>
    <row r="53" spans="1:14" x14ac:dyDescent="0.25">
      <c r="A53" s="22" t="s">
        <v>382</v>
      </c>
      <c r="B53" s="13" t="s">
        <v>320</v>
      </c>
      <c r="C53" s="5" t="s">
        <v>59</v>
      </c>
      <c r="D53" s="5">
        <v>345</v>
      </c>
      <c r="E53" s="5">
        <v>345.58</v>
      </c>
      <c r="F53" s="35">
        <f t="shared" si="3"/>
        <v>0.57999999999998408</v>
      </c>
      <c r="G53" s="42" t="str">
        <f t="shared" si="1"/>
        <v>CONCESSÃO VIA SUL - FX ADICIONAL - Faixa Adicional Lajeado / Estrela- Subtrecho 3 - 345 - 345,58 - 0,579999999999984</v>
      </c>
      <c r="H53" s="26" t="s">
        <v>363</v>
      </c>
      <c r="I53" s="26"/>
      <c r="J53" s="26"/>
      <c r="K53" s="26"/>
      <c r="L53" s="26"/>
      <c r="M53" s="26"/>
      <c r="N53" s="26"/>
    </row>
    <row r="54" spans="1:14" x14ac:dyDescent="0.25">
      <c r="A54" s="22" t="s">
        <v>382</v>
      </c>
      <c r="B54" s="13" t="s">
        <v>320</v>
      </c>
      <c r="C54" s="5" t="s">
        <v>60</v>
      </c>
      <c r="D54" s="5">
        <v>345.58</v>
      </c>
      <c r="E54" s="5">
        <v>347.06</v>
      </c>
      <c r="F54" s="35">
        <f t="shared" si="3"/>
        <v>1.4800000000000182</v>
      </c>
      <c r="G54" s="42" t="str">
        <f t="shared" si="1"/>
        <v>CONCESSÃO VIA SUL - FX ADICIONAL - Faixa Adicional Lajeado / Estrela- Subtrecho 4 - 345,58 - 347,06 - 1,48000000000002</v>
      </c>
      <c r="H54" s="26" t="s">
        <v>363</v>
      </c>
      <c r="I54" s="26"/>
      <c r="J54" s="26"/>
      <c r="K54" s="26"/>
      <c r="L54" s="26"/>
      <c r="M54" s="26"/>
      <c r="N54" s="26"/>
    </row>
    <row r="55" spans="1:14" x14ac:dyDescent="0.25">
      <c r="A55" s="22" t="s">
        <v>382</v>
      </c>
      <c r="B55" s="13" t="s">
        <v>320</v>
      </c>
      <c r="C55" s="5" t="s">
        <v>61</v>
      </c>
      <c r="D55" s="25">
        <v>347.06</v>
      </c>
      <c r="E55" s="5">
        <v>347.58</v>
      </c>
      <c r="F55" s="35">
        <f t="shared" si="3"/>
        <v>0.51999999999998181</v>
      </c>
      <c r="G55" s="42" t="str">
        <f t="shared" si="1"/>
        <v>CONCESSÃO VIA SUL - FX ADICIONAL - Faixa Adicional Lajeado / Estrela- Subtrecho 5 - 347,06 - 347,58 - 0,519999999999982</v>
      </c>
      <c r="H55" s="26" t="s">
        <v>363</v>
      </c>
      <c r="I55" s="26"/>
      <c r="J55" s="26"/>
      <c r="K55" s="26"/>
      <c r="L55" s="26"/>
      <c r="M55" s="26"/>
      <c r="N55" s="26"/>
    </row>
    <row r="56" spans="1:14" x14ac:dyDescent="0.25">
      <c r="A56" s="22" t="s">
        <v>382</v>
      </c>
      <c r="B56" s="13" t="s">
        <v>320</v>
      </c>
      <c r="C56" s="5" t="s">
        <v>62</v>
      </c>
      <c r="D56" s="25">
        <v>347.58</v>
      </c>
      <c r="E56" s="5">
        <v>348.34</v>
      </c>
      <c r="F56" s="35">
        <f t="shared" si="3"/>
        <v>0.75999999999999091</v>
      </c>
      <c r="G56" s="42" t="str">
        <f t="shared" si="1"/>
        <v>CONCESSÃO VIA SUL - FX ADICIONAL - Faixa Adicional Lajeado / Estrela- Subtrecho 6 - 347,58 - 348,34 - 0,759999999999991</v>
      </c>
      <c r="H56" s="26" t="s">
        <v>363</v>
      </c>
      <c r="I56" s="26"/>
      <c r="J56" s="26"/>
      <c r="K56" s="26"/>
      <c r="L56" s="26"/>
      <c r="M56" s="26"/>
      <c r="N56" s="26"/>
    </row>
    <row r="57" spans="1:14" x14ac:dyDescent="0.25">
      <c r="A57" s="22" t="s">
        <v>382</v>
      </c>
      <c r="B57" s="13" t="s">
        <v>320</v>
      </c>
      <c r="C57" s="5" t="s">
        <v>63</v>
      </c>
      <c r="D57" s="25">
        <v>348.34</v>
      </c>
      <c r="E57" s="5">
        <v>348.77</v>
      </c>
      <c r="F57" s="35">
        <f t="shared" si="3"/>
        <v>0.43000000000000682</v>
      </c>
      <c r="G57" s="42" t="str">
        <f t="shared" si="1"/>
        <v>CONCESSÃO VIA SUL - FX ADICIONAL - Faixa Adicional Lajeado / Estrela- Subtrecho 7 - 348,34 - 348,77 - 0,430000000000007</v>
      </c>
      <c r="H57" s="26" t="s">
        <v>363</v>
      </c>
      <c r="I57" s="26"/>
      <c r="J57" s="26"/>
      <c r="K57" s="26"/>
      <c r="L57" s="26"/>
      <c r="M57" s="26"/>
      <c r="N57" s="26"/>
    </row>
    <row r="58" spans="1:14" x14ac:dyDescent="0.25">
      <c r="A58" s="22" t="s">
        <v>382</v>
      </c>
      <c r="B58" s="13" t="s">
        <v>320</v>
      </c>
      <c r="C58" s="5" t="s">
        <v>64</v>
      </c>
      <c r="D58" s="25">
        <v>348.77</v>
      </c>
      <c r="E58" s="5">
        <v>349.12</v>
      </c>
      <c r="F58" s="35">
        <f t="shared" si="3"/>
        <v>0.35000000000002274</v>
      </c>
      <c r="G58" s="42" t="str">
        <f t="shared" si="1"/>
        <v>CONCESSÃO VIA SUL - FX ADICIONAL - Faixa Adicional Lajeado / Estrela- Subtrecho 8 - 348,77 - 349,12 - 0,350000000000023</v>
      </c>
      <c r="H58" s="26" t="s">
        <v>363</v>
      </c>
      <c r="I58" s="26"/>
      <c r="J58" s="26"/>
      <c r="K58" s="26"/>
      <c r="L58" s="26"/>
      <c r="M58" s="26"/>
      <c r="N58" s="26"/>
    </row>
    <row r="59" spans="1:14" x14ac:dyDescent="0.25">
      <c r="A59" s="22" t="s">
        <v>382</v>
      </c>
      <c r="B59" s="13" t="s">
        <v>320</v>
      </c>
      <c r="C59" s="5" t="s">
        <v>65</v>
      </c>
      <c r="D59" s="25">
        <v>349.12</v>
      </c>
      <c r="E59" s="5">
        <v>349.5</v>
      </c>
      <c r="F59" s="35">
        <f t="shared" si="3"/>
        <v>0.37999999999999545</v>
      </c>
      <c r="G59" s="42" t="str">
        <f t="shared" si="1"/>
        <v>CONCESSÃO VIA SUL - FX ADICIONAL - Faixa Adicional Lajeado / Estrela- Subtrecho 9 - 349,12 - 349,5 - 0,379999999999995</v>
      </c>
      <c r="H59" s="26" t="s">
        <v>363</v>
      </c>
      <c r="I59" s="26"/>
      <c r="J59" s="26"/>
      <c r="K59" s="26"/>
      <c r="L59" s="26"/>
      <c r="M59" s="26"/>
      <c r="N59" s="26"/>
    </row>
    <row r="60" spans="1:14" x14ac:dyDescent="0.25">
      <c r="A60" s="33" t="s">
        <v>365</v>
      </c>
      <c r="B60" s="13" t="s">
        <v>317</v>
      </c>
      <c r="C60" s="16" t="s">
        <v>66</v>
      </c>
      <c r="D60" s="16">
        <v>628.9</v>
      </c>
      <c r="E60" s="16">
        <v>631.16</v>
      </c>
      <c r="F60" s="35">
        <f t="shared" si="3"/>
        <v>2.2599999999999909</v>
      </c>
      <c r="G60" s="42" t="str">
        <f t="shared" si="1"/>
        <v>CERRADO - PAVIMENTAÇÃO - *Vias Marginais LD (Monte Alegre de Minas) - 628,9 - 631,16 - 2,25999999999999</v>
      </c>
      <c r="H60" s="26" t="s">
        <v>363</v>
      </c>
      <c r="I60" s="26"/>
      <c r="J60" s="26"/>
      <c r="K60" s="26"/>
      <c r="L60" s="26"/>
      <c r="M60" s="26"/>
      <c r="N60" s="26"/>
    </row>
    <row r="61" spans="1:14" x14ac:dyDescent="0.25">
      <c r="A61" s="33" t="s">
        <v>365</v>
      </c>
      <c r="B61" s="13" t="s">
        <v>317</v>
      </c>
      <c r="C61" s="16" t="s">
        <v>67</v>
      </c>
      <c r="D61" s="16">
        <v>628.9</v>
      </c>
      <c r="E61" s="16">
        <v>631.16</v>
      </c>
      <c r="F61" s="35">
        <f t="shared" si="3"/>
        <v>2.2599999999999909</v>
      </c>
      <c r="G61" s="42" t="str">
        <f t="shared" si="1"/>
        <v>CERRADO - PAVIMENTAÇÃO - *Vias Marginais LE (Monte Alegre de Minas) - 628,9 - 631,16 - 2,25999999999999</v>
      </c>
      <c r="H61" s="26" t="s">
        <v>363</v>
      </c>
      <c r="I61" s="26"/>
      <c r="J61" s="26"/>
      <c r="K61" s="26"/>
      <c r="L61" s="26"/>
      <c r="M61" s="26"/>
      <c r="N61" s="26"/>
    </row>
    <row r="62" spans="1:14" ht="25.5" x14ac:dyDescent="0.25">
      <c r="A62" s="33" t="s">
        <v>365</v>
      </c>
      <c r="B62" s="13" t="s">
        <v>319</v>
      </c>
      <c r="C62" s="15" t="s">
        <v>68</v>
      </c>
      <c r="D62" s="16">
        <v>709</v>
      </c>
      <c r="E62" s="16">
        <v>709</v>
      </c>
      <c r="F62" s="38">
        <v>1</v>
      </c>
      <c r="G62" s="42" t="str">
        <f t="shared" si="1"/>
        <v>CERRADO - OAE - Trevo para o entroncamento da Rodovia BR-365/MG com a Rodovia
BR-153/MG (Trevão) - 709 - 709 - 1</v>
      </c>
      <c r="H62" s="29" t="s">
        <v>363</v>
      </c>
      <c r="I62" s="29"/>
      <c r="J62" s="29"/>
      <c r="K62" s="29"/>
      <c r="L62" s="29"/>
      <c r="M62" s="29"/>
      <c r="N62" s="29"/>
    </row>
    <row r="63" spans="1:14" x14ac:dyDescent="0.25">
      <c r="A63" s="33" t="s">
        <v>365</v>
      </c>
      <c r="B63" s="13" t="s">
        <v>319</v>
      </c>
      <c r="C63" s="8" t="s">
        <v>69</v>
      </c>
      <c r="D63" s="17">
        <v>656.3</v>
      </c>
      <c r="E63" s="17">
        <v>656.3</v>
      </c>
      <c r="F63" s="36">
        <v>1</v>
      </c>
      <c r="G63" s="42" t="str">
        <f t="shared" si="1"/>
        <v>CERRADO - OAE - Dispositivo de Interseção no entroncamento de Xapetuba (Xapetuba) - 656,3 - 656,3 - 1</v>
      </c>
      <c r="H63" s="27" t="s">
        <v>363</v>
      </c>
      <c r="I63" s="27"/>
      <c r="J63" s="27"/>
      <c r="K63" s="27"/>
      <c r="L63" s="27"/>
      <c r="M63" s="27"/>
      <c r="N63" s="27"/>
    </row>
    <row r="64" spans="1:14" x14ac:dyDescent="0.25">
      <c r="A64" s="33" t="s">
        <v>365</v>
      </c>
      <c r="B64" s="13" t="s">
        <v>320</v>
      </c>
      <c r="C64" s="16" t="s">
        <v>70</v>
      </c>
      <c r="D64" s="16">
        <v>115.2</v>
      </c>
      <c r="E64" s="16">
        <v>159.9</v>
      </c>
      <c r="F64" s="38">
        <f>E64-D64</f>
        <v>44.7</v>
      </c>
      <c r="G64" s="42" t="str">
        <f t="shared" si="1"/>
        <v>CERRADO - FX ADICIONAL - Implantação de 3ª Faixa - 115,2 - 159,9 - 44,7</v>
      </c>
      <c r="H64" s="26" t="s">
        <v>363</v>
      </c>
      <c r="I64" s="29"/>
      <c r="J64" s="29"/>
      <c r="K64" s="29"/>
      <c r="L64" s="29"/>
      <c r="M64" s="29"/>
      <c r="N64" s="29"/>
    </row>
    <row r="65" spans="1:14" x14ac:dyDescent="0.25">
      <c r="A65" s="33" t="s">
        <v>365</v>
      </c>
      <c r="B65" s="13" t="s">
        <v>320</v>
      </c>
      <c r="C65" s="16" t="s">
        <v>70</v>
      </c>
      <c r="D65" s="16">
        <v>162.4</v>
      </c>
      <c r="E65" s="16">
        <v>192.7</v>
      </c>
      <c r="F65" s="38">
        <f>E65-D65</f>
        <v>30.299999999999983</v>
      </c>
      <c r="G65" s="42" t="str">
        <f t="shared" si="1"/>
        <v>CERRADO - FX ADICIONAL - Implantação de 3ª Faixa - 162,4 - 192,7 - 30,3</v>
      </c>
      <c r="H65" s="26" t="s">
        <v>363</v>
      </c>
      <c r="I65" s="29"/>
      <c r="J65" s="29"/>
      <c r="K65" s="29"/>
      <c r="L65" s="29"/>
      <c r="M65" s="29"/>
      <c r="N65" s="29"/>
    </row>
    <row r="66" spans="1:14" x14ac:dyDescent="0.25">
      <c r="A66" s="33" t="s">
        <v>402</v>
      </c>
      <c r="B66" s="13" t="s">
        <v>317</v>
      </c>
      <c r="C66" s="16" t="s">
        <v>71</v>
      </c>
      <c r="D66" s="16">
        <v>49</v>
      </c>
      <c r="E66" s="16">
        <v>50</v>
      </c>
      <c r="F66" s="38">
        <f t="shared" ref="F66:F83" si="4">E66-D66</f>
        <v>1</v>
      </c>
      <c r="G66" s="42" t="str">
        <f t="shared" si="1"/>
        <v>FERNÃO DIAS - PAVIMENTAÇÃO - Pista Norte Atibaia - 49 - 50 - 1</v>
      </c>
      <c r="H66" s="29" t="s">
        <v>363</v>
      </c>
      <c r="I66" s="29"/>
      <c r="J66" s="29"/>
      <c r="K66" s="29"/>
      <c r="L66" s="29"/>
      <c r="M66" s="29"/>
      <c r="N66" s="29"/>
    </row>
    <row r="67" spans="1:14" x14ac:dyDescent="0.25">
      <c r="A67" s="33" t="s">
        <v>402</v>
      </c>
      <c r="B67" s="13" t="s">
        <v>317</v>
      </c>
      <c r="C67" s="16" t="s">
        <v>72</v>
      </c>
      <c r="D67" s="16">
        <v>3.5</v>
      </c>
      <c r="E67" s="16">
        <v>4</v>
      </c>
      <c r="F67" s="38">
        <f t="shared" si="4"/>
        <v>0.5</v>
      </c>
      <c r="G67" s="42" t="str">
        <f t="shared" ref="G67:G130" si="5">_xlfn.TEXTJOIN(" - ",TRUE,A67:F67)</f>
        <v>FERNÃO DIAS - PAVIMENTAÇÃO - Ruas Laterais em Pista Simples - segmentos descontínuos - região de Vargem - 3,5 - 4 - 0,5</v>
      </c>
      <c r="H67" s="29" t="s">
        <v>363</v>
      </c>
      <c r="I67" s="29"/>
      <c r="J67" s="29"/>
      <c r="K67" s="29"/>
      <c r="L67" s="29"/>
      <c r="M67" s="29"/>
      <c r="N67" s="29"/>
    </row>
    <row r="68" spans="1:14" x14ac:dyDescent="0.25">
      <c r="A68" s="33" t="s">
        <v>402</v>
      </c>
      <c r="B68" s="13" t="s">
        <v>317</v>
      </c>
      <c r="C68" s="16" t="s">
        <v>73</v>
      </c>
      <c r="D68" s="16">
        <v>478.2</v>
      </c>
      <c r="E68" s="16">
        <v>497</v>
      </c>
      <c r="F68" s="38">
        <f t="shared" si="4"/>
        <v>18.800000000000011</v>
      </c>
      <c r="G68" s="42" t="str">
        <f t="shared" si="5"/>
        <v>FERNÃO DIAS - PAVIMENTAÇÃO - Ruas Laterais em Pista Simples - em segmentos descontínuos - 478,2 - 497 - 18,8</v>
      </c>
      <c r="H68" s="29" t="s">
        <v>363</v>
      </c>
      <c r="I68" s="29"/>
      <c r="J68" s="29"/>
      <c r="K68" s="29"/>
      <c r="L68" s="29"/>
      <c r="M68" s="29"/>
      <c r="N68" s="29"/>
    </row>
    <row r="69" spans="1:14" x14ac:dyDescent="0.25">
      <c r="A69" s="33" t="s">
        <v>402</v>
      </c>
      <c r="B69" s="13" t="s">
        <v>317</v>
      </c>
      <c r="C69" s="16" t="s">
        <v>73</v>
      </c>
      <c r="D69" s="16">
        <v>478.2</v>
      </c>
      <c r="E69" s="16">
        <v>497</v>
      </c>
      <c r="F69" s="38">
        <f t="shared" si="4"/>
        <v>18.800000000000011</v>
      </c>
      <c r="G69" s="42" t="str">
        <f t="shared" si="5"/>
        <v>FERNÃO DIAS - PAVIMENTAÇÃO - Ruas Laterais em Pista Simples - em segmentos descontínuos - 478,2 - 497 - 18,8</v>
      </c>
      <c r="H69" s="29" t="s">
        <v>363</v>
      </c>
      <c r="I69" s="29"/>
      <c r="J69" s="29"/>
      <c r="K69" s="29"/>
      <c r="L69" s="29"/>
      <c r="M69" s="29"/>
      <c r="N69" s="29"/>
    </row>
    <row r="70" spans="1:14" x14ac:dyDescent="0.25">
      <c r="A70" s="33" t="s">
        <v>402</v>
      </c>
      <c r="B70" s="13" t="s">
        <v>317</v>
      </c>
      <c r="C70" s="16" t="s">
        <v>73</v>
      </c>
      <c r="D70" s="16">
        <v>534</v>
      </c>
      <c r="E70" s="16">
        <v>536</v>
      </c>
      <c r="F70" s="38">
        <f t="shared" si="4"/>
        <v>2</v>
      </c>
      <c r="G70" s="42" t="str">
        <f t="shared" si="5"/>
        <v>FERNÃO DIAS - PAVIMENTAÇÃO - Ruas Laterais em Pista Simples - em segmentos descontínuos - 534 - 536 - 2</v>
      </c>
      <c r="H70" s="29" t="s">
        <v>363</v>
      </c>
      <c r="I70" s="29"/>
      <c r="J70" s="29"/>
      <c r="K70" s="29"/>
      <c r="L70" s="29"/>
      <c r="M70" s="29"/>
      <c r="N70" s="29"/>
    </row>
    <row r="71" spans="1:14" x14ac:dyDescent="0.25">
      <c r="A71" s="33" t="s">
        <v>402</v>
      </c>
      <c r="B71" s="13" t="s">
        <v>317</v>
      </c>
      <c r="C71" s="16" t="s">
        <v>73</v>
      </c>
      <c r="D71" s="16">
        <v>588</v>
      </c>
      <c r="E71" s="16">
        <v>591</v>
      </c>
      <c r="F71" s="38">
        <f t="shared" si="4"/>
        <v>3</v>
      </c>
      <c r="G71" s="42" t="str">
        <f t="shared" si="5"/>
        <v>FERNÃO DIAS - PAVIMENTAÇÃO - Ruas Laterais em Pista Simples - em segmentos descontínuos - 588 - 591 - 3</v>
      </c>
      <c r="H71" s="29" t="s">
        <v>363</v>
      </c>
      <c r="I71" s="29"/>
      <c r="J71" s="29"/>
      <c r="K71" s="29"/>
      <c r="L71" s="29"/>
      <c r="M71" s="29"/>
      <c r="N71" s="29"/>
    </row>
    <row r="72" spans="1:14" x14ac:dyDescent="0.25">
      <c r="A72" s="33" t="s">
        <v>402</v>
      </c>
      <c r="B72" s="13" t="s">
        <v>317</v>
      </c>
      <c r="C72" s="16" t="s">
        <v>73</v>
      </c>
      <c r="D72" s="16">
        <v>662</v>
      </c>
      <c r="E72" s="16">
        <v>668</v>
      </c>
      <c r="F72" s="38">
        <f t="shared" si="4"/>
        <v>6</v>
      </c>
      <c r="G72" s="42" t="str">
        <f t="shared" si="5"/>
        <v>FERNÃO DIAS - PAVIMENTAÇÃO - Ruas Laterais em Pista Simples - em segmentos descontínuos - 662 - 668 - 6</v>
      </c>
      <c r="H72" s="29" t="s">
        <v>363</v>
      </c>
      <c r="I72" s="29"/>
      <c r="J72" s="29"/>
      <c r="K72" s="29"/>
      <c r="L72" s="29"/>
      <c r="M72" s="29"/>
      <c r="N72" s="29"/>
    </row>
    <row r="73" spans="1:14" x14ac:dyDescent="0.25">
      <c r="A73" s="33" t="s">
        <v>402</v>
      </c>
      <c r="B73" s="13" t="s">
        <v>317</v>
      </c>
      <c r="C73" s="16" t="s">
        <v>73</v>
      </c>
      <c r="D73" s="16">
        <v>662</v>
      </c>
      <c r="E73" s="16">
        <v>668</v>
      </c>
      <c r="F73" s="38">
        <f t="shared" si="4"/>
        <v>6</v>
      </c>
      <c r="G73" s="42" t="str">
        <f t="shared" si="5"/>
        <v>FERNÃO DIAS - PAVIMENTAÇÃO - Ruas Laterais em Pista Simples - em segmentos descontínuos - 662 - 668 - 6</v>
      </c>
      <c r="H73" s="29" t="s">
        <v>363</v>
      </c>
      <c r="I73" s="29"/>
      <c r="J73" s="29"/>
      <c r="K73" s="29"/>
      <c r="L73" s="29"/>
      <c r="M73" s="29"/>
      <c r="N73" s="29"/>
    </row>
    <row r="74" spans="1:14" x14ac:dyDescent="0.25">
      <c r="A74" s="33" t="s">
        <v>402</v>
      </c>
      <c r="B74" s="13" t="s">
        <v>317</v>
      </c>
      <c r="C74" s="16" t="s">
        <v>73</v>
      </c>
      <c r="D74" s="16">
        <v>684</v>
      </c>
      <c r="E74" s="16">
        <v>685</v>
      </c>
      <c r="F74" s="38">
        <f t="shared" si="4"/>
        <v>1</v>
      </c>
      <c r="G74" s="42" t="str">
        <f t="shared" si="5"/>
        <v>FERNÃO DIAS - PAVIMENTAÇÃO - Ruas Laterais em Pista Simples - em segmentos descontínuos - 684 - 685 - 1</v>
      </c>
      <c r="H74" s="29" t="s">
        <v>363</v>
      </c>
      <c r="I74" s="29"/>
      <c r="J74" s="29"/>
      <c r="K74" s="29"/>
      <c r="L74" s="29"/>
      <c r="M74" s="29"/>
      <c r="N74" s="29"/>
    </row>
    <row r="75" spans="1:14" x14ac:dyDescent="0.25">
      <c r="A75" s="33" t="s">
        <v>402</v>
      </c>
      <c r="B75" s="13" t="s">
        <v>317</v>
      </c>
      <c r="C75" s="16" t="s">
        <v>73</v>
      </c>
      <c r="D75" s="16">
        <v>723</v>
      </c>
      <c r="E75" s="16">
        <v>724</v>
      </c>
      <c r="F75" s="38">
        <f t="shared" si="4"/>
        <v>1</v>
      </c>
      <c r="G75" s="42" t="str">
        <f t="shared" si="5"/>
        <v>FERNÃO DIAS - PAVIMENTAÇÃO - Ruas Laterais em Pista Simples - em segmentos descontínuos - 723 - 724 - 1</v>
      </c>
      <c r="H75" s="29" t="s">
        <v>363</v>
      </c>
      <c r="I75" s="29"/>
      <c r="J75" s="29"/>
      <c r="K75" s="29"/>
      <c r="L75" s="29"/>
      <c r="M75" s="29"/>
      <c r="N75" s="29"/>
    </row>
    <row r="76" spans="1:14" x14ac:dyDescent="0.25">
      <c r="A76" s="33" t="s">
        <v>402</v>
      </c>
      <c r="B76" s="13" t="s">
        <v>317</v>
      </c>
      <c r="C76" s="16" t="s">
        <v>73</v>
      </c>
      <c r="D76" s="16">
        <v>869</v>
      </c>
      <c r="E76" s="16">
        <v>871</v>
      </c>
      <c r="F76" s="38">
        <f t="shared" si="4"/>
        <v>2</v>
      </c>
      <c r="G76" s="42" t="str">
        <f t="shared" si="5"/>
        <v>FERNÃO DIAS - PAVIMENTAÇÃO - Ruas Laterais em Pista Simples - em segmentos descontínuos - 869 - 871 - 2</v>
      </c>
      <c r="H76" s="29" t="s">
        <v>363</v>
      </c>
      <c r="I76" s="29"/>
      <c r="J76" s="29"/>
      <c r="K76" s="29"/>
      <c r="L76" s="29"/>
      <c r="M76" s="29"/>
      <c r="N76" s="29"/>
    </row>
    <row r="77" spans="1:14" x14ac:dyDescent="0.25">
      <c r="A77" s="33" t="s">
        <v>402</v>
      </c>
      <c r="B77" s="13" t="s">
        <v>317</v>
      </c>
      <c r="C77" s="16" t="s">
        <v>73</v>
      </c>
      <c r="D77" s="16">
        <v>877</v>
      </c>
      <c r="E77" s="16">
        <v>890</v>
      </c>
      <c r="F77" s="38">
        <f t="shared" si="4"/>
        <v>13</v>
      </c>
      <c r="G77" s="42" t="str">
        <f t="shared" si="5"/>
        <v>FERNÃO DIAS - PAVIMENTAÇÃO - Ruas Laterais em Pista Simples - em segmentos descontínuos - 877 - 890 - 13</v>
      </c>
      <c r="H77" s="29" t="s">
        <v>363</v>
      </c>
      <c r="I77" s="29"/>
      <c r="J77" s="29"/>
      <c r="K77" s="29"/>
      <c r="L77" s="29"/>
      <c r="M77" s="29"/>
      <c r="N77" s="29"/>
    </row>
    <row r="78" spans="1:14" x14ac:dyDescent="0.25">
      <c r="A78" s="33" t="s">
        <v>402</v>
      </c>
      <c r="B78" s="13" t="s">
        <v>317</v>
      </c>
      <c r="C78" s="16" t="s">
        <v>73</v>
      </c>
      <c r="D78" s="16">
        <v>935</v>
      </c>
      <c r="E78" s="16">
        <v>937</v>
      </c>
      <c r="F78" s="38">
        <f t="shared" si="4"/>
        <v>2</v>
      </c>
      <c r="G78" s="42" t="str">
        <f t="shared" si="5"/>
        <v>FERNÃO DIAS - PAVIMENTAÇÃO - Ruas Laterais em Pista Simples - em segmentos descontínuos - 935 - 937 - 2</v>
      </c>
      <c r="H78" s="29" t="s">
        <v>363</v>
      </c>
      <c r="I78" s="29"/>
      <c r="J78" s="29"/>
      <c r="K78" s="29"/>
      <c r="L78" s="29"/>
      <c r="M78" s="29"/>
      <c r="N78" s="29"/>
    </row>
    <row r="79" spans="1:14" x14ac:dyDescent="0.25">
      <c r="A79" s="33" t="s">
        <v>402</v>
      </c>
      <c r="B79" s="13" t="s">
        <v>317</v>
      </c>
      <c r="C79" s="16" t="s">
        <v>73</v>
      </c>
      <c r="D79" s="16">
        <v>44</v>
      </c>
      <c r="E79" s="16">
        <v>46</v>
      </c>
      <c r="F79" s="38">
        <f t="shared" si="4"/>
        <v>2</v>
      </c>
      <c r="G79" s="42" t="str">
        <f t="shared" si="5"/>
        <v>FERNÃO DIAS - PAVIMENTAÇÃO - Ruas Laterais em Pista Simples - em segmentos descontínuos - 44 - 46 - 2</v>
      </c>
      <c r="H79" s="29" t="s">
        <v>363</v>
      </c>
      <c r="I79" s="29"/>
      <c r="J79" s="29"/>
      <c r="K79" s="29"/>
      <c r="L79" s="29"/>
      <c r="M79" s="29"/>
      <c r="N79" s="29"/>
    </row>
    <row r="80" spans="1:14" x14ac:dyDescent="0.25">
      <c r="A80" s="33" t="s">
        <v>402</v>
      </c>
      <c r="B80" s="13" t="s">
        <v>317</v>
      </c>
      <c r="C80" s="16" t="s">
        <v>73</v>
      </c>
      <c r="D80" s="16">
        <v>55</v>
      </c>
      <c r="E80" s="16">
        <v>65</v>
      </c>
      <c r="F80" s="38">
        <f t="shared" si="4"/>
        <v>10</v>
      </c>
      <c r="G80" s="42" t="str">
        <f t="shared" si="5"/>
        <v>FERNÃO DIAS - PAVIMENTAÇÃO - Ruas Laterais em Pista Simples - em segmentos descontínuos - 55 - 65 - 10</v>
      </c>
      <c r="H80" s="29" t="s">
        <v>363</v>
      </c>
      <c r="I80" s="29"/>
      <c r="J80" s="29"/>
      <c r="K80" s="29"/>
      <c r="L80" s="29"/>
      <c r="M80" s="29"/>
      <c r="N80" s="29"/>
    </row>
    <row r="81" spans="1:14" x14ac:dyDescent="0.25">
      <c r="A81" s="33" t="s">
        <v>402</v>
      </c>
      <c r="B81" s="13" t="s">
        <v>317</v>
      </c>
      <c r="C81" s="16" t="s">
        <v>74</v>
      </c>
      <c r="D81" s="16">
        <v>561</v>
      </c>
      <c r="E81" s="16">
        <v>565</v>
      </c>
      <c r="F81" s="38">
        <f t="shared" si="4"/>
        <v>4</v>
      </c>
      <c r="G81" s="42" t="str">
        <f t="shared" si="5"/>
        <v>FERNÃO DIAS - PAVIMENTAÇÃO - Ruas Laterais em Pista Simples - em segmentos descontínuos - região de Itaguara - 561 - 565 - 4</v>
      </c>
      <c r="H81" s="29" t="s">
        <v>363</v>
      </c>
      <c r="I81" s="29"/>
      <c r="J81" s="29"/>
      <c r="K81" s="29"/>
      <c r="L81" s="29"/>
      <c r="M81" s="29"/>
      <c r="N81" s="29"/>
    </row>
    <row r="82" spans="1:14" x14ac:dyDescent="0.25">
      <c r="A82" s="33" t="s">
        <v>402</v>
      </c>
      <c r="B82" s="13" t="s">
        <v>317</v>
      </c>
      <c r="C82" s="16" t="s">
        <v>75</v>
      </c>
      <c r="D82" s="16">
        <v>52.9</v>
      </c>
      <c r="E82" s="16">
        <v>54</v>
      </c>
      <c r="F82" s="38">
        <f t="shared" si="4"/>
        <v>1.1000000000000014</v>
      </c>
      <c r="G82" s="42" t="str">
        <f t="shared" si="5"/>
        <v>FERNÃO DIAS - PAVIMENTAÇÃO - Pìsta Norte - 52,9 - 54 - 1,1</v>
      </c>
      <c r="H82" s="29" t="s">
        <v>363</v>
      </c>
      <c r="I82" s="29"/>
      <c r="J82" s="29"/>
      <c r="K82" s="29"/>
      <c r="L82" s="29"/>
      <c r="M82" s="29"/>
      <c r="N82" s="29"/>
    </row>
    <row r="83" spans="1:14" x14ac:dyDescent="0.25">
      <c r="A83" s="33" t="s">
        <v>402</v>
      </c>
      <c r="B83" s="13" t="s">
        <v>317</v>
      </c>
      <c r="C83" s="16" t="s">
        <v>76</v>
      </c>
      <c r="D83" s="16">
        <v>66</v>
      </c>
      <c r="E83" s="16">
        <v>68</v>
      </c>
      <c r="F83" s="38">
        <f t="shared" si="4"/>
        <v>2</v>
      </c>
      <c r="G83" s="42" t="str">
        <f t="shared" si="5"/>
        <v>FERNÃO DIAS - PAVIMENTAÇÃO - Ruas Laterais em Pista Simples - em segmentos descontínuos – Região de Mairiporã - 66 - 68 - 2</v>
      </c>
      <c r="H83" s="29" t="s">
        <v>363</v>
      </c>
      <c r="I83" s="29"/>
      <c r="J83" s="29"/>
      <c r="K83" s="29"/>
      <c r="L83" s="29"/>
      <c r="M83" s="29"/>
      <c r="N83" s="29"/>
    </row>
    <row r="84" spans="1:14" x14ac:dyDescent="0.25">
      <c r="A84" s="33" t="s">
        <v>402</v>
      </c>
      <c r="B84" s="13" t="s">
        <v>319</v>
      </c>
      <c r="C84" s="16" t="s">
        <v>77</v>
      </c>
      <c r="D84" s="16">
        <v>1</v>
      </c>
      <c r="E84" s="16">
        <v>1</v>
      </c>
      <c r="F84" s="38">
        <v>1</v>
      </c>
      <c r="G84" s="42" t="str">
        <f t="shared" si="5"/>
        <v>FERNÃO DIAS - OAE - Implantação de Trevos em Desnível, com Alças, em Pista Dupla – Parcial - 1 - 1 - 1</v>
      </c>
      <c r="H84" s="29" t="s">
        <v>363</v>
      </c>
      <c r="I84" s="29"/>
      <c r="J84" s="29"/>
      <c r="K84" s="29"/>
      <c r="L84" s="29"/>
      <c r="M84" s="29"/>
      <c r="N84" s="29"/>
    </row>
    <row r="85" spans="1:14" x14ac:dyDescent="0.25">
      <c r="A85" s="33" t="s">
        <v>402</v>
      </c>
      <c r="B85" s="13" t="s">
        <v>319</v>
      </c>
      <c r="C85" s="16" t="s">
        <v>77</v>
      </c>
      <c r="D85" s="16">
        <v>1</v>
      </c>
      <c r="E85" s="16">
        <v>1</v>
      </c>
      <c r="F85" s="38">
        <v>1</v>
      </c>
      <c r="G85" s="42" t="str">
        <f t="shared" si="5"/>
        <v>FERNÃO DIAS - OAE - Implantação de Trevos em Desnível, com Alças, em Pista Dupla – Parcial - 1 - 1 - 1</v>
      </c>
      <c r="H85" s="29" t="s">
        <v>363</v>
      </c>
      <c r="I85" s="29"/>
      <c r="J85" s="29"/>
      <c r="K85" s="29"/>
      <c r="L85" s="29"/>
      <c r="M85" s="29"/>
      <c r="N85" s="29"/>
    </row>
    <row r="86" spans="1:14" x14ac:dyDescent="0.25">
      <c r="A86" s="33" t="s">
        <v>402</v>
      </c>
      <c r="B86" s="13" t="s">
        <v>319</v>
      </c>
      <c r="C86" s="16" t="s">
        <v>77</v>
      </c>
      <c r="D86" s="16">
        <v>1</v>
      </c>
      <c r="E86" s="16">
        <v>1</v>
      </c>
      <c r="F86" s="38">
        <v>1</v>
      </c>
      <c r="G86" s="42" t="str">
        <f t="shared" si="5"/>
        <v>FERNÃO DIAS - OAE - Implantação de Trevos em Desnível, com Alças, em Pista Dupla – Parcial - 1 - 1 - 1</v>
      </c>
      <c r="H86" s="29" t="s">
        <v>363</v>
      </c>
      <c r="I86" s="29"/>
      <c r="J86" s="29"/>
      <c r="K86" s="29"/>
      <c r="L86" s="29"/>
      <c r="M86" s="29"/>
      <c r="N86" s="29"/>
    </row>
    <row r="87" spans="1:14" x14ac:dyDescent="0.25">
      <c r="A87" s="33" t="s">
        <v>402</v>
      </c>
      <c r="B87" s="13" t="s">
        <v>319</v>
      </c>
      <c r="C87" s="16" t="s">
        <v>78</v>
      </c>
      <c r="D87" s="16">
        <v>19.399999999999999</v>
      </c>
      <c r="E87" s="16">
        <v>19.399999999999999</v>
      </c>
      <c r="F87" s="38">
        <v>1</v>
      </c>
      <c r="G87" s="42" t="str">
        <f t="shared" si="5"/>
        <v>FERNÃO DIAS - OAE - Complementação do trevo de acesso a cidade de Piracaia - Obras DNIT - 19,4 - 19,4 - 1</v>
      </c>
      <c r="H87" s="29" t="s">
        <v>363</v>
      </c>
      <c r="I87" s="29"/>
      <c r="J87" s="29"/>
      <c r="K87" s="29"/>
      <c r="L87" s="29"/>
      <c r="M87" s="29"/>
      <c r="N87" s="29"/>
    </row>
    <row r="88" spans="1:14" x14ac:dyDescent="0.25">
      <c r="A88" s="33" t="s">
        <v>402</v>
      </c>
      <c r="B88" s="13" t="s">
        <v>319</v>
      </c>
      <c r="C88" s="16" t="s">
        <v>79</v>
      </c>
      <c r="D88" s="16">
        <v>57</v>
      </c>
      <c r="E88" s="16">
        <v>57</v>
      </c>
      <c r="F88" s="38">
        <v>1</v>
      </c>
      <c r="G88" s="42" t="str">
        <f t="shared" si="5"/>
        <v>FERNÃO DIAS - OAE - Conclusão trevo de terra preta - Obras DNIT - 57 - 57 - 1</v>
      </c>
      <c r="H88" s="29" t="s">
        <v>363</v>
      </c>
      <c r="I88" s="29"/>
      <c r="J88" s="29"/>
      <c r="K88" s="29"/>
      <c r="L88" s="29"/>
      <c r="M88" s="29"/>
      <c r="N88" s="29"/>
    </row>
    <row r="89" spans="1:14" x14ac:dyDescent="0.25">
      <c r="A89" s="33" t="s">
        <v>402</v>
      </c>
      <c r="B89" s="13" t="s">
        <v>319</v>
      </c>
      <c r="C89" s="16" t="s">
        <v>80</v>
      </c>
      <c r="D89" s="16">
        <v>67.7</v>
      </c>
      <c r="E89" s="16">
        <v>67.7</v>
      </c>
      <c r="F89" s="38">
        <v>1</v>
      </c>
      <c r="G89" s="42" t="str">
        <f t="shared" si="5"/>
        <v>FERNÃO DIAS - OAE - Conclusão do trevo de acesso à SP-008 - Obras DNIT - 67,7 - 67,7 - 1</v>
      </c>
      <c r="H89" s="29" t="s">
        <v>363</v>
      </c>
      <c r="I89" s="29"/>
      <c r="J89" s="29"/>
      <c r="K89" s="29"/>
      <c r="L89" s="29"/>
      <c r="M89" s="29"/>
      <c r="N89" s="29"/>
    </row>
    <row r="90" spans="1:14" x14ac:dyDescent="0.25">
      <c r="A90" s="33" t="s">
        <v>402</v>
      </c>
      <c r="B90" s="13" t="s">
        <v>319</v>
      </c>
      <c r="C90" s="16" t="s">
        <v>81</v>
      </c>
      <c r="D90" s="16">
        <v>10.5</v>
      </c>
      <c r="E90" s="16">
        <v>10.5</v>
      </c>
      <c r="F90" s="38">
        <v>1</v>
      </c>
      <c r="G90" s="42" t="str">
        <f t="shared" si="5"/>
        <v>FERNÃO DIAS - OAE - Complementação do trevo de acesso ao bairro de Garipocaba - Obras do DNIT - 10,5 - 10,5 - 1</v>
      </c>
      <c r="H90" s="29" t="s">
        <v>363</v>
      </c>
      <c r="I90" s="29"/>
      <c r="J90" s="29"/>
      <c r="K90" s="29"/>
      <c r="L90" s="29"/>
      <c r="M90" s="29"/>
      <c r="N90" s="29"/>
    </row>
    <row r="91" spans="1:14" x14ac:dyDescent="0.25">
      <c r="A91" s="33" t="s">
        <v>402</v>
      </c>
      <c r="B91" s="13" t="s">
        <v>319</v>
      </c>
      <c r="C91" s="16" t="s">
        <v>82</v>
      </c>
      <c r="D91" s="16">
        <v>12</v>
      </c>
      <c r="E91" s="16">
        <v>12</v>
      </c>
      <c r="F91" s="38">
        <v>1</v>
      </c>
      <c r="G91" s="42" t="str">
        <f t="shared" si="5"/>
        <v>FERNÃO DIAS - OAE - Conclusão do trevo de acesso ao bairro de Guaripocaba II - Obras do DNIT - 12 - 12 - 1</v>
      </c>
      <c r="H91" s="29" t="s">
        <v>363</v>
      </c>
      <c r="I91" s="29"/>
      <c r="J91" s="29"/>
      <c r="K91" s="29"/>
      <c r="L91" s="29"/>
      <c r="M91" s="29"/>
      <c r="N91" s="29"/>
    </row>
    <row r="92" spans="1:14" x14ac:dyDescent="0.25">
      <c r="A92" s="33" t="s">
        <v>402</v>
      </c>
      <c r="B92" s="13" t="s">
        <v>319</v>
      </c>
      <c r="C92" s="16" t="s">
        <v>83</v>
      </c>
      <c r="D92" s="16">
        <v>16</v>
      </c>
      <c r="E92" s="16">
        <v>16</v>
      </c>
      <c r="F92" s="38">
        <v>1</v>
      </c>
      <c r="G92" s="42" t="str">
        <f t="shared" si="5"/>
        <v>FERNÃO DIAS - OAE - Conclusão do trevo de acesso ao bairro do Bacci - Obras do DNIT - 16 - 16 - 1</v>
      </c>
      <c r="H92" s="29" t="s">
        <v>363</v>
      </c>
      <c r="I92" s="29"/>
      <c r="J92" s="29"/>
      <c r="K92" s="29"/>
      <c r="L92" s="29"/>
      <c r="M92" s="29"/>
      <c r="N92" s="29"/>
    </row>
    <row r="93" spans="1:14" x14ac:dyDescent="0.25">
      <c r="A93" s="33" t="s">
        <v>402</v>
      </c>
      <c r="B93" s="13" t="s">
        <v>319</v>
      </c>
      <c r="C93" s="16" t="s">
        <v>84</v>
      </c>
      <c r="D93" s="16">
        <v>25.7</v>
      </c>
      <c r="E93" s="16">
        <v>25.7</v>
      </c>
      <c r="F93" s="38">
        <v>1</v>
      </c>
      <c r="G93" s="42" t="str">
        <f t="shared" si="5"/>
        <v>FERNÃO DIAS - OAE - Conclusão do trevo de acesso ao bairro de Esmeralda - Obras do DNIT - 25,7 - 25,7 - 1</v>
      </c>
      <c r="H93" s="29" t="s">
        <v>363</v>
      </c>
      <c r="I93" s="29"/>
      <c r="J93" s="29"/>
      <c r="K93" s="29"/>
      <c r="L93" s="29"/>
      <c r="M93" s="29"/>
      <c r="N93" s="29"/>
    </row>
    <row r="94" spans="1:14" x14ac:dyDescent="0.25">
      <c r="A94" s="33" t="s">
        <v>402</v>
      </c>
      <c r="B94" s="13" t="s">
        <v>319</v>
      </c>
      <c r="C94" s="16" t="s">
        <v>85</v>
      </c>
      <c r="D94" s="16">
        <v>33</v>
      </c>
      <c r="E94" s="16">
        <v>33</v>
      </c>
      <c r="F94" s="38">
        <v>1</v>
      </c>
      <c r="G94" s="42" t="str">
        <f t="shared" si="5"/>
        <v>FERNÃO DIAS - OAE - Conclusão do trevo de acesso ao bairro de São Sebastião - Obras do DNIT - 33 - 33 - 1</v>
      </c>
      <c r="H94" s="29" t="s">
        <v>363</v>
      </c>
      <c r="I94" s="29"/>
      <c r="J94" s="29"/>
      <c r="K94" s="29"/>
      <c r="L94" s="29"/>
      <c r="M94" s="29"/>
      <c r="N94" s="29"/>
    </row>
    <row r="95" spans="1:14" x14ac:dyDescent="0.25">
      <c r="A95" s="33" t="s">
        <v>402</v>
      </c>
      <c r="B95" s="13" t="s">
        <v>319</v>
      </c>
      <c r="C95" s="16" t="s">
        <v>86</v>
      </c>
      <c r="D95" s="16">
        <v>1</v>
      </c>
      <c r="E95" s="16">
        <v>1</v>
      </c>
      <c r="F95" s="38">
        <v>1</v>
      </c>
      <c r="G95" s="42" t="str">
        <f t="shared" si="5"/>
        <v>FERNÃO DIAS - OAE - Implantação de Trevos em Desnível, com Alças, em Pista Dupla – Completo - 1 - 1 - 1</v>
      </c>
      <c r="H95" s="29" t="s">
        <v>363</v>
      </c>
      <c r="I95" s="29"/>
      <c r="J95" s="29"/>
      <c r="K95" s="29"/>
      <c r="L95" s="29"/>
      <c r="M95" s="29"/>
      <c r="N95" s="29"/>
    </row>
    <row r="96" spans="1:14" x14ac:dyDescent="0.25">
      <c r="A96" s="33" t="s">
        <v>402</v>
      </c>
      <c r="B96" s="13" t="s">
        <v>319</v>
      </c>
      <c r="C96" s="16" t="s">
        <v>86</v>
      </c>
      <c r="D96" s="16">
        <v>1</v>
      </c>
      <c r="E96" s="16">
        <v>1</v>
      </c>
      <c r="F96" s="38">
        <v>1</v>
      </c>
      <c r="G96" s="42" t="str">
        <f t="shared" si="5"/>
        <v>FERNÃO DIAS - OAE - Implantação de Trevos em Desnível, com Alças, em Pista Dupla – Completo - 1 - 1 - 1</v>
      </c>
      <c r="H96" s="29" t="s">
        <v>363</v>
      </c>
      <c r="I96" s="29"/>
      <c r="J96" s="29"/>
      <c r="K96" s="29"/>
      <c r="L96" s="29"/>
      <c r="M96" s="29"/>
      <c r="N96" s="29"/>
    </row>
    <row r="97" spans="1:14" x14ac:dyDescent="0.25">
      <c r="A97" s="33" t="s">
        <v>402</v>
      </c>
      <c r="B97" s="13" t="s">
        <v>319</v>
      </c>
      <c r="C97" s="16" t="s">
        <v>87</v>
      </c>
      <c r="D97" s="16">
        <v>1</v>
      </c>
      <c r="E97" s="16">
        <v>1</v>
      </c>
      <c r="F97" s="38">
        <v>1</v>
      </c>
      <c r="G97" s="42" t="str">
        <f t="shared" si="5"/>
        <v>FERNÃO DIAS - OAE - Implantação de Trevos em Desnível, com Alças, em Pista Dupla – Completo - Igarapé/MG - 1 - 1 - 1</v>
      </c>
      <c r="H97" s="29" t="s">
        <v>363</v>
      </c>
      <c r="I97" s="29"/>
      <c r="J97" s="29"/>
      <c r="K97" s="29"/>
      <c r="L97" s="29"/>
      <c r="M97" s="29"/>
      <c r="N97" s="29"/>
    </row>
    <row r="98" spans="1:14" x14ac:dyDescent="0.25">
      <c r="A98" s="33" t="s">
        <v>402</v>
      </c>
      <c r="B98" s="13" t="s">
        <v>319</v>
      </c>
      <c r="C98" s="16" t="s">
        <v>86</v>
      </c>
      <c r="D98" s="16">
        <v>1</v>
      </c>
      <c r="E98" s="16">
        <v>1</v>
      </c>
      <c r="F98" s="38">
        <v>1</v>
      </c>
      <c r="G98" s="42" t="str">
        <f t="shared" si="5"/>
        <v>FERNÃO DIAS - OAE - Implantação de Trevos em Desnível, com Alças, em Pista Dupla – Completo - 1 - 1 - 1</v>
      </c>
      <c r="H98" s="29" t="s">
        <v>363</v>
      </c>
      <c r="I98" s="29"/>
      <c r="J98" s="29"/>
      <c r="K98" s="29"/>
      <c r="L98" s="29"/>
      <c r="M98" s="29"/>
      <c r="N98" s="29"/>
    </row>
    <row r="99" spans="1:14" x14ac:dyDescent="0.25">
      <c r="A99" s="33" t="s">
        <v>402</v>
      </c>
      <c r="B99" s="13" t="s">
        <v>319</v>
      </c>
      <c r="C99" s="16" t="s">
        <v>86</v>
      </c>
      <c r="D99" s="16">
        <v>1</v>
      </c>
      <c r="E99" s="16">
        <v>1</v>
      </c>
      <c r="F99" s="38">
        <v>1</v>
      </c>
      <c r="G99" s="42" t="str">
        <f t="shared" si="5"/>
        <v>FERNÃO DIAS - OAE - Implantação de Trevos em Desnível, com Alças, em Pista Dupla – Completo - 1 - 1 - 1</v>
      </c>
      <c r="H99" s="29" t="s">
        <v>363</v>
      </c>
      <c r="I99" s="29"/>
      <c r="J99" s="29"/>
      <c r="K99" s="29"/>
      <c r="L99" s="29"/>
      <c r="M99" s="29"/>
      <c r="N99" s="29"/>
    </row>
    <row r="100" spans="1:14" x14ac:dyDescent="0.25">
      <c r="A100" s="33" t="s">
        <v>402</v>
      </c>
      <c r="B100" s="13" t="s">
        <v>319</v>
      </c>
      <c r="C100" s="16" t="s">
        <v>88</v>
      </c>
      <c r="D100" s="16">
        <v>1</v>
      </c>
      <c r="E100" s="16">
        <v>1</v>
      </c>
      <c r="F100" s="38">
        <v>1</v>
      </c>
      <c r="G100" s="42" t="str">
        <f t="shared" si="5"/>
        <v>FERNÃO DIAS - OAE - Implantação de Passagem em Desnível Inferior tipo Trincheira: - 1 - 1 - 1</v>
      </c>
      <c r="H100" s="29" t="s">
        <v>363</v>
      </c>
      <c r="I100" s="29"/>
      <c r="J100" s="29"/>
      <c r="K100" s="29"/>
      <c r="L100" s="29"/>
      <c r="M100" s="29"/>
      <c r="N100" s="29"/>
    </row>
    <row r="101" spans="1:14" x14ac:dyDescent="0.25">
      <c r="A101" s="33" t="s">
        <v>402</v>
      </c>
      <c r="B101" s="13" t="s">
        <v>321</v>
      </c>
      <c r="C101" s="16" t="s">
        <v>89</v>
      </c>
      <c r="D101" s="16">
        <v>490</v>
      </c>
      <c r="E101" s="16">
        <v>497.5</v>
      </c>
      <c r="F101" s="38">
        <f>E101-D101</f>
        <v>7.5</v>
      </c>
      <c r="G101" s="42" t="str">
        <f t="shared" si="5"/>
        <v>FERNÃO DIAS - CONTORNO - Contorno de Betim - 490 - 497,5 - 7,5</v>
      </c>
      <c r="H101" s="29" t="s">
        <v>363</v>
      </c>
      <c r="I101" s="29"/>
      <c r="J101" s="29"/>
      <c r="K101" s="29"/>
      <c r="L101" s="29"/>
      <c r="M101" s="29"/>
      <c r="N101" s="29"/>
    </row>
    <row r="102" spans="1:14" x14ac:dyDescent="0.25">
      <c r="A102" s="33" t="s">
        <v>402</v>
      </c>
      <c r="B102" s="13" t="s">
        <v>323</v>
      </c>
      <c r="C102" s="16" t="s">
        <v>322</v>
      </c>
      <c r="D102" s="19">
        <v>0</v>
      </c>
      <c r="E102" s="21">
        <v>88</v>
      </c>
      <c r="F102" s="39">
        <f t="shared" ref="F102" si="6">E102-D102</f>
        <v>88</v>
      </c>
      <c r="G102" s="42" t="str">
        <f t="shared" si="5"/>
        <v>FERNÃO DIAS - TERCEIRA FAIXA  - terceiras faixas, em segmentos descontínuos - 0 - 88 - 88</v>
      </c>
      <c r="H102" s="29" t="s">
        <v>363</v>
      </c>
      <c r="I102" s="29"/>
      <c r="J102" s="29"/>
      <c r="K102" s="29"/>
      <c r="L102" s="29"/>
      <c r="M102" s="29"/>
      <c r="N102" s="29"/>
    </row>
    <row r="103" spans="1:14" x14ac:dyDescent="0.25">
      <c r="A103" s="33" t="s">
        <v>402</v>
      </c>
      <c r="B103" s="13" t="s">
        <v>323</v>
      </c>
      <c r="C103" s="16" t="s">
        <v>90</v>
      </c>
      <c r="D103" s="16">
        <v>22.3</v>
      </c>
      <c r="E103" s="16">
        <v>41</v>
      </c>
      <c r="F103" s="38">
        <f t="shared" ref="F103:F108" si="7">E103-D103</f>
        <v>18.7</v>
      </c>
      <c r="G103" s="42" t="str">
        <f t="shared" si="5"/>
        <v>FERNÃO DIAS - TERCEIRA FAIXA  - Pista Sul - 22,3 - 41 - 18,7</v>
      </c>
      <c r="H103" s="29" t="s">
        <v>363</v>
      </c>
      <c r="I103" s="29"/>
      <c r="J103" s="23" t="s">
        <v>363</v>
      </c>
      <c r="K103" s="29"/>
      <c r="L103" s="29"/>
      <c r="M103" s="29"/>
      <c r="N103" s="29"/>
    </row>
    <row r="104" spans="1:14" x14ac:dyDescent="0.25">
      <c r="A104" s="33" t="s">
        <v>402</v>
      </c>
      <c r="B104" s="13" t="s">
        <v>323</v>
      </c>
      <c r="C104" s="16" t="s">
        <v>91</v>
      </c>
      <c r="D104" s="16">
        <v>35.36</v>
      </c>
      <c r="E104" s="16">
        <v>41</v>
      </c>
      <c r="F104" s="38">
        <f t="shared" si="7"/>
        <v>5.6400000000000006</v>
      </c>
      <c r="G104" s="42" t="str">
        <f t="shared" si="5"/>
        <v>FERNÃO DIAS - TERCEIRA FAIXA  - Pista Norte - 35,36 - 41 - 5,64</v>
      </c>
      <c r="H104" s="29" t="s">
        <v>363</v>
      </c>
      <c r="I104" s="29"/>
      <c r="J104" s="23" t="s">
        <v>363</v>
      </c>
      <c r="K104" s="29"/>
      <c r="L104" s="29"/>
      <c r="M104" s="29"/>
      <c r="N104" s="29"/>
    </row>
    <row r="105" spans="1:14" x14ac:dyDescent="0.25">
      <c r="A105" s="33" t="s">
        <v>402</v>
      </c>
      <c r="B105" s="13" t="s">
        <v>323</v>
      </c>
      <c r="C105" s="16" t="s">
        <v>90</v>
      </c>
      <c r="D105" s="16">
        <v>48.72</v>
      </c>
      <c r="E105" s="16">
        <v>50.37</v>
      </c>
      <c r="F105" s="38">
        <f t="shared" si="7"/>
        <v>1.6499999999999986</v>
      </c>
      <c r="G105" s="42" t="str">
        <f t="shared" si="5"/>
        <v>FERNÃO DIAS - TERCEIRA FAIXA  - Pista Sul - 48,72 - 50,37 - 1,65</v>
      </c>
      <c r="H105" s="29" t="s">
        <v>363</v>
      </c>
      <c r="I105" s="29"/>
      <c r="J105" s="23" t="s">
        <v>363</v>
      </c>
      <c r="K105" s="29"/>
      <c r="L105" s="29"/>
      <c r="M105" s="29"/>
      <c r="N105" s="29"/>
    </row>
    <row r="106" spans="1:14" x14ac:dyDescent="0.25">
      <c r="A106" s="33" t="s">
        <v>402</v>
      </c>
      <c r="B106" s="13" t="s">
        <v>323</v>
      </c>
      <c r="C106" s="16" t="s">
        <v>91</v>
      </c>
      <c r="D106" s="16">
        <v>48.81</v>
      </c>
      <c r="E106" s="16">
        <v>58.86</v>
      </c>
      <c r="F106" s="38">
        <f t="shared" si="7"/>
        <v>10.049999999999997</v>
      </c>
      <c r="G106" s="42" t="str">
        <f t="shared" si="5"/>
        <v>FERNÃO DIAS - TERCEIRA FAIXA  - Pista Norte - 48,81 - 58,86 - 10,05</v>
      </c>
      <c r="H106" s="29" t="s">
        <v>363</v>
      </c>
      <c r="I106" s="29"/>
      <c r="J106" s="23" t="s">
        <v>363</v>
      </c>
      <c r="K106" s="29"/>
      <c r="L106" s="29"/>
      <c r="M106" s="29"/>
      <c r="N106" s="29"/>
    </row>
    <row r="107" spans="1:14" x14ac:dyDescent="0.25">
      <c r="A107" s="33" t="s">
        <v>402</v>
      </c>
      <c r="B107" s="13" t="s">
        <v>323</v>
      </c>
      <c r="C107" s="16" t="s">
        <v>90</v>
      </c>
      <c r="D107" s="16">
        <v>52.14</v>
      </c>
      <c r="E107" s="16">
        <v>54.08</v>
      </c>
      <c r="F107" s="38">
        <f t="shared" si="7"/>
        <v>1.9399999999999977</v>
      </c>
      <c r="G107" s="42" t="str">
        <f t="shared" si="5"/>
        <v>FERNÃO DIAS - TERCEIRA FAIXA  - Pista Sul - 52,14 - 54,08 - 1,94</v>
      </c>
      <c r="H107" s="29" t="s">
        <v>363</v>
      </c>
      <c r="I107" s="29"/>
      <c r="J107" s="23" t="s">
        <v>363</v>
      </c>
      <c r="K107" s="29"/>
      <c r="L107" s="29"/>
      <c r="M107" s="29"/>
      <c r="N107" s="29"/>
    </row>
    <row r="108" spans="1:14" x14ac:dyDescent="0.25">
      <c r="A108" s="33" t="s">
        <v>402</v>
      </c>
      <c r="B108" s="13" t="s">
        <v>323</v>
      </c>
      <c r="C108" s="16" t="s">
        <v>90</v>
      </c>
      <c r="D108" s="16">
        <v>56.2</v>
      </c>
      <c r="E108" s="16">
        <v>65.8</v>
      </c>
      <c r="F108" s="38">
        <f t="shared" si="7"/>
        <v>9.5999999999999943</v>
      </c>
      <c r="G108" s="42" t="str">
        <f t="shared" si="5"/>
        <v>FERNÃO DIAS - TERCEIRA FAIXA  - Pista Sul - 56,2 - 65,8 - 9,59999999999999</v>
      </c>
      <c r="H108" s="29" t="s">
        <v>363</v>
      </c>
      <c r="I108" s="29"/>
      <c r="J108" s="23" t="s">
        <v>363</v>
      </c>
      <c r="K108" s="29"/>
      <c r="L108" s="29"/>
      <c r="M108" s="29"/>
      <c r="N108" s="29"/>
    </row>
    <row r="109" spans="1:14" x14ac:dyDescent="0.25">
      <c r="A109" s="33" t="s">
        <v>401</v>
      </c>
      <c r="B109" s="13" t="s">
        <v>317</v>
      </c>
      <c r="C109" s="16" t="s">
        <v>92</v>
      </c>
      <c r="D109" s="16">
        <v>0</v>
      </c>
      <c r="E109" s="16">
        <v>2.4</v>
      </c>
      <c r="F109" s="38">
        <f>E109-D109</f>
        <v>2.4</v>
      </c>
      <c r="G109" s="42" t="str">
        <f t="shared" si="5"/>
        <v>LITORAL - PAVIMENTAÇÃO - Execução de Ruas Laterais em Pista Simples - Contorno Leste de Curitiba - região da interseção com a BR 277 - 0 - 2,4 - 2,4</v>
      </c>
      <c r="H109" s="29" t="s">
        <v>363</v>
      </c>
      <c r="I109" s="29"/>
      <c r="J109" s="29"/>
      <c r="K109" s="29"/>
      <c r="L109" s="29"/>
      <c r="M109" s="29"/>
      <c r="N109" s="29"/>
    </row>
    <row r="110" spans="1:14" x14ac:dyDescent="0.25">
      <c r="A110" s="33" t="s">
        <v>401</v>
      </c>
      <c r="B110" s="13" t="s">
        <v>317</v>
      </c>
      <c r="C110" s="16" t="s">
        <v>93</v>
      </c>
      <c r="D110" s="16">
        <v>617</v>
      </c>
      <c r="E110" s="16">
        <v>618.4</v>
      </c>
      <c r="F110" s="38">
        <f>(E110-D110)*2</f>
        <v>2.7999999999999545</v>
      </c>
      <c r="G110" s="42" t="str">
        <f t="shared" si="5"/>
        <v>LITORAL - PAVIMENTAÇÃO - região da interseção do Contorno Leste de Curitiba - 617 - 618,4 - 2,79999999999995</v>
      </c>
      <c r="H110" s="29" t="s">
        <v>363</v>
      </c>
      <c r="I110" s="29"/>
      <c r="J110" s="29"/>
      <c r="K110" s="29"/>
      <c r="L110" s="29"/>
      <c r="M110" s="29"/>
      <c r="N110" s="29"/>
    </row>
    <row r="111" spans="1:14" x14ac:dyDescent="0.25">
      <c r="A111" s="33" t="s">
        <v>401</v>
      </c>
      <c r="B111" s="13" t="s">
        <v>317</v>
      </c>
      <c r="C111" s="16" t="s">
        <v>94</v>
      </c>
      <c r="D111" s="16">
        <v>634</v>
      </c>
      <c r="E111" s="16">
        <v>650</v>
      </c>
      <c r="F111" s="38">
        <f>(E111-D111)</f>
        <v>16</v>
      </c>
      <c r="G111" s="42" t="str">
        <f t="shared" si="5"/>
        <v>LITORAL - PAVIMENTAÇÃO - Execução de Ruas Laterais em Pista Simples - segmentos descontínuos – - 634 - 650 - 16</v>
      </c>
      <c r="H111" s="29" t="s">
        <v>363</v>
      </c>
      <c r="I111" s="29"/>
      <c r="J111" s="29"/>
      <c r="K111" s="29"/>
      <c r="L111" s="29"/>
      <c r="M111" s="29"/>
      <c r="N111" s="29"/>
    </row>
    <row r="112" spans="1:14" x14ac:dyDescent="0.25">
      <c r="A112" s="33" t="s">
        <v>401</v>
      </c>
      <c r="B112" s="13" t="s">
        <v>317</v>
      </c>
      <c r="C112" s="16" t="s">
        <v>95</v>
      </c>
      <c r="D112" s="16">
        <v>0</v>
      </c>
      <c r="E112" s="16">
        <v>2</v>
      </c>
      <c r="F112" s="38">
        <f>E112-D112</f>
        <v>2</v>
      </c>
      <c r="G112" s="42" t="str">
        <f t="shared" si="5"/>
        <v>LITORAL - PAVIMENTAÇÃO - Execução de Ruas Laterais em Pista Simples - Camboriú – 2 lados – segmentos descontínuos - 0 - 2 - 2</v>
      </c>
      <c r="H112" s="29" t="s">
        <v>363</v>
      </c>
      <c r="I112" s="29"/>
      <c r="J112" s="29"/>
      <c r="K112" s="29"/>
      <c r="L112" s="29"/>
      <c r="M112" s="29"/>
      <c r="N112" s="29"/>
    </row>
    <row r="113" spans="1:14" x14ac:dyDescent="0.25">
      <c r="A113" s="33" t="s">
        <v>401</v>
      </c>
      <c r="B113" s="13" t="s">
        <v>317</v>
      </c>
      <c r="C113" s="16" t="s">
        <v>96</v>
      </c>
      <c r="D113" s="16">
        <v>0</v>
      </c>
      <c r="E113" s="16">
        <v>1</v>
      </c>
      <c r="F113" s="38">
        <f>E113-D113</f>
        <v>1</v>
      </c>
      <c r="G113" s="42" t="str">
        <f t="shared" si="5"/>
        <v>LITORAL - PAVIMENTAÇÃO - Execução de Ruas Laterais em Pista Simples - Sta. Luzia/Porto Belo - lado direito - segmentos descontínuos - 0 - 1 - 1</v>
      </c>
      <c r="H113" s="29" t="s">
        <v>363</v>
      </c>
      <c r="I113" s="29"/>
      <c r="J113" s="29"/>
      <c r="K113" s="29"/>
      <c r="L113" s="29"/>
      <c r="M113" s="29"/>
      <c r="N113" s="29"/>
    </row>
    <row r="114" spans="1:14" x14ac:dyDescent="0.25">
      <c r="A114" s="33" t="s">
        <v>401</v>
      </c>
      <c r="B114" s="13" t="s">
        <v>317</v>
      </c>
      <c r="C114" s="16" t="s">
        <v>97</v>
      </c>
      <c r="D114" s="16">
        <v>0</v>
      </c>
      <c r="E114" s="16">
        <v>1.5</v>
      </c>
      <c r="F114" s="38">
        <f>E114-D114</f>
        <v>1.5</v>
      </c>
      <c r="G114" s="42" t="str">
        <f t="shared" si="5"/>
        <v>LITORAL - PAVIMENTAÇÃO - Execução de Ruas Laterais em Pista Simples - Tijucas - 2 lados - segmentos descontínuos - 0 - 1,5 - 1,5</v>
      </c>
      <c r="H114" s="29" t="s">
        <v>363</v>
      </c>
      <c r="I114" s="29"/>
      <c r="J114" s="29"/>
      <c r="K114" s="29"/>
      <c r="L114" s="29"/>
      <c r="M114" s="29"/>
      <c r="N114" s="29"/>
    </row>
    <row r="115" spans="1:14" x14ac:dyDescent="0.25">
      <c r="A115" s="33" t="s">
        <v>401</v>
      </c>
      <c r="B115" s="13" t="s">
        <v>317</v>
      </c>
      <c r="C115" s="16" t="s">
        <v>98</v>
      </c>
      <c r="D115" s="16">
        <v>0</v>
      </c>
      <c r="E115" s="16">
        <v>2.5</v>
      </c>
      <c r="F115" s="38">
        <f>(E115-D115)*2</f>
        <v>5</v>
      </c>
      <c r="G115" s="42" t="str">
        <f t="shared" si="5"/>
        <v>LITORAL - PAVIMENTAÇÃO - Execução de Ruas Laterais em Pista Simples - Itajaí – 2 lados – segmentos descontínuos - 0 - 2,5 - 5</v>
      </c>
      <c r="H115" s="29" t="s">
        <v>363</v>
      </c>
      <c r="I115" s="29"/>
      <c r="J115" s="29"/>
      <c r="K115" s="29"/>
      <c r="L115" s="29"/>
      <c r="M115" s="29"/>
      <c r="N115" s="29"/>
    </row>
    <row r="116" spans="1:14" x14ac:dyDescent="0.25">
      <c r="A116" s="33" t="s">
        <v>401</v>
      </c>
      <c r="B116" s="13" t="s">
        <v>317</v>
      </c>
      <c r="C116" s="16" t="s">
        <v>99</v>
      </c>
      <c r="D116" s="16">
        <v>0</v>
      </c>
      <c r="E116" s="16">
        <v>3.5</v>
      </c>
      <c r="F116" s="38">
        <f>(E116-D116)*2</f>
        <v>7</v>
      </c>
      <c r="G116" s="42" t="str">
        <f t="shared" si="5"/>
        <v>LITORAL - PAVIMENTAÇÃO - Execução de Ruas Laterais em Pista Simples - Itapema – 2 lados – segmentos descontínuos - 0 - 3,5 - 7</v>
      </c>
      <c r="H116" s="29" t="s">
        <v>363</v>
      </c>
      <c r="I116" s="29"/>
      <c r="J116" s="29"/>
      <c r="K116" s="29"/>
      <c r="L116" s="29"/>
      <c r="M116" s="29"/>
      <c r="N116" s="29"/>
    </row>
    <row r="117" spans="1:14" x14ac:dyDescent="0.25">
      <c r="A117" s="33" t="s">
        <v>401</v>
      </c>
      <c r="B117" s="13" t="s">
        <v>317</v>
      </c>
      <c r="C117" s="16" t="s">
        <v>100</v>
      </c>
      <c r="D117" s="16">
        <v>49</v>
      </c>
      <c r="E117" s="16">
        <v>60</v>
      </c>
      <c r="F117" s="38">
        <f>(E117-D117)</f>
        <v>11</v>
      </c>
      <c r="G117" s="42" t="str">
        <f t="shared" si="5"/>
        <v>LITORAL - PAVIMENTAÇÃO - Execução de Ruas Laterais em Pista Simples - em segmentos descontínuos - 49 - 60 - 11</v>
      </c>
      <c r="H117" s="29" t="s">
        <v>363</v>
      </c>
      <c r="I117" s="29"/>
      <c r="J117" s="29"/>
      <c r="K117" s="29"/>
      <c r="L117" s="29"/>
      <c r="M117" s="29"/>
      <c r="N117" s="29"/>
    </row>
    <row r="118" spans="1:14" x14ac:dyDescent="0.25">
      <c r="A118" s="33" t="s">
        <v>401</v>
      </c>
      <c r="B118" s="13" t="s">
        <v>317</v>
      </c>
      <c r="C118" s="16" t="s">
        <v>100</v>
      </c>
      <c r="D118" s="16">
        <v>110</v>
      </c>
      <c r="E118" s="16">
        <v>125</v>
      </c>
      <c r="F118" s="38">
        <f>(E118-D118)</f>
        <v>15</v>
      </c>
      <c r="G118" s="42" t="str">
        <f t="shared" si="5"/>
        <v>LITORAL - PAVIMENTAÇÃO - Execução de Ruas Laterais em Pista Simples - em segmentos descontínuos - 110 - 125 - 15</v>
      </c>
      <c r="H118" s="29" t="s">
        <v>363</v>
      </c>
      <c r="I118" s="29"/>
      <c r="J118" s="29"/>
      <c r="K118" s="29"/>
      <c r="L118" s="29"/>
      <c r="M118" s="29"/>
      <c r="N118" s="29"/>
    </row>
    <row r="119" spans="1:14" x14ac:dyDescent="0.25">
      <c r="A119" s="33" t="s">
        <v>401</v>
      </c>
      <c r="B119" s="13" t="s">
        <v>317</v>
      </c>
      <c r="C119" s="16" t="s">
        <v>100</v>
      </c>
      <c r="D119" s="16">
        <v>130</v>
      </c>
      <c r="E119" s="16">
        <v>146</v>
      </c>
      <c r="F119" s="38">
        <f>(E119-D119)</f>
        <v>16</v>
      </c>
      <c r="G119" s="42" t="str">
        <f t="shared" si="5"/>
        <v>LITORAL - PAVIMENTAÇÃO - Execução de Ruas Laterais em Pista Simples - em segmentos descontínuos - 130 - 146 - 16</v>
      </c>
      <c r="H119" s="29" t="s">
        <v>363</v>
      </c>
      <c r="I119" s="29"/>
      <c r="J119" s="29"/>
      <c r="K119" s="29"/>
      <c r="L119" s="29"/>
      <c r="M119" s="29"/>
      <c r="N119" s="29"/>
    </row>
    <row r="120" spans="1:14" x14ac:dyDescent="0.25">
      <c r="A120" s="33" t="s">
        <v>401</v>
      </c>
      <c r="B120" s="13" t="s">
        <v>319</v>
      </c>
      <c r="C120" s="82" t="s">
        <v>101</v>
      </c>
      <c r="D120" s="16">
        <v>1</v>
      </c>
      <c r="E120" s="16">
        <v>1</v>
      </c>
      <c r="F120" s="38">
        <v>1</v>
      </c>
      <c r="G120" s="42" t="str">
        <f t="shared" si="5"/>
        <v>LITORAL - OAE - Implantação de Trevos em Desnível, com Alças, em Pista Dupla – Parcial: a definir - 1 - 1 - 1</v>
      </c>
      <c r="H120" s="29" t="s">
        <v>363</v>
      </c>
      <c r="I120" s="29"/>
      <c r="J120" s="29"/>
      <c r="K120" s="29"/>
      <c r="L120" s="29"/>
      <c r="M120" s="29"/>
      <c r="N120" s="29"/>
    </row>
    <row r="121" spans="1:14" x14ac:dyDescent="0.25">
      <c r="A121" s="33" t="s">
        <v>401</v>
      </c>
      <c r="B121" s="13" t="s">
        <v>319</v>
      </c>
      <c r="C121" s="16" t="s">
        <v>102</v>
      </c>
      <c r="D121" s="16">
        <v>73.3</v>
      </c>
      <c r="E121" s="16">
        <v>73.3</v>
      </c>
      <c r="F121" s="38">
        <v>1</v>
      </c>
      <c r="G121" s="42" t="str">
        <f t="shared" si="5"/>
        <v>LITORAL - OAE - Implantação de Trevos em Desnível, com Alças, em Pista Dupla – Parcial: Complementação da PR-09 - Estrada da Graciosa - 73,3 - 73,3 - 1</v>
      </c>
      <c r="H121" s="29" t="s">
        <v>363</v>
      </c>
      <c r="I121" s="29"/>
      <c r="J121" s="29"/>
      <c r="K121" s="29"/>
      <c r="L121" s="29"/>
      <c r="M121" s="29"/>
      <c r="N121" s="29"/>
    </row>
    <row r="122" spans="1:14" x14ac:dyDescent="0.25">
      <c r="A122" s="33" t="s">
        <v>401</v>
      </c>
      <c r="B122" s="13" t="s">
        <v>319</v>
      </c>
      <c r="C122" s="16" t="s">
        <v>103</v>
      </c>
      <c r="D122" s="16">
        <v>663.26</v>
      </c>
      <c r="E122" s="16">
        <v>663.26</v>
      </c>
      <c r="F122" s="38">
        <v>1</v>
      </c>
      <c r="G122" s="42" t="str">
        <f t="shared" si="5"/>
        <v>LITORAL - OAE - Implantação de Trevos em Desnível, com Alças, em Pista simples – Parcial: km 663,260 (PNV 2009) - 663,26 - 663,26 - 1</v>
      </c>
      <c r="H122" s="29" t="s">
        <v>363</v>
      </c>
      <c r="I122" s="29"/>
      <c r="J122" s="29"/>
      <c r="K122" s="29"/>
      <c r="L122" s="29"/>
      <c r="M122" s="29"/>
      <c r="N122" s="29"/>
    </row>
    <row r="123" spans="1:14" x14ac:dyDescent="0.25">
      <c r="A123" s="33" t="s">
        <v>401</v>
      </c>
      <c r="B123" s="13" t="s">
        <v>319</v>
      </c>
      <c r="C123" s="16" t="s">
        <v>104</v>
      </c>
      <c r="D123" s="16">
        <v>617.45000000000005</v>
      </c>
      <c r="E123" s="16">
        <v>617.45000000000005</v>
      </c>
      <c r="F123" s="38">
        <v>1</v>
      </c>
      <c r="G123" s="42" t="str">
        <f t="shared" si="5"/>
        <v>LITORAL - OAE - Implantação de Trevos em Desnível, com Alças, em Pista Dupla – Parcial: - 617,45 - 617,45 - 1</v>
      </c>
      <c r="H123" s="29" t="s">
        <v>363</v>
      </c>
      <c r="I123" s="29"/>
      <c r="J123" s="29"/>
      <c r="K123" s="29"/>
      <c r="L123" s="29"/>
      <c r="M123" s="29"/>
      <c r="N123" s="29"/>
    </row>
    <row r="124" spans="1:14" x14ac:dyDescent="0.25">
      <c r="A124" s="33" t="s">
        <v>401</v>
      </c>
      <c r="B124" s="13" t="s">
        <v>319</v>
      </c>
      <c r="C124" s="16" t="s">
        <v>104</v>
      </c>
      <c r="D124" s="16">
        <v>648.29999999999995</v>
      </c>
      <c r="E124" s="16">
        <v>648.29999999999995</v>
      </c>
      <c r="F124" s="38">
        <v>1</v>
      </c>
      <c r="G124" s="42" t="str">
        <f t="shared" si="5"/>
        <v>LITORAL - OAE - Implantação de Trevos em Desnível, com Alças, em Pista Dupla – Parcial: - 648,3 - 648,3 - 1</v>
      </c>
      <c r="H124" s="29" t="s">
        <v>363</v>
      </c>
      <c r="I124" s="29"/>
      <c r="J124" s="29"/>
      <c r="K124" s="29"/>
      <c r="L124" s="29"/>
      <c r="M124" s="29"/>
      <c r="N124" s="29"/>
    </row>
    <row r="125" spans="1:14" x14ac:dyDescent="0.25">
      <c r="A125" s="33" t="s">
        <v>401</v>
      </c>
      <c r="B125" s="13" t="s">
        <v>319</v>
      </c>
      <c r="C125" s="16" t="s">
        <v>104</v>
      </c>
      <c r="D125" s="16">
        <v>633</v>
      </c>
      <c r="E125" s="16">
        <v>633</v>
      </c>
      <c r="F125" s="38">
        <v>1</v>
      </c>
      <c r="G125" s="42" t="str">
        <f t="shared" si="5"/>
        <v>LITORAL - OAE - Implantação de Trevos em Desnível, com Alças, em Pista Dupla – Parcial: - 633 - 633 - 1</v>
      </c>
      <c r="H125" s="29" t="s">
        <v>363</v>
      </c>
      <c r="I125" s="29"/>
      <c r="J125" s="29"/>
      <c r="K125" s="29"/>
      <c r="L125" s="29"/>
      <c r="M125" s="29"/>
      <c r="N125" s="29"/>
    </row>
    <row r="126" spans="1:14" x14ac:dyDescent="0.25">
      <c r="A126" s="33" t="s">
        <v>401</v>
      </c>
      <c r="B126" s="13" t="s">
        <v>319</v>
      </c>
      <c r="C126" s="16" t="s">
        <v>105</v>
      </c>
      <c r="D126" s="16">
        <v>646.04999999999995</v>
      </c>
      <c r="E126" s="16">
        <v>646.04999999999995</v>
      </c>
      <c r="F126" s="38">
        <v>1</v>
      </c>
      <c r="G126" s="42" t="str">
        <f t="shared" si="5"/>
        <v>LITORAL - OAE - Implantação de Passagens em Desnível Inferior Tipo Viaduto: - 646,05 - 646,05 - 1</v>
      </c>
      <c r="H126" s="29" t="s">
        <v>363</v>
      </c>
      <c r="I126" s="29"/>
      <c r="J126" s="29"/>
      <c r="K126" s="29"/>
      <c r="L126" s="29"/>
      <c r="M126" s="29"/>
      <c r="N126" s="29"/>
    </row>
    <row r="127" spans="1:14" x14ac:dyDescent="0.25">
      <c r="A127" s="33" t="s">
        <v>401</v>
      </c>
      <c r="B127" s="13" t="s">
        <v>319</v>
      </c>
      <c r="C127" s="16" t="s">
        <v>105</v>
      </c>
      <c r="D127" s="16">
        <v>639.25</v>
      </c>
      <c r="E127" s="16">
        <v>639.25</v>
      </c>
      <c r="F127" s="38">
        <v>1</v>
      </c>
      <c r="G127" s="42" t="str">
        <f t="shared" si="5"/>
        <v>LITORAL - OAE - Implantação de Passagens em Desnível Inferior Tipo Viaduto: - 639,25 - 639,25 - 1</v>
      </c>
      <c r="H127" s="29" t="s">
        <v>363</v>
      </c>
      <c r="I127" s="29"/>
      <c r="J127" s="29"/>
      <c r="K127" s="29"/>
      <c r="L127" s="29"/>
      <c r="M127" s="29"/>
      <c r="N127" s="29"/>
    </row>
    <row r="128" spans="1:14" x14ac:dyDescent="0.25">
      <c r="A128" s="33" t="s">
        <v>401</v>
      </c>
      <c r="B128" s="13" t="s">
        <v>319</v>
      </c>
      <c r="C128" s="16" t="s">
        <v>106</v>
      </c>
      <c r="D128" s="16">
        <v>637.26</v>
      </c>
      <c r="E128" s="16">
        <v>637.26</v>
      </c>
      <c r="F128" s="38">
        <v>1</v>
      </c>
      <c r="G128" s="42" t="str">
        <f t="shared" si="5"/>
        <v>LITORAL - OAE - Implantação Alças de Trevo: - 637,26 - 637,26 - 1</v>
      </c>
      <c r="H128" s="29" t="s">
        <v>363</v>
      </c>
      <c r="I128" s="29"/>
      <c r="J128" s="29"/>
      <c r="K128" s="29"/>
      <c r="L128" s="29"/>
      <c r="M128" s="29"/>
      <c r="N128" s="29"/>
    </row>
    <row r="129" spans="1:14" x14ac:dyDescent="0.25">
      <c r="A129" s="33" t="s">
        <v>401</v>
      </c>
      <c r="B129" s="13" t="s">
        <v>319</v>
      </c>
      <c r="C129" s="16" t="s">
        <v>106</v>
      </c>
      <c r="D129" s="16">
        <v>644.1</v>
      </c>
      <c r="E129" s="16">
        <v>644.1</v>
      </c>
      <c r="F129" s="38">
        <v>1</v>
      </c>
      <c r="G129" s="42" t="str">
        <f t="shared" si="5"/>
        <v>LITORAL - OAE - Implantação Alças de Trevo: - 644,1 - 644,1 - 1</v>
      </c>
      <c r="H129" s="29" t="s">
        <v>363</v>
      </c>
      <c r="I129" s="29"/>
      <c r="J129" s="29"/>
      <c r="K129" s="29"/>
      <c r="L129" s="29"/>
      <c r="M129" s="29"/>
      <c r="N129" s="29"/>
    </row>
    <row r="130" spans="1:14" x14ac:dyDescent="0.25">
      <c r="A130" s="33" t="s">
        <v>401</v>
      </c>
      <c r="B130" s="13" t="s">
        <v>319</v>
      </c>
      <c r="C130" s="16" t="s">
        <v>107</v>
      </c>
      <c r="D130" s="18">
        <v>0</v>
      </c>
      <c r="E130" s="18">
        <v>7</v>
      </c>
      <c r="F130" s="40">
        <f>E130-D130</f>
        <v>7</v>
      </c>
      <c r="G130" s="42" t="str">
        <f t="shared" si="5"/>
        <v>LITORAL - OAE - Túnel do Contorno de Florianopolis - 4 túneis duplo - 0 - 7 - 7</v>
      </c>
      <c r="H130" s="29" t="s">
        <v>363</v>
      </c>
      <c r="I130" s="30"/>
      <c r="J130" s="30"/>
      <c r="K130" s="30"/>
      <c r="L130" s="30"/>
      <c r="M130" s="30"/>
      <c r="N130" s="30"/>
    </row>
    <row r="131" spans="1:14" x14ac:dyDescent="0.25">
      <c r="A131" s="33" t="s">
        <v>401</v>
      </c>
      <c r="B131" s="13" t="s">
        <v>319</v>
      </c>
      <c r="C131" s="17" t="s">
        <v>108</v>
      </c>
      <c r="D131" s="16">
        <v>1</v>
      </c>
      <c r="E131" s="16">
        <v>1</v>
      </c>
      <c r="F131" s="38">
        <v>1</v>
      </c>
      <c r="G131" s="42" t="str">
        <f t="shared" ref="G131:G194" si="8">_xlfn.TEXTJOIN(" - ",TRUE,A131:F131)</f>
        <v>LITORAL - OAE - Implantação de Trevos em Desnível, com Alças, em Pista simples – Parcial: Elevação da ponte sobre o rio Camboriú - 1 - 1 - 1</v>
      </c>
      <c r="H131" s="29" t="s">
        <v>363</v>
      </c>
      <c r="I131" s="29"/>
      <c r="J131" s="29"/>
      <c r="K131" s="29"/>
      <c r="L131" s="29"/>
      <c r="M131" s="29"/>
      <c r="N131" s="29"/>
    </row>
    <row r="132" spans="1:14" x14ac:dyDescent="0.25">
      <c r="A132" s="33" t="s">
        <v>401</v>
      </c>
      <c r="B132" s="13" t="s">
        <v>319</v>
      </c>
      <c r="C132" s="16" t="s">
        <v>109</v>
      </c>
      <c r="D132" s="16">
        <v>109.2</v>
      </c>
      <c r="E132" s="16">
        <v>109.2</v>
      </c>
      <c r="F132" s="38">
        <v>1</v>
      </c>
      <c r="G132" s="42" t="str">
        <f t="shared" si="8"/>
        <v>LITORAL - OAE - Implantação de Trevos em Desnível, com Alças, em Pista simples – Parcial: - 109,2 - 109,2 - 1</v>
      </c>
      <c r="H132" s="29" t="s">
        <v>363</v>
      </c>
      <c r="I132" s="29"/>
      <c r="J132" s="29"/>
      <c r="K132" s="29"/>
      <c r="L132" s="29"/>
      <c r="M132" s="29"/>
      <c r="N132" s="29"/>
    </row>
    <row r="133" spans="1:14" x14ac:dyDescent="0.25">
      <c r="A133" s="33" t="s">
        <v>401</v>
      </c>
      <c r="B133" s="13" t="s">
        <v>319</v>
      </c>
      <c r="C133" s="4" t="s">
        <v>109</v>
      </c>
      <c r="D133" s="16">
        <v>140.30000000000001</v>
      </c>
      <c r="E133" s="16">
        <v>140.30000000000001</v>
      </c>
      <c r="F133" s="38">
        <v>1</v>
      </c>
      <c r="G133" s="42" t="str">
        <f t="shared" si="8"/>
        <v>LITORAL - OAE - Implantação de Trevos em Desnível, com Alças, em Pista simples – Parcial: - 140,3 - 140,3 - 1</v>
      </c>
      <c r="H133" s="29" t="s">
        <v>363</v>
      </c>
      <c r="I133" s="29"/>
      <c r="J133" s="29"/>
      <c r="K133" s="29"/>
      <c r="L133" s="29"/>
      <c r="M133" s="29"/>
      <c r="N133" s="29"/>
    </row>
    <row r="134" spans="1:14" x14ac:dyDescent="0.25">
      <c r="A134" s="33" t="s">
        <v>401</v>
      </c>
      <c r="B134" s="13" t="s">
        <v>319</v>
      </c>
      <c r="C134" s="4" t="s">
        <v>110</v>
      </c>
      <c r="D134" s="16">
        <v>1</v>
      </c>
      <c r="E134" s="16">
        <v>1</v>
      </c>
      <c r="F134" s="38">
        <v>1</v>
      </c>
      <c r="G134" s="42" t="str">
        <f t="shared" si="8"/>
        <v>LITORAL - OAE - Implantação de Trevos em Desnível, com Alças, em Pista simples – Completo: Trevo de interseção c/ a SC 408 - 1 - 1 - 1</v>
      </c>
      <c r="H134" s="29" t="s">
        <v>363</v>
      </c>
      <c r="I134" s="29"/>
      <c r="J134" s="29"/>
      <c r="K134" s="29"/>
      <c r="L134" s="29"/>
      <c r="M134" s="29"/>
      <c r="N134" s="29"/>
    </row>
    <row r="135" spans="1:14" x14ac:dyDescent="0.25">
      <c r="A135" s="33" t="s">
        <v>401</v>
      </c>
      <c r="B135" s="13" t="s">
        <v>319</v>
      </c>
      <c r="C135" s="16" t="s">
        <v>111</v>
      </c>
      <c r="D135" s="16">
        <v>1</v>
      </c>
      <c r="E135" s="16">
        <v>1</v>
      </c>
      <c r="F135" s="38">
        <v>1</v>
      </c>
      <c r="G135" s="42" t="str">
        <f t="shared" si="8"/>
        <v>LITORAL - OAE - Implantação de Trevos em Desnível, com Alças, em Pista simples – Completo: Trevo de interseção c/ a SC-407 - 1 - 1 - 1</v>
      </c>
      <c r="H135" s="29" t="s">
        <v>363</v>
      </c>
      <c r="I135" s="29"/>
      <c r="J135" s="29"/>
      <c r="K135" s="29"/>
      <c r="L135" s="29"/>
      <c r="M135" s="29"/>
      <c r="N135" s="29"/>
    </row>
    <row r="136" spans="1:14" ht="30" x14ac:dyDescent="0.25">
      <c r="A136" s="33" t="s">
        <v>401</v>
      </c>
      <c r="B136" s="13" t="s">
        <v>319</v>
      </c>
      <c r="C136" s="16" t="s">
        <v>112</v>
      </c>
      <c r="D136" s="16">
        <v>1</v>
      </c>
      <c r="E136" s="16">
        <v>1</v>
      </c>
      <c r="F136" s="38">
        <v>1</v>
      </c>
      <c r="G136" s="42" t="str">
        <f t="shared" si="8"/>
        <v>LITORAL - OAE - Implantação de Trevos em Desnível, com Alças, em Pista simples – Completo: Contorno de Florianopolis trevos na interseção c/ vias locais - 1 - 1 - 1</v>
      </c>
      <c r="H136" s="29" t="s">
        <v>363</v>
      </c>
      <c r="I136" s="29"/>
      <c r="J136" s="29"/>
      <c r="K136" s="29"/>
      <c r="L136" s="29"/>
      <c r="M136" s="29"/>
      <c r="N136" s="29"/>
    </row>
    <row r="137" spans="1:14" ht="30" x14ac:dyDescent="0.25">
      <c r="A137" s="33" t="s">
        <v>401</v>
      </c>
      <c r="B137" s="13" t="s">
        <v>319</v>
      </c>
      <c r="C137" s="16" t="s">
        <v>112</v>
      </c>
      <c r="D137" s="16">
        <v>1</v>
      </c>
      <c r="E137" s="16">
        <v>1</v>
      </c>
      <c r="F137" s="38">
        <v>1</v>
      </c>
      <c r="G137" s="42" t="str">
        <f t="shared" si="8"/>
        <v>LITORAL - OAE - Implantação de Trevos em Desnível, com Alças, em Pista simples – Completo: Contorno de Florianopolis trevos na interseção c/ vias locais - 1 - 1 - 1</v>
      </c>
      <c r="H137" s="29" t="s">
        <v>363</v>
      </c>
      <c r="I137" s="29"/>
      <c r="J137" s="29"/>
      <c r="K137" s="29"/>
      <c r="L137" s="29"/>
      <c r="M137" s="29"/>
      <c r="N137" s="29"/>
    </row>
    <row r="138" spans="1:14" ht="30" x14ac:dyDescent="0.25">
      <c r="A138" s="33" t="s">
        <v>401</v>
      </c>
      <c r="B138" s="13" t="s">
        <v>319</v>
      </c>
      <c r="C138" s="16" t="s">
        <v>113</v>
      </c>
      <c r="D138" s="16">
        <v>1</v>
      </c>
      <c r="E138" s="16">
        <v>1</v>
      </c>
      <c r="F138" s="38">
        <v>1</v>
      </c>
      <c r="G138" s="42" t="str">
        <f t="shared" si="8"/>
        <v>LITORAL - OAE - Implantação de Trevos em Desnível, com Alças, em Pista Dupla – Completo - Contorno de Florianopolis - nas interseções c/ BR-101/SC - 1 - 1 - 1</v>
      </c>
      <c r="H138" s="29" t="s">
        <v>363</v>
      </c>
      <c r="I138" s="29"/>
      <c r="J138" s="29"/>
      <c r="K138" s="29"/>
      <c r="L138" s="29"/>
      <c r="M138" s="29"/>
      <c r="N138" s="29"/>
    </row>
    <row r="139" spans="1:14" ht="30" x14ac:dyDescent="0.25">
      <c r="A139" s="33" t="s">
        <v>401</v>
      </c>
      <c r="B139" s="13" t="s">
        <v>319</v>
      </c>
      <c r="C139" s="16" t="s">
        <v>113</v>
      </c>
      <c r="D139" s="16">
        <v>1</v>
      </c>
      <c r="E139" s="16">
        <v>1</v>
      </c>
      <c r="F139" s="38">
        <v>1</v>
      </c>
      <c r="G139" s="42" t="str">
        <f t="shared" si="8"/>
        <v>LITORAL - OAE - Implantação de Trevos em Desnível, com Alças, em Pista Dupla – Completo - Contorno de Florianopolis - nas interseções c/ BR-101/SC - 1 - 1 - 1</v>
      </c>
      <c r="H139" s="29" t="s">
        <v>363</v>
      </c>
      <c r="I139" s="29"/>
      <c r="J139" s="29"/>
      <c r="K139" s="29"/>
      <c r="L139" s="29"/>
      <c r="M139" s="29"/>
      <c r="N139" s="29"/>
    </row>
    <row r="140" spans="1:14" ht="30" x14ac:dyDescent="0.25">
      <c r="A140" s="33" t="s">
        <v>401</v>
      </c>
      <c r="B140" s="13" t="s">
        <v>319</v>
      </c>
      <c r="C140" s="16" t="s">
        <v>114</v>
      </c>
      <c r="D140" s="16">
        <v>1</v>
      </c>
      <c r="E140" s="16">
        <v>1</v>
      </c>
      <c r="F140" s="38">
        <v>1</v>
      </c>
      <c r="G140" s="42" t="str">
        <f t="shared" si="8"/>
        <v>LITORAL - OAE - Implantação de Trevos em Desnível, com Alças, em Pista Dupla – Completo - Contorno de Florianopolis - nas interseções c/ a BR-282/SC. - 1 - 1 - 1</v>
      </c>
      <c r="H140" s="29" t="s">
        <v>363</v>
      </c>
      <c r="I140" s="29"/>
      <c r="J140" s="29"/>
      <c r="K140" s="29"/>
      <c r="L140" s="29"/>
      <c r="M140" s="29"/>
      <c r="N140" s="29"/>
    </row>
    <row r="141" spans="1:14" x14ac:dyDescent="0.25">
      <c r="A141" s="33" t="s">
        <v>401</v>
      </c>
      <c r="B141" s="13" t="s">
        <v>319</v>
      </c>
      <c r="C141" s="16" t="s">
        <v>115</v>
      </c>
      <c r="D141" s="16">
        <v>1</v>
      </c>
      <c r="E141" s="16">
        <v>1</v>
      </c>
      <c r="F141" s="38">
        <v>1</v>
      </c>
      <c r="G141" s="42" t="str">
        <f t="shared" si="8"/>
        <v>LITORAL - OAE - Passagens em Desnível Inferior tipo Galeria: no Contorno de Florianópolis - 1 - 1 - 1</v>
      </c>
      <c r="H141" s="29" t="s">
        <v>363</v>
      </c>
      <c r="I141" s="29"/>
      <c r="J141" s="29"/>
      <c r="K141" s="29"/>
      <c r="L141" s="29"/>
      <c r="M141" s="29"/>
      <c r="N141" s="29"/>
    </row>
    <row r="142" spans="1:14" x14ac:dyDescent="0.25">
      <c r="A142" s="33" t="s">
        <v>401</v>
      </c>
      <c r="B142" s="13" t="s">
        <v>319</v>
      </c>
      <c r="C142" s="16" t="s">
        <v>115</v>
      </c>
      <c r="D142" s="16">
        <v>1</v>
      </c>
      <c r="E142" s="16">
        <v>1</v>
      </c>
      <c r="F142" s="38">
        <v>1</v>
      </c>
      <c r="G142" s="42" t="str">
        <f t="shared" si="8"/>
        <v>LITORAL - OAE - Passagens em Desnível Inferior tipo Galeria: no Contorno de Florianópolis - 1 - 1 - 1</v>
      </c>
      <c r="H142" s="29" t="s">
        <v>363</v>
      </c>
      <c r="I142" s="29"/>
      <c r="J142" s="29"/>
      <c r="K142" s="29"/>
      <c r="L142" s="29"/>
      <c r="M142" s="29"/>
      <c r="N142" s="29"/>
    </row>
    <row r="143" spans="1:14" x14ac:dyDescent="0.25">
      <c r="A143" s="33" t="s">
        <v>401</v>
      </c>
      <c r="B143" s="13" t="s">
        <v>319</v>
      </c>
      <c r="C143" s="16" t="s">
        <v>115</v>
      </c>
      <c r="D143" s="16">
        <v>1</v>
      </c>
      <c r="E143" s="16">
        <v>1</v>
      </c>
      <c r="F143" s="38">
        <v>1</v>
      </c>
      <c r="G143" s="42" t="str">
        <f t="shared" si="8"/>
        <v>LITORAL - OAE - Passagens em Desnível Inferior tipo Galeria: no Contorno de Florianópolis - 1 - 1 - 1</v>
      </c>
      <c r="H143" s="29" t="s">
        <v>363</v>
      </c>
      <c r="I143" s="29"/>
      <c r="J143" s="29"/>
      <c r="K143" s="29"/>
      <c r="L143" s="29"/>
      <c r="M143" s="29"/>
      <c r="N143" s="29"/>
    </row>
    <row r="144" spans="1:14" x14ac:dyDescent="0.25">
      <c r="A144" s="33" t="s">
        <v>401</v>
      </c>
      <c r="B144" s="13" t="s">
        <v>319</v>
      </c>
      <c r="C144" s="16" t="s">
        <v>115</v>
      </c>
      <c r="D144" s="16">
        <v>1</v>
      </c>
      <c r="E144" s="16">
        <v>1</v>
      </c>
      <c r="F144" s="38">
        <v>1</v>
      </c>
      <c r="G144" s="42" t="str">
        <f t="shared" si="8"/>
        <v>LITORAL - OAE - Passagens em Desnível Inferior tipo Galeria: no Contorno de Florianópolis - 1 - 1 - 1</v>
      </c>
      <c r="H144" s="29" t="s">
        <v>363</v>
      </c>
      <c r="I144" s="29"/>
      <c r="J144" s="29"/>
      <c r="K144" s="29"/>
      <c r="L144" s="29"/>
      <c r="M144" s="29"/>
      <c r="N144" s="29"/>
    </row>
    <row r="145" spans="1:14" x14ac:dyDescent="0.25">
      <c r="A145" s="33" t="s">
        <v>401</v>
      </c>
      <c r="B145" s="13" t="s">
        <v>319</v>
      </c>
      <c r="C145" s="16" t="s">
        <v>116</v>
      </c>
      <c r="D145" s="16">
        <v>1</v>
      </c>
      <c r="E145" s="16">
        <v>1</v>
      </c>
      <c r="F145" s="38">
        <v>1</v>
      </c>
      <c r="G145" s="42" t="str">
        <f t="shared" si="8"/>
        <v>LITORAL - OAE - Passagens em Desnível Inferior tipo Galeria: a definir - 1 - 1 - 1</v>
      </c>
      <c r="H145" s="29" t="s">
        <v>363</v>
      </c>
      <c r="I145" s="29"/>
      <c r="J145" s="29"/>
      <c r="K145" s="29"/>
      <c r="L145" s="29"/>
      <c r="M145" s="29"/>
      <c r="N145" s="29"/>
    </row>
    <row r="146" spans="1:14" x14ac:dyDescent="0.25">
      <c r="A146" s="33" t="s">
        <v>401</v>
      </c>
      <c r="B146" s="13" t="s">
        <v>319</v>
      </c>
      <c r="C146" s="16" t="s">
        <v>116</v>
      </c>
      <c r="D146" s="16">
        <v>1</v>
      </c>
      <c r="E146" s="16">
        <v>1</v>
      </c>
      <c r="F146" s="38">
        <v>1</v>
      </c>
      <c r="G146" s="42" t="str">
        <f t="shared" si="8"/>
        <v>LITORAL - OAE - Passagens em Desnível Inferior tipo Galeria: a definir - 1 - 1 - 1</v>
      </c>
      <c r="H146" s="29" t="s">
        <v>363</v>
      </c>
      <c r="I146" s="29"/>
      <c r="J146" s="29"/>
      <c r="K146" s="29"/>
      <c r="L146" s="29"/>
      <c r="M146" s="29"/>
      <c r="N146" s="29"/>
    </row>
    <row r="147" spans="1:14" x14ac:dyDescent="0.25">
      <c r="A147" s="33" t="s">
        <v>401</v>
      </c>
      <c r="B147" s="13" t="s">
        <v>319</v>
      </c>
      <c r="C147" s="16" t="s">
        <v>116</v>
      </c>
      <c r="D147" s="16">
        <v>1</v>
      </c>
      <c r="E147" s="16">
        <v>1</v>
      </c>
      <c r="F147" s="38">
        <v>1</v>
      </c>
      <c r="G147" s="42" t="str">
        <f t="shared" si="8"/>
        <v>LITORAL - OAE - Passagens em Desnível Inferior tipo Galeria: a definir - 1 - 1 - 1</v>
      </c>
      <c r="H147" s="29" t="s">
        <v>363</v>
      </c>
      <c r="I147" s="29"/>
      <c r="J147" s="29"/>
      <c r="K147" s="29"/>
      <c r="L147" s="29"/>
      <c r="M147" s="29"/>
      <c r="N147" s="29"/>
    </row>
    <row r="148" spans="1:14" x14ac:dyDescent="0.25">
      <c r="A148" s="33" t="s">
        <v>401</v>
      </c>
      <c r="B148" s="13" t="s">
        <v>319</v>
      </c>
      <c r="C148" s="16" t="s">
        <v>117</v>
      </c>
      <c r="D148" s="16">
        <v>1</v>
      </c>
      <c r="E148" s="16">
        <v>1</v>
      </c>
      <c r="F148" s="38">
        <v>1</v>
      </c>
      <c r="G148" s="42" t="str">
        <f t="shared" si="8"/>
        <v>LITORAL - OAE - Implantação de Passagens em Desnível Inferior Tipo Viaduto: no Contorno Florianópolis - 1 - 1 - 1</v>
      </c>
      <c r="H148" s="29" t="s">
        <v>363</v>
      </c>
      <c r="I148" s="29"/>
      <c r="J148" s="29"/>
      <c r="K148" s="29"/>
      <c r="L148" s="29"/>
      <c r="M148" s="29"/>
      <c r="N148" s="29"/>
    </row>
    <row r="149" spans="1:14" x14ac:dyDescent="0.25">
      <c r="A149" s="33" t="s">
        <v>401</v>
      </c>
      <c r="B149" s="13" t="s">
        <v>319</v>
      </c>
      <c r="C149" s="16" t="s">
        <v>117</v>
      </c>
      <c r="D149" s="16">
        <v>1</v>
      </c>
      <c r="E149" s="16">
        <v>1</v>
      </c>
      <c r="F149" s="38">
        <v>1</v>
      </c>
      <c r="G149" s="42" t="str">
        <f t="shared" si="8"/>
        <v>LITORAL - OAE - Implantação de Passagens em Desnível Inferior Tipo Viaduto: no Contorno Florianópolis - 1 - 1 - 1</v>
      </c>
      <c r="H149" s="29" t="s">
        <v>363</v>
      </c>
      <c r="I149" s="29"/>
      <c r="J149" s="29"/>
      <c r="K149" s="29"/>
      <c r="L149" s="29"/>
      <c r="M149" s="29"/>
      <c r="N149" s="29"/>
    </row>
    <row r="150" spans="1:14" x14ac:dyDescent="0.25">
      <c r="A150" s="33" t="s">
        <v>401</v>
      </c>
      <c r="B150" s="13" t="s">
        <v>319</v>
      </c>
      <c r="C150" s="16" t="s">
        <v>117</v>
      </c>
      <c r="D150" s="16">
        <v>1</v>
      </c>
      <c r="E150" s="16">
        <v>1</v>
      </c>
      <c r="F150" s="38">
        <v>1</v>
      </c>
      <c r="G150" s="42" t="str">
        <f t="shared" si="8"/>
        <v>LITORAL - OAE - Implantação de Passagens em Desnível Inferior Tipo Viaduto: no Contorno Florianópolis - 1 - 1 - 1</v>
      </c>
      <c r="H150" s="29" t="s">
        <v>363</v>
      </c>
      <c r="I150" s="29"/>
      <c r="J150" s="29"/>
      <c r="K150" s="29"/>
      <c r="L150" s="29"/>
      <c r="M150" s="29"/>
      <c r="N150" s="29"/>
    </row>
    <row r="151" spans="1:14" x14ac:dyDescent="0.25">
      <c r="A151" s="33" t="s">
        <v>401</v>
      </c>
      <c r="B151" s="13" t="s">
        <v>319</v>
      </c>
      <c r="C151" s="16" t="s">
        <v>117</v>
      </c>
      <c r="D151" s="16">
        <v>1</v>
      </c>
      <c r="E151" s="16">
        <v>1</v>
      </c>
      <c r="F151" s="38">
        <v>1</v>
      </c>
      <c r="G151" s="42" t="str">
        <f t="shared" si="8"/>
        <v>LITORAL - OAE - Implantação de Passagens em Desnível Inferior Tipo Viaduto: no Contorno Florianópolis - 1 - 1 - 1</v>
      </c>
      <c r="H151" s="29" t="s">
        <v>363</v>
      </c>
      <c r="I151" s="29"/>
      <c r="J151" s="29"/>
      <c r="K151" s="29"/>
      <c r="L151" s="29"/>
      <c r="M151" s="29"/>
      <c r="N151" s="29"/>
    </row>
    <row r="152" spans="1:14" x14ac:dyDescent="0.25">
      <c r="A152" s="33" t="s">
        <v>401</v>
      </c>
      <c r="B152" s="13" t="s">
        <v>319</v>
      </c>
      <c r="C152" s="16" t="s">
        <v>117</v>
      </c>
      <c r="D152" s="16">
        <v>1</v>
      </c>
      <c r="E152" s="16">
        <v>1</v>
      </c>
      <c r="F152" s="38">
        <v>1</v>
      </c>
      <c r="G152" s="42" t="str">
        <f t="shared" si="8"/>
        <v>LITORAL - OAE - Implantação de Passagens em Desnível Inferior Tipo Viaduto: no Contorno Florianópolis - 1 - 1 - 1</v>
      </c>
      <c r="H152" s="29" t="s">
        <v>363</v>
      </c>
      <c r="I152" s="29"/>
      <c r="J152" s="29"/>
      <c r="K152" s="29"/>
      <c r="L152" s="29"/>
      <c r="M152" s="29"/>
      <c r="N152" s="29"/>
    </row>
    <row r="153" spans="1:14" x14ac:dyDescent="0.25">
      <c r="A153" s="33" t="s">
        <v>401</v>
      </c>
      <c r="B153" s="13" t="s">
        <v>319</v>
      </c>
      <c r="C153" s="16" t="s">
        <v>117</v>
      </c>
      <c r="D153" s="16">
        <v>1</v>
      </c>
      <c r="E153" s="16">
        <v>1</v>
      </c>
      <c r="F153" s="38">
        <v>1</v>
      </c>
      <c r="G153" s="42" t="str">
        <f t="shared" si="8"/>
        <v>LITORAL - OAE - Implantação de Passagens em Desnível Inferior Tipo Viaduto: no Contorno Florianópolis - 1 - 1 - 1</v>
      </c>
      <c r="H153" s="29" t="s">
        <v>363</v>
      </c>
      <c r="I153" s="29"/>
      <c r="J153" s="29"/>
      <c r="K153" s="29"/>
      <c r="L153" s="29"/>
      <c r="M153" s="29"/>
      <c r="N153" s="29"/>
    </row>
    <row r="154" spans="1:14" x14ac:dyDescent="0.25">
      <c r="A154" s="33" t="s">
        <v>401</v>
      </c>
      <c r="B154" s="13" t="s">
        <v>319</v>
      </c>
      <c r="C154" s="16" t="s">
        <v>117</v>
      </c>
      <c r="D154" s="16">
        <v>1</v>
      </c>
      <c r="E154" s="16">
        <v>1</v>
      </c>
      <c r="F154" s="38">
        <v>1</v>
      </c>
      <c r="G154" s="42" t="str">
        <f t="shared" si="8"/>
        <v>LITORAL - OAE - Implantação de Passagens em Desnível Inferior Tipo Viaduto: no Contorno Florianópolis - 1 - 1 - 1</v>
      </c>
      <c r="H154" s="29" t="s">
        <v>363</v>
      </c>
      <c r="I154" s="29"/>
      <c r="J154" s="29"/>
      <c r="K154" s="29"/>
      <c r="L154" s="29"/>
      <c r="M154" s="29"/>
      <c r="N154" s="29"/>
    </row>
    <row r="155" spans="1:14" x14ac:dyDescent="0.25">
      <c r="A155" s="33" t="s">
        <v>401</v>
      </c>
      <c r="B155" s="13" t="s">
        <v>319</v>
      </c>
      <c r="C155" s="16" t="s">
        <v>117</v>
      </c>
      <c r="D155" s="16">
        <v>1</v>
      </c>
      <c r="E155" s="16">
        <v>1</v>
      </c>
      <c r="F155" s="38">
        <v>1</v>
      </c>
      <c r="G155" s="42" t="str">
        <f t="shared" si="8"/>
        <v>LITORAL - OAE - Implantação de Passagens em Desnível Inferior Tipo Viaduto: no Contorno Florianópolis - 1 - 1 - 1</v>
      </c>
      <c r="H155" s="29" t="s">
        <v>363</v>
      </c>
      <c r="I155" s="29"/>
      <c r="J155" s="29"/>
      <c r="K155" s="29"/>
      <c r="L155" s="29"/>
      <c r="M155" s="29"/>
      <c r="N155" s="29"/>
    </row>
    <row r="156" spans="1:14" x14ac:dyDescent="0.25">
      <c r="A156" s="33" t="s">
        <v>401</v>
      </c>
      <c r="B156" s="13" t="s">
        <v>319</v>
      </c>
      <c r="C156" s="16" t="s">
        <v>117</v>
      </c>
      <c r="D156" s="16">
        <v>1</v>
      </c>
      <c r="E156" s="16">
        <v>1</v>
      </c>
      <c r="F156" s="38">
        <v>1</v>
      </c>
      <c r="G156" s="42" t="str">
        <f t="shared" si="8"/>
        <v>LITORAL - OAE - Implantação de Passagens em Desnível Inferior Tipo Viaduto: no Contorno Florianópolis - 1 - 1 - 1</v>
      </c>
      <c r="H156" s="29" t="s">
        <v>363</v>
      </c>
      <c r="I156" s="29"/>
      <c r="J156" s="29"/>
      <c r="K156" s="29"/>
      <c r="L156" s="29"/>
      <c r="M156" s="29"/>
      <c r="N156" s="29"/>
    </row>
    <row r="157" spans="1:14" x14ac:dyDescent="0.25">
      <c r="A157" s="33" t="s">
        <v>401</v>
      </c>
      <c r="B157" s="13" t="s">
        <v>319</v>
      </c>
      <c r="C157" s="16" t="s">
        <v>117</v>
      </c>
      <c r="D157" s="16">
        <v>1</v>
      </c>
      <c r="E157" s="16">
        <v>1</v>
      </c>
      <c r="F157" s="38">
        <v>1</v>
      </c>
      <c r="G157" s="42" t="str">
        <f t="shared" si="8"/>
        <v>LITORAL - OAE - Implantação de Passagens em Desnível Inferior Tipo Viaduto: no Contorno Florianópolis - 1 - 1 - 1</v>
      </c>
      <c r="H157" s="29" t="s">
        <v>363</v>
      </c>
      <c r="I157" s="29"/>
      <c r="J157" s="29"/>
      <c r="K157" s="29"/>
      <c r="L157" s="29"/>
      <c r="M157" s="29"/>
      <c r="N157" s="29"/>
    </row>
    <row r="158" spans="1:14" x14ac:dyDescent="0.25">
      <c r="A158" s="33" t="s">
        <v>401</v>
      </c>
      <c r="B158" s="13" t="s">
        <v>319</v>
      </c>
      <c r="C158" s="16" t="s">
        <v>117</v>
      </c>
      <c r="D158" s="16">
        <v>1</v>
      </c>
      <c r="E158" s="16">
        <v>1</v>
      </c>
      <c r="F158" s="38">
        <v>1</v>
      </c>
      <c r="G158" s="42" t="str">
        <f t="shared" si="8"/>
        <v>LITORAL - OAE - Implantação de Passagens em Desnível Inferior Tipo Viaduto: no Contorno Florianópolis - 1 - 1 - 1</v>
      </c>
      <c r="H158" s="29" t="s">
        <v>363</v>
      </c>
      <c r="I158" s="29"/>
      <c r="J158" s="29"/>
      <c r="K158" s="29"/>
      <c r="L158" s="29"/>
      <c r="M158" s="29"/>
      <c r="N158" s="29"/>
    </row>
    <row r="159" spans="1:14" x14ac:dyDescent="0.25">
      <c r="A159" s="33" t="s">
        <v>401</v>
      </c>
      <c r="B159" s="13" t="s">
        <v>319</v>
      </c>
      <c r="C159" s="16" t="s">
        <v>117</v>
      </c>
      <c r="D159" s="16">
        <v>1</v>
      </c>
      <c r="E159" s="16">
        <v>1</v>
      </c>
      <c r="F159" s="38">
        <v>1</v>
      </c>
      <c r="G159" s="42" t="str">
        <f t="shared" si="8"/>
        <v>LITORAL - OAE - Implantação de Passagens em Desnível Inferior Tipo Viaduto: no Contorno Florianópolis - 1 - 1 - 1</v>
      </c>
      <c r="H159" s="29" t="s">
        <v>363</v>
      </c>
      <c r="I159" s="29"/>
      <c r="J159" s="29"/>
      <c r="K159" s="29"/>
      <c r="L159" s="29"/>
      <c r="M159" s="29"/>
      <c r="N159" s="29"/>
    </row>
    <row r="160" spans="1:14" x14ac:dyDescent="0.25">
      <c r="A160" s="33" t="s">
        <v>401</v>
      </c>
      <c r="B160" s="13" t="s">
        <v>319</v>
      </c>
      <c r="C160" s="4" t="s">
        <v>118</v>
      </c>
      <c r="D160" s="16">
        <v>169.65</v>
      </c>
      <c r="E160" s="16">
        <v>169.65</v>
      </c>
      <c r="F160" s="38">
        <v>1</v>
      </c>
      <c r="G160" s="42" t="str">
        <f t="shared" si="8"/>
        <v>LITORAL - OAE - Implantação de Passagens em Desnível Inferior Tipo Viaduto: km 169,65 da BR-101/SC - 169,65 - 169,65 - 1</v>
      </c>
      <c r="H160" s="29" t="s">
        <v>363</v>
      </c>
      <c r="I160" s="29"/>
      <c r="J160" s="29"/>
      <c r="K160" s="29"/>
      <c r="L160" s="29"/>
      <c r="M160" s="29"/>
      <c r="N160" s="29"/>
    </row>
    <row r="161" spans="1:14" x14ac:dyDescent="0.25">
      <c r="A161" s="33" t="s">
        <v>401</v>
      </c>
      <c r="B161" s="13" t="s">
        <v>321</v>
      </c>
      <c r="C161" s="16" t="s">
        <v>119</v>
      </c>
      <c r="D161" s="16">
        <v>0</v>
      </c>
      <c r="E161" s="16">
        <v>47.33</v>
      </c>
      <c r="F161" s="38">
        <f>(E161-D161)*2</f>
        <v>94.66</v>
      </c>
      <c r="G161" s="42" t="str">
        <f t="shared" si="8"/>
        <v>LITORAL - CONTORNO - Contorno de Florianópolis, em pista dupla - 0 - 47,33 - 94,66</v>
      </c>
      <c r="H161" s="29" t="s">
        <v>363</v>
      </c>
      <c r="I161" s="29"/>
      <c r="J161" s="29"/>
      <c r="K161" s="29"/>
      <c r="L161" s="29"/>
      <c r="M161" s="29"/>
      <c r="N161" s="29"/>
    </row>
    <row r="162" spans="1:14" x14ac:dyDescent="0.25">
      <c r="A162" s="33" t="s">
        <v>401</v>
      </c>
      <c r="B162" s="13" t="s">
        <v>324</v>
      </c>
      <c r="C162" s="16" t="s">
        <v>120</v>
      </c>
      <c r="D162" s="16">
        <v>0</v>
      </c>
      <c r="E162" s="16">
        <v>30</v>
      </c>
      <c r="F162" s="38">
        <f t="shared" ref="F162" si="9">E162-D162</f>
        <v>30</v>
      </c>
      <c r="G162" s="42" t="str">
        <f t="shared" si="8"/>
        <v>LITORAL - TERCEIRA FAIXA - Execução de Terceiras Faixas: - 0 - 30 - 30</v>
      </c>
      <c r="H162" s="29" t="s">
        <v>363</v>
      </c>
      <c r="I162" s="29"/>
      <c r="J162" s="29"/>
      <c r="K162" s="29"/>
      <c r="L162" s="29"/>
      <c r="M162" s="29"/>
      <c r="N162" s="29"/>
    </row>
    <row r="163" spans="1:14" x14ac:dyDescent="0.25">
      <c r="A163" s="33" t="s">
        <v>410</v>
      </c>
      <c r="B163" s="13" t="s">
        <v>317</v>
      </c>
      <c r="C163" s="16" t="s">
        <v>121</v>
      </c>
      <c r="D163" s="16">
        <v>0</v>
      </c>
      <c r="E163" s="16">
        <v>1.44</v>
      </c>
      <c r="F163" s="38">
        <f>(E163-D163)</f>
        <v>1.44</v>
      </c>
      <c r="G163" s="42" t="str">
        <f t="shared" si="8"/>
        <v>PLANALTO - PAVIMENTAÇÃO - Execução de Ruas Laterais em Pista Simples - Pinheirinho – Fazenda Rio Grande no PR - 0 - 1,44 - 1,44</v>
      </c>
      <c r="H163" s="29" t="s">
        <v>363</v>
      </c>
      <c r="I163" s="29"/>
      <c r="J163" s="29"/>
      <c r="K163" s="29"/>
      <c r="L163" s="29"/>
      <c r="M163" s="29"/>
      <c r="N163" s="29"/>
    </row>
    <row r="164" spans="1:14" x14ac:dyDescent="0.25">
      <c r="A164" s="33" t="s">
        <v>410</v>
      </c>
      <c r="B164" s="13" t="s">
        <v>317</v>
      </c>
      <c r="C164" s="16" t="s">
        <v>122</v>
      </c>
      <c r="D164" s="16">
        <v>0</v>
      </c>
      <c r="E164" s="16">
        <v>2.4</v>
      </c>
      <c r="F164" s="38">
        <f>(E164-D164)</f>
        <v>2.4</v>
      </c>
      <c r="G164" s="42" t="str">
        <f t="shared" si="8"/>
        <v>PLANALTO - PAVIMENTAÇÃO - Execução de Ruas Laterais em Pista Simples - Rio Negro/PR - 0 - 2,4 - 2,4</v>
      </c>
      <c r="H164" s="29" t="s">
        <v>363</v>
      </c>
      <c r="I164" s="29"/>
      <c r="J164" s="29"/>
      <c r="K164" s="29"/>
      <c r="L164" s="29"/>
      <c r="M164" s="29"/>
      <c r="N164" s="29"/>
    </row>
    <row r="165" spans="1:14" x14ac:dyDescent="0.25">
      <c r="A165" s="33" t="s">
        <v>410</v>
      </c>
      <c r="B165" s="13" t="s">
        <v>317</v>
      </c>
      <c r="C165" s="16" t="s">
        <v>123</v>
      </c>
      <c r="D165" s="16">
        <v>0</v>
      </c>
      <c r="E165" s="16">
        <v>2.5</v>
      </c>
      <c r="F165" s="38">
        <f>(E165-D165)</f>
        <v>2.5</v>
      </c>
      <c r="G165" s="42" t="str">
        <f t="shared" si="8"/>
        <v>PLANALTO - PAVIMENTAÇÃO - Execução de Ruas Laterais em Pista Simples - Mandirituba/PR - 0 - 2,5 - 2,5</v>
      </c>
      <c r="H165" s="29" t="s">
        <v>363</v>
      </c>
      <c r="I165" s="29"/>
      <c r="J165" s="29"/>
      <c r="K165" s="29"/>
      <c r="L165" s="29"/>
      <c r="M165" s="29"/>
      <c r="N165" s="29"/>
    </row>
    <row r="166" spans="1:14" x14ac:dyDescent="0.25">
      <c r="A166" s="33" t="s">
        <v>410</v>
      </c>
      <c r="B166" s="13" t="s">
        <v>317</v>
      </c>
      <c r="C166" s="16" t="s">
        <v>124</v>
      </c>
      <c r="D166" s="16">
        <v>0</v>
      </c>
      <c r="E166" s="16">
        <v>7.38</v>
      </c>
      <c r="F166" s="38">
        <f>(E166-D166)</f>
        <v>7.38</v>
      </c>
      <c r="G166" s="42" t="str">
        <f t="shared" si="8"/>
        <v>PLANALTO - PAVIMENTAÇÃO - Execução de Ruas Laterais em Pista Simples - Mafra/SC - 0 - 7,38 - 7,38</v>
      </c>
      <c r="H166" s="29" t="s">
        <v>363</v>
      </c>
      <c r="I166" s="29"/>
      <c r="J166" s="29"/>
      <c r="K166" s="29"/>
      <c r="L166" s="29"/>
      <c r="M166" s="29"/>
      <c r="N166" s="29"/>
    </row>
    <row r="167" spans="1:14" x14ac:dyDescent="0.25">
      <c r="A167" s="33" t="s">
        <v>410</v>
      </c>
      <c r="B167" s="13" t="s">
        <v>318</v>
      </c>
      <c r="C167" s="16" t="s">
        <v>125</v>
      </c>
      <c r="D167" s="16">
        <v>117.3</v>
      </c>
      <c r="E167" s="16">
        <v>122.9</v>
      </c>
      <c r="F167" s="35">
        <f>E167-D167</f>
        <v>5.6000000000000085</v>
      </c>
      <c r="G167" s="42" t="str">
        <f t="shared" si="8"/>
        <v>PLANALTO - DUPLICAÇÃO - Duplicação - 117,3 - 122,9 - 5,60000000000001</v>
      </c>
      <c r="H167" s="26" t="s">
        <v>363</v>
      </c>
      <c r="I167" s="26"/>
      <c r="J167" s="26"/>
      <c r="K167" s="26"/>
      <c r="L167" s="26"/>
      <c r="M167" s="26"/>
      <c r="N167" s="26"/>
    </row>
    <row r="168" spans="1:14" x14ac:dyDescent="0.25">
      <c r="A168" s="33" t="s">
        <v>410</v>
      </c>
      <c r="B168" s="13" t="s">
        <v>318</v>
      </c>
      <c r="C168" s="16" t="s">
        <v>125</v>
      </c>
      <c r="D168" s="16">
        <v>122.9</v>
      </c>
      <c r="E168" s="16">
        <v>142.69999999999999</v>
      </c>
      <c r="F168" s="35">
        <f>E168-D168</f>
        <v>19.799999999999983</v>
      </c>
      <c r="G168" s="42" t="str">
        <f t="shared" si="8"/>
        <v>PLANALTO - DUPLICAÇÃO - Duplicação - 122,9 - 142,7 - 19,8</v>
      </c>
      <c r="H168" s="26" t="s">
        <v>363</v>
      </c>
      <c r="I168" s="26"/>
      <c r="J168" s="26"/>
      <c r="K168" s="26"/>
      <c r="L168" s="26"/>
      <c r="M168" s="26"/>
      <c r="N168" s="26"/>
    </row>
    <row r="169" spans="1:14" x14ac:dyDescent="0.25">
      <c r="A169" s="33" t="s">
        <v>410</v>
      </c>
      <c r="B169" s="13" t="s">
        <v>319</v>
      </c>
      <c r="C169" s="16" t="s">
        <v>126</v>
      </c>
      <c r="D169" s="16">
        <v>4.5</v>
      </c>
      <c r="E169" s="16">
        <v>4.5</v>
      </c>
      <c r="F169" s="38">
        <v>1</v>
      </c>
      <c r="G169" s="42" t="str">
        <f t="shared" si="8"/>
        <v>PLANALTO - OAE - Implantação de Trevos em Desnível, com Alças, em Pista simples – Completo - Entroncamento com a BR-280/SC, - 4,5 - 4,5 - 1</v>
      </c>
      <c r="H169" s="29" t="s">
        <v>363</v>
      </c>
      <c r="I169" s="29"/>
      <c r="J169" s="29"/>
      <c r="K169" s="29"/>
      <c r="L169" s="29"/>
      <c r="M169" s="29"/>
      <c r="N169" s="29"/>
    </row>
    <row r="170" spans="1:14" x14ac:dyDescent="0.25">
      <c r="A170" s="33" t="s">
        <v>410</v>
      </c>
      <c r="B170" s="13" t="s">
        <v>319</v>
      </c>
      <c r="C170" s="16" t="s">
        <v>127</v>
      </c>
      <c r="D170" s="16">
        <v>1</v>
      </c>
      <c r="E170" s="16">
        <v>1</v>
      </c>
      <c r="F170" s="38">
        <v>1</v>
      </c>
      <c r="G170" s="42" t="str">
        <f t="shared" si="8"/>
        <v>PLANALTO - OAE - Implantação de Passagens em Desnível Inferior Tipo Viaduto: À definir - 1 - 1 - 1</v>
      </c>
      <c r="H170" s="29" t="s">
        <v>363</v>
      </c>
      <c r="I170" s="29"/>
      <c r="J170" s="29"/>
      <c r="K170" s="29"/>
      <c r="L170" s="29"/>
      <c r="M170" s="29"/>
      <c r="N170" s="29"/>
    </row>
    <row r="171" spans="1:14" x14ac:dyDescent="0.25">
      <c r="A171" s="33" t="s">
        <v>410</v>
      </c>
      <c r="B171" s="13" t="s">
        <v>319</v>
      </c>
      <c r="C171" s="16" t="s">
        <v>128</v>
      </c>
      <c r="D171" s="16">
        <v>127.6</v>
      </c>
      <c r="E171" s="16">
        <v>127.6</v>
      </c>
      <c r="F171" s="38">
        <v>1</v>
      </c>
      <c r="G171" s="42" t="str">
        <f t="shared" si="8"/>
        <v>PLANALTO - OAE - Implantação de Trevos em Desnível, com Alças, em Pista Dupla – Completo - km 127,6 - 127,6 - 127,6 - 1</v>
      </c>
      <c r="H171" s="29" t="s">
        <v>363</v>
      </c>
      <c r="I171" s="29"/>
      <c r="J171" s="29"/>
      <c r="K171" s="29"/>
      <c r="L171" s="29"/>
      <c r="M171" s="29"/>
      <c r="N171" s="29"/>
    </row>
    <row r="172" spans="1:14" x14ac:dyDescent="0.25">
      <c r="A172" s="33" t="s">
        <v>410</v>
      </c>
      <c r="B172" s="13" t="s">
        <v>319</v>
      </c>
      <c r="C172" s="16" t="s">
        <v>129</v>
      </c>
      <c r="D172" s="16">
        <v>131.80000000000001</v>
      </c>
      <c r="E172" s="16">
        <v>131.80000000000001</v>
      </c>
      <c r="F172" s="38">
        <v>1</v>
      </c>
      <c r="G172" s="42" t="str">
        <f t="shared" si="8"/>
        <v>PLANALTO - OAE - Implantação de Trevos em Desnível, com Alças, em Pista Dupla – Completo - km 131,8 (Fazenda Rio Grande) - 131,8 - 131,8 - 1</v>
      </c>
      <c r="H172" s="29" t="s">
        <v>363</v>
      </c>
      <c r="I172" s="29"/>
      <c r="J172" s="29"/>
      <c r="K172" s="29"/>
      <c r="L172" s="29"/>
      <c r="M172" s="29"/>
      <c r="N172" s="29"/>
    </row>
    <row r="173" spans="1:14" x14ac:dyDescent="0.25">
      <c r="A173" s="33" t="s">
        <v>410</v>
      </c>
      <c r="B173" s="13" t="s">
        <v>319</v>
      </c>
      <c r="C173" s="16" t="s">
        <v>130</v>
      </c>
      <c r="D173" s="16">
        <v>138.80000000000001</v>
      </c>
      <c r="E173" s="16">
        <v>138.80000000000001</v>
      </c>
      <c r="F173" s="38">
        <v>1</v>
      </c>
      <c r="G173" s="42" t="str">
        <f t="shared" si="8"/>
        <v>PLANALTO - OAE - Implantação de Trevos em Desnível, com Alças, em Pista Dupla – Completo - km 138,8 - 138,8 - 138,8 - 1</v>
      </c>
      <c r="H173" s="29" t="s">
        <v>363</v>
      </c>
      <c r="I173" s="29"/>
      <c r="J173" s="29"/>
      <c r="K173" s="29"/>
      <c r="L173" s="29"/>
      <c r="M173" s="29"/>
      <c r="N173" s="29"/>
    </row>
    <row r="174" spans="1:14" x14ac:dyDescent="0.25">
      <c r="A174" s="33" t="s">
        <v>410</v>
      </c>
      <c r="B174" s="13" t="s">
        <v>319</v>
      </c>
      <c r="C174" s="16" t="s">
        <v>131</v>
      </c>
      <c r="D174" s="16">
        <v>141.80000000000001</v>
      </c>
      <c r="E174" s="16">
        <v>141.80000000000001</v>
      </c>
      <c r="F174" s="38">
        <v>1</v>
      </c>
      <c r="G174" s="42" t="str">
        <f t="shared" si="8"/>
        <v>PLANALTO - OAE - Implantação de Trevos em Desnível, com Alças, em Pista Dupla – Completo - km 141,8 – PR 510, Mandirituba/PR - 141,8 - 141,8 - 1</v>
      </c>
      <c r="H174" s="29" t="s">
        <v>363</v>
      </c>
      <c r="I174" s="29"/>
      <c r="J174" s="29"/>
      <c r="K174" s="29"/>
      <c r="L174" s="29"/>
      <c r="M174" s="29"/>
      <c r="N174" s="29"/>
    </row>
    <row r="175" spans="1:14" x14ac:dyDescent="0.25">
      <c r="A175" s="33" t="s">
        <v>410</v>
      </c>
      <c r="B175" s="13" t="s">
        <v>319</v>
      </c>
      <c r="C175" s="16" t="s">
        <v>132</v>
      </c>
      <c r="D175" s="16">
        <v>128.69999999999999</v>
      </c>
      <c r="E175" s="16">
        <v>128.69999999999999</v>
      </c>
      <c r="F175" s="38">
        <v>1</v>
      </c>
      <c r="G175" s="42" t="str">
        <f t="shared" si="8"/>
        <v>PLANALTO - OAE - Implantação de Passagens em Desnível Inferior tipo Galeria: Fazenda Rio Grande (PR) - 128,7 - 128,7 - 1</v>
      </c>
      <c r="H175" s="29" t="s">
        <v>363</v>
      </c>
      <c r="I175" s="29"/>
      <c r="J175" s="29"/>
      <c r="K175" s="29"/>
      <c r="L175" s="29"/>
      <c r="M175" s="29"/>
      <c r="N175" s="29"/>
    </row>
    <row r="176" spans="1:14" x14ac:dyDescent="0.25">
      <c r="A176" s="33" t="s">
        <v>410</v>
      </c>
      <c r="B176" s="13" t="s">
        <v>319</v>
      </c>
      <c r="C176" s="16" t="s">
        <v>133</v>
      </c>
      <c r="D176" s="16">
        <v>116.5</v>
      </c>
      <c r="E176" s="16">
        <v>116.5</v>
      </c>
      <c r="F176" s="38">
        <v>1</v>
      </c>
      <c r="G176" s="42" t="str">
        <f t="shared" si="8"/>
        <v>PLANALTO - OAE - Implantação de passagem em desnível do Distrito Industrial com reserva para faixa exclusiva de ônibus: - 116,5 - 116,5 - 1</v>
      </c>
      <c r="H176" s="29" t="s">
        <v>363</v>
      </c>
      <c r="I176" s="29"/>
      <c r="J176" s="29"/>
      <c r="K176" s="29"/>
      <c r="L176" s="29"/>
      <c r="M176" s="29"/>
      <c r="N176" s="29"/>
    </row>
    <row r="177" spans="1:14" x14ac:dyDescent="0.25">
      <c r="A177" s="33" t="s">
        <v>410</v>
      </c>
      <c r="B177" s="13" t="s">
        <v>319</v>
      </c>
      <c r="C177" s="16" t="s">
        <v>134</v>
      </c>
      <c r="D177" s="16">
        <v>117.5</v>
      </c>
      <c r="E177" s="16">
        <v>117.5</v>
      </c>
      <c r="F177" s="38">
        <v>1</v>
      </c>
      <c r="G177" s="42" t="str">
        <f t="shared" si="8"/>
        <v>PLANALTO - OAE - Implantação de Interseção em desnível Vila Pompéia com reserva para faixa exclusiva de ônibus - 117,5 - 117,5 - 1</v>
      </c>
      <c r="H177" s="29" t="s">
        <v>363</v>
      </c>
      <c r="I177" s="29"/>
      <c r="J177" s="29"/>
      <c r="K177" s="29"/>
      <c r="L177" s="29"/>
      <c r="M177" s="29"/>
      <c r="N177" s="29"/>
    </row>
    <row r="178" spans="1:14" x14ac:dyDescent="0.25">
      <c r="A178" s="33" t="s">
        <v>410</v>
      </c>
      <c r="B178" s="13" t="s">
        <v>319</v>
      </c>
      <c r="C178" s="16" t="s">
        <v>126</v>
      </c>
      <c r="D178" s="16">
        <v>4.5</v>
      </c>
      <c r="E178" s="16">
        <v>4.5</v>
      </c>
      <c r="F178" s="38">
        <v>1</v>
      </c>
      <c r="G178" s="42" t="str">
        <f t="shared" si="8"/>
        <v>PLANALTO - OAE - Implantação de Trevos em Desnível, com Alças, em Pista simples – Completo - Entroncamento com a BR-280/SC, - 4,5 - 4,5 - 1</v>
      </c>
      <c r="H178" s="29" t="s">
        <v>363</v>
      </c>
      <c r="I178" s="29"/>
      <c r="J178" s="29"/>
      <c r="K178" s="29"/>
      <c r="L178" s="29"/>
      <c r="M178" s="29"/>
      <c r="N178" s="29"/>
    </row>
    <row r="179" spans="1:14" x14ac:dyDescent="0.25">
      <c r="A179" s="33" t="s">
        <v>410</v>
      </c>
      <c r="B179" s="13" t="s">
        <v>319</v>
      </c>
      <c r="C179" s="16" t="s">
        <v>127</v>
      </c>
      <c r="D179" s="16">
        <v>1</v>
      </c>
      <c r="E179" s="16">
        <v>1</v>
      </c>
      <c r="F179" s="38">
        <v>1</v>
      </c>
      <c r="G179" s="42" t="str">
        <f t="shared" si="8"/>
        <v>PLANALTO - OAE - Implantação de Passagens em Desnível Inferior Tipo Viaduto: À definir - 1 - 1 - 1</v>
      </c>
      <c r="H179" s="29" t="s">
        <v>363</v>
      </c>
      <c r="I179" s="29"/>
      <c r="J179" s="29"/>
      <c r="K179" s="29"/>
      <c r="L179" s="29"/>
      <c r="M179" s="29"/>
      <c r="N179" s="29"/>
    </row>
    <row r="180" spans="1:14" x14ac:dyDescent="0.25">
      <c r="A180" s="33" t="s">
        <v>410</v>
      </c>
      <c r="B180" s="13" t="s">
        <v>324</v>
      </c>
      <c r="C180" s="16" t="s">
        <v>9</v>
      </c>
      <c r="D180" s="16">
        <v>188</v>
      </c>
      <c r="E180" s="16">
        <v>189.5</v>
      </c>
      <c r="F180" s="38">
        <f t="shared" ref="F180:F201" si="10">E180-D180</f>
        <v>1.5</v>
      </c>
      <c r="G180" s="42" t="str">
        <f t="shared" si="8"/>
        <v>PLANALTO - TERCEIRA FAIXA - Execução de Terceiras Faixas - 188 - 189,5 - 1,5</v>
      </c>
      <c r="H180" s="29" t="s">
        <v>363</v>
      </c>
      <c r="I180" s="29"/>
      <c r="J180" s="29"/>
      <c r="K180" s="29"/>
      <c r="L180" s="29"/>
      <c r="M180" s="29"/>
      <c r="N180" s="29"/>
    </row>
    <row r="181" spans="1:14" x14ac:dyDescent="0.25">
      <c r="A181" s="33" t="s">
        <v>410</v>
      </c>
      <c r="B181" s="13" t="s">
        <v>324</v>
      </c>
      <c r="C181" s="16" t="s">
        <v>9</v>
      </c>
      <c r="D181" s="16">
        <v>193.4</v>
      </c>
      <c r="E181" s="16">
        <v>195.3</v>
      </c>
      <c r="F181" s="38">
        <f t="shared" si="10"/>
        <v>1.9000000000000057</v>
      </c>
      <c r="G181" s="42" t="str">
        <f t="shared" si="8"/>
        <v>PLANALTO - TERCEIRA FAIXA - Execução de Terceiras Faixas - 193,4 - 195,3 - 1,90000000000001</v>
      </c>
      <c r="H181" s="29" t="s">
        <v>363</v>
      </c>
      <c r="I181" s="29"/>
      <c r="J181" s="29"/>
      <c r="K181" s="29"/>
      <c r="L181" s="29"/>
      <c r="M181" s="29"/>
      <c r="N181" s="29"/>
    </row>
    <row r="182" spans="1:14" x14ac:dyDescent="0.25">
      <c r="A182" s="33" t="s">
        <v>410</v>
      </c>
      <c r="B182" s="13" t="s">
        <v>324</v>
      </c>
      <c r="C182" s="16" t="s">
        <v>9</v>
      </c>
      <c r="D182" s="16">
        <v>196</v>
      </c>
      <c r="E182" s="16">
        <v>199.2</v>
      </c>
      <c r="F182" s="38">
        <f t="shared" si="10"/>
        <v>3.1999999999999886</v>
      </c>
      <c r="G182" s="42" t="str">
        <f t="shared" si="8"/>
        <v>PLANALTO - TERCEIRA FAIXA - Execução de Terceiras Faixas - 196 - 199,2 - 3,19999999999999</v>
      </c>
      <c r="H182" s="29" t="s">
        <v>363</v>
      </c>
      <c r="I182" s="29"/>
      <c r="J182" s="29"/>
      <c r="K182" s="29"/>
      <c r="L182" s="29"/>
      <c r="M182" s="29"/>
      <c r="N182" s="29"/>
    </row>
    <row r="183" spans="1:14" x14ac:dyDescent="0.25">
      <c r="A183" s="33" t="s">
        <v>410</v>
      </c>
      <c r="B183" s="13" t="s">
        <v>324</v>
      </c>
      <c r="C183" s="16" t="s">
        <v>9</v>
      </c>
      <c r="D183" s="16">
        <v>5.5</v>
      </c>
      <c r="E183" s="16">
        <v>6.2</v>
      </c>
      <c r="F183" s="38">
        <f t="shared" si="10"/>
        <v>0.70000000000000018</v>
      </c>
      <c r="G183" s="42" t="str">
        <f t="shared" si="8"/>
        <v>PLANALTO - TERCEIRA FAIXA - Execução de Terceiras Faixas - 5,5 - 6,2 - 0,7</v>
      </c>
      <c r="H183" s="29" t="s">
        <v>363</v>
      </c>
      <c r="I183" s="29"/>
      <c r="J183" s="29"/>
      <c r="K183" s="29"/>
      <c r="L183" s="29"/>
      <c r="M183" s="29"/>
      <c r="N183" s="29"/>
    </row>
    <row r="184" spans="1:14" x14ac:dyDescent="0.25">
      <c r="A184" s="33" t="s">
        <v>410</v>
      </c>
      <c r="B184" s="13" t="s">
        <v>324</v>
      </c>
      <c r="C184" s="16" t="s">
        <v>9</v>
      </c>
      <c r="D184" s="16">
        <v>6.7</v>
      </c>
      <c r="E184" s="16">
        <v>8</v>
      </c>
      <c r="F184" s="38">
        <f t="shared" si="10"/>
        <v>1.2999999999999998</v>
      </c>
      <c r="G184" s="42" t="str">
        <f t="shared" si="8"/>
        <v>PLANALTO - TERCEIRA FAIXA - Execução de Terceiras Faixas - 6,7 - 8 - 1,3</v>
      </c>
      <c r="H184" s="29" t="s">
        <v>363</v>
      </c>
      <c r="I184" s="29"/>
      <c r="J184" s="29"/>
      <c r="K184" s="29"/>
      <c r="L184" s="29"/>
      <c r="M184" s="29"/>
      <c r="N184" s="29"/>
    </row>
    <row r="185" spans="1:14" x14ac:dyDescent="0.25">
      <c r="A185" s="33" t="s">
        <v>410</v>
      </c>
      <c r="B185" s="13" t="s">
        <v>324</v>
      </c>
      <c r="C185" s="16" t="s">
        <v>9</v>
      </c>
      <c r="D185" s="16">
        <v>11.2</v>
      </c>
      <c r="E185" s="16">
        <v>12.4</v>
      </c>
      <c r="F185" s="38">
        <f t="shared" si="10"/>
        <v>1.2000000000000011</v>
      </c>
      <c r="G185" s="42" t="str">
        <f t="shared" si="8"/>
        <v>PLANALTO - TERCEIRA FAIXA - Execução de Terceiras Faixas - 11,2 - 12,4 - 1,2</v>
      </c>
      <c r="H185" s="29" t="s">
        <v>363</v>
      </c>
      <c r="I185" s="29"/>
      <c r="J185" s="29"/>
      <c r="K185" s="29"/>
      <c r="L185" s="29"/>
      <c r="M185" s="29"/>
      <c r="N185" s="29"/>
    </row>
    <row r="186" spans="1:14" x14ac:dyDescent="0.25">
      <c r="A186" s="33" t="s">
        <v>410</v>
      </c>
      <c r="B186" s="13" t="s">
        <v>324</v>
      </c>
      <c r="C186" s="16" t="s">
        <v>9</v>
      </c>
      <c r="D186" s="16">
        <v>12.8</v>
      </c>
      <c r="E186" s="16">
        <v>14.2</v>
      </c>
      <c r="F186" s="38">
        <f t="shared" si="10"/>
        <v>1.3999999999999986</v>
      </c>
      <c r="G186" s="42" t="str">
        <f t="shared" si="8"/>
        <v>PLANALTO - TERCEIRA FAIXA - Execução de Terceiras Faixas - 12,8 - 14,2 - 1,4</v>
      </c>
      <c r="H186" s="29" t="s">
        <v>363</v>
      </c>
      <c r="I186" s="29"/>
      <c r="J186" s="29"/>
      <c r="K186" s="29"/>
      <c r="L186" s="29"/>
      <c r="M186" s="29"/>
      <c r="N186" s="29"/>
    </row>
    <row r="187" spans="1:14" x14ac:dyDescent="0.25">
      <c r="A187" s="33" t="s">
        <v>410</v>
      </c>
      <c r="B187" s="13" t="s">
        <v>324</v>
      </c>
      <c r="C187" s="16" t="s">
        <v>9</v>
      </c>
      <c r="D187" s="16">
        <v>34</v>
      </c>
      <c r="E187" s="16">
        <v>35</v>
      </c>
      <c r="F187" s="38">
        <f t="shared" si="10"/>
        <v>1</v>
      </c>
      <c r="G187" s="42" t="str">
        <f t="shared" si="8"/>
        <v>PLANALTO - TERCEIRA FAIXA - Execução de Terceiras Faixas - 34 - 35 - 1</v>
      </c>
      <c r="H187" s="29" t="s">
        <v>363</v>
      </c>
      <c r="I187" s="29"/>
      <c r="J187" s="29"/>
      <c r="K187" s="29"/>
      <c r="L187" s="29"/>
      <c r="M187" s="29"/>
      <c r="N187" s="29"/>
    </row>
    <row r="188" spans="1:14" x14ac:dyDescent="0.25">
      <c r="A188" s="33" t="s">
        <v>410</v>
      </c>
      <c r="B188" s="13" t="s">
        <v>324</v>
      </c>
      <c r="C188" s="16" t="s">
        <v>9</v>
      </c>
      <c r="D188" s="16">
        <v>40.299999999999997</v>
      </c>
      <c r="E188" s="16">
        <v>41.3</v>
      </c>
      <c r="F188" s="38">
        <f t="shared" si="10"/>
        <v>1</v>
      </c>
      <c r="G188" s="42" t="str">
        <f t="shared" si="8"/>
        <v>PLANALTO - TERCEIRA FAIXA - Execução de Terceiras Faixas - 40,3 - 41,3 - 1</v>
      </c>
      <c r="H188" s="29" t="s">
        <v>363</v>
      </c>
      <c r="I188" s="29"/>
      <c r="J188" s="29"/>
      <c r="K188" s="29"/>
      <c r="L188" s="29"/>
      <c r="M188" s="29"/>
      <c r="N188" s="29"/>
    </row>
    <row r="189" spans="1:14" x14ac:dyDescent="0.25">
      <c r="A189" s="33" t="s">
        <v>410</v>
      </c>
      <c r="B189" s="13" t="s">
        <v>324</v>
      </c>
      <c r="C189" s="16" t="s">
        <v>9</v>
      </c>
      <c r="D189" s="16">
        <v>104.6</v>
      </c>
      <c r="E189" s="16">
        <v>112.3</v>
      </c>
      <c r="F189" s="38">
        <f t="shared" si="10"/>
        <v>7.7000000000000028</v>
      </c>
      <c r="G189" s="42" t="str">
        <f t="shared" si="8"/>
        <v>PLANALTO - TERCEIRA FAIXA - Execução de Terceiras Faixas - 104,6 - 112,3 - 7,7</v>
      </c>
      <c r="H189" s="29" t="s">
        <v>363</v>
      </c>
      <c r="I189" s="29"/>
      <c r="J189" s="29"/>
      <c r="K189" s="29"/>
      <c r="L189" s="29"/>
      <c r="M189" s="29"/>
      <c r="N189" s="29"/>
    </row>
    <row r="190" spans="1:14" x14ac:dyDescent="0.25">
      <c r="A190" s="33" t="s">
        <v>410</v>
      </c>
      <c r="B190" s="13" t="s">
        <v>324</v>
      </c>
      <c r="C190" s="16" t="s">
        <v>9</v>
      </c>
      <c r="D190" s="16">
        <v>115.4</v>
      </c>
      <c r="E190" s="16">
        <v>118</v>
      </c>
      <c r="F190" s="38">
        <f t="shared" si="10"/>
        <v>2.5999999999999943</v>
      </c>
      <c r="G190" s="42" t="str">
        <f t="shared" si="8"/>
        <v>PLANALTO - TERCEIRA FAIXA - Execução de Terceiras Faixas - 115,4 - 118 - 2,59999999999999</v>
      </c>
      <c r="H190" s="29" t="s">
        <v>363</v>
      </c>
      <c r="I190" s="29"/>
      <c r="J190" s="29"/>
      <c r="K190" s="29"/>
      <c r="L190" s="29"/>
      <c r="M190" s="29"/>
      <c r="N190" s="29"/>
    </row>
    <row r="191" spans="1:14" x14ac:dyDescent="0.25">
      <c r="A191" s="33" t="s">
        <v>410</v>
      </c>
      <c r="B191" s="13" t="s">
        <v>324</v>
      </c>
      <c r="C191" s="16" t="s">
        <v>9</v>
      </c>
      <c r="D191" s="16">
        <v>122.5</v>
      </c>
      <c r="E191" s="16">
        <v>126</v>
      </c>
      <c r="F191" s="38">
        <f t="shared" si="10"/>
        <v>3.5</v>
      </c>
      <c r="G191" s="42" t="str">
        <f t="shared" si="8"/>
        <v>PLANALTO - TERCEIRA FAIXA - Execução de Terceiras Faixas - 122,5 - 126 - 3,5</v>
      </c>
      <c r="H191" s="29" t="s">
        <v>363</v>
      </c>
      <c r="I191" s="29"/>
      <c r="J191" s="29"/>
      <c r="K191" s="29"/>
      <c r="L191" s="29"/>
      <c r="M191" s="29"/>
      <c r="N191" s="29"/>
    </row>
    <row r="192" spans="1:14" x14ac:dyDescent="0.25">
      <c r="A192" s="33" t="s">
        <v>410</v>
      </c>
      <c r="B192" s="13" t="s">
        <v>324</v>
      </c>
      <c r="C192" s="16" t="s">
        <v>9</v>
      </c>
      <c r="D192" s="16">
        <v>126.2</v>
      </c>
      <c r="E192" s="16">
        <v>128.80000000000001</v>
      </c>
      <c r="F192" s="38">
        <f t="shared" si="10"/>
        <v>2.6000000000000085</v>
      </c>
      <c r="G192" s="42" t="str">
        <f t="shared" si="8"/>
        <v>PLANALTO - TERCEIRA FAIXA - Execução de Terceiras Faixas - 126,2 - 128,8 - 2,60000000000001</v>
      </c>
      <c r="H192" s="29" t="s">
        <v>363</v>
      </c>
      <c r="I192" s="29"/>
      <c r="J192" s="29"/>
      <c r="K192" s="29"/>
      <c r="L192" s="29"/>
      <c r="M192" s="29"/>
      <c r="N192" s="29"/>
    </row>
    <row r="193" spans="1:14" x14ac:dyDescent="0.25">
      <c r="A193" s="33" t="s">
        <v>410</v>
      </c>
      <c r="B193" s="13" t="s">
        <v>324</v>
      </c>
      <c r="C193" s="16" t="s">
        <v>9</v>
      </c>
      <c r="D193" s="16">
        <v>129.69999999999999</v>
      </c>
      <c r="E193" s="16">
        <v>130.5</v>
      </c>
      <c r="F193" s="38">
        <f t="shared" si="10"/>
        <v>0.80000000000001137</v>
      </c>
      <c r="G193" s="42" t="str">
        <f t="shared" si="8"/>
        <v>PLANALTO - TERCEIRA FAIXA - Execução de Terceiras Faixas - 129,7 - 130,5 - 0,800000000000011</v>
      </c>
      <c r="H193" s="29" t="s">
        <v>363</v>
      </c>
      <c r="I193" s="29"/>
      <c r="J193" s="29"/>
      <c r="K193" s="29"/>
      <c r="L193" s="29"/>
      <c r="M193" s="29"/>
      <c r="N193" s="29"/>
    </row>
    <row r="194" spans="1:14" x14ac:dyDescent="0.25">
      <c r="A194" s="33" t="s">
        <v>410</v>
      </c>
      <c r="B194" s="13" t="s">
        <v>324</v>
      </c>
      <c r="C194" s="16" t="s">
        <v>9</v>
      </c>
      <c r="D194" s="16">
        <v>132.19999999999999</v>
      </c>
      <c r="E194" s="16">
        <v>133.19999999999999</v>
      </c>
      <c r="F194" s="38">
        <f t="shared" si="10"/>
        <v>1</v>
      </c>
      <c r="G194" s="42" t="str">
        <f t="shared" si="8"/>
        <v>PLANALTO - TERCEIRA FAIXA - Execução de Terceiras Faixas - 132,2 - 133,2 - 1</v>
      </c>
      <c r="H194" s="29" t="s">
        <v>363</v>
      </c>
      <c r="I194" s="29"/>
      <c r="J194" s="29"/>
      <c r="K194" s="29"/>
      <c r="L194" s="29"/>
      <c r="M194" s="29"/>
      <c r="N194" s="29"/>
    </row>
    <row r="195" spans="1:14" x14ac:dyDescent="0.25">
      <c r="A195" s="33" t="s">
        <v>410</v>
      </c>
      <c r="B195" s="13" t="s">
        <v>324</v>
      </c>
      <c r="C195" s="16" t="s">
        <v>9</v>
      </c>
      <c r="D195" s="16">
        <v>134.69999999999999</v>
      </c>
      <c r="E195" s="16">
        <v>136.30000000000001</v>
      </c>
      <c r="F195" s="38">
        <f t="shared" si="10"/>
        <v>1.6000000000000227</v>
      </c>
      <c r="G195" s="42" t="str">
        <f t="shared" ref="G195:G258" si="11">_xlfn.TEXTJOIN(" - ",TRUE,A195:F195)</f>
        <v>PLANALTO - TERCEIRA FAIXA - Execução de Terceiras Faixas - 134,7 - 136,3 - 1,60000000000002</v>
      </c>
      <c r="H195" s="29" t="s">
        <v>363</v>
      </c>
      <c r="I195" s="29"/>
      <c r="J195" s="29"/>
      <c r="K195" s="29"/>
      <c r="L195" s="29"/>
      <c r="M195" s="29"/>
      <c r="N195" s="29"/>
    </row>
    <row r="196" spans="1:14" x14ac:dyDescent="0.25">
      <c r="A196" s="33" t="s">
        <v>410</v>
      </c>
      <c r="B196" s="13" t="s">
        <v>324</v>
      </c>
      <c r="C196" s="16" t="s">
        <v>9</v>
      </c>
      <c r="D196" s="16">
        <v>136.69999999999999</v>
      </c>
      <c r="E196" s="16">
        <v>139.5</v>
      </c>
      <c r="F196" s="38">
        <f t="shared" si="10"/>
        <v>2.8000000000000114</v>
      </c>
      <c r="G196" s="42" t="str">
        <f t="shared" si="11"/>
        <v>PLANALTO - TERCEIRA FAIXA - Execução de Terceiras Faixas - 136,7 - 139,5 - 2,80000000000001</v>
      </c>
      <c r="H196" s="29" t="s">
        <v>363</v>
      </c>
      <c r="I196" s="29"/>
      <c r="J196" s="29"/>
      <c r="K196" s="29"/>
      <c r="L196" s="29"/>
      <c r="M196" s="29"/>
      <c r="N196" s="29"/>
    </row>
    <row r="197" spans="1:14" x14ac:dyDescent="0.25">
      <c r="A197" s="33" t="s">
        <v>410</v>
      </c>
      <c r="B197" s="13" t="s">
        <v>324</v>
      </c>
      <c r="C197" s="16" t="s">
        <v>9</v>
      </c>
      <c r="D197" s="16">
        <v>156.1</v>
      </c>
      <c r="E197" s="16">
        <v>158.4</v>
      </c>
      <c r="F197" s="38">
        <f t="shared" si="10"/>
        <v>2.3000000000000114</v>
      </c>
      <c r="G197" s="42" t="str">
        <f t="shared" si="11"/>
        <v>PLANALTO - TERCEIRA FAIXA - Execução de Terceiras Faixas - 156,1 - 158,4 - 2,30000000000001</v>
      </c>
      <c r="H197" s="29" t="s">
        <v>363</v>
      </c>
      <c r="I197" s="29"/>
      <c r="J197" s="29"/>
      <c r="K197" s="29"/>
      <c r="L197" s="29"/>
      <c r="M197" s="29"/>
      <c r="N197" s="29"/>
    </row>
    <row r="198" spans="1:14" x14ac:dyDescent="0.25">
      <c r="A198" s="33" t="s">
        <v>410</v>
      </c>
      <c r="B198" s="13" t="s">
        <v>324</v>
      </c>
      <c r="C198" s="16" t="s">
        <v>9</v>
      </c>
      <c r="D198" s="16">
        <v>179</v>
      </c>
      <c r="E198" s="16">
        <v>179.2</v>
      </c>
      <c r="F198" s="38">
        <f t="shared" si="10"/>
        <v>0.19999999999998863</v>
      </c>
      <c r="G198" s="42" t="str">
        <f t="shared" si="11"/>
        <v>PLANALTO - TERCEIRA FAIXA - Execução de Terceiras Faixas - 179 - 179,2 - 0,199999999999989</v>
      </c>
      <c r="H198" s="29" t="s">
        <v>363</v>
      </c>
      <c r="I198" s="29"/>
      <c r="J198" s="29"/>
      <c r="K198" s="29"/>
      <c r="L198" s="29"/>
      <c r="M198" s="29"/>
      <c r="N198" s="29"/>
    </row>
    <row r="199" spans="1:14" x14ac:dyDescent="0.25">
      <c r="A199" s="33" t="s">
        <v>410</v>
      </c>
      <c r="B199" s="13" t="s">
        <v>324</v>
      </c>
      <c r="C199" s="16" t="s">
        <v>9</v>
      </c>
      <c r="D199" s="16">
        <v>211</v>
      </c>
      <c r="E199" s="16">
        <v>212.5</v>
      </c>
      <c r="F199" s="38">
        <f t="shared" si="10"/>
        <v>1.5</v>
      </c>
      <c r="G199" s="42" t="str">
        <f t="shared" si="11"/>
        <v>PLANALTO - TERCEIRA FAIXA - Execução de Terceiras Faixas - 211 - 212,5 - 1,5</v>
      </c>
      <c r="H199" s="29" t="s">
        <v>363</v>
      </c>
      <c r="I199" s="29"/>
      <c r="J199" s="29"/>
      <c r="K199" s="29"/>
      <c r="L199" s="29"/>
      <c r="M199" s="29"/>
      <c r="N199" s="29"/>
    </row>
    <row r="200" spans="1:14" x14ac:dyDescent="0.25">
      <c r="A200" s="33" t="s">
        <v>410</v>
      </c>
      <c r="B200" s="13" t="s">
        <v>324</v>
      </c>
      <c r="C200" s="16" t="s">
        <v>9</v>
      </c>
      <c r="D200" s="16">
        <v>212.5</v>
      </c>
      <c r="E200" s="16">
        <v>215</v>
      </c>
      <c r="F200" s="38">
        <f t="shared" si="10"/>
        <v>2.5</v>
      </c>
      <c r="G200" s="42" t="str">
        <f t="shared" si="11"/>
        <v>PLANALTO - TERCEIRA FAIXA - Execução de Terceiras Faixas - 212,5 - 215 - 2,5</v>
      </c>
      <c r="H200" s="29" t="s">
        <v>363</v>
      </c>
      <c r="I200" s="29"/>
      <c r="J200" s="29"/>
      <c r="K200" s="29"/>
      <c r="L200" s="29"/>
      <c r="M200" s="29"/>
      <c r="N200" s="29"/>
    </row>
    <row r="201" spans="1:14" x14ac:dyDescent="0.25">
      <c r="A201" s="33" t="s">
        <v>410</v>
      </c>
      <c r="B201" s="13" t="s">
        <v>324</v>
      </c>
      <c r="C201" s="16" t="s">
        <v>9</v>
      </c>
      <c r="D201" s="16">
        <v>304</v>
      </c>
      <c r="E201" s="16">
        <v>310</v>
      </c>
      <c r="F201" s="38">
        <f t="shared" si="10"/>
        <v>6</v>
      </c>
      <c r="G201" s="42" t="str">
        <f t="shared" si="11"/>
        <v>PLANALTO - TERCEIRA FAIXA - Execução de Terceiras Faixas - 304 - 310 - 6</v>
      </c>
      <c r="H201" s="29" t="s">
        <v>363</v>
      </c>
      <c r="I201" s="29"/>
      <c r="J201" s="29"/>
      <c r="K201" s="29"/>
      <c r="L201" s="29"/>
      <c r="M201" s="29"/>
      <c r="N201" s="29"/>
    </row>
    <row r="202" spans="1:14" ht="30" x14ac:dyDescent="0.25">
      <c r="A202" s="22" t="s">
        <v>403</v>
      </c>
      <c r="B202" s="13" t="s">
        <v>317</v>
      </c>
      <c r="C202" s="16" t="s">
        <v>135</v>
      </c>
      <c r="D202" s="16">
        <v>0</v>
      </c>
      <c r="E202" s="16">
        <v>15</v>
      </c>
      <c r="F202" s="38">
        <f>(E202-D202)</f>
        <v>15</v>
      </c>
      <c r="G202" s="42" t="str">
        <f t="shared" si="11"/>
        <v>REGIS - PAVIMENTAÇÃO - Ruas laterais em segmentos descontínuos a serem definidos, nos municípios de Campina Grande do Sul, Quatro Barras, Colombo e Curitiba - 0 - 15 - 15</v>
      </c>
      <c r="H202" s="29" t="s">
        <v>363</v>
      </c>
      <c r="I202" s="29"/>
      <c r="J202" s="29"/>
      <c r="K202" s="29"/>
      <c r="L202" s="29"/>
      <c r="M202" s="29"/>
      <c r="N202" s="29"/>
    </row>
    <row r="203" spans="1:14" ht="30" x14ac:dyDescent="0.25">
      <c r="A203" s="22" t="s">
        <v>403</v>
      </c>
      <c r="B203" s="13" t="s">
        <v>317</v>
      </c>
      <c r="C203" s="16" t="s">
        <v>136</v>
      </c>
      <c r="D203" s="16">
        <v>0</v>
      </c>
      <c r="E203" s="16">
        <v>20</v>
      </c>
      <c r="F203" s="38">
        <f>(E203-D203)</f>
        <v>20</v>
      </c>
      <c r="G203" s="42" t="str">
        <f t="shared" si="11"/>
        <v>REGIS - PAVIMENTAÇÃO - Ruas laterais em segmentos descontínuos a serem definidos, nos municípios de Taboão da Serra, Embu, São Lourenço da Serra e Itapecerica da Serra, - 0 - 20 - 20</v>
      </c>
      <c r="H203" s="29" t="s">
        <v>363</v>
      </c>
      <c r="I203" s="29"/>
      <c r="J203" s="29"/>
      <c r="K203" s="29"/>
      <c r="L203" s="29"/>
      <c r="M203" s="29"/>
      <c r="N203" s="29"/>
    </row>
    <row r="204" spans="1:14" ht="30" x14ac:dyDescent="0.25">
      <c r="A204" s="22" t="s">
        <v>403</v>
      </c>
      <c r="B204" s="13" t="s">
        <v>317</v>
      </c>
      <c r="C204" s="16" t="s">
        <v>137</v>
      </c>
      <c r="D204" s="16">
        <v>0</v>
      </c>
      <c r="E204" s="16">
        <v>20</v>
      </c>
      <c r="F204" s="38">
        <f>(E204-D204)</f>
        <v>20</v>
      </c>
      <c r="G204" s="42" t="str">
        <f t="shared" si="11"/>
        <v>REGIS - PAVIMENTAÇÃO - Ruas laterais em segmentos descontínuos a serem definidos, nos municípios de Miracatu, Registro, Pariquera-Açu, Jacupiranga e Cajati - 0 - 20 - 20</v>
      </c>
      <c r="H204" s="29" t="s">
        <v>363</v>
      </c>
      <c r="I204" s="29"/>
      <c r="J204" s="29"/>
      <c r="K204" s="29"/>
      <c r="L204" s="29"/>
      <c r="M204" s="29"/>
      <c r="N204" s="29"/>
    </row>
    <row r="205" spans="1:14" x14ac:dyDescent="0.25">
      <c r="A205" s="22" t="s">
        <v>403</v>
      </c>
      <c r="B205" s="13" t="s">
        <v>318</v>
      </c>
      <c r="C205" s="16" t="s">
        <v>138</v>
      </c>
      <c r="D205" s="16">
        <v>336.7</v>
      </c>
      <c r="E205" s="16">
        <v>367.2</v>
      </c>
      <c r="F205" s="35">
        <f>E205-D205</f>
        <v>30.5</v>
      </c>
      <c r="G205" s="42" t="str">
        <f t="shared" si="11"/>
        <v>REGIS - DUPLICAÇÃO - Duplicação - Execução da segunda pista no trecho da Serra do Cafezal - 336,7 - 367,2 - 30,5</v>
      </c>
      <c r="H205" s="26" t="s">
        <v>363</v>
      </c>
      <c r="I205" s="26"/>
      <c r="J205" s="26"/>
      <c r="K205" s="26"/>
      <c r="L205" s="26"/>
      <c r="M205" s="26"/>
      <c r="N205" s="26"/>
    </row>
    <row r="206" spans="1:14" ht="30" x14ac:dyDescent="0.25">
      <c r="A206" s="22" t="s">
        <v>403</v>
      </c>
      <c r="B206" s="13" t="s">
        <v>319</v>
      </c>
      <c r="C206" s="16" t="s">
        <v>139</v>
      </c>
      <c r="D206" s="16">
        <v>1</v>
      </c>
      <c r="E206" s="16">
        <v>1</v>
      </c>
      <c r="F206" s="38">
        <v>1</v>
      </c>
      <c r="G206" s="42" t="str">
        <f t="shared" si="11"/>
        <v>REGIS - OAE - Implantação de Trevos em Desnível, com Alças, em Pista Simples – Completo - Contorno Norte de Curitiba - Interseção com BR-476/PR, - 1 - 1 - 1</v>
      </c>
      <c r="H206" s="29" t="s">
        <v>363</v>
      </c>
      <c r="I206" s="29"/>
      <c r="J206" s="29"/>
      <c r="K206" s="29"/>
      <c r="L206" s="29"/>
      <c r="M206" s="29"/>
      <c r="N206" s="29"/>
    </row>
    <row r="207" spans="1:14" ht="30" x14ac:dyDescent="0.25">
      <c r="A207" s="22" t="s">
        <v>403</v>
      </c>
      <c r="B207" s="13" t="s">
        <v>319</v>
      </c>
      <c r="C207" s="16" t="s">
        <v>140</v>
      </c>
      <c r="D207" s="16">
        <v>1</v>
      </c>
      <c r="E207" s="16">
        <v>1</v>
      </c>
      <c r="F207" s="38">
        <v>1</v>
      </c>
      <c r="G207" s="42" t="str">
        <f t="shared" si="11"/>
        <v>REGIS - OAE - Implantação de Trevos em Desnível, com Alças, em Pista Simples – Completo - Contorno Norte de Curitiba - Interseção com PR - 417 - 1 - 1 - 1</v>
      </c>
      <c r="H207" s="29" t="s">
        <v>363</v>
      </c>
      <c r="I207" s="29"/>
      <c r="J207" s="29"/>
      <c r="K207" s="29"/>
      <c r="L207" s="29"/>
      <c r="M207" s="29"/>
      <c r="N207" s="29"/>
    </row>
    <row r="208" spans="1:14" x14ac:dyDescent="0.25">
      <c r="A208" s="22" t="s">
        <v>403</v>
      </c>
      <c r="B208" s="13" t="s">
        <v>319</v>
      </c>
      <c r="C208" s="16" t="s">
        <v>141</v>
      </c>
      <c r="D208" s="16">
        <v>12.8</v>
      </c>
      <c r="E208" s="16">
        <v>12.8</v>
      </c>
      <c r="F208" s="38">
        <v>1</v>
      </c>
      <c r="G208" s="42" t="str">
        <f t="shared" si="11"/>
        <v>REGIS - OAE - Implantação de Trevos em Desnível, com Alças, em Pista Dupla – Parcial - − BR-116/PR - 12,8 - 12,8 - 1</v>
      </c>
      <c r="H208" s="29" t="s">
        <v>363</v>
      </c>
      <c r="I208" s="29"/>
      <c r="J208" s="29"/>
      <c r="K208" s="29"/>
      <c r="L208" s="29"/>
      <c r="M208" s="29"/>
      <c r="N208" s="29"/>
    </row>
    <row r="209" spans="1:14" x14ac:dyDescent="0.25">
      <c r="A209" s="22" t="s">
        <v>403</v>
      </c>
      <c r="B209" s="13" t="s">
        <v>319</v>
      </c>
      <c r="C209" s="17" t="s">
        <v>141</v>
      </c>
      <c r="D209" s="17">
        <v>88.6</v>
      </c>
      <c r="E209" s="17">
        <v>88.6</v>
      </c>
      <c r="F209" s="36">
        <v>1</v>
      </c>
      <c r="G209" s="42" t="str">
        <f t="shared" si="11"/>
        <v>REGIS - OAE - Implantação de Trevos em Desnível, com Alças, em Pista Dupla – Parcial - − BR-116/PR - 88,6 - 88,6 - 1</v>
      </c>
      <c r="H209" s="29" t="s">
        <v>363</v>
      </c>
      <c r="I209" s="27"/>
      <c r="J209" s="27"/>
      <c r="K209" s="27"/>
      <c r="L209" s="27"/>
      <c r="M209" s="27"/>
      <c r="N209" s="27"/>
    </row>
    <row r="210" spans="1:14" x14ac:dyDescent="0.25">
      <c r="A210" s="22" t="s">
        <v>403</v>
      </c>
      <c r="B210" s="13" t="s">
        <v>319</v>
      </c>
      <c r="C210" s="16" t="s">
        <v>142</v>
      </c>
      <c r="D210" s="16">
        <v>1</v>
      </c>
      <c r="E210" s="16">
        <v>1</v>
      </c>
      <c r="F210" s="38">
        <v>1</v>
      </c>
      <c r="G210" s="42" t="str">
        <f t="shared" si="11"/>
        <v>REGIS - OAE - Implantação de Trevos em Desnível, com Alças, em Pista Dupla - − Contorno Norte de Curitiba - Interseção com BR-116/PR - 1 - 1 - 1</v>
      </c>
      <c r="H210" s="29" t="s">
        <v>363</v>
      </c>
      <c r="I210" s="29"/>
      <c r="J210" s="29"/>
      <c r="K210" s="29"/>
      <c r="L210" s="29"/>
      <c r="M210" s="29"/>
      <c r="N210" s="29"/>
    </row>
    <row r="211" spans="1:14" x14ac:dyDescent="0.25">
      <c r="A211" s="22" t="s">
        <v>403</v>
      </c>
      <c r="B211" s="13" t="s">
        <v>319</v>
      </c>
      <c r="C211" s="16" t="s">
        <v>143</v>
      </c>
      <c r="D211" s="16">
        <v>1</v>
      </c>
      <c r="E211" s="16">
        <v>1</v>
      </c>
      <c r="F211" s="38">
        <v>4</v>
      </c>
      <c r="G211" s="42" t="str">
        <f t="shared" si="11"/>
        <v>REGIS - OAE - Implantação de Passagens em Desnível Inferior tipo Galeria - Locais a definir - 4 unidades - 1 - 1 - 4</v>
      </c>
      <c r="H211" s="29" t="s">
        <v>363</v>
      </c>
      <c r="I211" s="29"/>
      <c r="J211" s="29"/>
      <c r="K211" s="29"/>
      <c r="L211" s="29"/>
      <c r="M211" s="29"/>
      <c r="N211" s="29"/>
    </row>
    <row r="212" spans="1:14" x14ac:dyDescent="0.25">
      <c r="A212" s="22" t="s">
        <v>403</v>
      </c>
      <c r="B212" s="13" t="s">
        <v>319</v>
      </c>
      <c r="C212" s="16" t="s">
        <v>144</v>
      </c>
      <c r="D212" s="16">
        <v>277.60000000000002</v>
      </c>
      <c r="E212" s="16">
        <v>277.60000000000002</v>
      </c>
      <c r="F212" s="38">
        <v>1</v>
      </c>
      <c r="G212" s="42" t="str">
        <f t="shared" si="11"/>
        <v>REGIS - OAE - Implantação de Trevos em Desnível, com Alças, em Pista Simples – Completo - BR-116/SP - km 277+600m - 277,6 - 277,6 - 1</v>
      </c>
      <c r="H212" s="29" t="s">
        <v>363</v>
      </c>
      <c r="I212" s="29"/>
      <c r="J212" s="29"/>
      <c r="K212" s="29"/>
      <c r="L212" s="29"/>
      <c r="M212" s="29"/>
      <c r="N212" s="29"/>
    </row>
    <row r="213" spans="1:14" x14ac:dyDescent="0.25">
      <c r="A213" s="22" t="s">
        <v>403</v>
      </c>
      <c r="B213" s="13" t="s">
        <v>319</v>
      </c>
      <c r="C213" s="16" t="s">
        <v>145</v>
      </c>
      <c r="D213" s="16">
        <v>288</v>
      </c>
      <c r="E213" s="16">
        <v>288</v>
      </c>
      <c r="F213" s="38">
        <v>1</v>
      </c>
      <c r="G213" s="42" t="str">
        <f t="shared" si="11"/>
        <v>REGIS - OAE - Implantação de Trevos em Desnível, com Alças, em Pista Simples – Completo -− BR-116/SP - km 288 - 288 - 288 - 1</v>
      </c>
      <c r="H213" s="29" t="s">
        <v>363</v>
      </c>
      <c r="I213" s="29"/>
      <c r="J213" s="29"/>
      <c r="K213" s="29"/>
      <c r="L213" s="29"/>
      <c r="M213" s="29"/>
      <c r="N213" s="29"/>
    </row>
    <row r="214" spans="1:14" x14ac:dyDescent="0.25">
      <c r="A214" s="22" t="s">
        <v>403</v>
      </c>
      <c r="B214" s="13" t="s">
        <v>319</v>
      </c>
      <c r="C214" s="16" t="s">
        <v>146</v>
      </c>
      <c r="D214" s="16">
        <v>305</v>
      </c>
      <c r="E214" s="16">
        <v>305</v>
      </c>
      <c r="F214" s="38">
        <v>1</v>
      </c>
      <c r="G214" s="42" t="str">
        <f t="shared" si="11"/>
        <v>REGIS - OAE - Implantação de Trevos em Desnível, com Alças, em Pista Simples – Completo -− BR-116/SP - km 305 - 305 - 305 - 1</v>
      </c>
      <c r="H214" s="29" t="s">
        <v>363</v>
      </c>
      <c r="I214" s="29"/>
      <c r="J214" s="29"/>
      <c r="K214" s="29"/>
      <c r="L214" s="29"/>
      <c r="M214" s="29"/>
      <c r="N214" s="29"/>
    </row>
    <row r="215" spans="1:14" x14ac:dyDescent="0.25">
      <c r="A215" s="22" t="s">
        <v>403</v>
      </c>
      <c r="B215" s="13" t="s">
        <v>319</v>
      </c>
      <c r="C215" s="16" t="s">
        <v>147</v>
      </c>
      <c r="D215" s="16">
        <v>297.60000000000002</v>
      </c>
      <c r="E215" s="16">
        <v>297.60000000000002</v>
      </c>
      <c r="F215" s="38">
        <v>1</v>
      </c>
      <c r="G215" s="42" t="str">
        <f t="shared" si="11"/>
        <v>REGIS - OAE - Implantação de Trevos em Desnível, com Alças, em Pista Dupla – Parcial - − BR-116/SP - 297,6 - 297,6 - 1</v>
      </c>
      <c r="H215" s="29" t="s">
        <v>363</v>
      </c>
      <c r="I215" s="29"/>
      <c r="J215" s="29"/>
      <c r="K215" s="29"/>
      <c r="L215" s="29"/>
      <c r="M215" s="29"/>
      <c r="N215" s="29"/>
    </row>
    <row r="216" spans="1:14" x14ac:dyDescent="0.25">
      <c r="A216" s="22" t="s">
        <v>403</v>
      </c>
      <c r="B216" s="13" t="s">
        <v>319</v>
      </c>
      <c r="C216" s="16" t="s">
        <v>147</v>
      </c>
      <c r="D216" s="16">
        <v>312.2</v>
      </c>
      <c r="E216" s="16">
        <v>312.2</v>
      </c>
      <c r="F216" s="38">
        <v>1</v>
      </c>
      <c r="G216" s="42" t="str">
        <f t="shared" si="11"/>
        <v>REGIS - OAE - Implantação de Trevos em Desnível, com Alças, em Pista Dupla – Parcial - − BR-116/SP - 312,2 - 312,2 - 1</v>
      </c>
      <c r="H216" s="29" t="s">
        <v>363</v>
      </c>
      <c r="I216" s="29"/>
      <c r="J216" s="29"/>
      <c r="K216" s="29"/>
      <c r="L216" s="29"/>
      <c r="M216" s="29"/>
      <c r="N216" s="29"/>
    </row>
    <row r="217" spans="1:14" x14ac:dyDescent="0.25">
      <c r="A217" s="22" t="s">
        <v>403</v>
      </c>
      <c r="B217" s="13" t="s">
        <v>319</v>
      </c>
      <c r="C217" s="16" t="s">
        <v>147</v>
      </c>
      <c r="D217" s="16">
        <v>325.7</v>
      </c>
      <c r="E217" s="16">
        <v>325.7</v>
      </c>
      <c r="F217" s="38">
        <v>1</v>
      </c>
      <c r="G217" s="42" t="str">
        <f t="shared" si="11"/>
        <v>REGIS - OAE - Implantação de Trevos em Desnível, com Alças, em Pista Dupla – Parcial - − BR-116/SP - 325,7 - 325,7 - 1</v>
      </c>
      <c r="H217" s="29" t="s">
        <v>363</v>
      </c>
      <c r="I217" s="29"/>
      <c r="J217" s="29"/>
      <c r="K217" s="29"/>
      <c r="L217" s="29"/>
      <c r="M217" s="29"/>
      <c r="N217" s="29"/>
    </row>
    <row r="218" spans="1:14" x14ac:dyDescent="0.25">
      <c r="A218" s="22" t="s">
        <v>403</v>
      </c>
      <c r="B218" s="13" t="s">
        <v>319</v>
      </c>
      <c r="C218" s="16" t="s">
        <v>147</v>
      </c>
      <c r="D218" s="16">
        <v>332</v>
      </c>
      <c r="E218" s="16">
        <v>332</v>
      </c>
      <c r="F218" s="38">
        <v>1</v>
      </c>
      <c r="G218" s="42" t="str">
        <f t="shared" si="11"/>
        <v>REGIS - OAE - Implantação de Trevos em Desnível, com Alças, em Pista Dupla – Parcial - − BR-116/SP - 332 - 332 - 1</v>
      </c>
      <c r="H218" s="29" t="s">
        <v>363</v>
      </c>
      <c r="I218" s="29"/>
      <c r="J218" s="29"/>
      <c r="K218" s="29"/>
      <c r="L218" s="29"/>
      <c r="M218" s="29"/>
      <c r="N218" s="29"/>
    </row>
    <row r="219" spans="1:14" x14ac:dyDescent="0.25">
      <c r="A219" s="22" t="s">
        <v>403</v>
      </c>
      <c r="B219" s="13" t="s">
        <v>319</v>
      </c>
      <c r="C219" s="16" t="s">
        <v>147</v>
      </c>
      <c r="D219" s="16">
        <v>336</v>
      </c>
      <c r="E219" s="16">
        <v>336</v>
      </c>
      <c r="F219" s="38">
        <v>1</v>
      </c>
      <c r="G219" s="42" t="str">
        <f t="shared" si="11"/>
        <v>REGIS - OAE - Implantação de Trevos em Desnível, com Alças, em Pista Dupla – Parcial - − BR-116/SP - 336 - 336 - 1</v>
      </c>
      <c r="H219" s="29" t="s">
        <v>363</v>
      </c>
      <c r="I219" s="29"/>
      <c r="J219" s="29"/>
      <c r="K219" s="29"/>
      <c r="L219" s="29"/>
      <c r="M219" s="29"/>
      <c r="N219" s="29"/>
    </row>
    <row r="220" spans="1:14" x14ac:dyDescent="0.25">
      <c r="A220" s="22" t="s">
        <v>403</v>
      </c>
      <c r="B220" s="13" t="s">
        <v>319</v>
      </c>
      <c r="C220" s="16" t="s">
        <v>147</v>
      </c>
      <c r="D220" s="16">
        <v>340</v>
      </c>
      <c r="E220" s="16">
        <v>340</v>
      </c>
      <c r="F220" s="38">
        <v>1</v>
      </c>
      <c r="G220" s="42" t="str">
        <f t="shared" si="11"/>
        <v>REGIS - OAE - Implantação de Trevos em Desnível, com Alças, em Pista Dupla – Parcial - − BR-116/SP - 340 - 340 - 1</v>
      </c>
      <c r="H220" s="29" t="s">
        <v>363</v>
      </c>
      <c r="I220" s="29"/>
      <c r="J220" s="29"/>
      <c r="K220" s="29"/>
      <c r="L220" s="29"/>
      <c r="M220" s="29"/>
      <c r="N220" s="29"/>
    </row>
    <row r="221" spans="1:14" x14ac:dyDescent="0.25">
      <c r="A221" s="22" t="s">
        <v>403</v>
      </c>
      <c r="B221" s="13" t="s">
        <v>319</v>
      </c>
      <c r="C221" s="16" t="s">
        <v>147</v>
      </c>
      <c r="D221" s="16">
        <v>474.7</v>
      </c>
      <c r="E221" s="16">
        <v>474.7</v>
      </c>
      <c r="F221" s="38">
        <v>1</v>
      </c>
      <c r="G221" s="42" t="str">
        <f t="shared" si="11"/>
        <v>REGIS - OAE - Implantação de Trevos em Desnível, com Alças, em Pista Dupla – Parcial - − BR-116/SP - 474,7 - 474,7 - 1</v>
      </c>
      <c r="H221" s="29" t="s">
        <v>363</v>
      </c>
      <c r="I221" s="29"/>
      <c r="J221" s="29"/>
      <c r="K221" s="29"/>
      <c r="L221" s="29"/>
      <c r="M221" s="29"/>
      <c r="N221" s="29"/>
    </row>
    <row r="222" spans="1:14" x14ac:dyDescent="0.25">
      <c r="A222" s="22" t="s">
        <v>403</v>
      </c>
      <c r="B222" s="13" t="s">
        <v>319</v>
      </c>
      <c r="C222" s="16" t="s">
        <v>148</v>
      </c>
      <c r="D222" s="16">
        <v>308</v>
      </c>
      <c r="E222" s="16">
        <v>308</v>
      </c>
      <c r="F222" s="38">
        <v>1</v>
      </c>
      <c r="G222" s="42" t="str">
        <f t="shared" si="11"/>
        <v>REGIS - OAE - Implantação de Trevos em Desnível, com Alças, em Pista Dupla − BR-116/SP - 308 - 308 - 1</v>
      </c>
      <c r="H222" s="29" t="s">
        <v>363</v>
      </c>
      <c r="I222" s="29"/>
      <c r="J222" s="29"/>
      <c r="K222" s="29"/>
      <c r="L222" s="29"/>
      <c r="M222" s="29"/>
      <c r="N222" s="29"/>
    </row>
    <row r="223" spans="1:14" x14ac:dyDescent="0.25">
      <c r="A223" s="22" t="s">
        <v>403</v>
      </c>
      <c r="B223" s="13" t="s">
        <v>319</v>
      </c>
      <c r="C223" s="16" t="s">
        <v>148</v>
      </c>
      <c r="D223" s="16">
        <v>478</v>
      </c>
      <c r="E223" s="16">
        <v>478</v>
      </c>
      <c r="F223" s="38">
        <v>1</v>
      </c>
      <c r="G223" s="42" t="str">
        <f t="shared" si="11"/>
        <v>REGIS - OAE - Implantação de Trevos em Desnível, com Alças, em Pista Dupla − BR-116/SP - 478 - 478 - 1</v>
      </c>
      <c r="H223" s="29" t="s">
        <v>363</v>
      </c>
      <c r="I223" s="29"/>
      <c r="J223" s="29"/>
      <c r="K223" s="29"/>
      <c r="L223" s="29"/>
      <c r="M223" s="29"/>
      <c r="N223" s="29"/>
    </row>
    <row r="224" spans="1:14" x14ac:dyDescent="0.25">
      <c r="A224" s="22" t="s">
        <v>403</v>
      </c>
      <c r="B224" s="13" t="s">
        <v>319</v>
      </c>
      <c r="C224" s="16" t="s">
        <v>149</v>
      </c>
      <c r="D224" s="16">
        <v>370</v>
      </c>
      <c r="E224" s="16">
        <v>370</v>
      </c>
      <c r="F224" s="38">
        <v>1</v>
      </c>
      <c r="G224" s="42" t="str">
        <f t="shared" si="11"/>
        <v>REGIS - OAE - Implantação de Passagens em Desnível Inferior tipo Galeria − BR-116/SP - 370 - 370 - 1</v>
      </c>
      <c r="H224" s="29" t="s">
        <v>363</v>
      </c>
      <c r="I224" s="29"/>
      <c r="J224" s="29"/>
      <c r="K224" s="29"/>
      <c r="L224" s="29"/>
      <c r="M224" s="29"/>
      <c r="N224" s="29"/>
    </row>
    <row r="225" spans="1:14" x14ac:dyDescent="0.25">
      <c r="A225" s="22" t="s">
        <v>403</v>
      </c>
      <c r="B225" s="13" t="s">
        <v>321</v>
      </c>
      <c r="C225" s="16" t="s">
        <v>150</v>
      </c>
      <c r="D225" s="16">
        <v>0</v>
      </c>
      <c r="E225" s="16">
        <v>11.785</v>
      </c>
      <c r="F225" s="38">
        <f>(E225-D225)*2</f>
        <v>23.57</v>
      </c>
      <c r="G225" s="42" t="str">
        <f t="shared" si="11"/>
        <v>REGIS - CONTORNO - Contorno Norte de Curitiba em pista dupla - 0 - 11,785 - 23,57</v>
      </c>
      <c r="H225" s="29" t="s">
        <v>363</v>
      </c>
      <c r="I225" s="29"/>
      <c r="J225" s="29"/>
      <c r="K225" s="29"/>
      <c r="L225" s="29"/>
      <c r="M225" s="29"/>
      <c r="N225" s="29"/>
    </row>
    <row r="226" spans="1:14" x14ac:dyDescent="0.25">
      <c r="A226" s="22" t="s">
        <v>403</v>
      </c>
      <c r="B226" s="13" t="s">
        <v>324</v>
      </c>
      <c r="C226" s="16" t="s">
        <v>9</v>
      </c>
      <c r="D226" s="16">
        <v>0</v>
      </c>
      <c r="E226" s="16">
        <v>30</v>
      </c>
      <c r="F226" s="38">
        <f t="shared" ref="F226" si="12">E226-D226</f>
        <v>30</v>
      </c>
      <c r="G226" s="42" t="str">
        <f t="shared" si="11"/>
        <v>REGIS - TERCEIRA FAIXA - Execução de Terceiras Faixas - 0 - 30 - 30</v>
      </c>
      <c r="H226" s="29" t="s">
        <v>363</v>
      </c>
      <c r="I226" s="29"/>
      <c r="J226" s="29"/>
      <c r="K226" s="29"/>
      <c r="L226" s="29"/>
      <c r="M226" s="29"/>
      <c r="N226" s="29"/>
    </row>
    <row r="227" spans="1:14" x14ac:dyDescent="0.25">
      <c r="A227" s="22" t="s">
        <v>6</v>
      </c>
      <c r="B227" s="13" t="s">
        <v>317</v>
      </c>
      <c r="C227" s="32" t="s">
        <v>151</v>
      </c>
      <c r="D227" s="16">
        <v>50.3</v>
      </c>
      <c r="E227" s="16">
        <v>62.8</v>
      </c>
      <c r="F227" s="38">
        <f>(E227-D227)</f>
        <v>12.5</v>
      </c>
      <c r="G227" s="42" t="str">
        <f t="shared" si="11"/>
        <v>TRANSBRASILIANA - PAVIMENTAÇÃO - Execução de ruas laterias em Pista Simples na região de São José do Rio Preto - 50,3 - 62,8 - 12,5</v>
      </c>
      <c r="H227" s="29" t="s">
        <v>363</v>
      </c>
      <c r="I227" s="29"/>
      <c r="J227" s="29"/>
      <c r="K227" s="29"/>
      <c r="L227" s="29"/>
      <c r="M227" s="29"/>
      <c r="N227" s="29"/>
    </row>
    <row r="228" spans="1:14" x14ac:dyDescent="0.25">
      <c r="A228" s="22" t="s">
        <v>6</v>
      </c>
      <c r="B228" s="13" t="s">
        <v>317</v>
      </c>
      <c r="C228" s="32" t="s">
        <v>152</v>
      </c>
      <c r="D228" s="16">
        <v>255.4</v>
      </c>
      <c r="E228" s="16">
        <v>259</v>
      </c>
      <c r="F228" s="38">
        <f>(E228-D228)</f>
        <v>3.5999999999999943</v>
      </c>
      <c r="G228" s="42" t="str">
        <f t="shared" si="11"/>
        <v>TRANSBRASILIANA - PAVIMENTAÇÃO - Execução de ruas laterias em Pista Simples - região de Marília - 255,4 - 259 - 3,59999999999999</v>
      </c>
      <c r="H228" s="29" t="s">
        <v>363</v>
      </c>
      <c r="I228" s="29"/>
      <c r="J228" s="29"/>
      <c r="K228" s="29"/>
      <c r="L228" s="29"/>
      <c r="M228" s="29"/>
      <c r="N228" s="29"/>
    </row>
    <row r="229" spans="1:14" x14ac:dyDescent="0.25">
      <c r="A229" s="22" t="s">
        <v>6</v>
      </c>
      <c r="B229" s="13" t="s">
        <v>318</v>
      </c>
      <c r="C229" s="16" t="s">
        <v>153</v>
      </c>
      <c r="D229" s="16">
        <v>0</v>
      </c>
      <c r="E229" s="16">
        <v>37.299999999999997</v>
      </c>
      <c r="F229" s="35">
        <f t="shared" ref="F229:F234" si="13">E229-D229</f>
        <v>37.299999999999997</v>
      </c>
      <c r="G229" s="42" t="str">
        <f t="shared" si="11"/>
        <v>TRANSBRASILIANA - DUPLICAÇÃO - Duplicações (inclusive OAE's) - 0 - 37,3 - 37,3</v>
      </c>
      <c r="H229" s="26" t="s">
        <v>363</v>
      </c>
      <c r="I229" s="26"/>
      <c r="J229" s="26"/>
      <c r="K229" s="26"/>
      <c r="L229" s="26"/>
      <c r="M229" s="26"/>
      <c r="N229" s="26"/>
    </row>
    <row r="230" spans="1:14" x14ac:dyDescent="0.25">
      <c r="A230" s="22" t="s">
        <v>6</v>
      </c>
      <c r="B230" s="13" t="s">
        <v>318</v>
      </c>
      <c r="C230" s="16" t="s">
        <v>153</v>
      </c>
      <c r="D230" s="16">
        <v>74.900000000000006</v>
      </c>
      <c r="E230" s="16">
        <v>99.8</v>
      </c>
      <c r="F230" s="35">
        <f t="shared" si="13"/>
        <v>24.899999999999991</v>
      </c>
      <c r="G230" s="42" t="str">
        <f t="shared" si="11"/>
        <v>TRANSBRASILIANA - DUPLICAÇÃO - Duplicações (inclusive OAE's) - 74,9 - 99,8 - 24,9</v>
      </c>
      <c r="H230" s="26" t="s">
        <v>363</v>
      </c>
      <c r="I230" s="26"/>
      <c r="J230" s="26"/>
      <c r="K230" s="26"/>
      <c r="L230" s="26"/>
      <c r="M230" s="26"/>
      <c r="N230" s="26"/>
    </row>
    <row r="231" spans="1:14" x14ac:dyDescent="0.25">
      <c r="A231" s="22" t="s">
        <v>6</v>
      </c>
      <c r="B231" s="13" t="s">
        <v>318</v>
      </c>
      <c r="C231" s="16" t="s">
        <v>153</v>
      </c>
      <c r="D231" s="16">
        <v>51.7</v>
      </c>
      <c r="E231" s="16">
        <v>54.3</v>
      </c>
      <c r="F231" s="35">
        <f t="shared" si="13"/>
        <v>2.5999999999999943</v>
      </c>
      <c r="G231" s="42" t="str">
        <f t="shared" si="11"/>
        <v>TRANSBRASILIANA - DUPLICAÇÃO - Duplicações (inclusive OAE's) - 51,7 - 54,3 - 2,59999999999999</v>
      </c>
      <c r="H231" s="26" t="s">
        <v>363</v>
      </c>
      <c r="I231" s="26"/>
      <c r="J231" s="26"/>
      <c r="K231" s="26"/>
      <c r="L231" s="26"/>
      <c r="M231" s="26"/>
      <c r="N231" s="26"/>
    </row>
    <row r="232" spans="1:14" x14ac:dyDescent="0.25">
      <c r="A232" s="22" t="s">
        <v>6</v>
      </c>
      <c r="B232" s="13" t="s">
        <v>318</v>
      </c>
      <c r="C232" s="16" t="s">
        <v>153</v>
      </c>
      <c r="D232" s="16">
        <v>338.2</v>
      </c>
      <c r="E232" s="16">
        <v>345.2</v>
      </c>
      <c r="F232" s="35">
        <f t="shared" si="13"/>
        <v>7</v>
      </c>
      <c r="G232" s="42" t="str">
        <f t="shared" si="11"/>
        <v>TRANSBRASILIANA - DUPLICAÇÃO - Duplicações (inclusive OAE's) - 338,2 - 345,2 - 7</v>
      </c>
      <c r="H232" s="26" t="s">
        <v>363</v>
      </c>
      <c r="I232" s="26"/>
      <c r="J232" s="26"/>
      <c r="K232" s="26"/>
      <c r="L232" s="26"/>
      <c r="M232" s="26"/>
      <c r="N232" s="26"/>
    </row>
    <row r="233" spans="1:14" x14ac:dyDescent="0.25">
      <c r="A233" s="22" t="s">
        <v>6</v>
      </c>
      <c r="B233" s="13" t="s">
        <v>318</v>
      </c>
      <c r="C233" s="16" t="s">
        <v>153</v>
      </c>
      <c r="D233" s="16">
        <v>72.099999999999994</v>
      </c>
      <c r="E233" s="16">
        <v>74.900000000000006</v>
      </c>
      <c r="F233" s="35">
        <f t="shared" si="13"/>
        <v>2.8000000000000114</v>
      </c>
      <c r="G233" s="42" t="str">
        <f t="shared" si="11"/>
        <v>TRANSBRASILIANA - DUPLICAÇÃO - Duplicações (inclusive OAE's) - 72,1 - 74,9 - 2,80000000000001</v>
      </c>
      <c r="H233" s="26" t="s">
        <v>363</v>
      </c>
      <c r="I233" s="26"/>
      <c r="J233" s="26"/>
      <c r="K233" s="26"/>
      <c r="L233" s="26"/>
      <c r="M233" s="26"/>
      <c r="N233" s="26"/>
    </row>
    <row r="234" spans="1:14" x14ac:dyDescent="0.25">
      <c r="A234" s="22" t="s">
        <v>6</v>
      </c>
      <c r="B234" s="13" t="s">
        <v>318</v>
      </c>
      <c r="C234" s="16" t="s">
        <v>153</v>
      </c>
      <c r="D234" s="16">
        <v>256</v>
      </c>
      <c r="E234" s="16">
        <v>258.10000000000002</v>
      </c>
      <c r="F234" s="35">
        <f t="shared" si="13"/>
        <v>2.1000000000000227</v>
      </c>
      <c r="G234" s="42" t="str">
        <f t="shared" si="11"/>
        <v>TRANSBRASILIANA - DUPLICAÇÃO - Duplicações (inclusive OAE's) - 256 - 258,1 - 2,10000000000002</v>
      </c>
      <c r="H234" s="26" t="s">
        <v>363</v>
      </c>
      <c r="I234" s="26"/>
      <c r="J234" s="26"/>
      <c r="K234" s="26"/>
      <c r="L234" s="26"/>
      <c r="M234" s="26"/>
      <c r="N234" s="26"/>
    </row>
    <row r="235" spans="1:14" x14ac:dyDescent="0.25">
      <c r="A235" s="22" t="s">
        <v>6</v>
      </c>
      <c r="B235" s="13" t="s">
        <v>319</v>
      </c>
      <c r="C235" s="16" t="s">
        <v>154</v>
      </c>
      <c r="D235" s="16">
        <v>81</v>
      </c>
      <c r="E235" s="16">
        <v>81</v>
      </c>
      <c r="F235" s="38">
        <v>1</v>
      </c>
      <c r="G235" s="42" t="str">
        <f t="shared" si="11"/>
        <v>TRANSBRASILIANA - OAE - Implantação de Trevos em Desnível, com Alças, em Pista Dupla – Parcial: trevo no km 81 a ser executado no 12º ano - 81 - 81 - 1</v>
      </c>
      <c r="H235" s="29" t="s">
        <v>363</v>
      </c>
      <c r="I235" s="29"/>
      <c r="J235" s="29"/>
      <c r="K235" s="29"/>
      <c r="L235" s="29"/>
      <c r="M235" s="29"/>
      <c r="N235" s="29"/>
    </row>
    <row r="236" spans="1:14" ht="30" x14ac:dyDescent="0.25">
      <c r="A236" s="22" t="s">
        <v>6</v>
      </c>
      <c r="B236" s="13" t="s">
        <v>319</v>
      </c>
      <c r="C236" s="16" t="s">
        <v>155</v>
      </c>
      <c r="D236" s="16">
        <v>4.8</v>
      </c>
      <c r="E236" s="16">
        <v>4.8</v>
      </c>
      <c r="F236" s="38">
        <v>1</v>
      </c>
      <c r="G236" s="42" t="str">
        <f t="shared" si="11"/>
        <v>TRANSBRASILIANA - OAE - Implantação de Trevos em Desnível, com Alças, em Pista Dupla – Parcial: km 4+800 – acesso a Icém, a ser executado no 13º ano - 4,8 - 4,8 - 1</v>
      </c>
      <c r="H236" s="29" t="s">
        <v>363</v>
      </c>
      <c r="I236" s="29"/>
      <c r="J236" s="29"/>
      <c r="K236" s="29"/>
      <c r="L236" s="29"/>
      <c r="M236" s="29"/>
      <c r="N236" s="29"/>
    </row>
    <row r="237" spans="1:14" ht="30" x14ac:dyDescent="0.25">
      <c r="A237" s="22" t="s">
        <v>6</v>
      </c>
      <c r="B237" s="13" t="s">
        <v>319</v>
      </c>
      <c r="C237" s="16" t="s">
        <v>156</v>
      </c>
      <c r="D237" s="16">
        <v>337</v>
      </c>
      <c r="E237" s="16">
        <v>337</v>
      </c>
      <c r="F237" s="38">
        <v>1</v>
      </c>
      <c r="G237" s="42" t="str">
        <f t="shared" si="11"/>
        <v>TRANSBRASILIANA - OAE - Implantação de Trevos em Desnível, com Alças, em Pista Dupla – Completo: início do Contorno de Ourinhos (interseção com a BR-153) - 337 - 337 - 1</v>
      </c>
      <c r="H237" s="29" t="s">
        <v>363</v>
      </c>
      <c r="I237" s="29"/>
      <c r="J237" s="29"/>
      <c r="K237" s="29"/>
      <c r="L237" s="29"/>
      <c r="M237" s="29"/>
      <c r="N237" s="29"/>
    </row>
    <row r="238" spans="1:14" ht="30" x14ac:dyDescent="0.25">
      <c r="A238" s="22" t="s">
        <v>6</v>
      </c>
      <c r="B238" s="13" t="s">
        <v>319</v>
      </c>
      <c r="C238" s="16" t="s">
        <v>157</v>
      </c>
      <c r="D238" s="16">
        <v>338.3</v>
      </c>
      <c r="E238" s="16">
        <v>338.3</v>
      </c>
      <c r="F238" s="38">
        <v>1</v>
      </c>
      <c r="G238" s="42" t="str">
        <f t="shared" si="11"/>
        <v>TRANSBRASILIANA - OAE - Implantação de Trevos em Desnível, com Alças, em Pista Dupla – Completo: final do Contorno de Ourinhos (interseção com SP-270), - 338,3 - 338,3 - 1</v>
      </c>
      <c r="H238" s="29" t="s">
        <v>363</v>
      </c>
      <c r="I238" s="29"/>
      <c r="J238" s="29"/>
      <c r="K238" s="29"/>
      <c r="L238" s="29"/>
      <c r="M238" s="29"/>
      <c r="N238" s="29"/>
    </row>
    <row r="239" spans="1:14" x14ac:dyDescent="0.25">
      <c r="A239" s="22" t="s">
        <v>6</v>
      </c>
      <c r="B239" s="13" t="s">
        <v>319</v>
      </c>
      <c r="C239" s="16" t="s">
        <v>158</v>
      </c>
      <c r="D239" s="16">
        <v>73</v>
      </c>
      <c r="E239" s="16">
        <v>73</v>
      </c>
      <c r="F239" s="38">
        <v>1</v>
      </c>
      <c r="G239" s="42" t="str">
        <f t="shared" si="11"/>
        <v>TRANSBRASILIANA - OAE - Implantação de Passagens em Desnível Inferior tipo Galeria: - 73 - 73 - 1</v>
      </c>
      <c r="H239" s="29" t="s">
        <v>363</v>
      </c>
      <c r="I239" s="29"/>
      <c r="J239" s="29"/>
      <c r="K239" s="29"/>
      <c r="L239" s="29"/>
      <c r="M239" s="29"/>
      <c r="N239" s="29"/>
    </row>
    <row r="240" spans="1:14" x14ac:dyDescent="0.25">
      <c r="A240" s="22" t="s">
        <v>6</v>
      </c>
      <c r="B240" s="13" t="s">
        <v>319</v>
      </c>
      <c r="C240" s="16" t="s">
        <v>158</v>
      </c>
      <c r="D240" s="16">
        <v>51.04</v>
      </c>
      <c r="E240" s="16">
        <v>51.04</v>
      </c>
      <c r="F240" s="38">
        <v>1</v>
      </c>
      <c r="G240" s="42" t="str">
        <f t="shared" si="11"/>
        <v>TRANSBRASILIANA - OAE - Implantação de Passagens em Desnível Inferior tipo Galeria: - 51,04 - 51,04 - 1</v>
      </c>
      <c r="H240" s="29" t="s">
        <v>363</v>
      </c>
      <c r="I240" s="29"/>
      <c r="J240" s="29"/>
      <c r="K240" s="29"/>
      <c r="L240" s="29"/>
      <c r="M240" s="29"/>
      <c r="N240" s="29"/>
    </row>
    <row r="241" spans="1:14" x14ac:dyDescent="0.25">
      <c r="A241" s="22" t="s">
        <v>6</v>
      </c>
      <c r="B241" s="13" t="s">
        <v>319</v>
      </c>
      <c r="C241" s="16" t="s">
        <v>158</v>
      </c>
      <c r="D241" s="16">
        <v>53.1</v>
      </c>
      <c r="E241" s="16">
        <v>53.1</v>
      </c>
      <c r="F241" s="38">
        <v>1</v>
      </c>
      <c r="G241" s="42" t="str">
        <f t="shared" si="11"/>
        <v>TRANSBRASILIANA - OAE - Implantação de Passagens em Desnível Inferior tipo Galeria: - 53,1 - 53,1 - 1</v>
      </c>
      <c r="H241" s="29" t="s">
        <v>363</v>
      </c>
      <c r="I241" s="29"/>
      <c r="J241" s="29"/>
      <c r="K241" s="29"/>
      <c r="L241" s="29"/>
      <c r="M241" s="29"/>
      <c r="N241" s="29"/>
    </row>
    <row r="242" spans="1:14" x14ac:dyDescent="0.25">
      <c r="A242" s="22" t="s">
        <v>6</v>
      </c>
      <c r="B242" s="13" t="s">
        <v>319</v>
      </c>
      <c r="C242" s="16" t="s">
        <v>158</v>
      </c>
      <c r="D242" s="16">
        <v>85.1</v>
      </c>
      <c r="E242" s="16">
        <v>85.1</v>
      </c>
      <c r="F242" s="38">
        <v>1</v>
      </c>
      <c r="G242" s="42" t="str">
        <f t="shared" si="11"/>
        <v>TRANSBRASILIANA - OAE - Implantação de Passagens em Desnível Inferior tipo Galeria: - 85,1 - 85,1 - 1</v>
      </c>
      <c r="H242" s="29" t="s">
        <v>363</v>
      </c>
      <c r="I242" s="29"/>
      <c r="J242" s="29"/>
      <c r="K242" s="29"/>
      <c r="L242" s="29"/>
      <c r="M242" s="29"/>
      <c r="N242" s="29"/>
    </row>
    <row r="243" spans="1:14" x14ac:dyDescent="0.25">
      <c r="A243" s="22" t="s">
        <v>6</v>
      </c>
      <c r="B243" s="13" t="s">
        <v>319</v>
      </c>
      <c r="C243" s="16" t="s">
        <v>158</v>
      </c>
      <c r="D243" s="16">
        <v>97</v>
      </c>
      <c r="E243" s="16">
        <v>97</v>
      </c>
      <c r="F243" s="38">
        <v>1</v>
      </c>
      <c r="G243" s="42" t="str">
        <f t="shared" si="11"/>
        <v>TRANSBRASILIANA - OAE - Implantação de Passagens em Desnível Inferior tipo Galeria: - 97 - 97 - 1</v>
      </c>
      <c r="H243" s="29" t="s">
        <v>363</v>
      </c>
      <c r="I243" s="29"/>
      <c r="J243" s="29"/>
      <c r="K243" s="29"/>
      <c r="L243" s="29"/>
      <c r="M243" s="29"/>
      <c r="N243" s="29"/>
    </row>
    <row r="244" spans="1:14" x14ac:dyDescent="0.25">
      <c r="A244" s="22" t="s">
        <v>6</v>
      </c>
      <c r="B244" s="13" t="s">
        <v>321</v>
      </c>
      <c r="C244" s="16" t="s">
        <v>159</v>
      </c>
      <c r="D244" s="16">
        <v>336.4</v>
      </c>
      <c r="E244" s="16">
        <v>338.88</v>
      </c>
      <c r="F244" s="38">
        <f>(E244-D244)*2</f>
        <v>4.9600000000000364</v>
      </c>
      <c r="G244" s="42" t="str">
        <f t="shared" si="11"/>
        <v>TRANSBRASILIANA - CONTORNO - Variante de Ourinhos, em pista dupla - 336,4 - 338,88 - 4,96000000000004</v>
      </c>
      <c r="H244" s="29" t="s">
        <v>363</v>
      </c>
      <c r="I244" s="29"/>
      <c r="J244" s="29"/>
      <c r="K244" s="29"/>
      <c r="L244" s="29"/>
      <c r="M244" s="29"/>
      <c r="N244" s="29"/>
    </row>
    <row r="245" spans="1:14" x14ac:dyDescent="0.25">
      <c r="A245" s="22" t="s">
        <v>6</v>
      </c>
      <c r="B245" s="13" t="s">
        <v>324</v>
      </c>
      <c r="C245" s="16" t="s">
        <v>120</v>
      </c>
      <c r="D245" s="16">
        <v>99.8</v>
      </c>
      <c r="E245" s="16">
        <v>121.4</v>
      </c>
      <c r="F245" s="38">
        <f t="shared" ref="F245:F249" si="14">E245-D245</f>
        <v>21.600000000000009</v>
      </c>
      <c r="G245" s="42" t="str">
        <f t="shared" si="11"/>
        <v>TRANSBRASILIANA - TERCEIRA FAIXA - Execução de Terceiras Faixas: - 99,8 - 121,4 - 21,6</v>
      </c>
      <c r="H245" s="29" t="s">
        <v>363</v>
      </c>
      <c r="I245" s="29"/>
      <c r="J245" s="29"/>
      <c r="K245" s="29"/>
      <c r="L245" s="29"/>
      <c r="M245" s="29"/>
      <c r="N245" s="29"/>
    </row>
    <row r="246" spans="1:14" x14ac:dyDescent="0.25">
      <c r="A246" s="22" t="s">
        <v>6</v>
      </c>
      <c r="B246" s="13" t="s">
        <v>324</v>
      </c>
      <c r="C246" s="16" t="s">
        <v>120</v>
      </c>
      <c r="D246" s="16">
        <v>161.80000000000001</v>
      </c>
      <c r="E246" s="16">
        <v>166.1</v>
      </c>
      <c r="F246" s="38">
        <f t="shared" si="14"/>
        <v>4.2999999999999829</v>
      </c>
      <c r="G246" s="42" t="str">
        <f t="shared" si="11"/>
        <v>TRANSBRASILIANA - TERCEIRA FAIXA - Execução de Terceiras Faixas: - 161,8 - 166,1 - 4,29999999999998</v>
      </c>
      <c r="H246" s="29" t="s">
        <v>363</v>
      </c>
      <c r="I246" s="29"/>
      <c r="J246" s="29"/>
      <c r="K246" s="29"/>
      <c r="L246" s="29"/>
      <c r="M246" s="29"/>
      <c r="N246" s="29"/>
    </row>
    <row r="247" spans="1:14" x14ac:dyDescent="0.25">
      <c r="A247" s="22" t="s">
        <v>6</v>
      </c>
      <c r="B247" s="13" t="s">
        <v>324</v>
      </c>
      <c r="C247" s="16" t="s">
        <v>120</v>
      </c>
      <c r="D247" s="16">
        <v>0</v>
      </c>
      <c r="E247" s="16">
        <v>15.6</v>
      </c>
      <c r="F247" s="38">
        <f t="shared" si="14"/>
        <v>15.6</v>
      </c>
      <c r="G247" s="42" t="str">
        <f t="shared" si="11"/>
        <v>TRANSBRASILIANA - TERCEIRA FAIXA - Execução de Terceiras Faixas: - 0 - 15,6 - 15,6</v>
      </c>
      <c r="H247" s="29" t="s">
        <v>363</v>
      </c>
      <c r="I247" s="29"/>
      <c r="J247" s="29"/>
      <c r="K247" s="29"/>
      <c r="L247" s="29"/>
      <c r="M247" s="29"/>
      <c r="N247" s="29"/>
    </row>
    <row r="248" spans="1:14" x14ac:dyDescent="0.25">
      <c r="A248" s="22" t="s">
        <v>6</v>
      </c>
      <c r="B248" s="13" t="s">
        <v>324</v>
      </c>
      <c r="C248" s="16" t="s">
        <v>120</v>
      </c>
      <c r="D248" s="16">
        <v>182.7</v>
      </c>
      <c r="E248" s="16">
        <v>199.1</v>
      </c>
      <c r="F248" s="38">
        <f t="shared" si="14"/>
        <v>16.400000000000006</v>
      </c>
      <c r="G248" s="42" t="str">
        <f t="shared" si="11"/>
        <v>TRANSBRASILIANA - TERCEIRA FAIXA - Execução de Terceiras Faixas: - 182,7 - 199,1 - 16,4</v>
      </c>
      <c r="H248" s="29" t="s">
        <v>363</v>
      </c>
      <c r="I248" s="29"/>
      <c r="J248" s="29"/>
      <c r="K248" s="29"/>
      <c r="L248" s="29"/>
      <c r="M248" s="29"/>
      <c r="N248" s="29"/>
    </row>
    <row r="249" spans="1:14" x14ac:dyDescent="0.25">
      <c r="A249" s="22" t="s">
        <v>6</v>
      </c>
      <c r="B249" s="13" t="s">
        <v>324</v>
      </c>
      <c r="C249" s="16" t="s">
        <v>120</v>
      </c>
      <c r="D249" s="16">
        <v>255.4</v>
      </c>
      <c r="E249" s="16">
        <v>275.3</v>
      </c>
      <c r="F249" s="38">
        <f t="shared" si="14"/>
        <v>19.900000000000006</v>
      </c>
      <c r="G249" s="42" t="str">
        <f t="shared" si="11"/>
        <v>TRANSBRASILIANA - TERCEIRA FAIXA - Execução de Terceiras Faixas: - 255,4 - 275,3 - 19,9</v>
      </c>
      <c r="H249" s="29" t="s">
        <v>363</v>
      </c>
      <c r="I249" s="29"/>
      <c r="J249" s="29"/>
      <c r="K249" s="29"/>
      <c r="L249" s="29"/>
      <c r="M249" s="29"/>
      <c r="N249" s="29"/>
    </row>
    <row r="250" spans="1:14" x14ac:dyDescent="0.25">
      <c r="A250" s="33" t="s">
        <v>160</v>
      </c>
      <c r="B250" s="13" t="s">
        <v>317</v>
      </c>
      <c r="C250" s="16" t="s">
        <v>161</v>
      </c>
      <c r="D250" s="16">
        <v>0</v>
      </c>
      <c r="E250" s="16">
        <v>3.8</v>
      </c>
      <c r="F250" s="38">
        <f>(E250-D250)</f>
        <v>3.8</v>
      </c>
      <c r="G250" s="42" t="str">
        <f t="shared" si="11"/>
        <v>FLUMINENSE - PAVIMENTAÇÃO - Execução de Ruas Laterais em Pista Simples: - 0 - 3,8 - 3,8</v>
      </c>
      <c r="H250" s="29" t="s">
        <v>363</v>
      </c>
      <c r="I250" s="29"/>
      <c r="J250" s="29"/>
      <c r="K250" s="29"/>
      <c r="L250" s="29"/>
      <c r="M250" s="29"/>
      <c r="N250" s="29"/>
    </row>
    <row r="251" spans="1:14" x14ac:dyDescent="0.25">
      <c r="A251" s="33" t="s">
        <v>160</v>
      </c>
      <c r="B251" s="13" t="s">
        <v>318</v>
      </c>
      <c r="C251" s="16" t="s">
        <v>162</v>
      </c>
      <c r="D251" s="16">
        <v>84.6</v>
      </c>
      <c r="E251" s="16">
        <v>102</v>
      </c>
      <c r="F251" s="35">
        <f t="shared" ref="F251:F265" si="15">E251-D251</f>
        <v>17.400000000000006</v>
      </c>
      <c r="G251" s="42" t="str">
        <f t="shared" si="11"/>
        <v>FLUMINENSE - DUPLICAÇÃO - Duplicações (inclusive OAE's): - 84,6 - 102 - 17,4</v>
      </c>
      <c r="H251" s="26" t="s">
        <v>363</v>
      </c>
      <c r="I251" s="26"/>
      <c r="J251" s="26"/>
      <c r="K251" s="26"/>
      <c r="L251" s="26"/>
      <c r="M251" s="26"/>
      <c r="N251" s="26"/>
    </row>
    <row r="252" spans="1:14" x14ac:dyDescent="0.25">
      <c r="A252" s="33" t="s">
        <v>160</v>
      </c>
      <c r="B252" s="13" t="s">
        <v>318</v>
      </c>
      <c r="C252" s="16" t="s">
        <v>162</v>
      </c>
      <c r="D252" s="16">
        <v>102</v>
      </c>
      <c r="E252" s="16">
        <v>103.5</v>
      </c>
      <c r="F252" s="35">
        <f t="shared" si="15"/>
        <v>1.5</v>
      </c>
      <c r="G252" s="42" t="str">
        <f t="shared" si="11"/>
        <v>FLUMINENSE - DUPLICAÇÃO - Duplicações (inclusive OAE's): - 102 - 103,5 - 1,5</v>
      </c>
      <c r="H252" s="26" t="s">
        <v>363</v>
      </c>
      <c r="I252" s="26"/>
      <c r="J252" s="26"/>
      <c r="K252" s="26"/>
      <c r="L252" s="26"/>
      <c r="M252" s="26"/>
      <c r="N252" s="26"/>
    </row>
    <row r="253" spans="1:14" x14ac:dyDescent="0.25">
      <c r="A253" s="33" t="s">
        <v>160</v>
      </c>
      <c r="B253" s="13" t="s">
        <v>318</v>
      </c>
      <c r="C253" s="16" t="s">
        <v>162</v>
      </c>
      <c r="D253" s="16">
        <v>103.5</v>
      </c>
      <c r="E253" s="16">
        <v>105.2</v>
      </c>
      <c r="F253" s="35">
        <f t="shared" si="15"/>
        <v>1.7000000000000028</v>
      </c>
      <c r="G253" s="42" t="str">
        <f t="shared" si="11"/>
        <v>FLUMINENSE - DUPLICAÇÃO - Duplicações (inclusive OAE's): - 103,5 - 105,2 - 1,7</v>
      </c>
      <c r="H253" s="26" t="s">
        <v>363</v>
      </c>
      <c r="I253" s="26"/>
      <c r="J253" s="26"/>
      <c r="K253" s="26"/>
      <c r="L253" s="26"/>
      <c r="M253" s="26"/>
      <c r="N253" s="26"/>
    </row>
    <row r="254" spans="1:14" x14ac:dyDescent="0.25">
      <c r="A254" s="33" t="s">
        <v>160</v>
      </c>
      <c r="B254" s="13" t="s">
        <v>318</v>
      </c>
      <c r="C254" s="16" t="s">
        <v>162</v>
      </c>
      <c r="D254" s="16">
        <v>105.2</v>
      </c>
      <c r="E254" s="16">
        <v>117.8</v>
      </c>
      <c r="F254" s="35">
        <f t="shared" si="15"/>
        <v>12.599999999999994</v>
      </c>
      <c r="G254" s="42" t="str">
        <f t="shared" si="11"/>
        <v>FLUMINENSE - DUPLICAÇÃO - Duplicações (inclusive OAE's): - 105,2 - 117,8 - 12,6</v>
      </c>
      <c r="H254" s="26" t="s">
        <v>363</v>
      </c>
      <c r="I254" s="26"/>
      <c r="J254" s="26"/>
      <c r="K254" s="26"/>
      <c r="L254" s="26"/>
      <c r="M254" s="26"/>
      <c r="N254" s="26"/>
    </row>
    <row r="255" spans="1:14" x14ac:dyDescent="0.25">
      <c r="A255" s="33" t="s">
        <v>160</v>
      </c>
      <c r="B255" s="13" t="s">
        <v>318</v>
      </c>
      <c r="C255" s="16" t="s">
        <v>162</v>
      </c>
      <c r="D255" s="16">
        <v>117.8</v>
      </c>
      <c r="E255" s="16">
        <v>121.3</v>
      </c>
      <c r="F255" s="35">
        <f t="shared" si="15"/>
        <v>3.5</v>
      </c>
      <c r="G255" s="42" t="str">
        <f t="shared" si="11"/>
        <v>FLUMINENSE - DUPLICAÇÃO - Duplicações (inclusive OAE's): - 117,8 - 121,3 - 3,5</v>
      </c>
      <c r="H255" s="26" t="s">
        <v>363</v>
      </c>
      <c r="I255" s="26"/>
      <c r="J255" s="26"/>
      <c r="K255" s="26"/>
      <c r="L255" s="26"/>
      <c r="M255" s="26"/>
      <c r="N255" s="26"/>
    </row>
    <row r="256" spans="1:14" x14ac:dyDescent="0.25">
      <c r="A256" s="33" t="s">
        <v>160</v>
      </c>
      <c r="B256" s="13" t="s">
        <v>318</v>
      </c>
      <c r="C256" s="16" t="s">
        <v>162</v>
      </c>
      <c r="D256" s="16">
        <v>121.3</v>
      </c>
      <c r="E256" s="16">
        <v>123.2</v>
      </c>
      <c r="F256" s="35">
        <f t="shared" si="15"/>
        <v>1.9000000000000057</v>
      </c>
      <c r="G256" s="42" t="str">
        <f t="shared" si="11"/>
        <v>FLUMINENSE - DUPLICAÇÃO - Duplicações (inclusive OAE's): - 121,3 - 123,2 - 1,90000000000001</v>
      </c>
      <c r="H256" s="26" t="s">
        <v>363</v>
      </c>
      <c r="I256" s="26"/>
      <c r="J256" s="26"/>
      <c r="K256" s="26"/>
      <c r="L256" s="26"/>
      <c r="M256" s="26"/>
      <c r="N256" s="26"/>
    </row>
    <row r="257" spans="1:14" x14ac:dyDescent="0.25">
      <c r="A257" s="33" t="s">
        <v>160</v>
      </c>
      <c r="B257" s="13" t="s">
        <v>318</v>
      </c>
      <c r="C257" s="16" t="s">
        <v>162</v>
      </c>
      <c r="D257" s="16">
        <v>123.2</v>
      </c>
      <c r="E257" s="16">
        <v>132.5</v>
      </c>
      <c r="F257" s="35">
        <f t="shared" si="15"/>
        <v>9.2999999999999972</v>
      </c>
      <c r="G257" s="42" t="str">
        <f t="shared" si="11"/>
        <v>FLUMINENSE - DUPLICAÇÃO - Duplicações (inclusive OAE's): - 123,2 - 132,5 - 9,3</v>
      </c>
      <c r="H257" s="26" t="s">
        <v>363</v>
      </c>
      <c r="I257" s="26"/>
      <c r="J257" s="26"/>
      <c r="K257" s="26"/>
      <c r="L257" s="26"/>
      <c r="M257" s="26"/>
      <c r="N257" s="26"/>
    </row>
    <row r="258" spans="1:14" x14ac:dyDescent="0.25">
      <c r="A258" s="33" t="s">
        <v>160</v>
      </c>
      <c r="B258" s="13" t="s">
        <v>318</v>
      </c>
      <c r="C258" s="16" t="s">
        <v>162</v>
      </c>
      <c r="D258" s="16">
        <v>132.5</v>
      </c>
      <c r="E258" s="16">
        <v>144.19999999999999</v>
      </c>
      <c r="F258" s="35">
        <f t="shared" si="15"/>
        <v>11.699999999999989</v>
      </c>
      <c r="G258" s="42" t="str">
        <f t="shared" si="11"/>
        <v>FLUMINENSE - DUPLICAÇÃO - Duplicações (inclusive OAE's): - 132,5 - 144,2 - 11,7</v>
      </c>
      <c r="H258" s="26" t="s">
        <v>363</v>
      </c>
      <c r="I258" s="26"/>
      <c r="J258" s="26"/>
      <c r="K258" s="26"/>
      <c r="L258" s="26"/>
      <c r="M258" s="26"/>
      <c r="N258" s="26"/>
    </row>
    <row r="259" spans="1:14" x14ac:dyDescent="0.25">
      <c r="A259" s="33" t="s">
        <v>160</v>
      </c>
      <c r="B259" s="13" t="s">
        <v>318</v>
      </c>
      <c r="C259" s="16" t="s">
        <v>162</v>
      </c>
      <c r="D259" s="20">
        <v>190.3</v>
      </c>
      <c r="E259" s="16">
        <v>202</v>
      </c>
      <c r="F259" s="35">
        <f t="shared" si="15"/>
        <v>11.699999999999989</v>
      </c>
      <c r="G259" s="42" t="str">
        <f t="shared" ref="G259:G322" si="16">_xlfn.TEXTJOIN(" - ",TRUE,A259:F259)</f>
        <v>FLUMINENSE - DUPLICAÇÃO - Duplicações (inclusive OAE's): - 190,3 - 202 - 11,7</v>
      </c>
      <c r="H259" s="26" t="s">
        <v>363</v>
      </c>
      <c r="I259" s="26"/>
      <c r="J259" s="26"/>
      <c r="K259" s="26"/>
      <c r="L259" s="26"/>
      <c r="M259" s="26"/>
      <c r="N259" s="26"/>
    </row>
    <row r="260" spans="1:14" x14ac:dyDescent="0.25">
      <c r="A260" s="33" t="s">
        <v>160</v>
      </c>
      <c r="B260" s="13" t="s">
        <v>318</v>
      </c>
      <c r="C260" s="16" t="s">
        <v>162</v>
      </c>
      <c r="D260" s="16">
        <v>202</v>
      </c>
      <c r="E260" s="16">
        <v>205.6</v>
      </c>
      <c r="F260" s="35">
        <f t="shared" si="15"/>
        <v>3.5999999999999943</v>
      </c>
      <c r="G260" s="42" t="str">
        <f t="shared" si="16"/>
        <v>FLUMINENSE - DUPLICAÇÃO - Duplicações (inclusive OAE's): - 202 - 205,6 - 3,59999999999999</v>
      </c>
      <c r="H260" s="26" t="s">
        <v>363</v>
      </c>
      <c r="I260" s="26"/>
      <c r="J260" s="26"/>
      <c r="K260" s="26"/>
      <c r="L260" s="26"/>
      <c r="M260" s="26"/>
      <c r="N260" s="26"/>
    </row>
    <row r="261" spans="1:14" x14ac:dyDescent="0.25">
      <c r="A261" s="33" t="s">
        <v>160</v>
      </c>
      <c r="B261" s="13" t="s">
        <v>318</v>
      </c>
      <c r="C261" s="16" t="s">
        <v>162</v>
      </c>
      <c r="D261" s="16">
        <v>208.6</v>
      </c>
      <c r="E261" s="16">
        <v>210</v>
      </c>
      <c r="F261" s="35">
        <f t="shared" si="15"/>
        <v>1.4000000000000057</v>
      </c>
      <c r="G261" s="42" t="str">
        <f t="shared" si="16"/>
        <v>FLUMINENSE - DUPLICAÇÃO - Duplicações (inclusive OAE's): - 208,6 - 210 - 1,40000000000001</v>
      </c>
      <c r="H261" s="26" t="s">
        <v>363</v>
      </c>
      <c r="I261" s="26"/>
      <c r="J261" s="26"/>
      <c r="K261" s="26"/>
      <c r="L261" s="26"/>
      <c r="M261" s="26"/>
      <c r="N261" s="26"/>
    </row>
    <row r="262" spans="1:14" x14ac:dyDescent="0.25">
      <c r="A262" s="33" t="s">
        <v>160</v>
      </c>
      <c r="B262" s="13" t="s">
        <v>318</v>
      </c>
      <c r="C262" s="16" t="s">
        <v>162</v>
      </c>
      <c r="D262" s="16">
        <v>210</v>
      </c>
      <c r="E262" s="16">
        <v>215.3</v>
      </c>
      <c r="F262" s="35">
        <f t="shared" si="15"/>
        <v>5.3000000000000114</v>
      </c>
      <c r="G262" s="42" t="str">
        <f t="shared" si="16"/>
        <v>FLUMINENSE - DUPLICAÇÃO - Duplicações (inclusive OAE's): - 210 - 215,3 - 5,30000000000001</v>
      </c>
      <c r="H262" s="26" t="s">
        <v>363</v>
      </c>
      <c r="I262" s="26"/>
      <c r="J262" s="26"/>
      <c r="K262" s="26"/>
      <c r="L262" s="26"/>
      <c r="M262" s="26"/>
      <c r="N262" s="26"/>
    </row>
    <row r="263" spans="1:14" x14ac:dyDescent="0.25">
      <c r="A263" s="33" t="s">
        <v>160</v>
      </c>
      <c r="B263" s="13" t="s">
        <v>318</v>
      </c>
      <c r="C263" s="16" t="s">
        <v>162</v>
      </c>
      <c r="D263" s="16">
        <v>217.1</v>
      </c>
      <c r="E263" s="16">
        <v>228.8</v>
      </c>
      <c r="F263" s="35">
        <f t="shared" si="15"/>
        <v>11.700000000000017</v>
      </c>
      <c r="G263" s="42" t="str">
        <f t="shared" si="16"/>
        <v>FLUMINENSE - DUPLICAÇÃO - Duplicações (inclusive OAE's): - 217,1 - 228,8 - 11,7</v>
      </c>
      <c r="H263" s="26" t="s">
        <v>363</v>
      </c>
      <c r="I263" s="26"/>
      <c r="J263" s="26"/>
      <c r="K263" s="26"/>
      <c r="L263" s="26"/>
      <c r="M263" s="26"/>
      <c r="N263" s="26"/>
    </row>
    <row r="264" spans="1:14" x14ac:dyDescent="0.25">
      <c r="A264" s="33" t="s">
        <v>160</v>
      </c>
      <c r="B264" s="13" t="s">
        <v>318</v>
      </c>
      <c r="C264" s="16" t="s">
        <v>162</v>
      </c>
      <c r="D264" s="16">
        <v>228.8</v>
      </c>
      <c r="E264" s="16">
        <v>248.8</v>
      </c>
      <c r="F264" s="35">
        <f t="shared" si="15"/>
        <v>20</v>
      </c>
      <c r="G264" s="42" t="str">
        <f t="shared" si="16"/>
        <v>FLUMINENSE - DUPLICAÇÃO - Duplicações (inclusive OAE's): - 228,8 - 248,8 - 20</v>
      </c>
      <c r="H264" s="26" t="s">
        <v>363</v>
      </c>
      <c r="I264" s="26"/>
      <c r="J264" s="26"/>
      <c r="K264" s="26"/>
      <c r="L264" s="26"/>
      <c r="M264" s="26"/>
      <c r="N264" s="26"/>
    </row>
    <row r="265" spans="1:14" x14ac:dyDescent="0.25">
      <c r="A265" s="33" t="s">
        <v>160</v>
      </c>
      <c r="B265" s="13" t="s">
        <v>318</v>
      </c>
      <c r="C265" s="16" t="s">
        <v>162</v>
      </c>
      <c r="D265" s="16">
        <v>248.8</v>
      </c>
      <c r="E265" s="16">
        <v>261.2</v>
      </c>
      <c r="F265" s="35">
        <f t="shared" si="15"/>
        <v>12.399999999999977</v>
      </c>
      <c r="G265" s="42" t="str">
        <f t="shared" si="16"/>
        <v>FLUMINENSE - DUPLICAÇÃO - Duplicações (inclusive OAE's): - 248,8 - 261,2 - 12,4</v>
      </c>
      <c r="H265" s="26" t="s">
        <v>363</v>
      </c>
      <c r="I265" s="26"/>
      <c r="J265" s="26"/>
      <c r="K265" s="26"/>
      <c r="L265" s="26"/>
      <c r="M265" s="26"/>
      <c r="N265" s="26"/>
    </row>
    <row r="266" spans="1:14" ht="30" x14ac:dyDescent="0.25">
      <c r="A266" s="33" t="s">
        <v>160</v>
      </c>
      <c r="B266" s="13" t="s">
        <v>319</v>
      </c>
      <c r="C266" s="16" t="s">
        <v>163</v>
      </c>
      <c r="D266" s="16">
        <v>169.7</v>
      </c>
      <c r="E266" s="16">
        <v>169.7</v>
      </c>
      <c r="F266" s="38">
        <v>1</v>
      </c>
      <c r="G266" s="42" t="str">
        <f t="shared" si="16"/>
        <v>FLUMINENSE - OAE - Implantação de Trevos em Desnível, com Alças, em Pista Dupla – Parcial: km 169,7– RJ-168 para Macaé
e Glicério - 169,7 - 169,7 - 1</v>
      </c>
      <c r="H266" s="29" t="s">
        <v>363</v>
      </c>
      <c r="I266" s="29"/>
      <c r="J266" s="29"/>
      <c r="K266" s="29"/>
      <c r="L266" s="29"/>
      <c r="M266" s="29"/>
      <c r="N266" s="29"/>
    </row>
    <row r="267" spans="1:14" x14ac:dyDescent="0.25">
      <c r="A267" s="33" t="s">
        <v>160</v>
      </c>
      <c r="B267" s="13" t="s">
        <v>319</v>
      </c>
      <c r="C267" s="16" t="s">
        <v>164</v>
      </c>
      <c r="D267" s="16">
        <v>190.6</v>
      </c>
      <c r="E267" s="16">
        <v>190.6</v>
      </c>
      <c r="F267" s="38">
        <v>1</v>
      </c>
      <c r="G267" s="42" t="str">
        <f t="shared" si="16"/>
        <v>FLUMINENSE - OAE - Implantação de Trevos em Desnível, com Alças, em Pista Dupla – Parcial: km 190,6– Rio Dourado e Rio das Ostras - 190,6 - 190,6 - 1</v>
      </c>
      <c r="H267" s="29" t="s">
        <v>363</v>
      </c>
      <c r="I267" s="29"/>
      <c r="J267" s="29"/>
      <c r="K267" s="29"/>
      <c r="L267" s="29"/>
      <c r="M267" s="29"/>
      <c r="N267" s="29"/>
    </row>
    <row r="268" spans="1:14" x14ac:dyDescent="0.25">
      <c r="A268" s="33" t="s">
        <v>160</v>
      </c>
      <c r="B268" s="13" t="s">
        <v>319</v>
      </c>
      <c r="C268" s="12" t="s">
        <v>165</v>
      </c>
      <c r="D268" s="16">
        <v>204.1</v>
      </c>
      <c r="E268" s="16">
        <v>204.1</v>
      </c>
      <c r="F268" s="38">
        <v>1</v>
      </c>
      <c r="G268" s="42" t="str">
        <f t="shared" si="16"/>
        <v>FLUMINENSE - OAE - Implantação de Trevos em Desnível, com Alças, em Pista Dupla – Parcial: km 204,1 – Distrito Industrial - 204,1 - 204,1 - 1</v>
      </c>
      <c r="H268" s="29" t="s">
        <v>363</v>
      </c>
      <c r="I268" s="29"/>
      <c r="J268" s="29"/>
      <c r="K268" s="29"/>
      <c r="L268" s="29"/>
      <c r="M268" s="29"/>
      <c r="N268" s="29"/>
    </row>
    <row r="269" spans="1:14" ht="30" x14ac:dyDescent="0.25">
      <c r="A269" s="33" t="s">
        <v>160</v>
      </c>
      <c r="B269" s="13" t="s">
        <v>319</v>
      </c>
      <c r="C269" s="12" t="s">
        <v>166</v>
      </c>
      <c r="D269" s="16">
        <v>243.4</v>
      </c>
      <c r="E269" s="16">
        <v>243.4</v>
      </c>
      <c r="F269" s="38">
        <v>1</v>
      </c>
      <c r="G269" s="42" t="str">
        <f t="shared" si="16"/>
        <v>FLUMINENSE - OAE - Implantação de Trevos em Desnível, com Alças, em Pista Dupla – Parcial:km 243,4–
Imbau - 243,4 - 243,4 - 1</v>
      </c>
      <c r="H269" s="29" t="s">
        <v>363</v>
      </c>
      <c r="I269" s="29"/>
      <c r="J269" s="29"/>
      <c r="K269" s="29"/>
      <c r="L269" s="29"/>
      <c r="M269" s="29"/>
      <c r="N269" s="29"/>
    </row>
    <row r="270" spans="1:14" x14ac:dyDescent="0.25">
      <c r="A270" s="33" t="s">
        <v>160</v>
      </c>
      <c r="B270" s="13" t="s">
        <v>319</v>
      </c>
      <c r="C270" s="16" t="s">
        <v>167</v>
      </c>
      <c r="D270" s="16">
        <v>253.3</v>
      </c>
      <c r="E270" s="16">
        <v>253.3</v>
      </c>
      <c r="F270" s="38">
        <v>1</v>
      </c>
      <c r="G270" s="42" t="str">
        <f t="shared" si="16"/>
        <v>FLUMINENSE - OAE - Implantação de Trevos em Desnível, com Alças, em Pista Dupla – Parcial:km 253,3 – Mato Alto - 253,3 - 253,3 - 1</v>
      </c>
      <c r="H270" s="29" t="s">
        <v>363</v>
      </c>
      <c r="I270" s="29"/>
      <c r="J270" s="29"/>
      <c r="K270" s="29"/>
      <c r="L270" s="29"/>
      <c r="M270" s="29"/>
      <c r="N270" s="29"/>
    </row>
    <row r="271" spans="1:14" x14ac:dyDescent="0.25">
      <c r="A271" s="33" t="s">
        <v>160</v>
      </c>
      <c r="B271" s="13" t="s">
        <v>319</v>
      </c>
      <c r="C271" s="16" t="s">
        <v>168</v>
      </c>
      <c r="D271" s="16">
        <v>248.2</v>
      </c>
      <c r="E271" s="16">
        <v>248.2</v>
      </c>
      <c r="F271" s="38">
        <v>1</v>
      </c>
      <c r="G271" s="42" t="str">
        <f t="shared" si="16"/>
        <v>FLUMINENSE - OAE - Implantação de Trevos em Desnível, com Alças, em Pista Dupla – Parcial:km 248,2 – Caxito - 248,2 - 248,2 - 1</v>
      </c>
      <c r="H271" s="29" t="s">
        <v>363</v>
      </c>
      <c r="I271" s="29"/>
      <c r="J271" s="29"/>
      <c r="K271" s="29"/>
      <c r="L271" s="29"/>
      <c r="M271" s="29"/>
      <c r="N271" s="29"/>
    </row>
    <row r="272" spans="1:14" x14ac:dyDescent="0.25">
      <c r="A272" s="33" t="s">
        <v>160</v>
      </c>
      <c r="B272" s="13" t="s">
        <v>319</v>
      </c>
      <c r="C272" s="16" t="s">
        <v>169</v>
      </c>
      <c r="D272" s="16">
        <v>244.1</v>
      </c>
      <c r="E272" s="16">
        <v>244.1</v>
      </c>
      <c r="F272" s="38">
        <v>1</v>
      </c>
      <c r="G272" s="42" t="str">
        <f t="shared" si="16"/>
        <v>FLUMINENSE - OAE - Implantação de Trevos em Desnível, com Alças, em Pista Dupla – Parcial: km 244,1– Cesário Alvim - 244,1 - 244,1 - 1</v>
      </c>
      <c r="H272" s="29" t="s">
        <v>363</v>
      </c>
      <c r="I272" s="29"/>
      <c r="J272" s="29"/>
      <c r="K272" s="29"/>
      <c r="L272" s="29"/>
      <c r="M272" s="29"/>
      <c r="N272" s="29"/>
    </row>
    <row r="273" spans="1:14" ht="30" x14ac:dyDescent="0.25">
      <c r="A273" s="33" t="s">
        <v>160</v>
      </c>
      <c r="B273" s="13" t="s">
        <v>319</v>
      </c>
      <c r="C273" s="12" t="s">
        <v>170</v>
      </c>
      <c r="D273" s="16">
        <v>297.39999999999998</v>
      </c>
      <c r="E273" s="16">
        <v>297.39999999999998</v>
      </c>
      <c r="F273" s="38">
        <v>1</v>
      </c>
      <c r="G273" s="42" t="str">
        <f t="shared" si="16"/>
        <v>FLUMINENSE - OAE - Implantação de Trevos em Desnível, com Alças, em Pista Dupla – Parcial: km 297,4 – Complemento
do trevo de Manilha - 297,4 - 297,4 - 1</v>
      </c>
      <c r="H273" s="29" t="s">
        <v>363</v>
      </c>
      <c r="I273" s="29"/>
      <c r="J273" s="29"/>
      <c r="K273" s="29"/>
      <c r="L273" s="29"/>
      <c r="M273" s="29"/>
      <c r="N273" s="29"/>
    </row>
    <row r="274" spans="1:14" x14ac:dyDescent="0.25">
      <c r="A274" s="33" t="s">
        <v>160</v>
      </c>
      <c r="B274" s="13" t="s">
        <v>319</v>
      </c>
      <c r="C274" s="12" t="s">
        <v>171</v>
      </c>
      <c r="D274" s="16">
        <v>260.10000000000002</v>
      </c>
      <c r="E274" s="16">
        <v>260.10000000000002</v>
      </c>
      <c r="F274" s="38">
        <v>1</v>
      </c>
      <c r="G274" s="42" t="str">
        <f t="shared" si="16"/>
        <v>FLUMINENSE - OAE - Implantação de Trevos em Desnível, com Alças, em Pista Dupla – Parcial: km 260,1. - 260,1 - 260,1 - 1</v>
      </c>
      <c r="H274" s="29" t="s">
        <v>363</v>
      </c>
      <c r="I274" s="29"/>
      <c r="J274" s="29"/>
      <c r="K274" s="29"/>
      <c r="L274" s="29"/>
      <c r="M274" s="29"/>
      <c r="N274" s="29"/>
    </row>
    <row r="275" spans="1:14" x14ac:dyDescent="0.25">
      <c r="A275" s="33" t="s">
        <v>160</v>
      </c>
      <c r="B275" s="13" t="s">
        <v>319</v>
      </c>
      <c r="C275" s="16" t="s">
        <v>172</v>
      </c>
      <c r="D275" s="16">
        <v>265.7</v>
      </c>
      <c r="E275" s="16">
        <v>265.7</v>
      </c>
      <c r="F275" s="38">
        <v>1</v>
      </c>
      <c r="G275" s="42" t="str">
        <f t="shared" si="16"/>
        <v>FLUMINENSE - OAE - Implantação de trevo no km 265,7: 1 unidade no km 265,7 (Green Valley), - 265,7 - 265,7 - 1</v>
      </c>
      <c r="H275" s="29" t="s">
        <v>363</v>
      </c>
      <c r="I275" s="29"/>
      <c r="J275" s="29"/>
      <c r="K275" s="29"/>
      <c r="L275" s="29"/>
      <c r="M275" s="29"/>
      <c r="N275" s="29"/>
    </row>
    <row r="276" spans="1:14" x14ac:dyDescent="0.25">
      <c r="A276" s="33" t="s">
        <v>160</v>
      </c>
      <c r="B276" s="13" t="s">
        <v>319</v>
      </c>
      <c r="C276" s="16" t="s">
        <v>173</v>
      </c>
      <c r="D276" s="16">
        <v>194.1</v>
      </c>
      <c r="E276" s="16">
        <v>194.1</v>
      </c>
      <c r="F276" s="38">
        <v>1</v>
      </c>
      <c r="G276" s="42" t="str">
        <f t="shared" si="16"/>
        <v>FLUMINENSE - OAE - Implantação de trevo no km 194,1: - 194,1 - 194,1 - 1</v>
      </c>
      <c r="H276" s="29" t="s">
        <v>363</v>
      </c>
      <c r="I276" s="29"/>
      <c r="J276" s="29"/>
      <c r="K276" s="29"/>
      <c r="L276" s="29"/>
      <c r="M276" s="29"/>
      <c r="N276" s="29"/>
    </row>
    <row r="277" spans="1:14" x14ac:dyDescent="0.25">
      <c r="A277" s="33" t="s">
        <v>160</v>
      </c>
      <c r="B277" s="13" t="s">
        <v>319</v>
      </c>
      <c r="C277" s="16" t="s">
        <v>174</v>
      </c>
      <c r="D277" s="16">
        <v>1</v>
      </c>
      <c r="E277" s="16">
        <v>1</v>
      </c>
      <c r="F277" s="38">
        <v>1</v>
      </c>
      <c r="G277" s="42" t="str">
        <f t="shared" si="16"/>
        <v>FLUMINENSE - OAE - Implantação de OAE: 1 unidade no trecho Manilha – Varandinha (rua lateral) - 1 - 1 - 1</v>
      </c>
      <c r="H277" s="29" t="s">
        <v>363</v>
      </c>
      <c r="I277" s="29"/>
      <c r="J277" s="29"/>
      <c r="K277" s="29"/>
      <c r="L277" s="29"/>
      <c r="M277" s="29"/>
      <c r="N277" s="29"/>
    </row>
    <row r="278" spans="1:14" x14ac:dyDescent="0.25">
      <c r="A278" s="33" t="s">
        <v>160</v>
      </c>
      <c r="B278" s="13" t="s">
        <v>319</v>
      </c>
      <c r="C278" s="16" t="s">
        <v>175</v>
      </c>
      <c r="D278" s="16">
        <v>92.8</v>
      </c>
      <c r="E278" s="16">
        <v>92.8</v>
      </c>
      <c r="F278" s="38">
        <v>1</v>
      </c>
      <c r="G278" s="42" t="str">
        <f t="shared" si="16"/>
        <v>FLUMINENSE - OAE - Implantação de Trevos em desnível – Completo: - 92,8 - 92,8 - 1</v>
      </c>
      <c r="H278" s="29" t="s">
        <v>363</v>
      </c>
      <c r="I278" s="29"/>
      <c r="J278" s="29"/>
      <c r="K278" s="29"/>
      <c r="L278" s="29"/>
      <c r="M278" s="29"/>
      <c r="N278" s="29"/>
    </row>
    <row r="279" spans="1:14" x14ac:dyDescent="0.25">
      <c r="A279" s="33" t="s">
        <v>160</v>
      </c>
      <c r="B279" s="13" t="s">
        <v>319</v>
      </c>
      <c r="C279" s="16" t="s">
        <v>175</v>
      </c>
      <c r="D279" s="16">
        <v>101.1</v>
      </c>
      <c r="E279" s="16">
        <v>101.1</v>
      </c>
      <c r="F279" s="38">
        <v>1</v>
      </c>
      <c r="G279" s="42" t="str">
        <f t="shared" si="16"/>
        <v>FLUMINENSE - OAE - Implantação de Trevos em desnível – Completo: - 101,1 - 101,1 - 1</v>
      </c>
      <c r="H279" s="29" t="s">
        <v>363</v>
      </c>
      <c r="I279" s="29"/>
      <c r="J279" s="29"/>
      <c r="K279" s="29"/>
      <c r="L279" s="29"/>
      <c r="M279" s="29"/>
      <c r="N279" s="29"/>
    </row>
    <row r="280" spans="1:14" x14ac:dyDescent="0.25">
      <c r="A280" s="33" t="s">
        <v>160</v>
      </c>
      <c r="B280" s="13" t="s">
        <v>319</v>
      </c>
      <c r="C280" s="16" t="s">
        <v>175</v>
      </c>
      <c r="D280" s="16">
        <v>113.3</v>
      </c>
      <c r="E280" s="16">
        <v>113.3</v>
      </c>
      <c r="F280" s="38">
        <v>1</v>
      </c>
      <c r="G280" s="42" t="str">
        <f t="shared" si="16"/>
        <v>FLUMINENSE - OAE - Implantação de Trevos em desnível – Completo: - 113,3 - 113,3 - 1</v>
      </c>
      <c r="H280" s="29" t="s">
        <v>363</v>
      </c>
      <c r="I280" s="29"/>
      <c r="J280" s="29"/>
      <c r="K280" s="29"/>
      <c r="L280" s="29"/>
      <c r="M280" s="29"/>
      <c r="N280" s="29"/>
    </row>
    <row r="281" spans="1:14" x14ac:dyDescent="0.25">
      <c r="A281" s="33" t="s">
        <v>160</v>
      </c>
      <c r="B281" s="13" t="s">
        <v>319</v>
      </c>
      <c r="C281" s="16" t="s">
        <v>175</v>
      </c>
      <c r="D281" s="16">
        <v>122.14</v>
      </c>
      <c r="E281" s="16">
        <v>122.14</v>
      </c>
      <c r="F281" s="38">
        <v>1</v>
      </c>
      <c r="G281" s="42" t="str">
        <f t="shared" si="16"/>
        <v>FLUMINENSE - OAE - Implantação de Trevos em desnível – Completo: - 122,14 - 122,14 - 1</v>
      </c>
      <c r="H281" s="29" t="s">
        <v>363</v>
      </c>
      <c r="I281" s="29"/>
      <c r="J281" s="29"/>
      <c r="K281" s="29"/>
      <c r="L281" s="29"/>
      <c r="M281" s="29"/>
      <c r="N281" s="29"/>
    </row>
    <row r="282" spans="1:14" x14ac:dyDescent="0.25">
      <c r="A282" s="33" t="s">
        <v>160</v>
      </c>
      <c r="B282" s="13" t="s">
        <v>319</v>
      </c>
      <c r="C282" s="16" t="s">
        <v>175</v>
      </c>
      <c r="D282" s="16">
        <v>125</v>
      </c>
      <c r="E282" s="16">
        <v>125</v>
      </c>
      <c r="F282" s="38">
        <v>1</v>
      </c>
      <c r="G282" s="42" t="str">
        <f t="shared" si="16"/>
        <v>FLUMINENSE - OAE - Implantação de Trevos em desnível – Completo: - 125 - 125 - 1</v>
      </c>
      <c r="H282" s="29" t="s">
        <v>363</v>
      </c>
      <c r="I282" s="29"/>
      <c r="J282" s="29"/>
      <c r="K282" s="29"/>
      <c r="L282" s="29"/>
      <c r="M282" s="29"/>
      <c r="N282" s="29"/>
    </row>
    <row r="283" spans="1:14" x14ac:dyDescent="0.25">
      <c r="A283" s="33" t="s">
        <v>160</v>
      </c>
      <c r="B283" s="13" t="s">
        <v>319</v>
      </c>
      <c r="C283" s="16" t="s">
        <v>175</v>
      </c>
      <c r="D283" s="16">
        <v>132.30000000000001</v>
      </c>
      <c r="E283" s="16">
        <v>132.30000000000001</v>
      </c>
      <c r="F283" s="38">
        <v>1</v>
      </c>
      <c r="G283" s="42" t="str">
        <f t="shared" si="16"/>
        <v>FLUMINENSE - OAE - Implantação de Trevos em desnível – Completo: - 132,3 - 132,3 - 1</v>
      </c>
      <c r="H283" s="29" t="s">
        <v>363</v>
      </c>
      <c r="I283" s="29"/>
      <c r="J283" s="29"/>
      <c r="K283" s="29"/>
      <c r="L283" s="29"/>
      <c r="M283" s="29"/>
      <c r="N283" s="29"/>
    </row>
    <row r="284" spans="1:14" x14ac:dyDescent="0.25">
      <c r="A284" s="33" t="s">
        <v>160</v>
      </c>
      <c r="B284" s="13" t="s">
        <v>319</v>
      </c>
      <c r="C284" s="16" t="s">
        <v>175</v>
      </c>
      <c r="D284" s="16">
        <v>138.5</v>
      </c>
      <c r="E284" s="16">
        <v>138.5</v>
      </c>
      <c r="F284" s="38">
        <v>1</v>
      </c>
      <c r="G284" s="42" t="str">
        <f t="shared" si="16"/>
        <v>FLUMINENSE - OAE - Implantação de Trevos em desnível – Completo: - 138,5 - 138,5 - 1</v>
      </c>
      <c r="H284" s="29" t="s">
        <v>363</v>
      </c>
      <c r="I284" s="29"/>
      <c r="J284" s="29"/>
      <c r="K284" s="29"/>
      <c r="L284" s="29"/>
      <c r="M284" s="29"/>
      <c r="N284" s="29"/>
    </row>
    <row r="285" spans="1:14" x14ac:dyDescent="0.25">
      <c r="A285" s="33" t="s">
        <v>160</v>
      </c>
      <c r="B285" s="13" t="s">
        <v>319</v>
      </c>
      <c r="C285" s="16" t="s">
        <v>175</v>
      </c>
      <c r="D285" s="16">
        <v>144.5</v>
      </c>
      <c r="E285" s="16">
        <v>144.5</v>
      </c>
      <c r="F285" s="38">
        <v>1</v>
      </c>
      <c r="G285" s="42" t="str">
        <f t="shared" si="16"/>
        <v>FLUMINENSE - OAE - Implantação de Trevos em desnível – Completo: - 144,5 - 144,5 - 1</v>
      </c>
      <c r="H285" s="29" t="s">
        <v>363</v>
      </c>
      <c r="I285" s="29"/>
      <c r="J285" s="29"/>
      <c r="K285" s="29"/>
      <c r="L285" s="29"/>
      <c r="M285" s="29"/>
      <c r="N285" s="29"/>
    </row>
    <row r="286" spans="1:14" x14ac:dyDescent="0.25">
      <c r="A286" s="33" t="s">
        <v>160</v>
      </c>
      <c r="B286" s="13" t="s">
        <v>321</v>
      </c>
      <c r="C286" s="10" t="s">
        <v>176</v>
      </c>
      <c r="D286" s="16">
        <v>317.7</v>
      </c>
      <c r="E286" s="16">
        <v>320.10000000000002</v>
      </c>
      <c r="F286" s="38">
        <f>(E286-D286)*2</f>
        <v>4.8000000000000682</v>
      </c>
      <c r="G286" s="42" t="str">
        <f t="shared" si="16"/>
        <v>FLUMINENSE - CONTORNO - Execução de Variantes e Contornos (inclusive OAE's): - Avenida do Contorno – Barreto (Niterói). - 317,7 - 320,1 - 4,80000000000007</v>
      </c>
      <c r="H286" s="29" t="s">
        <v>363</v>
      </c>
      <c r="I286" s="29"/>
      <c r="J286" s="29"/>
      <c r="K286" s="29"/>
      <c r="L286" s="29"/>
      <c r="M286" s="29"/>
      <c r="N286" s="29"/>
    </row>
    <row r="287" spans="1:14" ht="30" x14ac:dyDescent="0.25">
      <c r="A287" s="33" t="s">
        <v>160</v>
      </c>
      <c r="B287" s="13" t="s">
        <v>324</v>
      </c>
      <c r="C287" s="16" t="s">
        <v>177</v>
      </c>
      <c r="D287" s="16">
        <v>297.5</v>
      </c>
      <c r="E287" s="16">
        <v>306.39999999999998</v>
      </c>
      <c r="F287" s="38">
        <f t="shared" ref="F287" si="17">E287-D287</f>
        <v>8.8999999999999773</v>
      </c>
      <c r="G287" s="42" t="str">
        <f t="shared" si="16"/>
        <v>FLUMINENSE - TERCEIRA FAIXA - Terceiras Faixas: nos dois sentidos da pista (norte e sul), do km 297,5 (Manilha) ao km
306,4 (São Gonçalo) - 297,5 - 306,4 - 8,89999999999998</v>
      </c>
      <c r="H287" s="29" t="s">
        <v>363</v>
      </c>
      <c r="I287" s="29"/>
      <c r="J287" s="29"/>
      <c r="K287" s="29"/>
      <c r="L287" s="29"/>
      <c r="M287" s="29"/>
      <c r="N287" s="29"/>
    </row>
    <row r="288" spans="1:14" x14ac:dyDescent="0.25">
      <c r="A288" s="22" t="s">
        <v>7</v>
      </c>
      <c r="B288" s="13" t="s">
        <v>317</v>
      </c>
      <c r="C288" s="16" t="s">
        <v>178</v>
      </c>
      <c r="D288" s="16">
        <v>8.1</v>
      </c>
      <c r="E288" s="16">
        <v>8.6</v>
      </c>
      <c r="F288" s="38">
        <f>(E288-D288)</f>
        <v>0.5</v>
      </c>
      <c r="G288" s="42" t="str">
        <f t="shared" si="16"/>
        <v>VIA BAHIA - PAVIMENTAÇÃO - Construção de ruas laterais - SUBTRECHO 8 - Perímetro urbano ASSIB LE - 8,1 - 8,6 - 0,5</v>
      </c>
      <c r="H288" s="29" t="s">
        <v>363</v>
      </c>
      <c r="I288" s="29"/>
      <c r="J288" s="29"/>
      <c r="K288" s="29"/>
      <c r="L288" s="29"/>
      <c r="M288" s="29"/>
      <c r="N288" s="29"/>
    </row>
    <row r="289" spans="1:14" x14ac:dyDescent="0.25">
      <c r="A289" s="22" t="s">
        <v>7</v>
      </c>
      <c r="B289" s="13" t="s">
        <v>317</v>
      </c>
      <c r="C289" s="16" t="s">
        <v>179</v>
      </c>
      <c r="D289" s="16">
        <v>21.1</v>
      </c>
      <c r="E289" s="16">
        <v>21.9</v>
      </c>
      <c r="F289" s="38">
        <f>(E289-D289)*2</f>
        <v>1.5999999999999943</v>
      </c>
      <c r="G289" s="42" t="str">
        <f t="shared" si="16"/>
        <v>VIA BAHIA - PAVIMENTAÇÃO - Construção de ruas laterais - SUBTRECHO 8 - Perímetro Urbano Itatim Lado E/D - 21,1 - 21,9 - 1,59999999999999</v>
      </c>
      <c r="H289" s="29" t="s">
        <v>363</v>
      </c>
      <c r="I289" s="29"/>
      <c r="J289" s="29"/>
      <c r="K289" s="29"/>
      <c r="L289" s="29"/>
      <c r="M289" s="29"/>
      <c r="N289" s="29"/>
    </row>
    <row r="290" spans="1:14" x14ac:dyDescent="0.25">
      <c r="A290" s="22" t="s">
        <v>7</v>
      </c>
      <c r="B290" s="13" t="s">
        <v>317</v>
      </c>
      <c r="C290" s="16" t="s">
        <v>179</v>
      </c>
      <c r="D290" s="16">
        <v>23.3</v>
      </c>
      <c r="E290" s="16">
        <v>24.4</v>
      </c>
      <c r="F290" s="38">
        <f>(E290-D290)*2</f>
        <v>2.1999999999999957</v>
      </c>
      <c r="G290" s="42" t="str">
        <f t="shared" si="16"/>
        <v>VIA BAHIA - PAVIMENTAÇÃO - Construção de ruas laterais - SUBTRECHO 8 - Perímetro Urbano Itatim Lado E/D - 23,3 - 24,4 - 2,2</v>
      </c>
      <c r="H290" s="29" t="s">
        <v>363</v>
      </c>
      <c r="I290" s="29"/>
      <c r="J290" s="29"/>
      <c r="K290" s="29"/>
      <c r="L290" s="29"/>
      <c r="M290" s="29"/>
      <c r="N290" s="29"/>
    </row>
    <row r="291" spans="1:14" x14ac:dyDescent="0.25">
      <c r="A291" s="22" t="s">
        <v>7</v>
      </c>
      <c r="B291" s="13" t="s">
        <v>317</v>
      </c>
      <c r="C291" s="16" t="s">
        <v>180</v>
      </c>
      <c r="D291" s="16">
        <v>0.2</v>
      </c>
      <c r="E291" s="16">
        <v>0.6</v>
      </c>
      <c r="F291" s="38">
        <f>(E291-D291)*2</f>
        <v>0.79999999999999993</v>
      </c>
      <c r="G291" s="42" t="str">
        <f t="shared" si="16"/>
        <v>VIA BAHIA - PAVIMENTAÇÃO - Construção de ruas laterais - SUBTRECHO 7 - Perímetro Urbano Paraguaçu Lado E/D - 0,2 - 0,6 - 0,8</v>
      </c>
      <c r="H291" s="29" t="s">
        <v>363</v>
      </c>
      <c r="I291" s="29"/>
      <c r="J291" s="29"/>
      <c r="K291" s="29"/>
      <c r="L291" s="29"/>
      <c r="M291" s="29"/>
      <c r="N291" s="29"/>
    </row>
    <row r="292" spans="1:14" x14ac:dyDescent="0.25">
      <c r="A292" s="22" t="s">
        <v>7</v>
      </c>
      <c r="B292" s="13" t="s">
        <v>317</v>
      </c>
      <c r="C292" s="16" t="s">
        <v>181</v>
      </c>
      <c r="D292" s="16">
        <v>29</v>
      </c>
      <c r="E292" s="16">
        <v>29.5</v>
      </c>
      <c r="F292" s="38">
        <f>(E292-D292)*2</f>
        <v>1</v>
      </c>
      <c r="G292" s="42" t="str">
        <f t="shared" si="16"/>
        <v>VIA BAHIA - PAVIMENTAÇÃO - Construção de ruas laterais - SUBTRECHO 7 - Perímetro Urbano Lado E/D - 29 - 29,5 - 1</v>
      </c>
      <c r="H292" s="29" t="s">
        <v>363</v>
      </c>
      <c r="I292" s="29"/>
      <c r="J292" s="29"/>
      <c r="K292" s="29"/>
      <c r="L292" s="29"/>
      <c r="M292" s="29"/>
      <c r="N292" s="29"/>
    </row>
    <row r="293" spans="1:14" x14ac:dyDescent="0.25">
      <c r="A293" s="22" t="s">
        <v>7</v>
      </c>
      <c r="B293" s="13" t="s">
        <v>317</v>
      </c>
      <c r="C293" s="16" t="s">
        <v>182</v>
      </c>
      <c r="D293" s="16">
        <v>30.1</v>
      </c>
      <c r="E293" s="16">
        <v>30.6</v>
      </c>
      <c r="F293" s="38">
        <f t="shared" ref="F293" si="18">(E293-D293)</f>
        <v>0.5</v>
      </c>
      <c r="G293" s="42" t="str">
        <f t="shared" si="16"/>
        <v>VIA BAHIA - PAVIMENTAÇÃO - Construção de ruas laterais - SUBTRECHO 7 - Perímetro Urbano Lado D - 30,1 - 30,6 - 0,5</v>
      </c>
      <c r="H293" s="29" t="s">
        <v>363</v>
      </c>
      <c r="I293" s="29"/>
      <c r="J293" s="29"/>
      <c r="K293" s="29"/>
      <c r="L293" s="29"/>
      <c r="M293" s="29"/>
      <c r="N293" s="29"/>
    </row>
    <row r="294" spans="1:14" x14ac:dyDescent="0.25">
      <c r="A294" s="22" t="s">
        <v>7</v>
      </c>
      <c r="B294" s="13" t="s">
        <v>317</v>
      </c>
      <c r="C294" s="16" t="s">
        <v>183</v>
      </c>
      <c r="D294" s="16">
        <v>33</v>
      </c>
      <c r="E294" s="16">
        <v>33.6</v>
      </c>
      <c r="F294" s="38">
        <f>(E294-D294)*2</f>
        <v>1.2000000000000028</v>
      </c>
      <c r="G294" s="42" t="str">
        <f t="shared" si="16"/>
        <v>VIA BAHIA - PAVIMENTAÇÃO - Construção de ruas laterais - SUBTRECHO 7 - Perímetro urbano Santo Estevão Lado E/D - 33 - 33,6 - 1,2</v>
      </c>
      <c r="H294" s="29" t="s">
        <v>363</v>
      </c>
      <c r="I294" s="29"/>
      <c r="J294" s="29"/>
      <c r="K294" s="29"/>
      <c r="L294" s="29"/>
      <c r="M294" s="29"/>
      <c r="N294" s="29"/>
    </row>
    <row r="295" spans="1:14" x14ac:dyDescent="0.25">
      <c r="A295" s="22" t="s">
        <v>7</v>
      </c>
      <c r="B295" s="13" t="s">
        <v>317</v>
      </c>
      <c r="C295" s="16" t="s">
        <v>184</v>
      </c>
      <c r="D295" s="16">
        <v>0</v>
      </c>
      <c r="E295" s="16">
        <v>1.8</v>
      </c>
      <c r="F295" s="38">
        <f>(E295-D295)</f>
        <v>1.8</v>
      </c>
      <c r="G295" s="42" t="str">
        <f t="shared" si="16"/>
        <v>VIA BAHIA - PAVIMENTAÇÃO - Construção de ruas laterais - SUBTRECHO 6 - Perímetro Urbano Santo Estevão Lado E/D - 0 - 1,8 - 1,8</v>
      </c>
      <c r="H295" s="29" t="s">
        <v>363</v>
      </c>
      <c r="I295" s="29"/>
      <c r="J295" s="29"/>
      <c r="K295" s="29"/>
      <c r="L295" s="29"/>
      <c r="M295" s="29"/>
      <c r="N295" s="29"/>
    </row>
    <row r="296" spans="1:14" x14ac:dyDescent="0.25">
      <c r="A296" s="22" t="s">
        <v>7</v>
      </c>
      <c r="B296" s="13" t="s">
        <v>317</v>
      </c>
      <c r="C296" s="16" t="s">
        <v>185</v>
      </c>
      <c r="D296" s="16">
        <v>30.4</v>
      </c>
      <c r="E296" s="16">
        <v>30.8</v>
      </c>
      <c r="F296" s="38">
        <f>(E296-D296)</f>
        <v>0.40000000000000213</v>
      </c>
      <c r="G296" s="42" t="str">
        <f t="shared" si="16"/>
        <v>VIA BAHIA - PAVIMENTAÇÃO - Construção de ruas laterais - SUBTRECHO 6 - Perímetro Urbano Km 7 Chapeu de Coro Lado D - 30,4 - 30,8 - 0,400000000000002</v>
      </c>
      <c r="H296" s="29" t="s">
        <v>363</v>
      </c>
      <c r="I296" s="29"/>
      <c r="J296" s="29"/>
      <c r="K296" s="29"/>
      <c r="L296" s="29"/>
      <c r="M296" s="29"/>
      <c r="N296" s="29"/>
    </row>
    <row r="297" spans="1:14" x14ac:dyDescent="0.25">
      <c r="A297" s="22" t="s">
        <v>7</v>
      </c>
      <c r="B297" s="13" t="s">
        <v>318</v>
      </c>
      <c r="C297" s="16" t="s">
        <v>186</v>
      </c>
      <c r="D297" s="16">
        <v>0</v>
      </c>
      <c r="E297" s="16">
        <v>5.4</v>
      </c>
      <c r="F297" s="35">
        <f t="shared" ref="F297:F300" si="19">E297-D297</f>
        <v>5.4</v>
      </c>
      <c r="G297" s="42" t="str">
        <f t="shared" si="16"/>
        <v>VIA BAHIA - DUPLICAÇÃO - Trecho entre Feira de Santana e BA-052 - SUBTRECHO 5 - 0 - 5,4 - 5,4</v>
      </c>
      <c r="H297" s="26" t="s">
        <v>363</v>
      </c>
      <c r="I297" s="26"/>
      <c r="J297" s="26"/>
      <c r="K297" s="26"/>
      <c r="L297" s="26"/>
      <c r="M297" s="26"/>
      <c r="N297" s="26"/>
    </row>
    <row r="298" spans="1:14" x14ac:dyDescent="0.25">
      <c r="A298" s="22" t="s">
        <v>7</v>
      </c>
      <c r="B298" s="13" t="s">
        <v>318</v>
      </c>
      <c r="C298" s="16" t="s">
        <v>187</v>
      </c>
      <c r="D298" s="16">
        <v>5.4</v>
      </c>
      <c r="E298" s="16">
        <v>35.380000000000003</v>
      </c>
      <c r="F298" s="35">
        <f t="shared" si="19"/>
        <v>29.980000000000004</v>
      </c>
      <c r="G298" s="42" t="str">
        <f t="shared" si="16"/>
        <v>VIA BAHIA - DUPLICAÇÃO - Trecho entre BA-052 e Santo Estevão - SUBTRECHO 6 - 5,4 - 35,38 - 29,98</v>
      </c>
      <c r="H298" s="26" t="s">
        <v>363</v>
      </c>
      <c r="I298" s="26"/>
      <c r="J298" s="26"/>
      <c r="K298" s="26"/>
      <c r="L298" s="26"/>
      <c r="M298" s="26"/>
      <c r="N298" s="26"/>
    </row>
    <row r="299" spans="1:14" x14ac:dyDescent="0.25">
      <c r="A299" s="22" t="s">
        <v>7</v>
      </c>
      <c r="B299" s="13" t="s">
        <v>318</v>
      </c>
      <c r="C299" s="16" t="s">
        <v>188</v>
      </c>
      <c r="D299" s="16">
        <v>0</v>
      </c>
      <c r="E299" s="16">
        <v>33.729999999999997</v>
      </c>
      <c r="F299" s="35">
        <f t="shared" si="19"/>
        <v>33.729999999999997</v>
      </c>
      <c r="G299" s="42" t="str">
        <f t="shared" si="16"/>
        <v>VIA BAHIA - DUPLICAÇÃO - Trecho entre Santo Estevão e BR - 242 - SUBTRECHO 7 - 0 - 33,73 - 33,73</v>
      </c>
      <c r="H299" s="26" t="s">
        <v>363</v>
      </c>
      <c r="I299" s="26"/>
      <c r="J299" s="26"/>
      <c r="K299" s="26"/>
      <c r="L299" s="26"/>
      <c r="M299" s="26"/>
      <c r="N299" s="26"/>
    </row>
    <row r="300" spans="1:14" x14ac:dyDescent="0.25">
      <c r="A300" s="22" t="s">
        <v>7</v>
      </c>
      <c r="B300" s="13" t="s">
        <v>318</v>
      </c>
      <c r="C300" s="16" t="s">
        <v>189</v>
      </c>
      <c r="D300" s="16">
        <v>0</v>
      </c>
      <c r="E300" s="16">
        <v>4.7300000000000004</v>
      </c>
      <c r="F300" s="35">
        <f t="shared" si="19"/>
        <v>4.7300000000000004</v>
      </c>
      <c r="G300" s="42" t="str">
        <f t="shared" si="16"/>
        <v>VIA BAHIA - DUPLICAÇÃO - Trecho entre Santo Estevão e BR - 242 - SUBTRECHO 8 - 0 - 4,73 - 4,73</v>
      </c>
      <c r="H300" s="26" t="s">
        <v>363</v>
      </c>
      <c r="I300" s="26"/>
      <c r="J300" s="26"/>
      <c r="K300" s="26"/>
      <c r="L300" s="26"/>
      <c r="M300" s="26"/>
      <c r="N300" s="26"/>
    </row>
    <row r="301" spans="1:14" x14ac:dyDescent="0.25">
      <c r="A301" s="22" t="s">
        <v>7</v>
      </c>
      <c r="B301" s="13" t="s">
        <v>319</v>
      </c>
      <c r="C301" s="16" t="s">
        <v>190</v>
      </c>
      <c r="D301" s="16">
        <v>0.08</v>
      </c>
      <c r="E301" s="16">
        <v>0.08</v>
      </c>
      <c r="F301" s="38">
        <v>1</v>
      </c>
      <c r="G301" s="42" t="str">
        <f t="shared" si="16"/>
        <v>VIA BAHIA - OAE - Viaduto de Acesso entr. BA- 407/415 BA- 262B/263 (Vitória da Conquista - 0,08 - 0,08 - 1</v>
      </c>
      <c r="H301" s="29" t="s">
        <v>363</v>
      </c>
      <c r="I301" s="29"/>
      <c r="J301" s="29"/>
      <c r="K301" s="29"/>
      <c r="L301" s="29"/>
      <c r="M301" s="29"/>
      <c r="N301" s="29"/>
    </row>
    <row r="302" spans="1:14" ht="30" x14ac:dyDescent="0.25">
      <c r="A302" s="22" t="s">
        <v>7</v>
      </c>
      <c r="B302" s="13" t="s">
        <v>319</v>
      </c>
      <c r="C302" s="16" t="s">
        <v>191</v>
      </c>
      <c r="D302" s="16">
        <v>1</v>
      </c>
      <c r="E302" s="16">
        <v>1</v>
      </c>
      <c r="F302" s="38">
        <v>1</v>
      </c>
      <c r="G302" s="42" t="str">
        <f t="shared" si="16"/>
        <v>VIA BAHIA - OAE - Construção de interseção entre as duas rodovias em níveis diferentes, com ramos; entroncamento entre a BR-
116 e a BR-242 - 1 - 1 - 1</v>
      </c>
      <c r="H302" s="29" t="s">
        <v>363</v>
      </c>
      <c r="I302" s="29"/>
      <c r="J302" s="29"/>
      <c r="K302" s="29"/>
      <c r="L302" s="29"/>
      <c r="M302" s="29"/>
      <c r="N302" s="29"/>
    </row>
    <row r="303" spans="1:14" x14ac:dyDescent="0.25">
      <c r="A303" s="22" t="s">
        <v>7</v>
      </c>
      <c r="B303" s="13" t="s">
        <v>319</v>
      </c>
      <c r="C303" s="16" t="s">
        <v>192</v>
      </c>
      <c r="D303" s="16">
        <v>1</v>
      </c>
      <c r="E303" s="16">
        <v>1</v>
      </c>
      <c r="F303" s="38">
        <v>1</v>
      </c>
      <c r="G303" s="42" t="str">
        <f t="shared" si="16"/>
        <v>VIA BAHIA - OAE - Dispositivos de intersecção no anel viário de Vitória da Conquista - 1 - 1 - 1</v>
      </c>
      <c r="H303" s="29" t="s">
        <v>363</v>
      </c>
      <c r="I303" s="29"/>
      <c r="J303" s="29"/>
      <c r="K303" s="29"/>
      <c r="L303" s="29"/>
      <c r="M303" s="29"/>
      <c r="N303" s="29"/>
    </row>
    <row r="304" spans="1:14" x14ac:dyDescent="0.25">
      <c r="A304" s="22" t="s">
        <v>7</v>
      </c>
      <c r="B304" s="13" t="s">
        <v>319</v>
      </c>
      <c r="C304" s="16" t="s">
        <v>193</v>
      </c>
      <c r="D304" s="16">
        <v>36.47</v>
      </c>
      <c r="E304" s="16">
        <v>36.47</v>
      </c>
      <c r="F304" s="38">
        <v>1</v>
      </c>
      <c r="G304" s="42" t="str">
        <f t="shared" si="16"/>
        <v>VIA BAHIA - OAE - Viaduto sobre a BR-324/BA, acesso a Santo Amaro BA-520 - 36,47 - 36,47 - 1</v>
      </c>
      <c r="H304" s="29" t="s">
        <v>363</v>
      </c>
      <c r="I304" s="29"/>
      <c r="J304" s="29"/>
      <c r="K304" s="29"/>
      <c r="L304" s="29"/>
      <c r="M304" s="29"/>
      <c r="N304" s="29"/>
    </row>
    <row r="305" spans="1:14" x14ac:dyDescent="0.25">
      <c r="A305" s="22" t="s">
        <v>7</v>
      </c>
      <c r="B305" s="13" t="s">
        <v>319</v>
      </c>
      <c r="C305" s="16" t="s">
        <v>194</v>
      </c>
      <c r="D305" s="16">
        <v>1</v>
      </c>
      <c r="E305" s="16">
        <v>1</v>
      </c>
      <c r="F305" s="38">
        <v>1</v>
      </c>
      <c r="G305" s="42" t="str">
        <f t="shared" si="16"/>
        <v>VIA BAHIA - OAE - Obras para Conclusão do viaduto de Simões Filho - 1 - 1 - 1</v>
      </c>
      <c r="H305" s="29" t="s">
        <v>363</v>
      </c>
      <c r="I305" s="29"/>
      <c r="J305" s="29"/>
      <c r="K305" s="29"/>
      <c r="L305" s="29"/>
      <c r="M305" s="29"/>
      <c r="N305" s="29"/>
    </row>
    <row r="306" spans="1:14" x14ac:dyDescent="0.25">
      <c r="A306" s="22" t="s">
        <v>7</v>
      </c>
      <c r="B306" s="13" t="s">
        <v>319</v>
      </c>
      <c r="C306" s="16" t="s">
        <v>195</v>
      </c>
      <c r="D306" s="16">
        <v>1</v>
      </c>
      <c r="E306" s="16">
        <v>1</v>
      </c>
      <c r="F306" s="38">
        <v>1</v>
      </c>
      <c r="G306" s="42" t="str">
        <f t="shared" si="16"/>
        <v>VIA BAHIA - OAE - Construção de trevo com alças de acesso à rodovia BA-524 (Canal de Tráfego), nos quatro sentidos; - 1 - 1 - 1</v>
      </c>
      <c r="H306" s="29" t="s">
        <v>363</v>
      </c>
      <c r="I306" s="29"/>
      <c r="J306" s="29"/>
      <c r="K306" s="29"/>
      <c r="L306" s="29"/>
      <c r="M306" s="29"/>
      <c r="N306" s="29"/>
    </row>
    <row r="307" spans="1:14" x14ac:dyDescent="0.25">
      <c r="A307" s="22" t="s">
        <v>7</v>
      </c>
      <c r="B307" s="13" t="s">
        <v>319</v>
      </c>
      <c r="C307" s="16" t="s">
        <v>196</v>
      </c>
      <c r="D307" s="16">
        <v>1</v>
      </c>
      <c r="E307" s="16">
        <v>1</v>
      </c>
      <c r="F307" s="38">
        <v>1</v>
      </c>
      <c r="G307" s="42" t="str">
        <f t="shared" si="16"/>
        <v>VIA BAHIA - OAE - Construção de interseção com linha ferroviária em níveis diferentes no município de Itatim. - 1 - 1 - 1</v>
      </c>
      <c r="H307" s="29" t="s">
        <v>363</v>
      </c>
      <c r="I307" s="29"/>
      <c r="J307" s="29"/>
      <c r="K307" s="29"/>
      <c r="L307" s="29"/>
      <c r="M307" s="29"/>
      <c r="N307" s="29"/>
    </row>
    <row r="308" spans="1:14" x14ac:dyDescent="0.25">
      <c r="A308" s="22" t="s">
        <v>7</v>
      </c>
      <c r="B308" s="13" t="s">
        <v>321</v>
      </c>
      <c r="C308" s="16" t="s">
        <v>197</v>
      </c>
      <c r="D308" s="16">
        <v>0</v>
      </c>
      <c r="E308" s="16">
        <v>9.83</v>
      </c>
      <c r="F308" s="38">
        <f>(E308-D308)</f>
        <v>9.83</v>
      </c>
      <c r="G308" s="42" t="str">
        <f t="shared" si="16"/>
        <v>VIA BAHIA - CONTORNO - Contorno de Feira de Santana entre BR-116 sul e BR-324 - 0 - 9,83 - 9,83</v>
      </c>
      <c r="H308" s="29" t="s">
        <v>363</v>
      </c>
      <c r="I308" s="29"/>
      <c r="J308" s="29"/>
      <c r="K308" s="29"/>
      <c r="L308" s="29"/>
      <c r="M308" s="29"/>
      <c r="N308" s="29"/>
    </row>
    <row r="309" spans="1:14" x14ac:dyDescent="0.25">
      <c r="A309" s="33" t="s">
        <v>404</v>
      </c>
      <c r="B309" s="13" t="s">
        <v>317</v>
      </c>
      <c r="C309" s="16" t="s">
        <v>198</v>
      </c>
      <c r="D309" s="16">
        <v>40</v>
      </c>
      <c r="E309" s="16">
        <v>41</v>
      </c>
      <c r="F309" s="38">
        <f>E309-D309</f>
        <v>1</v>
      </c>
      <c r="G309" s="42" t="str">
        <f t="shared" si="16"/>
        <v>ECO 050 - PAVIMENTAÇÃO - Via Marginal ID-01 - Pista Sul BR 050/MG - ARAGUARI - 40 - 41 - 1</v>
      </c>
      <c r="H309" s="29" t="s">
        <v>363</v>
      </c>
      <c r="I309" s="29"/>
      <c r="J309" s="29"/>
      <c r="K309" s="29"/>
      <c r="L309" s="29"/>
      <c r="M309" s="29"/>
      <c r="N309" s="29"/>
    </row>
    <row r="310" spans="1:14" x14ac:dyDescent="0.25">
      <c r="A310" s="33" t="s">
        <v>404</v>
      </c>
      <c r="B310" s="13" t="s">
        <v>317</v>
      </c>
      <c r="C310" s="16" t="s">
        <v>199</v>
      </c>
      <c r="D310" s="16">
        <v>40</v>
      </c>
      <c r="E310" s="16">
        <v>41</v>
      </c>
      <c r="F310" s="38">
        <f>E310-D310</f>
        <v>1</v>
      </c>
      <c r="G310" s="42" t="str">
        <f t="shared" si="16"/>
        <v>ECO 050 - PAVIMENTAÇÃO - Via Marginal ID-01 - Pista Norte BR 050/MG - ARAGUARI - 40 - 41 - 1</v>
      </c>
      <c r="H310" s="29" t="s">
        <v>363</v>
      </c>
      <c r="I310" s="29"/>
      <c r="J310" s="29"/>
      <c r="K310" s="29"/>
      <c r="L310" s="29"/>
      <c r="M310" s="29"/>
      <c r="N310" s="29"/>
    </row>
    <row r="311" spans="1:14" x14ac:dyDescent="0.25">
      <c r="A311" s="33" t="s">
        <v>404</v>
      </c>
      <c r="B311" s="13" t="s">
        <v>317</v>
      </c>
      <c r="C311" s="16" t="s">
        <v>200</v>
      </c>
      <c r="D311" s="16">
        <v>98</v>
      </c>
      <c r="E311" s="16">
        <v>100.8</v>
      </c>
      <c r="F311" s="38">
        <f t="shared" ref="F311:F318" si="20">E311-D311</f>
        <v>2.7999999999999972</v>
      </c>
      <c r="G311" s="42" t="str">
        <f t="shared" si="16"/>
        <v>ECO 050 - PAVIMENTAÇÃO - Via Marginal ID-02 - Pista Sul BR 050/GO - CRISTALINA - 98 - 100,8 - 2,8</v>
      </c>
      <c r="H311" s="29" t="s">
        <v>363</v>
      </c>
      <c r="I311" s="29"/>
      <c r="J311" s="29"/>
      <c r="K311" s="29"/>
      <c r="L311" s="29"/>
      <c r="M311" s="29"/>
      <c r="N311" s="29"/>
    </row>
    <row r="312" spans="1:14" x14ac:dyDescent="0.25">
      <c r="A312" s="33" t="s">
        <v>404</v>
      </c>
      <c r="B312" s="13" t="s">
        <v>317</v>
      </c>
      <c r="C312" s="16" t="s">
        <v>201</v>
      </c>
      <c r="D312" s="16">
        <v>98</v>
      </c>
      <c r="E312" s="16">
        <v>100.8</v>
      </c>
      <c r="F312" s="38">
        <f t="shared" si="20"/>
        <v>2.7999999999999972</v>
      </c>
      <c r="G312" s="42" t="str">
        <f t="shared" si="16"/>
        <v>ECO 050 - PAVIMENTAÇÃO - Via Marginal ID-02 - Pista Norte BR 050/GO - CRISTALINA - 98 - 100,8 - 2,8</v>
      </c>
      <c r="H312" s="29" t="s">
        <v>363</v>
      </c>
      <c r="I312" s="29"/>
      <c r="J312" s="29"/>
      <c r="K312" s="29"/>
      <c r="L312" s="29"/>
      <c r="M312" s="29"/>
      <c r="N312" s="29"/>
    </row>
    <row r="313" spans="1:14" x14ac:dyDescent="0.25">
      <c r="A313" s="33" t="s">
        <v>404</v>
      </c>
      <c r="B313" s="13" t="s">
        <v>317</v>
      </c>
      <c r="C313" s="16" t="s">
        <v>202</v>
      </c>
      <c r="D313" s="16">
        <v>106.7</v>
      </c>
      <c r="E313" s="16">
        <v>107.3</v>
      </c>
      <c r="F313" s="38">
        <f t="shared" si="20"/>
        <v>0.59999999999999432</v>
      </c>
      <c r="G313" s="42" t="str">
        <f t="shared" si="16"/>
        <v>ECO 050 - PAVIMENTAÇÃO - Via Marginal ID-03 - Pista Sul BR 050/GO - CRISTALINA - 106,7 - 107,3 - 0,599999999999994</v>
      </c>
      <c r="H313" s="29" t="s">
        <v>363</v>
      </c>
      <c r="I313" s="29"/>
      <c r="J313" s="29"/>
      <c r="K313" s="29"/>
      <c r="L313" s="29"/>
      <c r="M313" s="29"/>
      <c r="N313" s="29"/>
    </row>
    <row r="314" spans="1:14" x14ac:dyDescent="0.25">
      <c r="A314" s="33" t="s">
        <v>404</v>
      </c>
      <c r="B314" s="13" t="s">
        <v>317</v>
      </c>
      <c r="C314" s="16" t="s">
        <v>203</v>
      </c>
      <c r="D314" s="16">
        <v>107.3</v>
      </c>
      <c r="E314" s="16">
        <v>108</v>
      </c>
      <c r="F314" s="38">
        <f t="shared" si="20"/>
        <v>0.70000000000000284</v>
      </c>
      <c r="G314" s="42" t="str">
        <f t="shared" si="16"/>
        <v>ECO 050 - PAVIMENTAÇÃO - Via Marginal ID-04 - Pista Norte BR 050/GO - CRISTALINA - 107,3 - 108 - 0,700000000000003</v>
      </c>
      <c r="H314" s="29" t="s">
        <v>363</v>
      </c>
      <c r="I314" s="29"/>
      <c r="J314" s="29"/>
      <c r="K314" s="29"/>
      <c r="L314" s="29"/>
      <c r="M314" s="29"/>
      <c r="N314" s="29"/>
    </row>
    <row r="315" spans="1:14" x14ac:dyDescent="0.25">
      <c r="A315" s="33" t="s">
        <v>404</v>
      </c>
      <c r="B315" s="13" t="s">
        <v>317</v>
      </c>
      <c r="C315" s="16" t="s">
        <v>204</v>
      </c>
      <c r="D315" s="16">
        <v>207.4</v>
      </c>
      <c r="E315" s="16">
        <v>209.6</v>
      </c>
      <c r="F315" s="38">
        <f t="shared" si="20"/>
        <v>2.1999999999999886</v>
      </c>
      <c r="G315" s="42" t="str">
        <f t="shared" si="16"/>
        <v>ECO 050 - PAVIMENTAÇÃO - Via Marginal ID-05 - Pista Norte BR 050/GO - CAMPO ALEGRE DE GOIÁS - 207,4 - 209,6 - 2,19999999999999</v>
      </c>
      <c r="H315" s="29" t="s">
        <v>363</v>
      </c>
      <c r="I315" s="29"/>
      <c r="J315" s="29"/>
      <c r="K315" s="29"/>
      <c r="L315" s="29"/>
      <c r="M315" s="29"/>
      <c r="N315" s="29"/>
    </row>
    <row r="316" spans="1:14" x14ac:dyDescent="0.25">
      <c r="A316" s="33" t="s">
        <v>404</v>
      </c>
      <c r="B316" s="13" t="s">
        <v>317</v>
      </c>
      <c r="C316" s="16" t="s">
        <v>205</v>
      </c>
      <c r="D316" s="16">
        <v>245.4</v>
      </c>
      <c r="E316" s="16">
        <v>246.9</v>
      </c>
      <c r="F316" s="38">
        <f t="shared" si="20"/>
        <v>1.5</v>
      </c>
      <c r="G316" s="42" t="str">
        <f t="shared" si="16"/>
        <v>ECO 050 - PAVIMENTAÇÃO - Via Marginal ID-06 - Pista Norte BR 050/GO - CATALÃO - 245,4 - 246,9 - 1,5</v>
      </c>
      <c r="H316" s="29" t="s">
        <v>363</v>
      </c>
      <c r="I316" s="29"/>
      <c r="J316" s="29"/>
      <c r="K316" s="29"/>
      <c r="L316" s="29"/>
      <c r="M316" s="29"/>
      <c r="N316" s="29"/>
    </row>
    <row r="317" spans="1:14" x14ac:dyDescent="0.25">
      <c r="A317" s="33" t="s">
        <v>404</v>
      </c>
      <c r="B317" s="13" t="s">
        <v>317</v>
      </c>
      <c r="C317" s="16" t="s">
        <v>206</v>
      </c>
      <c r="D317" s="16">
        <v>276.5</v>
      </c>
      <c r="E317" s="16">
        <v>280.5</v>
      </c>
      <c r="F317" s="38">
        <f t="shared" si="20"/>
        <v>4</v>
      </c>
      <c r="G317" s="42" t="str">
        <f t="shared" si="16"/>
        <v>ECO 050 - PAVIMENTAÇÃO - Via Marginal ID-07 - Pista Norte BR 050/GO - CATALÃO - 276,5 - 280,5 - 4</v>
      </c>
      <c r="H317" s="29" t="s">
        <v>363</v>
      </c>
      <c r="I317" s="29"/>
      <c r="J317" s="29"/>
      <c r="K317" s="29"/>
      <c r="L317" s="29"/>
      <c r="M317" s="29"/>
      <c r="N317" s="29"/>
    </row>
    <row r="318" spans="1:14" x14ac:dyDescent="0.25">
      <c r="A318" s="33" t="s">
        <v>404</v>
      </c>
      <c r="B318" s="13" t="s">
        <v>317</v>
      </c>
      <c r="C318" s="16" t="s">
        <v>207</v>
      </c>
      <c r="D318" s="16">
        <v>276.89999999999998</v>
      </c>
      <c r="E318" s="16">
        <v>283.10000000000002</v>
      </c>
      <c r="F318" s="38">
        <f t="shared" si="20"/>
        <v>6.2000000000000455</v>
      </c>
      <c r="G318" s="42" t="str">
        <f t="shared" si="16"/>
        <v>ECO 050 - PAVIMENTAÇÃO - Via Marginal ID-08 - Pista Sul BR 050/GO - CATALÃO - 276,9 - 283,1 - 6,20000000000005</v>
      </c>
      <c r="H318" s="29" t="s">
        <v>363</v>
      </c>
      <c r="I318" s="29"/>
      <c r="J318" s="29"/>
      <c r="K318" s="29"/>
      <c r="L318" s="29"/>
      <c r="M318" s="29"/>
      <c r="N318" s="29"/>
    </row>
    <row r="319" spans="1:14" x14ac:dyDescent="0.25">
      <c r="A319" s="33" t="s">
        <v>404</v>
      </c>
      <c r="B319" s="13" t="s">
        <v>318</v>
      </c>
      <c r="C319" s="16" t="s">
        <v>208</v>
      </c>
      <c r="D319" s="16">
        <v>99.4</v>
      </c>
      <c r="E319" s="16">
        <v>110.7</v>
      </c>
      <c r="F319" s="38">
        <f>E319-D319</f>
        <v>11.299999999999997</v>
      </c>
      <c r="G319" s="42" t="str">
        <f t="shared" si="16"/>
        <v>ECO 050 - DUPLICAÇÃO - Duplicação (2º ano) - 99,4 - 110,7 - 11,3</v>
      </c>
      <c r="H319" s="26" t="s">
        <v>363</v>
      </c>
      <c r="I319" s="29"/>
      <c r="J319" s="29"/>
      <c r="K319" s="29"/>
      <c r="L319" s="29"/>
      <c r="M319" s="29"/>
      <c r="N319" s="29"/>
    </row>
    <row r="320" spans="1:14" x14ac:dyDescent="0.25">
      <c r="A320" s="33" t="s">
        <v>404</v>
      </c>
      <c r="B320" s="13" t="s">
        <v>318</v>
      </c>
      <c r="C320" s="16" t="s">
        <v>208</v>
      </c>
      <c r="D320" s="16">
        <v>119.9</v>
      </c>
      <c r="E320" s="16">
        <v>150.9</v>
      </c>
      <c r="F320" s="38">
        <f>E320-D320</f>
        <v>31</v>
      </c>
      <c r="G320" s="42" t="str">
        <f t="shared" si="16"/>
        <v>ECO 050 - DUPLICAÇÃO - Duplicação (2º ano) - 119,9 - 150,9 - 31</v>
      </c>
      <c r="H320" s="26" t="s">
        <v>363</v>
      </c>
      <c r="I320" s="29"/>
      <c r="J320" s="29"/>
      <c r="K320" s="29"/>
      <c r="L320" s="29"/>
      <c r="M320" s="29"/>
      <c r="N320" s="29"/>
    </row>
    <row r="321" spans="1:14" x14ac:dyDescent="0.25">
      <c r="A321" s="33" t="s">
        <v>404</v>
      </c>
      <c r="B321" s="13" t="s">
        <v>318</v>
      </c>
      <c r="C321" s="16" t="s">
        <v>209</v>
      </c>
      <c r="D321" s="16">
        <v>110.7</v>
      </c>
      <c r="E321" s="16">
        <v>119.9</v>
      </c>
      <c r="F321" s="38">
        <f t="shared" ref="F321:F326" si="21">E321-D321</f>
        <v>9.2000000000000028</v>
      </c>
      <c r="G321" s="42" t="str">
        <f t="shared" si="16"/>
        <v>ECO 050 - DUPLICAÇÃO - Duplicação (3º ano) - 110,7 - 119,9 - 9,2</v>
      </c>
      <c r="H321" s="26" t="s">
        <v>363</v>
      </c>
      <c r="I321" s="29"/>
      <c r="J321" s="29"/>
      <c r="K321" s="29"/>
      <c r="L321" s="29"/>
      <c r="M321" s="29"/>
      <c r="N321" s="29"/>
    </row>
    <row r="322" spans="1:14" x14ac:dyDescent="0.25">
      <c r="A322" s="33" t="s">
        <v>404</v>
      </c>
      <c r="B322" s="13" t="s">
        <v>318</v>
      </c>
      <c r="C322" s="16" t="s">
        <v>209</v>
      </c>
      <c r="D322" s="16">
        <v>140.6</v>
      </c>
      <c r="E322" s="16">
        <v>143.80000000000001</v>
      </c>
      <c r="F322" s="38">
        <f t="shared" si="21"/>
        <v>3.2000000000000171</v>
      </c>
      <c r="G322" s="42" t="str">
        <f t="shared" si="16"/>
        <v>ECO 050 - DUPLICAÇÃO - Duplicação (3º ano) - 140,6 - 143,8 - 3,20000000000002</v>
      </c>
      <c r="H322" s="26" t="s">
        <v>363</v>
      </c>
      <c r="I322" s="29"/>
      <c r="J322" s="29"/>
      <c r="K322" s="29"/>
      <c r="L322" s="29"/>
      <c r="M322" s="29"/>
      <c r="N322" s="29"/>
    </row>
    <row r="323" spans="1:14" x14ac:dyDescent="0.25">
      <c r="A323" s="33" t="s">
        <v>404</v>
      </c>
      <c r="B323" s="13" t="s">
        <v>318</v>
      </c>
      <c r="C323" s="16" t="s">
        <v>209</v>
      </c>
      <c r="D323" s="16">
        <v>150.875</v>
      </c>
      <c r="E323" s="16">
        <v>190.95</v>
      </c>
      <c r="F323" s="38">
        <f t="shared" si="21"/>
        <v>40.074999999999989</v>
      </c>
      <c r="G323" s="42" t="str">
        <f t="shared" ref="G323:G386" si="22">_xlfn.TEXTJOIN(" - ",TRUE,A323:F323)</f>
        <v>ECO 050 - DUPLICAÇÃO - Duplicação (3º ano) - 150,875 - 190,95 - 40,075</v>
      </c>
      <c r="H323" s="26" t="s">
        <v>363</v>
      </c>
      <c r="I323" s="29"/>
      <c r="J323" s="29"/>
      <c r="K323" s="29"/>
      <c r="L323" s="29"/>
      <c r="M323" s="29"/>
      <c r="N323" s="29"/>
    </row>
    <row r="324" spans="1:14" x14ac:dyDescent="0.25">
      <c r="A324" s="33" t="s">
        <v>404</v>
      </c>
      <c r="B324" s="13" t="s">
        <v>318</v>
      </c>
      <c r="C324" s="16" t="s">
        <v>210</v>
      </c>
      <c r="D324" s="16">
        <v>95.7</v>
      </c>
      <c r="E324" s="16">
        <v>99.4</v>
      </c>
      <c r="F324" s="38">
        <f t="shared" si="21"/>
        <v>3.7000000000000028</v>
      </c>
      <c r="G324" s="42" t="str">
        <f t="shared" si="22"/>
        <v>ECO 050 - DUPLICAÇÃO - Duplicação (4º ano) - 95,7 - 99,4 - 3,7</v>
      </c>
      <c r="H324" s="26" t="s">
        <v>363</v>
      </c>
      <c r="I324" s="29"/>
      <c r="J324" s="29"/>
      <c r="K324" s="29"/>
      <c r="L324" s="29"/>
      <c r="M324" s="29"/>
      <c r="N324" s="29"/>
    </row>
    <row r="325" spans="1:14" x14ac:dyDescent="0.25">
      <c r="A325" s="33" t="s">
        <v>404</v>
      </c>
      <c r="B325" s="13" t="s">
        <v>318</v>
      </c>
      <c r="C325" s="16" t="s">
        <v>210</v>
      </c>
      <c r="D325" s="16">
        <v>190.5</v>
      </c>
      <c r="E325" s="16">
        <v>261.10000000000002</v>
      </c>
      <c r="F325" s="38">
        <f t="shared" si="21"/>
        <v>70.600000000000023</v>
      </c>
      <c r="G325" s="42" t="str">
        <f t="shared" si="22"/>
        <v>ECO 050 - DUPLICAÇÃO - Duplicação (4º ano) - 190,5 - 261,1 - 70,6</v>
      </c>
      <c r="H325" s="26" t="s">
        <v>363</v>
      </c>
      <c r="I325" s="29"/>
      <c r="J325" s="29"/>
      <c r="K325" s="29"/>
      <c r="L325" s="29"/>
      <c r="M325" s="29"/>
      <c r="N325" s="29"/>
    </row>
    <row r="326" spans="1:14" x14ac:dyDescent="0.25">
      <c r="A326" s="33" t="s">
        <v>404</v>
      </c>
      <c r="B326" s="13" t="s">
        <v>318</v>
      </c>
      <c r="C326" s="16" t="s">
        <v>211</v>
      </c>
      <c r="D326" s="16">
        <v>257.39999999999998</v>
      </c>
      <c r="E326" s="16">
        <v>314.2</v>
      </c>
      <c r="F326" s="38">
        <f t="shared" si="21"/>
        <v>56.800000000000011</v>
      </c>
      <c r="G326" s="42" t="str">
        <f t="shared" si="22"/>
        <v>ECO 050 - DUPLICAÇÃO - Duplicação (5º ano) - 257,4 - 314,2 - 56,8</v>
      </c>
      <c r="H326" s="26" t="s">
        <v>363</v>
      </c>
      <c r="I326" s="29"/>
      <c r="J326" s="29"/>
      <c r="K326" s="29"/>
      <c r="L326" s="29"/>
      <c r="M326" s="29"/>
      <c r="N326" s="29"/>
    </row>
    <row r="327" spans="1:14" x14ac:dyDescent="0.25">
      <c r="A327" s="33" t="s">
        <v>404</v>
      </c>
      <c r="B327" s="13" t="s">
        <v>319</v>
      </c>
      <c r="C327" s="16" t="s">
        <v>212</v>
      </c>
      <c r="D327" s="16">
        <v>124</v>
      </c>
      <c r="E327" s="16">
        <v>124</v>
      </c>
      <c r="F327" s="38">
        <v>1</v>
      </c>
      <c r="G327" s="42" t="str">
        <f t="shared" si="22"/>
        <v>ECO 050 - OAE - Interconexão Diamante ID-01 - BR - 050/MG - UBERABA - 124 - 124 - 1</v>
      </c>
      <c r="H327" s="29" t="s">
        <v>363</v>
      </c>
      <c r="I327" s="29"/>
      <c r="J327" s="29"/>
      <c r="K327" s="29"/>
      <c r="L327" s="29"/>
      <c r="M327" s="29"/>
      <c r="N327" s="29"/>
    </row>
    <row r="328" spans="1:14" x14ac:dyDescent="0.25">
      <c r="A328" s="33" t="s">
        <v>404</v>
      </c>
      <c r="B328" s="13" t="s">
        <v>319</v>
      </c>
      <c r="C328" s="16" t="s">
        <v>213</v>
      </c>
      <c r="D328" s="16">
        <v>131.30000000000001</v>
      </c>
      <c r="E328" s="16">
        <v>131.30000000000001</v>
      </c>
      <c r="F328" s="38">
        <v>1</v>
      </c>
      <c r="G328" s="42" t="str">
        <f t="shared" si="22"/>
        <v>ECO 050 - OAE - Interconexão Diamante ID-02- BR - 050/MG - UBERABA - 131,3 - 131,3 - 1</v>
      </c>
      <c r="H328" s="29" t="s">
        <v>363</v>
      </c>
      <c r="I328" s="29"/>
      <c r="J328" s="29"/>
      <c r="K328" s="29"/>
      <c r="L328" s="29"/>
      <c r="M328" s="29"/>
      <c r="N328" s="29"/>
    </row>
    <row r="329" spans="1:14" x14ac:dyDescent="0.25">
      <c r="A329" s="33" t="s">
        <v>404</v>
      </c>
      <c r="B329" s="13" t="s">
        <v>319</v>
      </c>
      <c r="C329" s="16" t="s">
        <v>214</v>
      </c>
      <c r="D329" s="16">
        <v>140.30000000000001</v>
      </c>
      <c r="E329" s="16">
        <v>140.30000000000001</v>
      </c>
      <c r="F329" s="38">
        <v>1</v>
      </c>
      <c r="G329" s="42" t="str">
        <f t="shared" si="22"/>
        <v>ECO 050 - OAE - Interconexão Diamante ID-03- BR - 050/MG - UBERABA - 140,3 - 140,3 - 1</v>
      </c>
      <c r="H329" s="29" t="s">
        <v>363</v>
      </c>
      <c r="I329" s="29"/>
      <c r="J329" s="29"/>
      <c r="K329" s="29"/>
      <c r="L329" s="29"/>
      <c r="M329" s="29"/>
      <c r="N329" s="29"/>
    </row>
    <row r="330" spans="1:14" x14ac:dyDescent="0.25">
      <c r="A330" s="33" t="s">
        <v>404</v>
      </c>
      <c r="B330" s="13" t="s">
        <v>319</v>
      </c>
      <c r="C330" s="16" t="s">
        <v>215</v>
      </c>
      <c r="D330" s="16">
        <v>151.5</v>
      </c>
      <c r="E330" s="16">
        <v>151.5</v>
      </c>
      <c r="F330" s="38">
        <v>1</v>
      </c>
      <c r="G330" s="42" t="str">
        <f t="shared" si="22"/>
        <v>ECO 050 - OAE - Interconexão Diamante ID-04- BR - 050/MG - UBERABA - 151,5 - 151,5 - 1</v>
      </c>
      <c r="H330" s="29" t="s">
        <v>363</v>
      </c>
      <c r="I330" s="29"/>
      <c r="J330" s="29"/>
      <c r="K330" s="29"/>
      <c r="L330" s="29"/>
      <c r="M330" s="29"/>
      <c r="N330" s="29"/>
    </row>
    <row r="331" spans="1:14" x14ac:dyDescent="0.25">
      <c r="A331" s="33" t="s">
        <v>404</v>
      </c>
      <c r="B331" s="13" t="s">
        <v>319</v>
      </c>
      <c r="C331" s="16" t="s">
        <v>216</v>
      </c>
      <c r="D331" s="16">
        <v>4</v>
      </c>
      <c r="E331" s="16">
        <v>4</v>
      </c>
      <c r="F331" s="38">
        <v>1</v>
      </c>
      <c r="G331" s="42" t="str">
        <f t="shared" si="22"/>
        <v>ECO 050 - OAE - Interconexão Trombeta ID-01- BR - 050/MG - ARAGUARI - 4 - 4 - 1</v>
      </c>
      <c r="H331" s="29" t="s">
        <v>363</v>
      </c>
      <c r="I331" s="29"/>
      <c r="J331" s="29"/>
      <c r="K331" s="29"/>
      <c r="L331" s="29"/>
      <c r="M331" s="29"/>
      <c r="N331" s="29"/>
    </row>
    <row r="332" spans="1:14" x14ac:dyDescent="0.25">
      <c r="A332" s="33" t="s">
        <v>404</v>
      </c>
      <c r="B332" s="13" t="s">
        <v>319</v>
      </c>
      <c r="C332" s="16" t="s">
        <v>217</v>
      </c>
      <c r="D332" s="16">
        <v>22</v>
      </c>
      <c r="E332" s="16">
        <v>22</v>
      </c>
      <c r="F332" s="38">
        <v>1</v>
      </c>
      <c r="G332" s="42" t="str">
        <f t="shared" si="22"/>
        <v>ECO 050 - OAE - Interconexão Trombeta ID-02- BR - 050/MG - ARAGUARI - 22 - 22 - 1</v>
      </c>
      <c r="H332" s="29" t="s">
        <v>363</v>
      </c>
      <c r="I332" s="29"/>
      <c r="J332" s="29"/>
      <c r="K332" s="29"/>
      <c r="L332" s="29"/>
      <c r="M332" s="29"/>
      <c r="N332" s="29"/>
    </row>
    <row r="333" spans="1:14" x14ac:dyDescent="0.25">
      <c r="A333" s="33" t="s">
        <v>404</v>
      </c>
      <c r="B333" s="13" t="s">
        <v>319</v>
      </c>
      <c r="C333" s="16" t="s">
        <v>218</v>
      </c>
      <c r="D333" s="16">
        <v>157.5</v>
      </c>
      <c r="E333" s="16">
        <v>157.5</v>
      </c>
      <c r="F333" s="38">
        <v>1</v>
      </c>
      <c r="G333" s="42" t="str">
        <f t="shared" si="22"/>
        <v>ECO 050 - OAE - Interconexão Trombeta ID-03- BR - 050/MG - UBERABA - 157,5 - 157,5 - 1</v>
      </c>
      <c r="H333" s="29" t="s">
        <v>363</v>
      </c>
      <c r="I333" s="29"/>
      <c r="J333" s="29"/>
      <c r="K333" s="29"/>
      <c r="L333" s="29"/>
      <c r="M333" s="29"/>
      <c r="N333" s="29"/>
    </row>
    <row r="334" spans="1:14" x14ac:dyDescent="0.25">
      <c r="A334" s="33" t="s">
        <v>404</v>
      </c>
      <c r="B334" s="13" t="s">
        <v>319</v>
      </c>
      <c r="C334" s="16" t="s">
        <v>219</v>
      </c>
      <c r="D334" s="16">
        <v>101</v>
      </c>
      <c r="E334" s="16">
        <v>101</v>
      </c>
      <c r="F334" s="38">
        <v>1</v>
      </c>
      <c r="G334" s="42" t="str">
        <f t="shared" si="22"/>
        <v>ECO 050 - OAE - Retorno em Desnível ID-01- BR - 050/MG - UBERLÂNDIA - 101 - 101 - 1</v>
      </c>
      <c r="H334" s="29" t="s">
        <v>363</v>
      </c>
      <c r="I334" s="29"/>
      <c r="J334" s="29"/>
      <c r="K334" s="29"/>
      <c r="L334" s="29"/>
      <c r="M334" s="29"/>
      <c r="N334" s="29"/>
    </row>
    <row r="335" spans="1:14" x14ac:dyDescent="0.25">
      <c r="A335" s="33" t="s">
        <v>404</v>
      </c>
      <c r="B335" s="13" t="s">
        <v>319</v>
      </c>
      <c r="C335" s="16" t="s">
        <v>220</v>
      </c>
      <c r="D335" s="16">
        <v>97.3</v>
      </c>
      <c r="E335" s="16">
        <v>97.3</v>
      </c>
      <c r="F335" s="38">
        <v>1</v>
      </c>
      <c r="G335" s="42" t="str">
        <f t="shared" si="22"/>
        <v>ECO 050 - OAE - Interconexão Diamante ID-05- BR - 050/GO - CRISTALINA - 97,3 - 97,3 - 1</v>
      </c>
      <c r="H335" s="29" t="s">
        <v>363</v>
      </c>
      <c r="I335" s="29"/>
      <c r="J335" s="29"/>
      <c r="K335" s="29"/>
      <c r="L335" s="29"/>
      <c r="M335" s="29"/>
      <c r="N335" s="29"/>
    </row>
    <row r="336" spans="1:14" x14ac:dyDescent="0.25">
      <c r="A336" s="33" t="s">
        <v>404</v>
      </c>
      <c r="B336" s="13" t="s">
        <v>319</v>
      </c>
      <c r="C336" s="16" t="s">
        <v>221</v>
      </c>
      <c r="D336" s="16">
        <v>111.7</v>
      </c>
      <c r="E336" s="16">
        <v>111.7</v>
      </c>
      <c r="F336" s="38">
        <v>1</v>
      </c>
      <c r="G336" s="42" t="str">
        <f t="shared" si="22"/>
        <v>ECO 050 - OAE - Interconexão Diamante ID-06- BR - 050/GO - CRISTALINA - 111,7 - 111,7 - 1</v>
      </c>
      <c r="H336" s="29" t="s">
        <v>363</v>
      </c>
      <c r="I336" s="29"/>
      <c r="J336" s="29"/>
      <c r="K336" s="29"/>
      <c r="L336" s="29"/>
      <c r="M336" s="29"/>
      <c r="N336" s="29"/>
    </row>
    <row r="337" spans="1:14" x14ac:dyDescent="0.25">
      <c r="A337" s="33" t="s">
        <v>404</v>
      </c>
      <c r="B337" s="13" t="s">
        <v>319</v>
      </c>
      <c r="C337" s="16" t="s">
        <v>222</v>
      </c>
      <c r="D337" s="16">
        <v>119.2</v>
      </c>
      <c r="E337" s="16">
        <v>119.2</v>
      </c>
      <c r="F337" s="38">
        <v>1</v>
      </c>
      <c r="G337" s="42" t="str">
        <f t="shared" si="22"/>
        <v>ECO 050 - OAE - Interconexão Diamante ID-07- BR - 050/GO - IPAMERI -Entr GO-519 (Domiciano Ribeiro) - 119,2 - 119,2 - 1</v>
      </c>
      <c r="H337" s="29" t="s">
        <v>363</v>
      </c>
      <c r="I337" s="29"/>
      <c r="J337" s="29"/>
      <c r="K337" s="29"/>
      <c r="L337" s="29"/>
      <c r="M337" s="29"/>
      <c r="N337" s="29"/>
    </row>
    <row r="338" spans="1:14" x14ac:dyDescent="0.25">
      <c r="A338" s="33" t="s">
        <v>404</v>
      </c>
      <c r="B338" s="13" t="s">
        <v>319</v>
      </c>
      <c r="C338" s="16" t="s">
        <v>223</v>
      </c>
      <c r="D338" s="16">
        <v>187</v>
      </c>
      <c r="E338" s="16">
        <v>187</v>
      </c>
      <c r="F338" s="38">
        <v>1</v>
      </c>
      <c r="G338" s="42" t="str">
        <f t="shared" si="22"/>
        <v>ECO 050 - OAE - Interconexão Diamante ID-08- BR - 050/GO - CAMPO ALEGRE DE GOIÁS - 187 - 187 - 1</v>
      </c>
      <c r="H338" s="29" t="s">
        <v>363</v>
      </c>
      <c r="I338" s="29"/>
      <c r="J338" s="29"/>
      <c r="K338" s="29"/>
      <c r="L338" s="29"/>
      <c r="M338" s="29"/>
      <c r="N338" s="29"/>
    </row>
    <row r="339" spans="1:14" x14ac:dyDescent="0.25">
      <c r="A339" s="33" t="s">
        <v>404</v>
      </c>
      <c r="B339" s="13" t="s">
        <v>319</v>
      </c>
      <c r="C339" s="16" t="s">
        <v>224</v>
      </c>
      <c r="D339" s="16">
        <v>202.4</v>
      </c>
      <c r="E339" s="16">
        <v>202.4</v>
      </c>
      <c r="F339" s="38">
        <v>1</v>
      </c>
      <c r="G339" s="42" t="str">
        <f t="shared" si="22"/>
        <v>ECO 050 - OAE - Interconexão Diamante ID-09- BR - 050/GO - CAMPO ALEGRE DE GOIÁS - 202,4 - 202,4 - 1</v>
      </c>
      <c r="H339" s="29" t="s">
        <v>363</v>
      </c>
      <c r="I339" s="29"/>
      <c r="J339" s="29"/>
      <c r="K339" s="29"/>
      <c r="L339" s="29"/>
      <c r="M339" s="29"/>
      <c r="N339" s="29"/>
    </row>
    <row r="340" spans="1:14" x14ac:dyDescent="0.25">
      <c r="A340" s="33" t="s">
        <v>404</v>
      </c>
      <c r="B340" s="13" t="s">
        <v>319</v>
      </c>
      <c r="C340" s="16" t="s">
        <v>225</v>
      </c>
      <c r="D340" s="16">
        <v>207.6</v>
      </c>
      <c r="E340" s="16">
        <v>207.6</v>
      </c>
      <c r="F340" s="38">
        <v>1</v>
      </c>
      <c r="G340" s="42" t="str">
        <f t="shared" si="22"/>
        <v>ECO 050 - OAE - Interconexão Diamante ID-10- BR - 050/GO - CAMPO ALEGRE DE GOIÁS - 207,6 - 207,6 - 1</v>
      </c>
      <c r="H340" s="29" t="s">
        <v>363</v>
      </c>
      <c r="I340" s="29"/>
      <c r="J340" s="29"/>
      <c r="K340" s="29"/>
      <c r="L340" s="29"/>
      <c r="M340" s="29"/>
      <c r="N340" s="29"/>
    </row>
    <row r="341" spans="1:14" x14ac:dyDescent="0.25">
      <c r="A341" s="33" t="s">
        <v>404</v>
      </c>
      <c r="B341" s="13" t="s">
        <v>319</v>
      </c>
      <c r="C341" s="16" t="s">
        <v>226</v>
      </c>
      <c r="D341" s="16">
        <v>209.8</v>
      </c>
      <c r="E341" s="16">
        <v>209.8</v>
      </c>
      <c r="F341" s="38">
        <v>1</v>
      </c>
      <c r="G341" s="42" t="str">
        <f t="shared" si="22"/>
        <v>ECO 050 - OAE - Interconexão Diamante ID-11- BR - 050/GO - CAMPO ALEGRE DE GOIÁS - Entr. BR-490/GO - 209,8 - 209,8 - 1</v>
      </c>
      <c r="H341" s="29" t="s">
        <v>363</v>
      </c>
      <c r="I341" s="29"/>
      <c r="J341" s="29"/>
      <c r="K341" s="29"/>
      <c r="L341" s="29"/>
      <c r="M341" s="29"/>
      <c r="N341" s="29"/>
    </row>
    <row r="342" spans="1:14" x14ac:dyDescent="0.25">
      <c r="A342" s="33" t="s">
        <v>404</v>
      </c>
      <c r="B342" s="13" t="s">
        <v>319</v>
      </c>
      <c r="C342" s="16" t="s">
        <v>227</v>
      </c>
      <c r="D342" s="16">
        <v>245.4</v>
      </c>
      <c r="E342" s="16">
        <v>245.4</v>
      </c>
      <c r="F342" s="38">
        <v>1</v>
      </c>
      <c r="G342" s="42" t="str">
        <f t="shared" si="22"/>
        <v>ECO 050 - OAE - Interconexão Diamante ID-12- BR - 050/GO - CATALÃO - 245,4 - 245,4 - 1</v>
      </c>
      <c r="H342" s="29" t="s">
        <v>363</v>
      </c>
      <c r="I342" s="29"/>
      <c r="J342" s="29"/>
      <c r="K342" s="29"/>
      <c r="L342" s="29"/>
      <c r="M342" s="29"/>
      <c r="N342" s="29"/>
    </row>
    <row r="343" spans="1:14" x14ac:dyDescent="0.25">
      <c r="A343" s="33" t="s">
        <v>404</v>
      </c>
      <c r="B343" s="13" t="s">
        <v>319</v>
      </c>
      <c r="C343" s="16" t="s">
        <v>228</v>
      </c>
      <c r="D343" s="16">
        <v>270.10000000000002</v>
      </c>
      <c r="E343" s="16">
        <v>270.10000000000002</v>
      </c>
      <c r="F343" s="38">
        <v>1</v>
      </c>
      <c r="G343" s="42" t="str">
        <f t="shared" si="22"/>
        <v>ECO 050 - OAE - Interconexão Diamante ID-13- BR - 050/GO - CATALÃO - 270,1 - 270,1 - 1</v>
      </c>
      <c r="H343" s="29" t="s">
        <v>363</v>
      </c>
      <c r="I343" s="29"/>
      <c r="J343" s="29"/>
      <c r="K343" s="29"/>
      <c r="L343" s="29"/>
      <c r="M343" s="29"/>
      <c r="N343" s="29"/>
    </row>
    <row r="344" spans="1:14" x14ac:dyDescent="0.25">
      <c r="A344" s="33" t="s">
        <v>404</v>
      </c>
      <c r="B344" s="13" t="s">
        <v>319</v>
      </c>
      <c r="C344" s="16" t="s">
        <v>229</v>
      </c>
      <c r="D344" s="16">
        <v>273.2</v>
      </c>
      <c r="E344" s="16">
        <v>273.2</v>
      </c>
      <c r="F344" s="38">
        <v>1</v>
      </c>
      <c r="G344" s="42" t="str">
        <f t="shared" si="22"/>
        <v>ECO 050 - OAE - Interconexão Diamante ID-14- BR - 050/GO - CATALÃO - 273,2 - 273,2 - 1</v>
      </c>
      <c r="H344" s="29" t="s">
        <v>363</v>
      </c>
      <c r="I344" s="29"/>
      <c r="J344" s="29"/>
      <c r="K344" s="29"/>
      <c r="L344" s="29"/>
      <c r="M344" s="29"/>
      <c r="N344" s="29"/>
    </row>
    <row r="345" spans="1:14" x14ac:dyDescent="0.25">
      <c r="A345" s="33" t="s">
        <v>404</v>
      </c>
      <c r="B345" s="13" t="s">
        <v>319</v>
      </c>
      <c r="C345" s="16" t="s">
        <v>230</v>
      </c>
      <c r="D345" s="16">
        <v>280.5</v>
      </c>
      <c r="E345" s="16">
        <v>280.5</v>
      </c>
      <c r="F345" s="38">
        <v>1</v>
      </c>
      <c r="G345" s="42" t="str">
        <f t="shared" si="22"/>
        <v>ECO 050 - OAE - Interconexão Diamante ID-15- BR - 050/GO - CATALÃO - 280,5 - 280,5 - 1</v>
      </c>
      <c r="H345" s="29" t="s">
        <v>363</v>
      </c>
      <c r="I345" s="29"/>
      <c r="J345" s="29"/>
      <c r="K345" s="29"/>
      <c r="L345" s="29"/>
      <c r="M345" s="29"/>
      <c r="N345" s="29"/>
    </row>
    <row r="346" spans="1:14" x14ac:dyDescent="0.25">
      <c r="A346" s="33" t="s">
        <v>404</v>
      </c>
      <c r="B346" s="13" t="s">
        <v>319</v>
      </c>
      <c r="C346" s="16" t="s">
        <v>231</v>
      </c>
      <c r="D346" s="16">
        <v>296</v>
      </c>
      <c r="E346" s="16">
        <v>296</v>
      </c>
      <c r="F346" s="38">
        <v>1</v>
      </c>
      <c r="G346" s="42" t="str">
        <f t="shared" si="22"/>
        <v>ECO 050 - OAE - Interconexão Diamante ID-16- BR - 050/GO - CUMARI - 296 - 296 - 1</v>
      </c>
      <c r="H346" s="29" t="s">
        <v>363</v>
      </c>
      <c r="I346" s="29"/>
      <c r="J346" s="29"/>
      <c r="K346" s="29"/>
      <c r="L346" s="29"/>
      <c r="M346" s="29"/>
      <c r="N346" s="29"/>
    </row>
    <row r="347" spans="1:14" x14ac:dyDescent="0.25">
      <c r="A347" s="33" t="s">
        <v>404</v>
      </c>
      <c r="B347" s="13" t="s">
        <v>319</v>
      </c>
      <c r="C347" s="16" t="s">
        <v>232</v>
      </c>
      <c r="D347" s="16">
        <v>276.5</v>
      </c>
      <c r="E347" s="16">
        <v>276.5</v>
      </c>
      <c r="F347" s="38">
        <v>1</v>
      </c>
      <c r="G347" s="42" t="str">
        <f t="shared" si="22"/>
        <v>ECO 050 - OAE - Interconexão Tipo Trevo Completo ID-01- BR - 050/GO - CATALÃO - 276,5 - 276,5 - 1</v>
      </c>
      <c r="H347" s="29" t="s">
        <v>363</v>
      </c>
      <c r="I347" s="29"/>
      <c r="J347" s="29"/>
      <c r="K347" s="29"/>
      <c r="L347" s="29"/>
      <c r="M347" s="29"/>
      <c r="N347" s="29"/>
    </row>
    <row r="348" spans="1:14" x14ac:dyDescent="0.25">
      <c r="A348" s="33" t="s">
        <v>404</v>
      </c>
      <c r="B348" s="13" t="s">
        <v>319</v>
      </c>
      <c r="C348" s="16" t="s">
        <v>233</v>
      </c>
      <c r="D348" s="16">
        <v>125.2</v>
      </c>
      <c r="E348" s="16">
        <v>125.2</v>
      </c>
      <c r="F348" s="38">
        <v>1</v>
      </c>
      <c r="G348" s="42" t="str">
        <f t="shared" si="22"/>
        <v>ECO 050 - OAE - Interconexão Trombeta ID-04- BR - 050/GO - IPAMERI - 125,2 - 125,2 - 1</v>
      </c>
      <c r="H348" s="29" t="s">
        <v>363</v>
      </c>
      <c r="I348" s="29"/>
      <c r="J348" s="29"/>
      <c r="K348" s="29"/>
      <c r="L348" s="29"/>
      <c r="M348" s="29"/>
      <c r="N348" s="29"/>
    </row>
    <row r="349" spans="1:14" x14ac:dyDescent="0.25">
      <c r="A349" s="33" t="s">
        <v>404</v>
      </c>
      <c r="B349" s="13" t="s">
        <v>319</v>
      </c>
      <c r="C349" s="16" t="s">
        <v>234</v>
      </c>
      <c r="D349" s="16">
        <v>154.5</v>
      </c>
      <c r="E349" s="16">
        <v>154.5</v>
      </c>
      <c r="F349" s="38">
        <v>1</v>
      </c>
      <c r="G349" s="42" t="str">
        <f t="shared" si="22"/>
        <v>ECO 050 - OAE - Interconexão Trombeta ID-05- BR - 050/GO - CAMPO ALEGRE DE GOIÁS - 154,5 - 154,5 - 1</v>
      </c>
      <c r="H349" s="29" t="s">
        <v>363</v>
      </c>
      <c r="I349" s="29"/>
      <c r="J349" s="29"/>
      <c r="K349" s="29"/>
      <c r="L349" s="29"/>
      <c r="M349" s="29"/>
      <c r="N349" s="29"/>
    </row>
    <row r="350" spans="1:14" x14ac:dyDescent="0.25">
      <c r="A350" s="33" t="s">
        <v>404</v>
      </c>
      <c r="B350" s="13" t="s">
        <v>319</v>
      </c>
      <c r="C350" s="16" t="s">
        <v>235</v>
      </c>
      <c r="D350" s="16">
        <v>163.5</v>
      </c>
      <c r="E350" s="16">
        <v>163.5</v>
      </c>
      <c r="F350" s="38">
        <v>1</v>
      </c>
      <c r="G350" s="42" t="str">
        <f t="shared" si="22"/>
        <v>ECO 050 - OAE - Interconexão Trombeta ID-06- BR - 050/GO - CAMPO ALEGRE DE GOIÁS - 163,5 - 163,5 - 1</v>
      </c>
      <c r="H350" s="29" t="s">
        <v>363</v>
      </c>
      <c r="I350" s="29"/>
      <c r="J350" s="29"/>
      <c r="K350" s="29"/>
      <c r="L350" s="29"/>
      <c r="M350" s="29"/>
      <c r="N350" s="29"/>
    </row>
    <row r="351" spans="1:14" x14ac:dyDescent="0.25">
      <c r="A351" s="33" t="s">
        <v>404</v>
      </c>
      <c r="B351" s="13" t="s">
        <v>319</v>
      </c>
      <c r="C351" s="16" t="s">
        <v>236</v>
      </c>
      <c r="D351" s="16">
        <v>265.10000000000002</v>
      </c>
      <c r="E351" s="16">
        <v>265.10000000000002</v>
      </c>
      <c r="F351" s="38">
        <v>1</v>
      </c>
      <c r="G351" s="42" t="str">
        <f t="shared" si="22"/>
        <v>ECO 050 - OAE - Interconexão Trombeta ID-07- BR - 050/GO - CATALÃO - 265,1 - 265,1 - 1</v>
      </c>
      <c r="H351" s="29" t="s">
        <v>363</v>
      </c>
      <c r="I351" s="29"/>
      <c r="J351" s="29"/>
      <c r="K351" s="29"/>
      <c r="L351" s="29"/>
      <c r="M351" s="29"/>
      <c r="N351" s="29"/>
    </row>
    <row r="352" spans="1:14" x14ac:dyDescent="0.25">
      <c r="A352" s="33" t="s">
        <v>404</v>
      </c>
      <c r="B352" s="13" t="s">
        <v>319</v>
      </c>
      <c r="C352" s="16" t="s">
        <v>237</v>
      </c>
      <c r="D352" s="16">
        <v>311.7</v>
      </c>
      <c r="E352" s="16">
        <v>311.7</v>
      </c>
      <c r="F352" s="38">
        <v>1</v>
      </c>
      <c r="G352" s="42" t="str">
        <f t="shared" si="22"/>
        <v>ECO 050 - OAE - Interconexão Trombeta ID-08- BR - 050/GO - CUMARI - ENTR GO 402 - 311,7 - 311,7 - 1</v>
      </c>
      <c r="H352" s="29" t="s">
        <v>363</v>
      </c>
      <c r="I352" s="29"/>
      <c r="J352" s="29"/>
      <c r="K352" s="29"/>
      <c r="L352" s="29"/>
      <c r="M352" s="29"/>
      <c r="N352" s="29"/>
    </row>
    <row r="353" spans="1:14" x14ac:dyDescent="0.25">
      <c r="A353" s="33" t="s">
        <v>404</v>
      </c>
      <c r="B353" s="13" t="s">
        <v>319</v>
      </c>
      <c r="C353" s="16" t="s">
        <v>238</v>
      </c>
      <c r="D353" s="16">
        <v>140</v>
      </c>
      <c r="E353" s="16">
        <v>140</v>
      </c>
      <c r="F353" s="38">
        <v>1</v>
      </c>
      <c r="G353" s="42" t="str">
        <f t="shared" si="22"/>
        <v>ECO 050 - OAE - Retorno em Desnível ID-02- BR - 050/GO - IPAMERI - 140 - 140 - 1</v>
      </c>
      <c r="H353" s="29" t="s">
        <v>363</v>
      </c>
      <c r="I353" s="29"/>
      <c r="J353" s="29"/>
      <c r="K353" s="29"/>
      <c r="L353" s="29"/>
      <c r="M353" s="29"/>
      <c r="N353" s="29"/>
    </row>
    <row r="354" spans="1:14" x14ac:dyDescent="0.25">
      <c r="A354" s="33" t="s">
        <v>404</v>
      </c>
      <c r="B354" s="13" t="s">
        <v>319</v>
      </c>
      <c r="C354" s="16" t="s">
        <v>239</v>
      </c>
      <c r="D354" s="16">
        <v>222</v>
      </c>
      <c r="E354" s="16">
        <v>222</v>
      </c>
      <c r="F354" s="38">
        <v>1</v>
      </c>
      <c r="G354" s="42" t="str">
        <f t="shared" si="22"/>
        <v>ECO 050 - OAE - Retorno em Desnível ID-03- BR - 050/GO - CAMPO ALEGRE DE GOIÁS - 222 - 222 - 1</v>
      </c>
      <c r="H354" s="29" t="s">
        <v>363</v>
      </c>
      <c r="I354" s="29"/>
      <c r="J354" s="29"/>
      <c r="K354" s="29"/>
      <c r="L354" s="29"/>
      <c r="M354" s="29"/>
      <c r="N354" s="29"/>
    </row>
    <row r="355" spans="1:14" x14ac:dyDescent="0.25">
      <c r="A355" s="33" t="s">
        <v>404</v>
      </c>
      <c r="B355" s="13" t="s">
        <v>319</v>
      </c>
      <c r="C355" s="16" t="s">
        <v>240</v>
      </c>
      <c r="D355" s="16">
        <v>233</v>
      </c>
      <c r="E355" s="16">
        <v>233</v>
      </c>
      <c r="F355" s="38">
        <v>1</v>
      </c>
      <c r="G355" s="42" t="str">
        <f t="shared" si="22"/>
        <v>ECO 050 - OAE - Retorno em Desnível ID-04- BR - 050/GO - CATALÃO - 233 - 233 - 1</v>
      </c>
      <c r="H355" s="29" t="s">
        <v>363</v>
      </c>
      <c r="I355" s="29"/>
      <c r="J355" s="29"/>
      <c r="K355" s="29"/>
      <c r="L355" s="29"/>
      <c r="M355" s="29"/>
      <c r="N355" s="29"/>
    </row>
    <row r="356" spans="1:14" x14ac:dyDescent="0.25">
      <c r="A356" s="33" t="s">
        <v>404</v>
      </c>
      <c r="B356" s="13" t="s">
        <v>319</v>
      </c>
      <c r="C356" s="16" t="s">
        <v>241</v>
      </c>
      <c r="D356" s="16">
        <v>255</v>
      </c>
      <c r="E356" s="16">
        <v>255</v>
      </c>
      <c r="F356" s="38">
        <v>1</v>
      </c>
      <c r="G356" s="42" t="str">
        <f t="shared" si="22"/>
        <v>ECO 050 - OAE - Retorno em Desnível ID-05- BR - 050/GO - CATALÃO - 255 - 255 - 1</v>
      </c>
      <c r="H356" s="29" t="s">
        <v>363</v>
      </c>
      <c r="I356" s="29"/>
      <c r="J356" s="29"/>
      <c r="K356" s="29"/>
      <c r="L356" s="29"/>
      <c r="M356" s="29"/>
      <c r="N356" s="29"/>
    </row>
    <row r="357" spans="1:14" x14ac:dyDescent="0.25">
      <c r="A357" s="22" t="s">
        <v>5</v>
      </c>
      <c r="B357" s="13" t="s">
        <v>317</v>
      </c>
      <c r="C357" s="16" t="s">
        <v>242</v>
      </c>
      <c r="D357" s="16">
        <v>319</v>
      </c>
      <c r="E357" s="16">
        <v>320.10000000000002</v>
      </c>
      <c r="F357" s="38">
        <f t="shared" ref="F357:F366" si="23">E357-D357</f>
        <v>1.1000000000000227</v>
      </c>
      <c r="G357" s="42" t="str">
        <f t="shared" si="22"/>
        <v>CRO - PAVIMENTAÇÃO - Vias Marginais ID-01 BR 163/MT - 319 - 320,1 - 1,10000000000002</v>
      </c>
      <c r="H357" s="29" t="s">
        <v>363</v>
      </c>
      <c r="I357" s="29"/>
      <c r="J357" s="29"/>
      <c r="K357" s="29"/>
      <c r="L357" s="29"/>
      <c r="M357" s="29"/>
      <c r="N357" s="29"/>
    </row>
    <row r="358" spans="1:14" x14ac:dyDescent="0.25">
      <c r="A358" s="22" t="s">
        <v>5</v>
      </c>
      <c r="B358" s="13" t="s">
        <v>317</v>
      </c>
      <c r="C358" s="16" t="s">
        <v>243</v>
      </c>
      <c r="D358" s="16">
        <v>595.29999999999995</v>
      </c>
      <c r="E358" s="16">
        <v>598.54999999999995</v>
      </c>
      <c r="F358" s="38">
        <f t="shared" si="23"/>
        <v>3.25</v>
      </c>
      <c r="G358" s="42" t="str">
        <f t="shared" si="22"/>
        <v>CRO - PAVIMENTAÇÃO - Vias Marginais ID-03 BR 163/MT - 595,3 - 598,55 - 3,25</v>
      </c>
      <c r="H358" s="29" t="s">
        <v>363</v>
      </c>
      <c r="I358" s="29"/>
      <c r="J358" s="29"/>
      <c r="K358" s="29"/>
      <c r="L358" s="29"/>
      <c r="M358" s="29"/>
      <c r="N358" s="29"/>
    </row>
    <row r="359" spans="1:14" x14ac:dyDescent="0.25">
      <c r="A359" s="22" t="s">
        <v>5</v>
      </c>
      <c r="B359" s="13" t="s">
        <v>317</v>
      </c>
      <c r="C359" s="16" t="s">
        <v>244</v>
      </c>
      <c r="D359" s="16">
        <v>681.8</v>
      </c>
      <c r="E359" s="16">
        <v>686.2</v>
      </c>
      <c r="F359" s="38">
        <f t="shared" si="23"/>
        <v>4.4000000000000909</v>
      </c>
      <c r="G359" s="42" t="str">
        <f t="shared" si="22"/>
        <v>CRO - PAVIMENTAÇÃO - Vias Marginais ID-04 BR 163/MT - Direito - 681,8 - 686,2 - 4,40000000000009</v>
      </c>
      <c r="H359" s="29" t="s">
        <v>363</v>
      </c>
      <c r="I359" s="29"/>
      <c r="J359" s="29"/>
      <c r="K359" s="29"/>
      <c r="L359" s="29"/>
      <c r="M359" s="29"/>
      <c r="N359" s="29"/>
    </row>
    <row r="360" spans="1:14" x14ac:dyDescent="0.25">
      <c r="A360" s="22" t="s">
        <v>5</v>
      </c>
      <c r="B360" s="13" t="s">
        <v>317</v>
      </c>
      <c r="C360" s="16" t="s">
        <v>245</v>
      </c>
      <c r="D360" s="16">
        <v>681.8</v>
      </c>
      <c r="E360" s="16">
        <v>685.8</v>
      </c>
      <c r="F360" s="38">
        <f t="shared" si="23"/>
        <v>4</v>
      </c>
      <c r="G360" s="42" t="str">
        <f t="shared" si="22"/>
        <v>CRO - PAVIMENTAÇÃO - Vias Marginais ID-04 BR 163/MT - Esquerdo - 681,8 - 685,8 - 4</v>
      </c>
      <c r="H360" s="29" t="s">
        <v>363</v>
      </c>
      <c r="I360" s="29"/>
      <c r="J360" s="29"/>
      <c r="K360" s="29"/>
      <c r="L360" s="29"/>
      <c r="M360" s="29"/>
      <c r="N360" s="29"/>
    </row>
    <row r="361" spans="1:14" x14ac:dyDescent="0.25">
      <c r="A361" s="22" t="s">
        <v>5</v>
      </c>
      <c r="B361" s="13" t="s">
        <v>317</v>
      </c>
      <c r="C361" s="16" t="s">
        <v>246</v>
      </c>
      <c r="D361" s="16">
        <v>708.9</v>
      </c>
      <c r="E361" s="16">
        <v>710.3</v>
      </c>
      <c r="F361" s="38">
        <f t="shared" si="23"/>
        <v>1.3999999999999773</v>
      </c>
      <c r="G361" s="42" t="str">
        <f t="shared" si="22"/>
        <v>CRO - PAVIMENTAÇÃO - Vias Marginais ID-05 BR 163/MT Direito - 708,9 - 710,3 - 1,39999999999998</v>
      </c>
      <c r="H361" s="29" t="s">
        <v>363</v>
      </c>
      <c r="I361" s="29"/>
      <c r="J361" s="29"/>
      <c r="K361" s="29"/>
      <c r="L361" s="29"/>
      <c r="M361" s="29"/>
      <c r="N361" s="29"/>
    </row>
    <row r="362" spans="1:14" x14ac:dyDescent="0.25">
      <c r="A362" s="22" t="s">
        <v>5</v>
      </c>
      <c r="B362" s="13" t="s">
        <v>317</v>
      </c>
      <c r="C362" s="16" t="s">
        <v>247</v>
      </c>
      <c r="D362" s="16">
        <v>708.9</v>
      </c>
      <c r="E362" s="16">
        <v>709.8</v>
      </c>
      <c r="F362" s="38">
        <f t="shared" si="23"/>
        <v>0.89999999999997726</v>
      </c>
      <c r="G362" s="42" t="str">
        <f t="shared" si="22"/>
        <v>CRO - PAVIMENTAÇÃO - Vias Marginais ID-05 BR 163/MT Esquerdo - 708,9 - 709,8 - 0,899999999999977</v>
      </c>
      <c r="H362" s="29" t="s">
        <v>363</v>
      </c>
      <c r="I362" s="29"/>
      <c r="J362" s="29"/>
      <c r="K362" s="29"/>
      <c r="L362" s="29"/>
      <c r="M362" s="29"/>
      <c r="N362" s="29"/>
    </row>
    <row r="363" spans="1:14" x14ac:dyDescent="0.25">
      <c r="A363" s="22" t="s">
        <v>5</v>
      </c>
      <c r="B363" s="13" t="s">
        <v>317</v>
      </c>
      <c r="C363" s="16" t="s">
        <v>248</v>
      </c>
      <c r="D363" s="16">
        <v>818.9</v>
      </c>
      <c r="E363" s="16">
        <v>822</v>
      </c>
      <c r="F363" s="38">
        <f t="shared" si="23"/>
        <v>3.1000000000000227</v>
      </c>
      <c r="G363" s="42" t="str">
        <f t="shared" si="22"/>
        <v>CRO - PAVIMENTAÇÃO - Vias Marginais ID-06 BR 163/MT Direito - 818,9 - 822 - 3,10000000000002</v>
      </c>
      <c r="H363" s="29" t="s">
        <v>363</v>
      </c>
      <c r="I363" s="29"/>
      <c r="J363" s="29"/>
      <c r="K363" s="29"/>
      <c r="L363" s="29"/>
      <c r="M363" s="29"/>
      <c r="N363" s="29"/>
    </row>
    <row r="364" spans="1:14" x14ac:dyDescent="0.25">
      <c r="A364" s="22" t="s">
        <v>5</v>
      </c>
      <c r="B364" s="13" t="s">
        <v>317</v>
      </c>
      <c r="C364" s="16" t="s">
        <v>249</v>
      </c>
      <c r="D364" s="16">
        <v>818.9</v>
      </c>
      <c r="E364" s="16">
        <v>822</v>
      </c>
      <c r="F364" s="38">
        <f t="shared" si="23"/>
        <v>3.1000000000000227</v>
      </c>
      <c r="G364" s="42" t="str">
        <f t="shared" si="22"/>
        <v>CRO - PAVIMENTAÇÃO - Vias Marginais ID-06 BR 163/MT Esquerdo - 818,9 - 822 - 3,10000000000002</v>
      </c>
      <c r="H364" s="29" t="s">
        <v>363</v>
      </c>
      <c r="I364" s="29"/>
      <c r="J364" s="29"/>
      <c r="K364" s="29"/>
      <c r="L364" s="29"/>
      <c r="M364" s="29"/>
      <c r="N364" s="29"/>
    </row>
    <row r="365" spans="1:14" x14ac:dyDescent="0.25">
      <c r="A365" s="22" t="s">
        <v>5</v>
      </c>
      <c r="B365" s="13" t="s">
        <v>317</v>
      </c>
      <c r="C365" s="16" t="s">
        <v>250</v>
      </c>
      <c r="D365" s="16">
        <v>853.9</v>
      </c>
      <c r="E365" s="16">
        <v>855</v>
      </c>
      <c r="F365" s="38">
        <f t="shared" si="23"/>
        <v>1.1000000000000227</v>
      </c>
      <c r="G365" s="42" t="str">
        <f t="shared" si="22"/>
        <v>CRO - PAVIMENTAÇÃO - Vias Marginais ID-07 BR 163/MT Direito - 853,9 - 855 - 1,10000000000002</v>
      </c>
      <c r="H365" s="29" t="s">
        <v>363</v>
      </c>
      <c r="I365" s="29"/>
      <c r="J365" s="29"/>
      <c r="K365" s="29"/>
      <c r="L365" s="29"/>
      <c r="M365" s="29"/>
      <c r="N365" s="29"/>
    </row>
    <row r="366" spans="1:14" x14ac:dyDescent="0.25">
      <c r="A366" s="22" t="s">
        <v>5</v>
      </c>
      <c r="B366" s="13" t="s">
        <v>317</v>
      </c>
      <c r="C366" s="16" t="s">
        <v>251</v>
      </c>
      <c r="D366" s="16">
        <v>853.9</v>
      </c>
      <c r="E366" s="16">
        <v>855</v>
      </c>
      <c r="F366" s="38">
        <f t="shared" si="23"/>
        <v>1.1000000000000227</v>
      </c>
      <c r="G366" s="42" t="str">
        <f t="shared" si="22"/>
        <v>CRO - PAVIMENTAÇÃO - Vias Marginais ID-07 BR 163/MT Esquerdo - 853,9 - 855 - 1,10000000000002</v>
      </c>
      <c r="H366" s="29" t="s">
        <v>363</v>
      </c>
      <c r="I366" s="29"/>
      <c r="J366" s="29"/>
      <c r="K366" s="29"/>
      <c r="L366" s="29"/>
      <c r="M366" s="29"/>
      <c r="N366" s="29"/>
    </row>
    <row r="367" spans="1:14" x14ac:dyDescent="0.25">
      <c r="A367" s="22" t="s">
        <v>5</v>
      </c>
      <c r="B367" s="13" t="s">
        <v>317</v>
      </c>
      <c r="C367" s="16" t="s">
        <v>252</v>
      </c>
      <c r="D367" s="16">
        <v>339.1</v>
      </c>
      <c r="E367" s="16">
        <v>342</v>
      </c>
      <c r="F367" s="38">
        <f>E367-D367</f>
        <v>2.8999999999999773</v>
      </c>
      <c r="G367" s="42" t="str">
        <f t="shared" si="22"/>
        <v>CRO - PAVIMENTAÇÃO - Vias Marginais ID-02 BR 406/MT Direito - 339,1 - 342 - 2,89999999999998</v>
      </c>
      <c r="H367" s="29" t="s">
        <v>363</v>
      </c>
      <c r="I367" s="29"/>
      <c r="J367" s="29"/>
      <c r="K367" s="29"/>
      <c r="L367" s="29"/>
      <c r="M367" s="29"/>
      <c r="N367" s="29"/>
    </row>
    <row r="368" spans="1:14" x14ac:dyDescent="0.25">
      <c r="A368" s="22" t="s">
        <v>5</v>
      </c>
      <c r="B368" s="13" t="s">
        <v>317</v>
      </c>
      <c r="C368" s="16" t="s">
        <v>253</v>
      </c>
      <c r="D368" s="16">
        <v>339.1</v>
      </c>
      <c r="E368" s="16">
        <v>340.2</v>
      </c>
      <c r="F368" s="38">
        <f>E368-D368</f>
        <v>1.0999999999999659</v>
      </c>
      <c r="G368" s="42" t="str">
        <f t="shared" si="22"/>
        <v>CRO - PAVIMENTAÇÃO - Vias Marginais ID-02 BR 406/MT Esquerdo - 339,1 - 340,2 - 1,09999999999997</v>
      </c>
      <c r="H368" s="29" t="s">
        <v>363</v>
      </c>
      <c r="I368" s="29"/>
      <c r="J368" s="29"/>
      <c r="K368" s="29"/>
      <c r="L368" s="29"/>
      <c r="M368" s="29"/>
      <c r="N368" s="29"/>
    </row>
    <row r="369" spans="1:14" x14ac:dyDescent="0.25">
      <c r="A369" s="22" t="s">
        <v>5</v>
      </c>
      <c r="B369" s="13" t="s">
        <v>318</v>
      </c>
      <c r="C369" s="16" t="s">
        <v>254</v>
      </c>
      <c r="D369" s="16">
        <v>0</v>
      </c>
      <c r="E369" s="16">
        <v>72.599999999999994</v>
      </c>
      <c r="F369" s="38">
        <f t="shared" ref="F369:F373" si="24">E369-D369</f>
        <v>72.599999999999994</v>
      </c>
      <c r="G369" s="42" t="str">
        <f t="shared" si="22"/>
        <v>CRO - DUPLICAÇÃO - Duplicação - Meta ano 1 - 0 - 72,6 - 72,6</v>
      </c>
      <c r="H369" s="26" t="s">
        <v>363</v>
      </c>
      <c r="I369" s="29"/>
      <c r="J369" s="29"/>
      <c r="K369" s="29"/>
      <c r="L369" s="29"/>
      <c r="M369" s="29"/>
      <c r="N369" s="29"/>
    </row>
    <row r="370" spans="1:14" x14ac:dyDescent="0.25">
      <c r="A370" s="22" t="s">
        <v>5</v>
      </c>
      <c r="B370" s="13" t="s">
        <v>318</v>
      </c>
      <c r="C370" s="16" t="s">
        <v>255</v>
      </c>
      <c r="D370" s="16">
        <v>72.599999999999994</v>
      </c>
      <c r="E370" s="16">
        <v>181.5</v>
      </c>
      <c r="F370" s="38">
        <f t="shared" si="24"/>
        <v>108.9</v>
      </c>
      <c r="G370" s="42" t="str">
        <f t="shared" si="22"/>
        <v>CRO - DUPLICAÇÃO - Duplicação - Meta ano 2 - 72,6 - 181,5 - 108,9</v>
      </c>
      <c r="H370" s="26" t="s">
        <v>363</v>
      </c>
      <c r="I370" s="29"/>
      <c r="J370" s="29"/>
      <c r="K370" s="29"/>
      <c r="L370" s="29"/>
      <c r="M370" s="29"/>
      <c r="N370" s="29"/>
    </row>
    <row r="371" spans="1:14" x14ac:dyDescent="0.25">
      <c r="A371" s="22" t="s">
        <v>5</v>
      </c>
      <c r="B371" s="13" t="s">
        <v>318</v>
      </c>
      <c r="C371" s="16" t="s">
        <v>256</v>
      </c>
      <c r="D371" s="16">
        <v>108.9</v>
      </c>
      <c r="E371" s="16">
        <v>263.10000000000002</v>
      </c>
      <c r="F371" s="38">
        <f t="shared" si="24"/>
        <v>154.20000000000002</v>
      </c>
      <c r="G371" s="42" t="str">
        <f t="shared" si="22"/>
        <v>CRO - DUPLICAÇÃO - Duplicação - Meta ano 3 - 108,9 - 263,1 - 154,2</v>
      </c>
      <c r="H371" s="26" t="s">
        <v>363</v>
      </c>
      <c r="I371" s="29"/>
      <c r="J371" s="29"/>
      <c r="K371" s="29"/>
      <c r="L371" s="29"/>
      <c r="M371" s="29"/>
      <c r="N371" s="29"/>
    </row>
    <row r="372" spans="1:14" x14ac:dyDescent="0.25">
      <c r="A372" s="22" t="s">
        <v>5</v>
      </c>
      <c r="B372" s="13" t="s">
        <v>318</v>
      </c>
      <c r="C372" s="16" t="s">
        <v>257</v>
      </c>
      <c r="D372" s="16">
        <v>154.19999999999999</v>
      </c>
      <c r="E372" s="16">
        <v>272.10000000000002</v>
      </c>
      <c r="F372" s="38">
        <f t="shared" si="24"/>
        <v>117.90000000000003</v>
      </c>
      <c r="G372" s="42" t="str">
        <f t="shared" si="22"/>
        <v>CRO - DUPLICAÇÃO - Duplicação - Meta ano 4 - 154,2 - 272,1 - 117,9</v>
      </c>
      <c r="H372" s="26" t="s">
        <v>363</v>
      </c>
      <c r="I372" s="29"/>
      <c r="J372" s="29"/>
      <c r="K372" s="29"/>
      <c r="L372" s="29"/>
      <c r="M372" s="29"/>
      <c r="N372" s="29"/>
    </row>
    <row r="373" spans="1:14" x14ac:dyDescent="0.25">
      <c r="A373" s="22" t="s">
        <v>5</v>
      </c>
      <c r="B373" s="13" t="s">
        <v>318</v>
      </c>
      <c r="C373" s="16" t="s">
        <v>258</v>
      </c>
      <c r="D373" s="16">
        <v>353.5</v>
      </c>
      <c r="E373" s="16">
        <v>461.7</v>
      </c>
      <c r="F373" s="38">
        <f t="shared" si="24"/>
        <v>108.19999999999999</v>
      </c>
      <c r="G373" s="42" t="str">
        <f t="shared" si="22"/>
        <v>CRO - DUPLICAÇÃO - Duplicação Posterior (Remanescente DNIT) - 353,5 - 461,7 - 108,2</v>
      </c>
      <c r="H373" s="26" t="s">
        <v>363</v>
      </c>
      <c r="I373" s="29"/>
      <c r="J373" s="29"/>
      <c r="K373" s="29"/>
      <c r="L373" s="29"/>
      <c r="M373" s="29"/>
      <c r="N373" s="29"/>
    </row>
    <row r="374" spans="1:14" x14ac:dyDescent="0.25">
      <c r="A374" s="22" t="s">
        <v>5</v>
      </c>
      <c r="B374" s="13" t="s">
        <v>319</v>
      </c>
      <c r="C374" s="16" t="s">
        <v>259</v>
      </c>
      <c r="D374" s="16">
        <v>14</v>
      </c>
      <c r="E374" s="16">
        <v>14</v>
      </c>
      <c r="F374" s="38">
        <v>1</v>
      </c>
      <c r="G374" s="42" t="str">
        <f t="shared" si="22"/>
        <v>CRO - OAE - Interconexão Diamante ID-01 - BR-163/MT - 14 - 14 - 1</v>
      </c>
      <c r="H374" s="29" t="s">
        <v>363</v>
      </c>
      <c r="I374" s="29"/>
      <c r="J374" s="29"/>
      <c r="K374" s="29"/>
      <c r="L374" s="29"/>
      <c r="M374" s="29"/>
      <c r="N374" s="29"/>
    </row>
    <row r="375" spans="1:14" x14ac:dyDescent="0.25">
      <c r="A375" s="22" t="s">
        <v>5</v>
      </c>
      <c r="B375" s="13" t="s">
        <v>319</v>
      </c>
      <c r="C375" s="16" t="s">
        <v>260</v>
      </c>
      <c r="D375" s="16">
        <v>48</v>
      </c>
      <c r="E375" s="16">
        <v>48</v>
      </c>
      <c r="F375" s="38">
        <v>1</v>
      </c>
      <c r="G375" s="42" t="str">
        <f t="shared" si="22"/>
        <v>CRO - OAE - Interconexão Diamante ID-02 - BR-163/MT - 48 - 48 - 1</v>
      </c>
      <c r="H375" s="29" t="s">
        <v>363</v>
      </c>
      <c r="I375" s="29"/>
      <c r="J375" s="29"/>
      <c r="K375" s="29"/>
      <c r="L375" s="29"/>
      <c r="M375" s="29"/>
      <c r="N375" s="29"/>
    </row>
    <row r="376" spans="1:14" x14ac:dyDescent="0.25">
      <c r="A376" s="22" t="s">
        <v>5</v>
      </c>
      <c r="B376" s="13" t="s">
        <v>319</v>
      </c>
      <c r="C376" s="16" t="s">
        <v>261</v>
      </c>
      <c r="D376" s="16">
        <v>77</v>
      </c>
      <c r="E376" s="16">
        <v>77</v>
      </c>
      <c r="F376" s="38">
        <v>1</v>
      </c>
      <c r="G376" s="42" t="str">
        <f t="shared" si="22"/>
        <v>CRO - OAE - Interconexão Diamante ID-03 - BR-163/MT - 77 - 77 - 1</v>
      </c>
      <c r="H376" s="29" t="s">
        <v>363</v>
      </c>
      <c r="I376" s="29"/>
      <c r="J376" s="29"/>
      <c r="K376" s="29"/>
      <c r="L376" s="29"/>
      <c r="M376" s="29"/>
      <c r="N376" s="29"/>
    </row>
    <row r="377" spans="1:14" x14ac:dyDescent="0.25">
      <c r="A377" s="22" t="s">
        <v>5</v>
      </c>
      <c r="B377" s="13" t="s">
        <v>319</v>
      </c>
      <c r="C377" s="16" t="s">
        <v>262</v>
      </c>
      <c r="D377" s="16">
        <v>94.2</v>
      </c>
      <c r="E377" s="16">
        <v>94.2</v>
      </c>
      <c r="F377" s="38">
        <v>1</v>
      </c>
      <c r="G377" s="42" t="str">
        <f t="shared" si="22"/>
        <v>CRO - OAE - Interconexão Diamante ID-04 - BR-163/MT - 94,2 - 94,2 - 1</v>
      </c>
      <c r="H377" s="29" t="s">
        <v>363</v>
      </c>
      <c r="I377" s="29"/>
      <c r="J377" s="29"/>
      <c r="K377" s="29"/>
      <c r="L377" s="29"/>
      <c r="M377" s="29"/>
      <c r="N377" s="29"/>
    </row>
    <row r="378" spans="1:14" x14ac:dyDescent="0.25">
      <c r="A378" s="22" t="s">
        <v>5</v>
      </c>
      <c r="B378" s="13" t="s">
        <v>319</v>
      </c>
      <c r="C378" s="16" t="s">
        <v>263</v>
      </c>
      <c r="D378" s="16">
        <v>111</v>
      </c>
      <c r="E378" s="16">
        <v>111</v>
      </c>
      <c r="F378" s="38">
        <v>1</v>
      </c>
      <c r="G378" s="42" t="str">
        <f t="shared" si="22"/>
        <v>CRO - OAE - Interconexão Diamante ID-05 - BR-163/MT - 111 - 111 - 1</v>
      </c>
      <c r="H378" s="29" t="s">
        <v>363</v>
      </c>
      <c r="I378" s="29"/>
      <c r="J378" s="29"/>
      <c r="K378" s="29"/>
      <c r="L378" s="29"/>
      <c r="M378" s="29"/>
      <c r="N378" s="29"/>
    </row>
    <row r="379" spans="1:14" x14ac:dyDescent="0.25">
      <c r="A379" s="22" t="s">
        <v>5</v>
      </c>
      <c r="B379" s="13" t="s">
        <v>319</v>
      </c>
      <c r="C379" s="16" t="s">
        <v>264</v>
      </c>
      <c r="D379" s="16">
        <v>117.6</v>
      </c>
      <c r="E379" s="16">
        <v>117.6</v>
      </c>
      <c r="F379" s="38">
        <v>1</v>
      </c>
      <c r="G379" s="42" t="str">
        <f t="shared" si="22"/>
        <v>CRO - OAE - Interconexão Diamante ID-06 - BR-163/MT - 117,6 - 117,6 - 1</v>
      </c>
      <c r="H379" s="29" t="s">
        <v>363</v>
      </c>
      <c r="I379" s="29"/>
      <c r="J379" s="29"/>
      <c r="K379" s="29"/>
      <c r="L379" s="29"/>
      <c r="M379" s="29"/>
      <c r="N379" s="29"/>
    </row>
    <row r="380" spans="1:14" x14ac:dyDescent="0.25">
      <c r="A380" s="22" t="s">
        <v>5</v>
      </c>
      <c r="B380" s="13" t="s">
        <v>319</v>
      </c>
      <c r="C380" s="16" t="s">
        <v>265</v>
      </c>
      <c r="D380" s="16">
        <v>261.89999999999998</v>
      </c>
      <c r="E380" s="16">
        <v>261.89999999999998</v>
      </c>
      <c r="F380" s="38">
        <v>1</v>
      </c>
      <c r="G380" s="42" t="str">
        <f t="shared" si="22"/>
        <v>CRO - OAE - Interconexão Diamante ID-07 - BR-163/MT - 261,9 - 261,9 - 1</v>
      </c>
      <c r="H380" s="29" t="s">
        <v>363</v>
      </c>
      <c r="I380" s="29"/>
      <c r="J380" s="29"/>
      <c r="K380" s="29"/>
      <c r="L380" s="29"/>
      <c r="M380" s="29"/>
      <c r="N380" s="29"/>
    </row>
    <row r="381" spans="1:14" x14ac:dyDescent="0.25">
      <c r="A381" s="22" t="s">
        <v>5</v>
      </c>
      <c r="B381" s="13" t="s">
        <v>319</v>
      </c>
      <c r="C381" s="16" t="s">
        <v>266</v>
      </c>
      <c r="D381" s="16">
        <v>279</v>
      </c>
      <c r="E381" s="16">
        <v>279</v>
      </c>
      <c r="F381" s="38">
        <v>1</v>
      </c>
      <c r="G381" s="42" t="str">
        <f t="shared" si="22"/>
        <v>CRO - OAE - Interconexão Diamante ID-08 - BR-163/MT - 279 - 279 - 1</v>
      </c>
      <c r="H381" s="29" t="s">
        <v>363</v>
      </c>
      <c r="I381" s="29"/>
      <c r="J381" s="29"/>
      <c r="K381" s="29"/>
      <c r="L381" s="29"/>
      <c r="M381" s="29"/>
      <c r="N381" s="29"/>
    </row>
    <row r="382" spans="1:14" x14ac:dyDescent="0.25">
      <c r="A382" s="22" t="s">
        <v>5</v>
      </c>
      <c r="B382" s="13" t="s">
        <v>319</v>
      </c>
      <c r="C382" s="16" t="s">
        <v>267</v>
      </c>
      <c r="D382" s="16">
        <v>270.5</v>
      </c>
      <c r="E382" s="16">
        <v>270.5</v>
      </c>
      <c r="F382" s="38">
        <v>1</v>
      </c>
      <c r="G382" s="42" t="str">
        <f t="shared" si="22"/>
        <v>CRO - OAE - Interconexão Diamante ID-09 - BR-163/MT - 270,5 - 270,5 - 1</v>
      </c>
      <c r="H382" s="29" t="s">
        <v>363</v>
      </c>
      <c r="I382" s="29"/>
      <c r="J382" s="29"/>
      <c r="K382" s="29"/>
      <c r="L382" s="29"/>
      <c r="M382" s="29"/>
      <c r="N382" s="29"/>
    </row>
    <row r="383" spans="1:14" x14ac:dyDescent="0.25">
      <c r="A383" s="22" t="s">
        <v>5</v>
      </c>
      <c r="B383" s="13" t="s">
        <v>319</v>
      </c>
      <c r="C383" s="16" t="s">
        <v>268</v>
      </c>
      <c r="D383" s="16">
        <v>315.39999999999998</v>
      </c>
      <c r="E383" s="16">
        <v>315.39999999999998</v>
      </c>
      <c r="F383" s="38">
        <v>1</v>
      </c>
      <c r="G383" s="42" t="str">
        <f t="shared" si="22"/>
        <v>CRO - OAE - Interconexão Diamante ID-10 - BR-163/MT - 315,4 - 315,4 - 1</v>
      </c>
      <c r="H383" s="29" t="s">
        <v>363</v>
      </c>
      <c r="I383" s="29"/>
      <c r="J383" s="29"/>
      <c r="K383" s="29"/>
      <c r="L383" s="29"/>
      <c r="M383" s="29"/>
      <c r="N383" s="29"/>
    </row>
    <row r="384" spans="1:14" x14ac:dyDescent="0.25">
      <c r="A384" s="22" t="s">
        <v>5</v>
      </c>
      <c r="B384" s="13" t="s">
        <v>319</v>
      </c>
      <c r="C384" s="16" t="s">
        <v>269</v>
      </c>
      <c r="D384" s="16">
        <v>320.10000000000002</v>
      </c>
      <c r="E384" s="16">
        <v>320.10000000000002</v>
      </c>
      <c r="F384" s="38">
        <v>1</v>
      </c>
      <c r="G384" s="42" t="str">
        <f t="shared" si="22"/>
        <v>CRO - OAE - Interconexão Diamante ID-11 - BR-163/MT - 320,1 - 320,1 - 1</v>
      </c>
      <c r="H384" s="29" t="s">
        <v>363</v>
      </c>
      <c r="I384" s="29"/>
      <c r="J384" s="29"/>
      <c r="K384" s="29"/>
      <c r="L384" s="29"/>
      <c r="M384" s="29"/>
      <c r="N384" s="29"/>
    </row>
    <row r="385" spans="1:14" x14ac:dyDescent="0.25">
      <c r="A385" s="22" t="s">
        <v>5</v>
      </c>
      <c r="B385" s="13" t="s">
        <v>319</v>
      </c>
      <c r="C385" s="16" t="s">
        <v>270</v>
      </c>
      <c r="D385" s="16">
        <v>347.7</v>
      </c>
      <c r="E385" s="16">
        <v>347.7</v>
      </c>
      <c r="F385" s="38">
        <v>1</v>
      </c>
      <c r="G385" s="42" t="str">
        <f t="shared" si="22"/>
        <v>CRO - OAE - Interconexão Diamante ID-12 - BR-163/MT - 347,7 - 347,7 - 1</v>
      </c>
      <c r="H385" s="29" t="s">
        <v>363</v>
      </c>
      <c r="I385" s="29"/>
      <c r="J385" s="29"/>
      <c r="K385" s="29"/>
      <c r="L385" s="29"/>
      <c r="M385" s="29"/>
      <c r="N385" s="29"/>
    </row>
    <row r="386" spans="1:14" x14ac:dyDescent="0.25">
      <c r="A386" s="22" t="s">
        <v>5</v>
      </c>
      <c r="B386" s="13" t="s">
        <v>319</v>
      </c>
      <c r="C386" s="16" t="s">
        <v>271</v>
      </c>
      <c r="D386" s="16">
        <v>465.5</v>
      </c>
      <c r="E386" s="16">
        <v>465.5</v>
      </c>
      <c r="F386" s="38">
        <v>1</v>
      </c>
      <c r="G386" s="42" t="str">
        <f t="shared" si="22"/>
        <v>CRO - OAE - Interconexão Diamante ID-13 - BR-163/MT - 465,5 - 465,5 - 1</v>
      </c>
      <c r="H386" s="29" t="s">
        <v>363</v>
      </c>
      <c r="I386" s="29"/>
      <c r="J386" s="29"/>
      <c r="K386" s="29"/>
      <c r="L386" s="29"/>
      <c r="M386" s="29"/>
      <c r="N386" s="29"/>
    </row>
    <row r="387" spans="1:14" x14ac:dyDescent="0.25">
      <c r="A387" s="22" t="s">
        <v>5</v>
      </c>
      <c r="B387" s="13" t="s">
        <v>319</v>
      </c>
      <c r="C387" s="16" t="s">
        <v>272</v>
      </c>
      <c r="D387" s="16">
        <v>475.9</v>
      </c>
      <c r="E387" s="16">
        <v>475.9</v>
      </c>
      <c r="F387" s="38">
        <v>1</v>
      </c>
      <c r="G387" s="42" t="str">
        <f t="shared" ref="G387:G450" si="25">_xlfn.TEXTJOIN(" - ",TRUE,A387:F387)</f>
        <v>CRO - OAE - Interconexão Diamante ID-14 - BR-163/MT - 475,9 - 475,9 - 1</v>
      </c>
      <c r="H387" s="29" t="s">
        <v>363</v>
      </c>
      <c r="I387" s="29"/>
      <c r="J387" s="29"/>
      <c r="K387" s="29"/>
      <c r="L387" s="29"/>
      <c r="M387" s="29"/>
      <c r="N387" s="29"/>
    </row>
    <row r="388" spans="1:14" x14ac:dyDescent="0.25">
      <c r="A388" s="22" t="s">
        <v>5</v>
      </c>
      <c r="B388" s="13" t="s">
        <v>319</v>
      </c>
      <c r="C388" s="16" t="s">
        <v>273</v>
      </c>
      <c r="D388" s="16">
        <v>480</v>
      </c>
      <c r="E388" s="16">
        <v>480</v>
      </c>
      <c r="F388" s="38">
        <v>1</v>
      </c>
      <c r="G388" s="42" t="str">
        <f t="shared" si="25"/>
        <v>CRO - OAE - Interconexão Diamante ID-15 - BR-163/MT - 480 - 480 - 1</v>
      </c>
      <c r="H388" s="29" t="s">
        <v>363</v>
      </c>
      <c r="I388" s="29"/>
      <c r="J388" s="29"/>
      <c r="K388" s="29"/>
      <c r="L388" s="29"/>
      <c r="M388" s="29"/>
      <c r="N388" s="29"/>
    </row>
    <row r="389" spans="1:14" x14ac:dyDescent="0.25">
      <c r="A389" s="22" t="s">
        <v>5</v>
      </c>
      <c r="B389" s="13" t="s">
        <v>319</v>
      </c>
      <c r="C389" s="16" t="s">
        <v>274</v>
      </c>
      <c r="D389" s="16">
        <v>503.5</v>
      </c>
      <c r="E389" s="16">
        <v>503.5</v>
      </c>
      <c r="F389" s="38">
        <v>1</v>
      </c>
      <c r="G389" s="42" t="str">
        <f t="shared" si="25"/>
        <v>CRO - OAE - Interconexão Diamante ID-16 - BR-163/MT - 503,5 - 503,5 - 1</v>
      </c>
      <c r="H389" s="29" t="s">
        <v>363</v>
      </c>
      <c r="I389" s="29"/>
      <c r="J389" s="29"/>
      <c r="K389" s="29"/>
      <c r="L389" s="29"/>
      <c r="M389" s="29"/>
      <c r="N389" s="29"/>
    </row>
    <row r="390" spans="1:14" x14ac:dyDescent="0.25">
      <c r="A390" s="22" t="s">
        <v>5</v>
      </c>
      <c r="B390" s="13" t="s">
        <v>319</v>
      </c>
      <c r="C390" s="16" t="s">
        <v>275</v>
      </c>
      <c r="D390" s="16">
        <v>572.70000000000005</v>
      </c>
      <c r="E390" s="16">
        <v>572.70000000000005</v>
      </c>
      <c r="F390" s="38">
        <v>1</v>
      </c>
      <c r="G390" s="42" t="str">
        <f t="shared" si="25"/>
        <v>CRO - OAE - Interconexão Diamante ID-17 - BR-163/MT - 572,7 - 572,7 - 1</v>
      </c>
      <c r="H390" s="29" t="s">
        <v>363</v>
      </c>
      <c r="I390" s="29"/>
      <c r="J390" s="29"/>
      <c r="K390" s="29"/>
      <c r="L390" s="29"/>
      <c r="M390" s="29"/>
      <c r="N390" s="29"/>
    </row>
    <row r="391" spans="1:14" x14ac:dyDescent="0.25">
      <c r="A391" s="22" t="s">
        <v>5</v>
      </c>
      <c r="B391" s="13" t="s">
        <v>319</v>
      </c>
      <c r="C391" s="16" t="s">
        <v>276</v>
      </c>
      <c r="D391" s="16">
        <v>592.9</v>
      </c>
      <c r="E391" s="16">
        <v>592.9</v>
      </c>
      <c r="F391" s="38">
        <v>1</v>
      </c>
      <c r="G391" s="42" t="str">
        <f t="shared" si="25"/>
        <v>CRO - OAE - Interconexão Diamante ID-18 - BR-163/MT - 592,9 - 592,9 - 1</v>
      </c>
      <c r="H391" s="29" t="s">
        <v>363</v>
      </c>
      <c r="I391" s="29"/>
      <c r="J391" s="29"/>
      <c r="K391" s="29"/>
      <c r="L391" s="29"/>
      <c r="M391" s="29"/>
      <c r="N391" s="29"/>
    </row>
    <row r="392" spans="1:14" x14ac:dyDescent="0.25">
      <c r="A392" s="22" t="s">
        <v>5</v>
      </c>
      <c r="B392" s="13" t="s">
        <v>319</v>
      </c>
      <c r="C392" s="16" t="s">
        <v>277</v>
      </c>
      <c r="D392" s="16">
        <v>599.20000000000005</v>
      </c>
      <c r="E392" s="16">
        <v>599.20000000000005</v>
      </c>
      <c r="F392" s="38">
        <v>1</v>
      </c>
      <c r="G392" s="42" t="str">
        <f t="shared" si="25"/>
        <v>CRO - OAE - Interconexão Diamante ID-19 - BR-163/MT - 599,2 - 599,2 - 1</v>
      </c>
      <c r="H392" s="29" t="s">
        <v>363</v>
      </c>
      <c r="I392" s="29"/>
      <c r="J392" s="29"/>
      <c r="K392" s="29"/>
      <c r="L392" s="29"/>
      <c r="M392" s="29"/>
      <c r="N392" s="29"/>
    </row>
    <row r="393" spans="1:14" x14ac:dyDescent="0.25">
      <c r="A393" s="22" t="s">
        <v>5</v>
      </c>
      <c r="B393" s="13" t="s">
        <v>319</v>
      </c>
      <c r="C393" s="16" t="s">
        <v>278</v>
      </c>
      <c r="D393" s="16">
        <v>644</v>
      </c>
      <c r="E393" s="16">
        <v>644</v>
      </c>
      <c r="F393" s="38">
        <v>1</v>
      </c>
      <c r="G393" s="42" t="str">
        <f t="shared" si="25"/>
        <v>CRO - OAE - Interconexão Diamante ID-20 - BR-163/MT - 644 - 644 - 1</v>
      </c>
      <c r="H393" s="29" t="s">
        <v>363</v>
      </c>
      <c r="I393" s="29"/>
      <c r="J393" s="29"/>
      <c r="K393" s="29"/>
      <c r="L393" s="29"/>
      <c r="M393" s="29"/>
      <c r="N393" s="29"/>
    </row>
    <row r="394" spans="1:14" x14ac:dyDescent="0.25">
      <c r="A394" s="22" t="s">
        <v>5</v>
      </c>
      <c r="B394" s="13" t="s">
        <v>319</v>
      </c>
      <c r="C394" s="16" t="s">
        <v>279</v>
      </c>
      <c r="D394" s="16">
        <v>660</v>
      </c>
      <c r="E394" s="16">
        <v>660</v>
      </c>
      <c r="F394" s="38">
        <v>1</v>
      </c>
      <c r="G394" s="42" t="str">
        <f t="shared" si="25"/>
        <v>CRO - OAE - Interconexão Diamante ID-21 - BR-163/MT - 660 - 660 - 1</v>
      </c>
      <c r="H394" s="29" t="s">
        <v>363</v>
      </c>
      <c r="I394" s="29"/>
      <c r="J394" s="29"/>
      <c r="K394" s="29"/>
      <c r="L394" s="29"/>
      <c r="M394" s="29"/>
      <c r="N394" s="29"/>
    </row>
    <row r="395" spans="1:14" x14ac:dyDescent="0.25">
      <c r="A395" s="22" t="s">
        <v>5</v>
      </c>
      <c r="B395" s="13" t="s">
        <v>319</v>
      </c>
      <c r="C395" s="16" t="s">
        <v>280</v>
      </c>
      <c r="D395" s="16">
        <v>689.5</v>
      </c>
      <c r="E395" s="16">
        <v>689.5</v>
      </c>
      <c r="F395" s="38">
        <v>1</v>
      </c>
      <c r="G395" s="42" t="str">
        <f t="shared" si="25"/>
        <v>CRO - OAE - Interconexão Diamante ID-22 - BR-163/MT - 689,5 - 689,5 - 1</v>
      </c>
      <c r="H395" s="29" t="s">
        <v>363</v>
      </c>
      <c r="I395" s="29"/>
      <c r="J395" s="29"/>
      <c r="K395" s="29"/>
      <c r="L395" s="29"/>
      <c r="M395" s="29"/>
      <c r="N395" s="29"/>
    </row>
    <row r="396" spans="1:14" x14ac:dyDescent="0.25">
      <c r="A396" s="22" t="s">
        <v>5</v>
      </c>
      <c r="B396" s="13" t="s">
        <v>319</v>
      </c>
      <c r="C396" s="16" t="s">
        <v>281</v>
      </c>
      <c r="D396" s="16">
        <v>713.8</v>
      </c>
      <c r="E396" s="16">
        <v>713.8</v>
      </c>
      <c r="F396" s="38">
        <v>1</v>
      </c>
      <c r="G396" s="42" t="str">
        <f t="shared" si="25"/>
        <v>CRO - OAE - Interconexão Diamante ID-23 - BR-163/MT - 713,8 - 713,8 - 1</v>
      </c>
      <c r="H396" s="29" t="s">
        <v>363</v>
      </c>
      <c r="I396" s="29"/>
      <c r="J396" s="29"/>
      <c r="K396" s="29"/>
      <c r="L396" s="29"/>
      <c r="M396" s="29"/>
      <c r="N396" s="29"/>
    </row>
    <row r="397" spans="1:14" x14ac:dyDescent="0.25">
      <c r="A397" s="22" t="s">
        <v>5</v>
      </c>
      <c r="B397" s="13" t="s">
        <v>319</v>
      </c>
      <c r="C397" s="16" t="s">
        <v>282</v>
      </c>
      <c r="D397" s="16">
        <v>758.8</v>
      </c>
      <c r="E397" s="16">
        <v>758.8</v>
      </c>
      <c r="F397" s="38">
        <v>1</v>
      </c>
      <c r="G397" s="42" t="str">
        <f t="shared" si="25"/>
        <v>CRO - OAE - Interconexão Diamante ID-24 - BR-163/MT - 758,8 - 758,8 - 1</v>
      </c>
      <c r="H397" s="29" t="s">
        <v>363</v>
      </c>
      <c r="I397" s="29"/>
      <c r="J397" s="29"/>
      <c r="K397" s="29"/>
      <c r="L397" s="29"/>
      <c r="M397" s="29"/>
      <c r="N397" s="29"/>
    </row>
    <row r="398" spans="1:14" x14ac:dyDescent="0.25">
      <c r="A398" s="22" t="s">
        <v>5</v>
      </c>
      <c r="B398" s="13" t="s">
        <v>319</v>
      </c>
      <c r="C398" s="16" t="s">
        <v>283</v>
      </c>
      <c r="D398" s="16">
        <v>762.8</v>
      </c>
      <c r="E398" s="16">
        <v>762.8</v>
      </c>
      <c r="F398" s="38">
        <v>1</v>
      </c>
      <c r="G398" s="42" t="str">
        <f t="shared" si="25"/>
        <v>CRO - OAE - Interconexão Diamante ID-25 - BR-163/MT - 762,8 - 762,8 - 1</v>
      </c>
      <c r="H398" s="29" t="s">
        <v>363</v>
      </c>
      <c r="I398" s="29"/>
      <c r="J398" s="29"/>
      <c r="K398" s="29"/>
      <c r="L398" s="29"/>
      <c r="M398" s="29"/>
      <c r="N398" s="29"/>
    </row>
    <row r="399" spans="1:14" x14ac:dyDescent="0.25">
      <c r="A399" s="22" t="s">
        <v>5</v>
      </c>
      <c r="B399" s="13" t="s">
        <v>319</v>
      </c>
      <c r="C399" s="16" t="s">
        <v>284</v>
      </c>
      <c r="D399" s="16">
        <v>819.8</v>
      </c>
      <c r="E399" s="16">
        <v>819.8</v>
      </c>
      <c r="F399" s="38">
        <v>1</v>
      </c>
      <c r="G399" s="42" t="str">
        <f t="shared" si="25"/>
        <v>CRO - OAE - Interconexão Diamante ID-26 - BR-163/MT - 819,8 - 819,8 - 1</v>
      </c>
      <c r="H399" s="29" t="s">
        <v>363</v>
      </c>
      <c r="I399" s="29"/>
      <c r="J399" s="29"/>
      <c r="K399" s="29"/>
      <c r="L399" s="29"/>
      <c r="M399" s="29"/>
      <c r="N399" s="29"/>
    </row>
    <row r="400" spans="1:14" x14ac:dyDescent="0.25">
      <c r="A400" s="22" t="s">
        <v>5</v>
      </c>
      <c r="B400" s="13" t="s">
        <v>319</v>
      </c>
      <c r="C400" s="16" t="s">
        <v>285</v>
      </c>
      <c r="D400" s="16">
        <v>831.5</v>
      </c>
      <c r="E400" s="16">
        <v>831.5</v>
      </c>
      <c r="F400" s="38">
        <v>1</v>
      </c>
      <c r="G400" s="42" t="str">
        <f t="shared" si="25"/>
        <v>CRO - OAE - Interconexão Diamante ID-27 - BR-163/MT - 831,5 - 831,5 - 1</v>
      </c>
      <c r="H400" s="29" t="s">
        <v>363</v>
      </c>
      <c r="I400" s="29"/>
      <c r="J400" s="29"/>
      <c r="K400" s="29"/>
      <c r="L400" s="29"/>
      <c r="M400" s="29"/>
      <c r="N400" s="29"/>
    </row>
    <row r="401" spans="1:14" x14ac:dyDescent="0.25">
      <c r="A401" s="22" t="s">
        <v>5</v>
      </c>
      <c r="B401" s="13" t="s">
        <v>319</v>
      </c>
      <c r="C401" s="16" t="s">
        <v>286</v>
      </c>
      <c r="D401" s="16">
        <v>833.3</v>
      </c>
      <c r="E401" s="16">
        <v>833.3</v>
      </c>
      <c r="F401" s="38">
        <v>1</v>
      </c>
      <c r="G401" s="42" t="str">
        <f t="shared" si="25"/>
        <v>CRO - OAE - Interconexão Diamante ID-28 - BR-163/MT - 833,3 - 833,3 - 1</v>
      </c>
      <c r="H401" s="29" t="s">
        <v>363</v>
      </c>
      <c r="I401" s="29"/>
      <c r="J401" s="29"/>
      <c r="K401" s="29"/>
      <c r="L401" s="29"/>
      <c r="M401" s="29"/>
      <c r="N401" s="29"/>
    </row>
    <row r="402" spans="1:14" x14ac:dyDescent="0.25">
      <c r="A402" s="22" t="s">
        <v>5</v>
      </c>
      <c r="B402" s="13" t="s">
        <v>319</v>
      </c>
      <c r="C402" s="16" t="s">
        <v>287</v>
      </c>
      <c r="D402" s="16">
        <v>839.8</v>
      </c>
      <c r="E402" s="16">
        <v>839.8</v>
      </c>
      <c r="F402" s="38">
        <v>1</v>
      </c>
      <c r="G402" s="42" t="str">
        <f t="shared" si="25"/>
        <v>CRO - OAE - Interconexão Diamante ID-29 - BR-163/MT - 839,8 - 839,8 - 1</v>
      </c>
      <c r="H402" s="29" t="s">
        <v>363</v>
      </c>
      <c r="I402" s="29"/>
      <c r="J402" s="29"/>
      <c r="K402" s="29"/>
      <c r="L402" s="29"/>
      <c r="M402" s="29"/>
      <c r="N402" s="29"/>
    </row>
    <row r="403" spans="1:14" x14ac:dyDescent="0.25">
      <c r="A403" s="22" t="s">
        <v>5</v>
      </c>
      <c r="B403" s="13" t="s">
        <v>319</v>
      </c>
      <c r="C403" s="16" t="s">
        <v>288</v>
      </c>
      <c r="D403" s="16">
        <v>855</v>
      </c>
      <c r="E403" s="16">
        <v>855</v>
      </c>
      <c r="F403" s="38">
        <v>1</v>
      </c>
      <c r="G403" s="42" t="str">
        <f t="shared" si="25"/>
        <v>CRO - OAE - Interconexão Diamante ID-30 - BR-163/MT - 855 - 855 - 1</v>
      </c>
      <c r="H403" s="29" t="s">
        <v>363</v>
      </c>
      <c r="I403" s="29"/>
      <c r="J403" s="29"/>
      <c r="K403" s="29"/>
      <c r="L403" s="29"/>
      <c r="M403" s="29"/>
      <c r="N403" s="29"/>
    </row>
    <row r="404" spans="1:14" x14ac:dyDescent="0.25">
      <c r="A404" s="22" t="s">
        <v>5</v>
      </c>
      <c r="B404" s="13" t="s">
        <v>319</v>
      </c>
      <c r="C404" s="16" t="s">
        <v>289</v>
      </c>
      <c r="D404" s="16">
        <v>102</v>
      </c>
      <c r="E404" s="16">
        <v>102</v>
      </c>
      <c r="F404" s="38">
        <v>1</v>
      </c>
      <c r="G404" s="42" t="str">
        <f t="shared" si="25"/>
        <v>CRO - OAE - Interconexão Trombeta ID - 01 - BR - 163/MT - 102 - 102 - 1</v>
      </c>
      <c r="H404" s="29" t="s">
        <v>363</v>
      </c>
      <c r="I404" s="29"/>
      <c r="J404" s="29"/>
      <c r="K404" s="29"/>
      <c r="L404" s="29"/>
      <c r="M404" s="29"/>
      <c r="N404" s="29"/>
    </row>
    <row r="405" spans="1:14" x14ac:dyDescent="0.25">
      <c r="A405" s="22" t="s">
        <v>5</v>
      </c>
      <c r="B405" s="13" t="s">
        <v>319</v>
      </c>
      <c r="C405" s="16" t="s">
        <v>290</v>
      </c>
      <c r="D405" s="16">
        <v>107</v>
      </c>
      <c r="E405" s="16">
        <v>107</v>
      </c>
      <c r="F405" s="38">
        <v>1</v>
      </c>
      <c r="G405" s="42" t="str">
        <f t="shared" si="25"/>
        <v>CRO - OAE - Interconexão Trombeta ID - 02 - BR - 163/MT - 107 - 107 - 1</v>
      </c>
      <c r="H405" s="29" t="s">
        <v>363</v>
      </c>
      <c r="I405" s="29"/>
      <c r="J405" s="29"/>
      <c r="K405" s="29"/>
      <c r="L405" s="29"/>
      <c r="M405" s="29"/>
      <c r="N405" s="29"/>
    </row>
    <row r="406" spans="1:14" x14ac:dyDescent="0.25">
      <c r="A406" s="22" t="s">
        <v>5</v>
      </c>
      <c r="B406" s="13" t="s">
        <v>319</v>
      </c>
      <c r="C406" s="16" t="s">
        <v>291</v>
      </c>
      <c r="D406" s="16">
        <v>787.3</v>
      </c>
      <c r="E406" s="16">
        <v>787.3</v>
      </c>
      <c r="F406" s="38">
        <v>1</v>
      </c>
      <c r="G406" s="42" t="str">
        <f t="shared" si="25"/>
        <v>CRO - OAE - Interconexão Trombeta ID - 03 - BR - 163/MT - 787,3 - 787,3 - 1</v>
      </c>
      <c r="H406" s="29" t="s">
        <v>363</v>
      </c>
      <c r="I406" s="29"/>
      <c r="J406" s="29"/>
      <c r="K406" s="29"/>
      <c r="L406" s="29"/>
      <c r="M406" s="29"/>
      <c r="N406" s="29"/>
    </row>
    <row r="407" spans="1:14" x14ac:dyDescent="0.25">
      <c r="A407" s="22" t="s">
        <v>5</v>
      </c>
      <c r="B407" s="13" t="s">
        <v>319</v>
      </c>
      <c r="C407" s="16" t="s">
        <v>292</v>
      </c>
      <c r="D407" s="16">
        <v>119.9</v>
      </c>
      <c r="E407" s="16">
        <v>119.9</v>
      </c>
      <c r="F407" s="38">
        <v>1</v>
      </c>
      <c r="G407" s="42" t="str">
        <f t="shared" si="25"/>
        <v>CRO - OAE - Interconexão Trombeta ID - 04 - BR - 163/MT - 119,9 - 119,9 - 1</v>
      </c>
      <c r="H407" s="29" t="s">
        <v>363</v>
      </c>
      <c r="I407" s="29"/>
      <c r="J407" s="29"/>
      <c r="K407" s="29"/>
      <c r="L407" s="29"/>
      <c r="M407" s="29"/>
      <c r="N407" s="29"/>
    </row>
    <row r="408" spans="1:14" x14ac:dyDescent="0.25">
      <c r="A408" s="22" t="s">
        <v>5</v>
      </c>
      <c r="B408" s="13" t="s">
        <v>319</v>
      </c>
      <c r="C408" s="16" t="s">
        <v>293</v>
      </c>
      <c r="D408" s="16">
        <v>32</v>
      </c>
      <c r="E408" s="16">
        <v>32</v>
      </c>
      <c r="F408" s="38">
        <v>1</v>
      </c>
      <c r="G408" s="42" t="str">
        <f t="shared" si="25"/>
        <v>CRO - OAE - Retorno em desnível ID - 01 - BR - 163/MT - 32 - 32 - 1</v>
      </c>
      <c r="H408" s="29" t="s">
        <v>363</v>
      </c>
      <c r="I408" s="29"/>
      <c r="J408" s="29"/>
      <c r="K408" s="29"/>
      <c r="L408" s="29"/>
      <c r="M408" s="29"/>
      <c r="N408" s="29"/>
    </row>
    <row r="409" spans="1:14" x14ac:dyDescent="0.25">
      <c r="A409" s="22" t="s">
        <v>5</v>
      </c>
      <c r="B409" s="13" t="s">
        <v>319</v>
      </c>
      <c r="C409" s="16" t="s">
        <v>294</v>
      </c>
      <c r="D409" s="16">
        <v>56.43</v>
      </c>
      <c r="E409" s="16">
        <v>56.43</v>
      </c>
      <c r="F409" s="38">
        <v>1</v>
      </c>
      <c r="G409" s="42" t="str">
        <f t="shared" si="25"/>
        <v>CRO - OAE - Retorno em desnível ID - 02 - BR - 163/MT - 56,43 - 56,43 - 1</v>
      </c>
      <c r="H409" s="29" t="s">
        <v>363</v>
      </c>
      <c r="I409" s="29"/>
      <c r="J409" s="29"/>
      <c r="K409" s="29"/>
      <c r="L409" s="29"/>
      <c r="M409" s="29"/>
      <c r="N409" s="29"/>
    </row>
    <row r="410" spans="1:14" x14ac:dyDescent="0.25">
      <c r="A410" s="22" t="s">
        <v>5</v>
      </c>
      <c r="B410" s="13" t="s">
        <v>319</v>
      </c>
      <c r="C410" s="16" t="s">
        <v>295</v>
      </c>
      <c r="D410" s="16">
        <v>548</v>
      </c>
      <c r="E410" s="16">
        <v>548</v>
      </c>
      <c r="F410" s="38">
        <v>1</v>
      </c>
      <c r="G410" s="42" t="str">
        <f t="shared" si="25"/>
        <v>CRO - OAE - Retorno em desnível ID - 03 - BR - 163/MT - 548 - 548 - 1</v>
      </c>
      <c r="H410" s="29" t="s">
        <v>363</v>
      </c>
      <c r="I410" s="29"/>
      <c r="J410" s="29"/>
      <c r="K410" s="29"/>
      <c r="L410" s="29"/>
      <c r="M410" s="29"/>
      <c r="N410" s="29"/>
    </row>
    <row r="411" spans="1:14" x14ac:dyDescent="0.25">
      <c r="A411" s="22" t="s">
        <v>5</v>
      </c>
      <c r="B411" s="13" t="s">
        <v>319</v>
      </c>
      <c r="C411" s="16" t="s">
        <v>296</v>
      </c>
      <c r="D411" s="16">
        <v>620</v>
      </c>
      <c r="E411" s="16">
        <v>620</v>
      </c>
      <c r="F411" s="38">
        <v>1</v>
      </c>
      <c r="G411" s="42" t="str">
        <f t="shared" si="25"/>
        <v>CRO - OAE - Retorno em desnível ID - 04 - BR - 163/MT - 620 - 620 - 1</v>
      </c>
      <c r="H411" s="29" t="s">
        <v>363</v>
      </c>
      <c r="I411" s="29"/>
      <c r="J411" s="29"/>
      <c r="K411" s="29"/>
      <c r="L411" s="29"/>
      <c r="M411" s="29"/>
      <c r="N411" s="29"/>
    </row>
    <row r="412" spans="1:14" x14ac:dyDescent="0.25">
      <c r="A412" s="22" t="s">
        <v>5</v>
      </c>
      <c r="B412" s="13" t="s">
        <v>319</v>
      </c>
      <c r="C412" s="16" t="s">
        <v>297</v>
      </c>
      <c r="D412" s="16">
        <v>670</v>
      </c>
      <c r="E412" s="16">
        <v>670</v>
      </c>
      <c r="F412" s="38">
        <v>1</v>
      </c>
      <c r="G412" s="42" t="str">
        <f t="shared" si="25"/>
        <v>CRO - OAE - Retorno em desnível ID - 05 - BR - 163/MT - 670 - 670 - 1</v>
      </c>
      <c r="H412" s="29" t="s">
        <v>363</v>
      </c>
      <c r="I412" s="29"/>
      <c r="J412" s="29"/>
      <c r="K412" s="29"/>
      <c r="L412" s="29"/>
      <c r="M412" s="29"/>
      <c r="N412" s="29"/>
    </row>
    <row r="413" spans="1:14" x14ac:dyDescent="0.25">
      <c r="A413" s="22" t="s">
        <v>5</v>
      </c>
      <c r="B413" s="13" t="s">
        <v>319</v>
      </c>
      <c r="C413" s="16" t="s">
        <v>298</v>
      </c>
      <c r="D413" s="16">
        <v>805</v>
      </c>
      <c r="E413" s="16">
        <v>805</v>
      </c>
      <c r="F413" s="38">
        <v>1</v>
      </c>
      <c r="G413" s="42" t="str">
        <f t="shared" si="25"/>
        <v>CRO - OAE - Retorno em desnível ID - 06 - BR - 163/MT - 805 - 805 - 1</v>
      </c>
      <c r="H413" s="29" t="s">
        <v>363</v>
      </c>
      <c r="I413" s="29"/>
      <c r="J413" s="29"/>
      <c r="K413" s="29"/>
      <c r="L413" s="29"/>
      <c r="M413" s="29"/>
      <c r="N413" s="29"/>
    </row>
    <row r="414" spans="1:14" x14ac:dyDescent="0.25">
      <c r="A414" s="22" t="s">
        <v>5</v>
      </c>
      <c r="B414" s="13" t="s">
        <v>319</v>
      </c>
      <c r="C414" s="16" t="s">
        <v>299</v>
      </c>
      <c r="D414" s="16">
        <v>322.8</v>
      </c>
      <c r="E414" s="16">
        <v>322.8</v>
      </c>
      <c r="F414" s="38">
        <v>1</v>
      </c>
      <c r="G414" s="42" t="str">
        <f t="shared" si="25"/>
        <v>CRO - OAE - Interconexão tipo Trevo Completo ID-01 - BR - 407/MT - 322,8 - 322,8 - 1</v>
      </c>
      <c r="H414" s="29" t="s">
        <v>363</v>
      </c>
      <c r="I414" s="29"/>
      <c r="J414" s="29"/>
      <c r="K414" s="29"/>
      <c r="L414" s="29"/>
      <c r="M414" s="29"/>
      <c r="N414" s="29"/>
    </row>
    <row r="415" spans="1:14" x14ac:dyDescent="0.25">
      <c r="A415" s="22" t="s">
        <v>5</v>
      </c>
      <c r="B415" s="13" t="s">
        <v>319</v>
      </c>
      <c r="C415" s="16" t="s">
        <v>300</v>
      </c>
      <c r="D415" s="16">
        <v>329</v>
      </c>
      <c r="E415" s="16">
        <v>329</v>
      </c>
      <c r="F415" s="38">
        <v>1</v>
      </c>
      <c r="G415" s="42" t="str">
        <f t="shared" si="25"/>
        <v>CRO - OAE - Interconexão tipo Trevo Completo ID-02 - BR - 407/MT - 329 - 329 - 1</v>
      </c>
      <c r="H415" s="29" t="s">
        <v>363</v>
      </c>
      <c r="I415" s="29"/>
      <c r="J415" s="29"/>
      <c r="K415" s="29"/>
      <c r="L415" s="29"/>
      <c r="M415" s="29"/>
      <c r="N415" s="29"/>
    </row>
    <row r="416" spans="1:14" x14ac:dyDescent="0.25">
      <c r="A416" s="22" t="s">
        <v>5</v>
      </c>
      <c r="B416" s="13" t="s">
        <v>319</v>
      </c>
      <c r="C416" s="16" t="s">
        <v>301</v>
      </c>
      <c r="D416" s="16">
        <v>339.1</v>
      </c>
      <c r="E416" s="16">
        <v>339.1</v>
      </c>
      <c r="F416" s="38">
        <v>1</v>
      </c>
      <c r="G416" s="42" t="str">
        <f t="shared" si="25"/>
        <v>CRO - OAE - Interconexão tipo Trevo Completo ID-03 - BR - 407/MT - 339,1 - 339,1 - 1</v>
      </c>
      <c r="H416" s="29" t="s">
        <v>363</v>
      </c>
      <c r="I416" s="29"/>
      <c r="J416" s="29"/>
      <c r="K416" s="29"/>
      <c r="L416" s="29"/>
      <c r="M416" s="29"/>
      <c r="N416" s="29"/>
    </row>
    <row r="417" spans="1:14" x14ac:dyDescent="0.25">
      <c r="A417" s="22" t="s">
        <v>5</v>
      </c>
      <c r="B417" s="13" t="s">
        <v>319</v>
      </c>
      <c r="C417" s="16" t="s">
        <v>302</v>
      </c>
      <c r="D417" s="16">
        <v>342.7</v>
      </c>
      <c r="E417" s="16">
        <v>342.7</v>
      </c>
      <c r="F417" s="38">
        <v>1</v>
      </c>
      <c r="G417" s="42" t="str">
        <f t="shared" si="25"/>
        <v>CRO - OAE - Interconexão tipo Trevo Completo ID-04 - BR - 407/MT - 342,7 - 342,7 - 1</v>
      </c>
      <c r="H417" s="29" t="s">
        <v>363</v>
      </c>
      <c r="I417" s="29"/>
      <c r="J417" s="29"/>
      <c r="K417" s="29"/>
      <c r="L417" s="29"/>
      <c r="M417" s="29"/>
      <c r="N417" s="29"/>
    </row>
    <row r="418" spans="1:14" x14ac:dyDescent="0.25">
      <c r="A418" s="22" t="s">
        <v>5</v>
      </c>
      <c r="B418" s="13" t="s">
        <v>321</v>
      </c>
      <c r="C418" s="16" t="s">
        <v>303</v>
      </c>
      <c r="D418" s="16">
        <v>117.6</v>
      </c>
      <c r="E418" s="16">
        <v>119.9</v>
      </c>
      <c r="F418" s="38">
        <f>E418-D418</f>
        <v>2.3000000000000114</v>
      </c>
      <c r="G418" s="42" t="str">
        <f t="shared" si="25"/>
        <v>CRO - CONTORNO - Implantação de Contornos em pista dupla em trecho urbano - Rondonópolis - MT - 117,6 - 119,9 - 2,30000000000001</v>
      </c>
      <c r="H418" s="29" t="s">
        <v>363</v>
      </c>
      <c r="I418" s="29"/>
      <c r="J418" s="29"/>
      <c r="K418" s="29"/>
      <c r="L418" s="29"/>
      <c r="M418" s="29"/>
      <c r="N418" s="29"/>
    </row>
    <row r="419" spans="1:14" x14ac:dyDescent="0.25">
      <c r="A419" s="22" t="s">
        <v>3</v>
      </c>
      <c r="B419" s="13" t="s">
        <v>317</v>
      </c>
      <c r="C419" s="16" t="s">
        <v>304</v>
      </c>
      <c r="D419" s="16">
        <v>0</v>
      </c>
      <c r="E419" s="16">
        <v>2.4</v>
      </c>
      <c r="F419" s="38">
        <f>E419-D419</f>
        <v>2.4</v>
      </c>
      <c r="G419" s="42" t="str">
        <f t="shared" si="25"/>
        <v>ECOPONTE - PAVIMENTAÇÃO - Execução de Alça de Ligação Ponte - Linha Vermelha: concepção em viaduto elevado - extensão de 2,4 km - 0 - 2,4 - 2,4</v>
      </c>
      <c r="H419" s="29" t="s">
        <v>363</v>
      </c>
      <c r="I419" s="29"/>
      <c r="J419" s="29"/>
      <c r="K419" s="29"/>
      <c r="L419" s="29"/>
      <c r="M419" s="29"/>
      <c r="N419" s="29"/>
    </row>
    <row r="420" spans="1:14" x14ac:dyDescent="0.25">
      <c r="A420" s="22" t="s">
        <v>3</v>
      </c>
      <c r="B420" s="13" t="s">
        <v>317</v>
      </c>
      <c r="C420" s="20" t="s">
        <v>305</v>
      </c>
      <c r="D420" s="16">
        <v>0</v>
      </c>
      <c r="E420" s="16">
        <v>5</v>
      </c>
      <c r="F420" s="38">
        <f>E420-D420</f>
        <v>5</v>
      </c>
      <c r="G420" s="42" t="str">
        <f t="shared" si="25"/>
        <v>ECOPONTE - PAVIMENTAÇÃO - Execução de Ligação entre a Ponte e a Avenida Brasil. Concepção em viaduto elevado -  (Extensão?) - 0 - 5 - 5</v>
      </c>
      <c r="H420" s="29" t="s">
        <v>363</v>
      </c>
      <c r="I420" s="29"/>
      <c r="J420" s="29"/>
      <c r="K420" s="29"/>
      <c r="L420" s="29"/>
      <c r="M420" s="29"/>
      <c r="N420" s="29"/>
    </row>
    <row r="421" spans="1:14" x14ac:dyDescent="0.25">
      <c r="A421" s="22" t="s">
        <v>3</v>
      </c>
      <c r="B421" s="13" t="s">
        <v>319</v>
      </c>
      <c r="C421" s="16" t="s">
        <v>304</v>
      </c>
      <c r="D421" s="16">
        <v>121</v>
      </c>
      <c r="E421" s="16">
        <v>121</v>
      </c>
      <c r="F421" s="38">
        <v>1</v>
      </c>
      <c r="G421" s="42" t="str">
        <f t="shared" si="25"/>
        <v>ECOPONTE - OAE - Execução de Alça de Ligação Ponte - Linha Vermelha: concepção em viaduto elevado - extensão de 2,4 km - 121 - 121 - 1</v>
      </c>
      <c r="H421" s="29" t="s">
        <v>363</v>
      </c>
      <c r="I421" s="29"/>
      <c r="J421" s="29"/>
      <c r="K421" s="29"/>
      <c r="L421" s="29"/>
      <c r="M421" s="29"/>
      <c r="N421" s="29"/>
    </row>
    <row r="422" spans="1:14" x14ac:dyDescent="0.25">
      <c r="A422" s="22" t="s">
        <v>3</v>
      </c>
      <c r="B422" s="13" t="s">
        <v>319</v>
      </c>
      <c r="C422" s="16" t="s">
        <v>306</v>
      </c>
      <c r="D422" s="16">
        <v>321</v>
      </c>
      <c r="E422" s="16">
        <v>321</v>
      </c>
      <c r="F422" s="38">
        <v>1</v>
      </c>
      <c r="G422" s="42" t="str">
        <f t="shared" si="25"/>
        <v>ECOPONTE - OAE - Execução de Mergulhão em Niteroi - Passagem subterrânea sob a Praça Renascença - 321 - 321 - 1</v>
      </c>
      <c r="H422" s="29" t="s">
        <v>363</v>
      </c>
      <c r="I422" s="29"/>
      <c r="J422" s="29"/>
      <c r="K422" s="29"/>
      <c r="L422" s="29"/>
      <c r="M422" s="29"/>
      <c r="N422" s="29"/>
    </row>
    <row r="423" spans="1:14" x14ac:dyDescent="0.25">
      <c r="A423" s="22" t="s">
        <v>3</v>
      </c>
      <c r="B423" s="13" t="s">
        <v>319</v>
      </c>
      <c r="C423" s="20" t="s">
        <v>305</v>
      </c>
      <c r="D423" s="16">
        <v>1</v>
      </c>
      <c r="E423" s="16">
        <v>1</v>
      </c>
      <c r="F423" s="38">
        <v>1</v>
      </c>
      <c r="G423" s="42" t="str">
        <f t="shared" si="25"/>
        <v>ECOPONTE - OAE - Execução de Ligação entre a Ponte e a Avenida Brasil. Concepção em viaduto elevado -  (Extensão?) - 1 - 1 - 1</v>
      </c>
      <c r="H423" s="29" t="s">
        <v>363</v>
      </c>
      <c r="I423" s="29"/>
      <c r="J423" s="29"/>
      <c r="K423" s="29"/>
      <c r="L423" s="29"/>
      <c r="M423" s="29"/>
      <c r="N423" s="29"/>
    </row>
    <row r="424" spans="1:14" ht="26.25" x14ac:dyDescent="0.25">
      <c r="A424" s="22" t="s">
        <v>3</v>
      </c>
      <c r="B424" s="13" t="s">
        <v>324</v>
      </c>
      <c r="C424" s="14" t="s">
        <v>307</v>
      </c>
      <c r="D424" s="16">
        <v>0</v>
      </c>
      <c r="E424" s="16">
        <v>1</v>
      </c>
      <c r="F424" s="38">
        <f>(E424-D424)</f>
        <v>1</v>
      </c>
      <c r="G424" s="42" t="str">
        <f t="shared" si="25"/>
        <v>ECOPONTE - TERCEIRA FAIXA - Alargamento da rampa N4 no Sentido Rio-Niterói entre a Praça de Pedágio e o Acesso à Avenida Feliciano Sodré - Implantação de Faixa Adicionalà Rampa N4 (Extensão?) - 0 - 1 - 1</v>
      </c>
      <c r="H424" s="29" t="s">
        <v>363</v>
      </c>
      <c r="I424" s="29"/>
      <c r="J424" s="29"/>
      <c r="K424" s="29"/>
      <c r="L424" s="29"/>
      <c r="M424" s="29"/>
      <c r="N424" s="29"/>
    </row>
    <row r="425" spans="1:14" x14ac:dyDescent="0.25">
      <c r="A425" s="13" t="s">
        <v>3</v>
      </c>
      <c r="B425" s="13" t="s">
        <v>324</v>
      </c>
      <c r="C425" s="14" t="s">
        <v>308</v>
      </c>
      <c r="D425" s="16">
        <v>0</v>
      </c>
      <c r="E425" s="16">
        <v>1</v>
      </c>
      <c r="F425" s="38">
        <f>(E425-D425)</f>
        <v>1</v>
      </c>
      <c r="G425" s="42" t="str">
        <f t="shared" si="25"/>
        <v>ECOPONTE - TERCEIRA FAIXA - Alargamento do Viaduto da Rampa N12 - implantação da faixa adicional à rampa N12 (Extensão?) - 0 - 1 - 1</v>
      </c>
      <c r="H425" s="29" t="s">
        <v>363</v>
      </c>
      <c r="I425" s="29"/>
      <c r="J425" s="29"/>
      <c r="K425" s="29"/>
      <c r="L425" s="29"/>
      <c r="M425" s="29"/>
      <c r="N425" s="29"/>
    </row>
    <row r="426" spans="1:14" x14ac:dyDescent="0.25">
      <c r="A426" s="84" t="s">
        <v>382</v>
      </c>
      <c r="B426" s="85" t="s">
        <v>317</v>
      </c>
      <c r="C426" s="86" t="s">
        <v>326</v>
      </c>
      <c r="D426" s="86">
        <v>243.6</v>
      </c>
      <c r="E426" s="86">
        <v>246.9</v>
      </c>
      <c r="F426" s="87">
        <v>3.3000000000000114</v>
      </c>
      <c r="G426" s="88" t="str">
        <f t="shared" si="25"/>
        <v>CONCESSÃO VIA SUL - PAVIMENTAÇÃO - Vias marginais - km 243,6 ao km 246,9 LE - Soledade - 243,6 - 246,9 - 3,30000000000001</v>
      </c>
      <c r="H426" s="58"/>
      <c r="I426" s="58" t="s">
        <v>368</v>
      </c>
    </row>
    <row r="427" spans="1:14" x14ac:dyDescent="0.25">
      <c r="A427" s="84" t="s">
        <v>382</v>
      </c>
      <c r="B427" s="85" t="s">
        <v>317</v>
      </c>
      <c r="C427" s="86" t="s">
        <v>327</v>
      </c>
      <c r="D427" s="86">
        <v>243.6</v>
      </c>
      <c r="E427" s="86">
        <v>246.9</v>
      </c>
      <c r="F427" s="87">
        <v>3.3000000000000114</v>
      </c>
      <c r="G427" s="88" t="str">
        <f t="shared" si="25"/>
        <v>CONCESSÃO VIA SUL - PAVIMENTAÇÃO - Vias marginais - km 243,6 ao km 246,9 LD - Soledade - 243,6 - 246,9 - 3,30000000000001</v>
      </c>
      <c r="H427" s="58"/>
      <c r="I427" s="58" t="s">
        <v>368</v>
      </c>
    </row>
    <row r="428" spans="1:14" x14ac:dyDescent="0.25">
      <c r="A428" s="84" t="s">
        <v>382</v>
      </c>
      <c r="B428" s="85" t="s">
        <v>317</v>
      </c>
      <c r="C428" s="86" t="s">
        <v>328</v>
      </c>
      <c r="D428" s="86">
        <v>268</v>
      </c>
      <c r="E428" s="86">
        <v>271.8</v>
      </c>
      <c r="F428" s="87">
        <v>3.8000000000000114</v>
      </c>
      <c r="G428" s="88" t="str">
        <f t="shared" si="25"/>
        <v>CONCESSÃO VIA SUL - PAVIMENTAÇÃO - Vias marginais - km 268 ao km 271,8 LE - Fontoura Xavier - 268 - 271,8 - 3,80000000000001</v>
      </c>
      <c r="H428" s="58"/>
      <c r="I428" s="58" t="s">
        <v>368</v>
      </c>
    </row>
    <row r="429" spans="1:14" x14ac:dyDescent="0.25">
      <c r="A429" s="84" t="s">
        <v>382</v>
      </c>
      <c r="B429" s="85" t="s">
        <v>317</v>
      </c>
      <c r="C429" s="86" t="s">
        <v>329</v>
      </c>
      <c r="D429" s="86">
        <v>268</v>
      </c>
      <c r="E429" s="86">
        <v>271.8</v>
      </c>
      <c r="F429" s="87">
        <v>3.8000000000000114</v>
      </c>
      <c r="G429" s="88" t="str">
        <f t="shared" si="25"/>
        <v>CONCESSÃO VIA SUL - PAVIMENTAÇÃO - Vias marginais - km 268 ao km 271,8 LD - Fontoura Xavier - 268 - 271,8 - 3,80000000000001</v>
      </c>
      <c r="H429" s="58"/>
      <c r="I429" s="58" t="s">
        <v>368</v>
      </c>
    </row>
    <row r="430" spans="1:14" x14ac:dyDescent="0.25">
      <c r="A430" s="33" t="s">
        <v>365</v>
      </c>
      <c r="B430" s="13" t="s">
        <v>317</v>
      </c>
      <c r="C430" s="33" t="s">
        <v>337</v>
      </c>
      <c r="D430" s="33">
        <v>870.7</v>
      </c>
      <c r="E430" s="33">
        <v>872.3</v>
      </c>
      <c r="F430" s="41">
        <v>1.5999999999999091</v>
      </c>
      <c r="G430" s="42" t="str">
        <f t="shared" si="25"/>
        <v>CERRADO - PAVIMENTAÇÃO - Vias Marginais  (Chaveslândia) - 870,7 - 872,3 - 1,59999999999991</v>
      </c>
      <c r="I430" s="23" t="s">
        <v>368</v>
      </c>
    </row>
    <row r="431" spans="1:14" x14ac:dyDescent="0.25">
      <c r="A431" s="33" t="s">
        <v>365</v>
      </c>
      <c r="B431" s="13" t="s">
        <v>317</v>
      </c>
      <c r="C431" s="33" t="s">
        <v>338</v>
      </c>
      <c r="D431" s="33">
        <v>5</v>
      </c>
      <c r="E431" s="33">
        <v>8.5</v>
      </c>
      <c r="F431" s="41">
        <v>3.5</v>
      </c>
      <c r="G431" s="42" t="str">
        <f t="shared" si="25"/>
        <v>CERRADO - PAVIMENTAÇÃO - Vias Marginais LD (São Simão) - 5 - 8,5 - 3,5</v>
      </c>
      <c r="I431" s="23" t="s">
        <v>368</v>
      </c>
    </row>
    <row r="432" spans="1:14" x14ac:dyDescent="0.25">
      <c r="A432" s="33" t="s">
        <v>365</v>
      </c>
      <c r="B432" s="13" t="s">
        <v>317</v>
      </c>
      <c r="C432" s="33" t="s">
        <v>339</v>
      </c>
      <c r="D432" s="33">
        <v>57</v>
      </c>
      <c r="E432" s="33">
        <v>58</v>
      </c>
      <c r="F432" s="41">
        <v>1</v>
      </c>
      <c r="G432" s="42" t="str">
        <f t="shared" si="25"/>
        <v>CERRADO - PAVIMENTAÇÃO - Vias Marginais LD (Cachoeira Alta) - 57 - 58 - 1</v>
      </c>
      <c r="I432" s="23" t="s">
        <v>368</v>
      </c>
    </row>
    <row r="433" spans="1:9" x14ac:dyDescent="0.25">
      <c r="A433" s="33" t="s">
        <v>365</v>
      </c>
      <c r="B433" s="13" t="s">
        <v>317</v>
      </c>
      <c r="C433" s="33" t="s">
        <v>340</v>
      </c>
      <c r="D433" s="33">
        <v>57</v>
      </c>
      <c r="E433" s="33">
        <v>58</v>
      </c>
      <c r="F433" s="41">
        <v>1</v>
      </c>
      <c r="G433" s="42" t="str">
        <f t="shared" si="25"/>
        <v>CERRADO - PAVIMENTAÇÃO - Vias Marginais LE (Cachoeira Alta) - 57 - 58 - 1</v>
      </c>
      <c r="I433" s="23" t="s">
        <v>368</v>
      </c>
    </row>
    <row r="434" spans="1:9" x14ac:dyDescent="0.25">
      <c r="A434" s="33" t="s">
        <v>4</v>
      </c>
      <c r="B434" s="13" t="s">
        <v>317</v>
      </c>
      <c r="C434" s="33" t="s">
        <v>341</v>
      </c>
      <c r="D434" s="33">
        <v>327.5</v>
      </c>
      <c r="E434" s="33">
        <v>328.83</v>
      </c>
      <c r="F434" s="41">
        <v>1.3299999999999841</v>
      </c>
      <c r="G434" s="42" t="str">
        <f t="shared" si="25"/>
        <v>VIA COSTEIRA - PAVIMENTAÇÃO - Não Consta (pista Sul) - 327,5 - 328,83 - 1,32999999999998</v>
      </c>
      <c r="I434" s="23" t="s">
        <v>368</v>
      </c>
    </row>
    <row r="435" spans="1:9" x14ac:dyDescent="0.25">
      <c r="A435" s="33" t="s">
        <v>4</v>
      </c>
      <c r="B435" s="13" t="s">
        <v>317</v>
      </c>
      <c r="C435" s="33" t="s">
        <v>341</v>
      </c>
      <c r="D435" s="33">
        <v>328.9</v>
      </c>
      <c r="E435" s="33">
        <v>331.4</v>
      </c>
      <c r="F435" s="41">
        <v>2.5</v>
      </c>
      <c r="G435" s="42" t="str">
        <f t="shared" si="25"/>
        <v>VIA COSTEIRA - PAVIMENTAÇÃO - Não Consta (pista Sul) - 328,9 - 331,4 - 2,5</v>
      </c>
      <c r="I435" s="23" t="s">
        <v>368</v>
      </c>
    </row>
    <row r="436" spans="1:9" x14ac:dyDescent="0.25">
      <c r="A436" s="33" t="s">
        <v>4</v>
      </c>
      <c r="B436" s="13" t="s">
        <v>317</v>
      </c>
      <c r="C436" s="33" t="s">
        <v>341</v>
      </c>
      <c r="D436" s="33">
        <v>332.07</v>
      </c>
      <c r="E436" s="33">
        <v>332.77</v>
      </c>
      <c r="F436" s="41">
        <v>0.69999999999998863</v>
      </c>
      <c r="G436" s="42" t="str">
        <f t="shared" si="25"/>
        <v>VIA COSTEIRA - PAVIMENTAÇÃO - Não Consta (pista Sul) - 332,07 - 332,77 - 0,699999999999989</v>
      </c>
      <c r="I436" s="23" t="s">
        <v>368</v>
      </c>
    </row>
    <row r="437" spans="1:9" x14ac:dyDescent="0.25">
      <c r="A437" s="33" t="s">
        <v>4</v>
      </c>
      <c r="B437" s="13" t="s">
        <v>317</v>
      </c>
      <c r="C437" s="33" t="s">
        <v>342</v>
      </c>
      <c r="D437" s="33">
        <v>329.6</v>
      </c>
      <c r="E437" s="33">
        <v>328.45</v>
      </c>
      <c r="F437" s="41">
        <v>1.1500000000000341</v>
      </c>
      <c r="G437" s="42" t="str">
        <f t="shared" si="25"/>
        <v>VIA COSTEIRA - PAVIMENTAÇÃO - Não Consta (Pista Norte) - 329,6 - 328,45 - 1,15000000000003</v>
      </c>
      <c r="I437" s="23" t="s">
        <v>368</v>
      </c>
    </row>
    <row r="438" spans="1:9" x14ac:dyDescent="0.25">
      <c r="A438" s="33" t="s">
        <v>4</v>
      </c>
      <c r="B438" s="13" t="s">
        <v>317</v>
      </c>
      <c r="C438" s="33" t="s">
        <v>342</v>
      </c>
      <c r="D438" s="33">
        <v>278</v>
      </c>
      <c r="E438" s="33">
        <v>276.45</v>
      </c>
      <c r="F438" s="41">
        <v>1.5500000000000114</v>
      </c>
      <c r="G438" s="42" t="str">
        <f t="shared" si="25"/>
        <v>VIA COSTEIRA - PAVIMENTAÇÃO - Não Consta (Pista Norte) - 278 - 276,45 - 1,55000000000001</v>
      </c>
      <c r="I438" s="23" t="s">
        <v>368</v>
      </c>
    </row>
    <row r="439" spans="1:9" x14ac:dyDescent="0.25">
      <c r="A439" s="33" t="s">
        <v>4</v>
      </c>
      <c r="B439" s="13" t="s">
        <v>317</v>
      </c>
      <c r="C439" s="33" t="s">
        <v>342</v>
      </c>
      <c r="D439" s="33">
        <v>275.7</v>
      </c>
      <c r="E439" s="33">
        <v>273.73</v>
      </c>
      <c r="F439" s="41">
        <v>1.9699999999999704</v>
      </c>
      <c r="G439" s="42" t="str">
        <f t="shared" si="25"/>
        <v>VIA COSTEIRA - PAVIMENTAÇÃO - Não Consta (Pista Norte) - 275,7 - 273,73 - 1,96999999999997</v>
      </c>
      <c r="I439" s="23" t="s">
        <v>368</v>
      </c>
    </row>
    <row r="440" spans="1:9" x14ac:dyDescent="0.25">
      <c r="A440" s="33" t="s">
        <v>4</v>
      </c>
      <c r="B440" s="13" t="s">
        <v>317</v>
      </c>
      <c r="C440" s="33" t="s">
        <v>342</v>
      </c>
      <c r="D440" s="33">
        <v>273.73</v>
      </c>
      <c r="E440" s="33">
        <v>272.85000000000002</v>
      </c>
      <c r="F440" s="41">
        <v>0.87999999999999545</v>
      </c>
      <c r="G440" s="42" t="str">
        <f t="shared" si="25"/>
        <v>VIA COSTEIRA - PAVIMENTAÇÃO - Não Consta (Pista Norte) - 273,73 - 272,85 - 0,879999999999995</v>
      </c>
      <c r="I440" s="23" t="s">
        <v>368</v>
      </c>
    </row>
    <row r="441" spans="1:9" x14ac:dyDescent="0.25">
      <c r="A441" s="33" t="s">
        <v>4</v>
      </c>
      <c r="B441" s="13" t="s">
        <v>317</v>
      </c>
      <c r="C441" s="33" t="s">
        <v>342</v>
      </c>
      <c r="D441" s="33">
        <v>272.45</v>
      </c>
      <c r="E441" s="33">
        <v>271.35000000000002</v>
      </c>
      <c r="F441" s="41">
        <v>1.0999999999999659</v>
      </c>
      <c r="G441" s="42" t="str">
        <f t="shared" si="25"/>
        <v>VIA COSTEIRA - PAVIMENTAÇÃO - Não Consta (Pista Norte) - 272,45 - 271,35 - 1,09999999999997</v>
      </c>
      <c r="I441" s="23" t="s">
        <v>368</v>
      </c>
    </row>
    <row r="442" spans="1:9" x14ac:dyDescent="0.25">
      <c r="A442" s="33" t="s">
        <v>8</v>
      </c>
      <c r="B442" s="13" t="s">
        <v>317</v>
      </c>
      <c r="C442" s="33" t="s">
        <v>345</v>
      </c>
      <c r="D442" s="33">
        <v>120.36</v>
      </c>
      <c r="E442" s="33">
        <v>121.36</v>
      </c>
      <c r="F442" s="41">
        <v>1</v>
      </c>
      <c r="G442" s="42" t="str">
        <f t="shared" si="25"/>
        <v>VIA BRASIL - PAVIMENTAÇÃO - Vias Marginais - 120,36 - 121,36 - 1</v>
      </c>
      <c r="I442" s="23" t="s">
        <v>368</v>
      </c>
    </row>
    <row r="443" spans="1:9" x14ac:dyDescent="0.25">
      <c r="A443" s="33" t="s">
        <v>8</v>
      </c>
      <c r="B443" s="13" t="s">
        <v>317</v>
      </c>
      <c r="C443" s="33" t="s">
        <v>345</v>
      </c>
      <c r="D443" s="33">
        <v>156.26</v>
      </c>
      <c r="E443" s="33">
        <v>159.46</v>
      </c>
      <c r="F443" s="41">
        <v>3.2000000000000171</v>
      </c>
      <c r="G443" s="42" t="str">
        <f t="shared" si="25"/>
        <v>VIA BRASIL - PAVIMENTAÇÃO - Vias Marginais - 156,26 - 159,46 - 3,20000000000002</v>
      </c>
      <c r="I443" s="23" t="s">
        <v>368</v>
      </c>
    </row>
    <row r="444" spans="1:9" x14ac:dyDescent="0.25">
      <c r="A444" s="33" t="s">
        <v>8</v>
      </c>
      <c r="B444" s="13" t="s">
        <v>317</v>
      </c>
      <c r="C444" s="33" t="s">
        <v>345</v>
      </c>
      <c r="D444" s="33">
        <v>157.22</v>
      </c>
      <c r="E444" s="33">
        <v>159.46</v>
      </c>
      <c r="F444" s="41">
        <v>2.2400000000000091</v>
      </c>
      <c r="G444" s="42" t="str">
        <f t="shared" si="25"/>
        <v>VIA BRASIL - PAVIMENTAÇÃO - Vias Marginais - 157,22 - 159,46 - 2,24000000000001</v>
      </c>
      <c r="I444" s="23" t="s">
        <v>368</v>
      </c>
    </row>
    <row r="445" spans="1:9" x14ac:dyDescent="0.25">
      <c r="A445" s="33" t="s">
        <v>8</v>
      </c>
      <c r="B445" s="13" t="s">
        <v>317</v>
      </c>
      <c r="C445" s="33" t="s">
        <v>345</v>
      </c>
      <c r="D445" s="33">
        <v>225.57</v>
      </c>
      <c r="E445" s="33">
        <v>226.67</v>
      </c>
      <c r="F445" s="41">
        <v>1.0999999999999943</v>
      </c>
      <c r="G445" s="42" t="str">
        <f t="shared" si="25"/>
        <v>VIA BRASIL - PAVIMENTAÇÃO - Vias Marginais - 225,57 - 226,67 - 1,09999999999999</v>
      </c>
      <c r="I445" s="23" t="s">
        <v>368</v>
      </c>
    </row>
    <row r="446" spans="1:9" x14ac:dyDescent="0.25">
      <c r="A446" s="33" t="s">
        <v>8</v>
      </c>
      <c r="B446" s="13" t="s">
        <v>317</v>
      </c>
      <c r="C446" s="33" t="s">
        <v>345</v>
      </c>
      <c r="D446" s="33">
        <v>226</v>
      </c>
      <c r="E446" s="33">
        <v>226.8</v>
      </c>
      <c r="F446" s="41">
        <v>0.80000000000001137</v>
      </c>
      <c r="G446" s="42" t="str">
        <f t="shared" si="25"/>
        <v>VIA BRASIL - PAVIMENTAÇÃO - Vias Marginais - 226 - 226,8 - 0,800000000000011</v>
      </c>
      <c r="I446" s="23" t="s">
        <v>368</v>
      </c>
    </row>
    <row r="447" spans="1:9" x14ac:dyDescent="0.25">
      <c r="A447" s="33" t="s">
        <v>8</v>
      </c>
      <c r="B447" s="13" t="s">
        <v>317</v>
      </c>
      <c r="C447" s="33" t="s">
        <v>345</v>
      </c>
      <c r="D447" s="33">
        <v>278.83999999999997</v>
      </c>
      <c r="E447" s="33">
        <v>279.83999999999997</v>
      </c>
      <c r="F447" s="41">
        <v>1</v>
      </c>
      <c r="G447" s="42" t="str">
        <f t="shared" si="25"/>
        <v>VIA BRASIL - PAVIMENTAÇÃO - Vias Marginais - 278,84 - 279,84 - 1</v>
      </c>
      <c r="I447" s="23" t="s">
        <v>368</v>
      </c>
    </row>
    <row r="448" spans="1:9" x14ac:dyDescent="0.25">
      <c r="A448" s="33" t="s">
        <v>349</v>
      </c>
      <c r="B448" s="13" t="s">
        <v>317</v>
      </c>
      <c r="C448" s="33" t="s">
        <v>347</v>
      </c>
      <c r="D448" s="33">
        <v>151.30000000000001</v>
      </c>
      <c r="E448" s="33">
        <v>157.69</v>
      </c>
      <c r="F448" s="41">
        <v>6.3899999999999864</v>
      </c>
      <c r="G448" s="42" t="str">
        <f t="shared" si="25"/>
        <v>RIO/SP - PAVIMENTAÇÃO - Vias Marginais (Esquerdo) - 151,3 - 157,69 - 6,38999999999999</v>
      </c>
      <c r="I448" s="23" t="s">
        <v>368</v>
      </c>
    </row>
    <row r="449" spans="1:9" x14ac:dyDescent="0.25">
      <c r="A449" s="33" t="s">
        <v>349</v>
      </c>
      <c r="B449" s="13" t="s">
        <v>317</v>
      </c>
      <c r="C449" s="33" t="s">
        <v>348</v>
      </c>
      <c r="D449" s="33">
        <v>152.88999999999999</v>
      </c>
      <c r="E449" s="33">
        <v>157.03</v>
      </c>
      <c r="F449" s="41">
        <v>4.1400000000000148</v>
      </c>
      <c r="G449" s="42" t="str">
        <f t="shared" si="25"/>
        <v>RIO/SP - PAVIMENTAÇÃO - Vias Marginais (Direito) - 152,89 - 157,03 - 4,14000000000001</v>
      </c>
      <c r="I449" s="23" t="s">
        <v>368</v>
      </c>
    </row>
    <row r="450" spans="1:9" x14ac:dyDescent="0.25">
      <c r="A450" s="33" t="s">
        <v>349</v>
      </c>
      <c r="B450" s="13" t="s">
        <v>317</v>
      </c>
      <c r="C450" s="33" t="s">
        <v>348</v>
      </c>
      <c r="D450" s="33">
        <v>209.95</v>
      </c>
      <c r="E450" s="33">
        <v>211.4</v>
      </c>
      <c r="F450" s="41">
        <v>1.4500000000000171</v>
      </c>
      <c r="G450" s="42" t="str">
        <f t="shared" si="25"/>
        <v>RIO/SP - PAVIMENTAÇÃO - Vias Marginais (Direito) - 209,95 - 211,4 - 1,45000000000002</v>
      </c>
      <c r="I450" s="23" t="s">
        <v>368</v>
      </c>
    </row>
    <row r="451" spans="1:9" x14ac:dyDescent="0.25">
      <c r="A451" s="22" t="s">
        <v>382</v>
      </c>
      <c r="B451" s="13" t="s">
        <v>318</v>
      </c>
      <c r="C451" s="33" t="s">
        <v>330</v>
      </c>
      <c r="D451" s="33">
        <v>243.6</v>
      </c>
      <c r="E451" s="33">
        <v>269.2</v>
      </c>
      <c r="F451" s="41">
        <v>25.599999999999994</v>
      </c>
      <c r="G451" s="42" t="str">
        <f t="shared" ref="G451:G514" si="26">_xlfn.TEXTJOIN(" - ",TRUE,A451:F451)</f>
        <v>CONCESSÃO VIA SUL - DUPLICAÇÃO - Duplicacões - km 243+600 ao km 269+200 - Soledade e Fontoura Xavier - 243,6 - 269,2 - 25,6</v>
      </c>
      <c r="I451" s="23" t="s">
        <v>368</v>
      </c>
    </row>
    <row r="452" spans="1:9" x14ac:dyDescent="0.25">
      <c r="A452" s="33" t="s">
        <v>6</v>
      </c>
      <c r="B452" s="13" t="s">
        <v>318</v>
      </c>
      <c r="C452" s="33" t="s">
        <v>353</v>
      </c>
      <c r="D452" s="33">
        <v>162</v>
      </c>
      <c r="E452" s="33">
        <v>195</v>
      </c>
      <c r="F452" s="41">
        <v>33</v>
      </c>
      <c r="G452" s="42" t="str">
        <f t="shared" si="26"/>
        <v>TRANSBRASILIANA - DUPLICAÇÃO - Obras de Duplicação – Lote 02: km 162+000 ao 195+000, com execução prevista do 14º ano ao 16º ano - 162 - 195 - 33</v>
      </c>
      <c r="I452" s="23" t="s">
        <v>368</v>
      </c>
    </row>
    <row r="453" spans="1:9" x14ac:dyDescent="0.25">
      <c r="A453" s="33" t="s">
        <v>160</v>
      </c>
      <c r="B453" s="13" t="s">
        <v>318</v>
      </c>
      <c r="C453" s="33" t="s">
        <v>162</v>
      </c>
      <c r="D453" s="33">
        <v>215.3</v>
      </c>
      <c r="E453" s="33">
        <v>217.1</v>
      </c>
      <c r="F453" s="41">
        <v>1.7999999999999829</v>
      </c>
      <c r="G453" s="42" t="str">
        <f t="shared" si="26"/>
        <v>FLUMINENSE - DUPLICAÇÃO - Duplicações (inclusive OAE's): - 215,3 - 217,1 - 1,79999999999998</v>
      </c>
      <c r="I453" s="23" t="s">
        <v>368</v>
      </c>
    </row>
    <row r="454" spans="1:9" x14ac:dyDescent="0.25">
      <c r="A454" s="33" t="s">
        <v>160</v>
      </c>
      <c r="B454" s="13" t="s">
        <v>318</v>
      </c>
      <c r="C454" s="33" t="s">
        <v>162</v>
      </c>
      <c r="D454" s="33">
        <v>215.3</v>
      </c>
      <c r="E454" s="33">
        <v>217.1</v>
      </c>
      <c r="F454" s="41">
        <v>1.7999999999999829</v>
      </c>
      <c r="G454" s="42" t="str">
        <f t="shared" si="26"/>
        <v>FLUMINENSE - DUPLICAÇÃO - Duplicações (inclusive OAE's): - 215,3 - 217,1 - 1,79999999999998</v>
      </c>
      <c r="I454" s="23" t="s">
        <v>368</v>
      </c>
    </row>
    <row r="455" spans="1:9" x14ac:dyDescent="0.25">
      <c r="A455" s="22" t="s">
        <v>382</v>
      </c>
      <c r="B455" s="13" t="s">
        <v>319</v>
      </c>
      <c r="C455" s="33" t="s">
        <v>366</v>
      </c>
      <c r="D455" s="33">
        <v>39.72</v>
      </c>
      <c r="E455" s="33">
        <v>39.72</v>
      </c>
      <c r="F455" s="41">
        <v>1</v>
      </c>
      <c r="G455" s="42" t="str">
        <f t="shared" si="26"/>
        <v>CONCESSÃO VIA SUL - OAE - Interconexao Tipo Diamante - km 39+720 - Tres Forquilhas - 39,72 - 39,72 - 1</v>
      </c>
      <c r="I455" s="23" t="s">
        <v>368</v>
      </c>
    </row>
    <row r="456" spans="1:9" x14ac:dyDescent="0.25">
      <c r="A456" s="22" t="s">
        <v>382</v>
      </c>
      <c r="B456" s="13" t="s">
        <v>319</v>
      </c>
      <c r="C456" s="33" t="s">
        <v>331</v>
      </c>
      <c r="D456" s="33">
        <v>245.33</v>
      </c>
      <c r="E456" s="33">
        <v>245.33</v>
      </c>
      <c r="F456" s="41">
        <v>1</v>
      </c>
      <c r="G456" s="42" t="str">
        <f t="shared" si="26"/>
        <v>CONCESSÃO VIA SUL - OAE -  OAE  Nova Duplicada - km 245+330  - 245,33 - 245,33 - 1</v>
      </c>
      <c r="I456" s="23" t="s">
        <v>368</v>
      </c>
    </row>
    <row r="457" spans="1:9" x14ac:dyDescent="0.25">
      <c r="A457" s="22" t="s">
        <v>382</v>
      </c>
      <c r="B457" s="13" t="s">
        <v>319</v>
      </c>
      <c r="C457" s="33" t="s">
        <v>332</v>
      </c>
      <c r="D457" s="33">
        <v>245.33</v>
      </c>
      <c r="E457" s="33">
        <v>245.33</v>
      </c>
      <c r="F457" s="41">
        <v>1</v>
      </c>
      <c r="G457" s="42" t="str">
        <f t="shared" si="26"/>
        <v>CONCESSÃO VIA SUL - OAE - Passagem Inferior - km 245+330 - Passagem inferior Soledade - 245,33 - 245,33 - 1</v>
      </c>
      <c r="I457" s="23" t="s">
        <v>368</v>
      </c>
    </row>
    <row r="458" spans="1:9" x14ac:dyDescent="0.25">
      <c r="A458" s="22" t="s">
        <v>382</v>
      </c>
      <c r="B458" s="13" t="s">
        <v>319</v>
      </c>
      <c r="C458" s="33" t="s">
        <v>333</v>
      </c>
      <c r="D458" s="33">
        <v>247.3</v>
      </c>
      <c r="E458" s="33">
        <v>247.3</v>
      </c>
      <c r="F458" s="41">
        <v>1</v>
      </c>
      <c r="G458" s="42" t="str">
        <f t="shared" si="26"/>
        <v>CONCESSÃO VIA SUL - OAE - Interconexao Tipo Diamante - km 247+300 - Soledade - 247,3 - 247,3 - 1</v>
      </c>
      <c r="I458" s="23" t="s">
        <v>368</v>
      </c>
    </row>
    <row r="459" spans="1:9" x14ac:dyDescent="0.25">
      <c r="A459" s="22" t="s">
        <v>382</v>
      </c>
      <c r="B459" s="13" t="s">
        <v>319</v>
      </c>
      <c r="C459" s="45" t="s">
        <v>50</v>
      </c>
      <c r="D459" s="33">
        <v>347.43</v>
      </c>
      <c r="E459" s="33">
        <v>347.43</v>
      </c>
      <c r="F459" s="41">
        <v>1</v>
      </c>
      <c r="G459" s="42" t="str">
        <f t="shared" si="26"/>
        <v>CONCESSÃO VIA SUL - OAE - Interconexão Tipo Diamante - Lajeado - Reformulação do diamante existente - 347,43 - 347,43 - 1</v>
      </c>
      <c r="I459" s="23" t="s">
        <v>363</v>
      </c>
    </row>
    <row r="460" spans="1:9" x14ac:dyDescent="0.25">
      <c r="A460" s="22" t="s">
        <v>382</v>
      </c>
      <c r="B460" s="13" t="s">
        <v>319</v>
      </c>
      <c r="C460" s="33" t="s">
        <v>334</v>
      </c>
      <c r="D460" s="33">
        <v>249.9</v>
      </c>
      <c r="E460" s="33">
        <v>249.9</v>
      </c>
      <c r="F460" s="41">
        <v>1</v>
      </c>
      <c r="G460" s="42" t="str">
        <f t="shared" si="26"/>
        <v>CONCESSÃO VIA SUL - OAE - Interconexao Tipo Diamante - km 249+900 - Soledade - 249,9 - 249,9 - 1</v>
      </c>
      <c r="I460" s="23" t="s">
        <v>368</v>
      </c>
    </row>
    <row r="461" spans="1:9" x14ac:dyDescent="0.25">
      <c r="A461" s="22" t="s">
        <v>382</v>
      </c>
      <c r="B461" s="13" t="s">
        <v>319</v>
      </c>
      <c r="C461" s="33" t="s">
        <v>335</v>
      </c>
      <c r="D461" s="33">
        <v>252.1</v>
      </c>
      <c r="E461" s="33">
        <v>252.1</v>
      </c>
      <c r="F461" s="41">
        <v>1</v>
      </c>
      <c r="G461" s="42" t="str">
        <f t="shared" si="26"/>
        <v>CONCESSÃO VIA SUL - OAE - OAE  Nova Duplicada - km 252+100  - 252,1 - 252,1 - 1</v>
      </c>
      <c r="I461" s="23" t="s">
        <v>368</v>
      </c>
    </row>
    <row r="462" spans="1:9" x14ac:dyDescent="0.25">
      <c r="A462" s="22" t="s">
        <v>382</v>
      </c>
      <c r="B462" s="13" t="s">
        <v>319</v>
      </c>
      <c r="C462" s="48" t="s">
        <v>51</v>
      </c>
      <c r="D462" s="33">
        <v>348.8</v>
      </c>
      <c r="E462" s="33">
        <v>348.8</v>
      </c>
      <c r="F462" s="41">
        <v>1</v>
      </c>
      <c r="G462" s="42" t="str">
        <f t="shared" si="26"/>
        <v>CONCESSÃO VIA SUL - OAE - Interconexão Tipo Trombeta - Estrela - Reformulação - 348,8 - 348,8 - 1</v>
      </c>
      <c r="I462" s="23" t="s">
        <v>368</v>
      </c>
    </row>
    <row r="463" spans="1:9" x14ac:dyDescent="0.25">
      <c r="A463" s="22" t="s">
        <v>382</v>
      </c>
      <c r="B463" s="13" t="s">
        <v>319</v>
      </c>
      <c r="C463" s="52" t="s">
        <v>52</v>
      </c>
      <c r="D463" s="33">
        <v>349.5</v>
      </c>
      <c r="E463" s="33">
        <v>349.5</v>
      </c>
      <c r="F463" s="41">
        <v>1</v>
      </c>
      <c r="G463" s="42" t="str">
        <f t="shared" si="26"/>
        <v>CONCESSÃO VIA SUL - OAE - Interconexão Tipo Trevo Completo - Estrela - Reformulação - 349,5 - 349,5 - 1</v>
      </c>
      <c r="I463" s="23" t="s">
        <v>363</v>
      </c>
    </row>
    <row r="464" spans="1:9" x14ac:dyDescent="0.25">
      <c r="A464" s="22" t="s">
        <v>382</v>
      </c>
      <c r="B464" s="13" t="s">
        <v>319</v>
      </c>
      <c r="C464" s="33" t="s">
        <v>53</v>
      </c>
      <c r="D464" s="33">
        <v>352.58</v>
      </c>
      <c r="E464" s="33">
        <v>352.58</v>
      </c>
      <c r="F464" s="41">
        <v>1</v>
      </c>
      <c r="G464" s="42" t="str">
        <f t="shared" si="26"/>
        <v>CONCESSÃO VIA SUL - OAE - Interconexão Tipo Trombeta - Estrela  - 352,58 - 352,58 - 1</v>
      </c>
      <c r="I464" s="23" t="s">
        <v>368</v>
      </c>
    </row>
    <row r="465" spans="1:9" x14ac:dyDescent="0.25">
      <c r="A465" s="22" t="s">
        <v>382</v>
      </c>
      <c r="B465" s="13" t="s">
        <v>319</v>
      </c>
      <c r="C465" s="54" t="s">
        <v>336</v>
      </c>
      <c r="D465" s="33">
        <v>390.8</v>
      </c>
      <c r="E465" s="33">
        <v>390.8</v>
      </c>
      <c r="F465" s="41">
        <v>1</v>
      </c>
      <c r="G465" s="42" t="str">
        <f t="shared" si="26"/>
        <v>CONCESSÃO VIA SUL - OAE - Interconexão - Trevo Completo (BR-287/BR-479) - Triunfo - Km 392+700 SNV* - 390,8 - 390,8 - 1</v>
      </c>
      <c r="I465" s="23" t="s">
        <v>363</v>
      </c>
    </row>
    <row r="466" spans="1:9" x14ac:dyDescent="0.25">
      <c r="A466" s="33" t="s">
        <v>4</v>
      </c>
      <c r="B466" s="13" t="s">
        <v>319</v>
      </c>
      <c r="C466" s="33" t="s">
        <v>343</v>
      </c>
      <c r="D466" s="33">
        <v>328.85</v>
      </c>
      <c r="E466" s="33">
        <v>328.85</v>
      </c>
      <c r="F466" s="41">
        <v>1</v>
      </c>
      <c r="G466" s="42" t="str">
        <f t="shared" si="26"/>
        <v>VIA COSTEIRA - OAE - Pista Marginal Sul] - 328,85 - 328,85 - 1</v>
      </c>
      <c r="I466" s="23" t="s">
        <v>368</v>
      </c>
    </row>
    <row r="467" spans="1:9" x14ac:dyDescent="0.25">
      <c r="A467" s="33" t="s">
        <v>4</v>
      </c>
      <c r="B467" s="13" t="s">
        <v>319</v>
      </c>
      <c r="C467" s="33" t="s">
        <v>344</v>
      </c>
      <c r="D467" s="33">
        <v>328.75</v>
      </c>
      <c r="E467" s="33">
        <v>328.75</v>
      </c>
      <c r="F467" s="41">
        <v>1</v>
      </c>
      <c r="G467" s="42" t="str">
        <f t="shared" si="26"/>
        <v>VIA COSTEIRA - OAE - Pista Marginal Norte - 328,75 - 328,75 - 1</v>
      </c>
      <c r="I467" s="23" t="s">
        <v>368</v>
      </c>
    </row>
    <row r="468" spans="1:9" x14ac:dyDescent="0.25">
      <c r="A468" s="33" t="s">
        <v>8</v>
      </c>
      <c r="B468" s="13" t="s">
        <v>319</v>
      </c>
      <c r="C468" s="33" t="s">
        <v>346</v>
      </c>
      <c r="D468" s="33">
        <v>158.72</v>
      </c>
      <c r="E468" s="33">
        <v>158.72</v>
      </c>
      <c r="F468" s="41">
        <v>1</v>
      </c>
      <c r="G468" s="42" t="str">
        <f t="shared" si="26"/>
        <v>VIA BRASIL - OAE - OAE - Vias Marginais - 158,72 - 158,72 - 1</v>
      </c>
      <c r="I468" s="23" t="s">
        <v>368</v>
      </c>
    </row>
    <row r="469" spans="1:9" x14ac:dyDescent="0.25">
      <c r="A469" s="33" t="s">
        <v>8</v>
      </c>
      <c r="B469" s="13" t="s">
        <v>319</v>
      </c>
      <c r="C469" s="33" t="s">
        <v>346</v>
      </c>
      <c r="D469" s="33">
        <v>158.72</v>
      </c>
      <c r="E469" s="33">
        <v>158.72</v>
      </c>
      <c r="F469" s="41">
        <v>1</v>
      </c>
      <c r="G469" s="42" t="str">
        <f t="shared" si="26"/>
        <v>VIA BRASIL - OAE - OAE - Vias Marginais - 158,72 - 158,72 - 1</v>
      </c>
      <c r="I469" s="23" t="s">
        <v>368</v>
      </c>
    </row>
    <row r="470" spans="1:9" x14ac:dyDescent="0.25">
      <c r="A470" s="33" t="s">
        <v>8</v>
      </c>
      <c r="B470" s="13" t="s">
        <v>319</v>
      </c>
      <c r="C470" s="33" t="s">
        <v>346</v>
      </c>
      <c r="D470" s="33">
        <v>157.47</v>
      </c>
      <c r="E470" s="33">
        <v>157.47</v>
      </c>
      <c r="F470" s="41">
        <v>1</v>
      </c>
      <c r="G470" s="42" t="str">
        <f t="shared" si="26"/>
        <v>VIA BRASIL - OAE - OAE - Vias Marginais - 157,47 - 157,47 - 1</v>
      </c>
      <c r="I470" s="23" t="s">
        <v>368</v>
      </c>
    </row>
    <row r="471" spans="1:9" x14ac:dyDescent="0.25">
      <c r="A471" s="33" t="s">
        <v>8</v>
      </c>
      <c r="B471" s="13" t="s">
        <v>319</v>
      </c>
      <c r="C471" s="33" t="s">
        <v>346</v>
      </c>
      <c r="D471" s="33">
        <v>157.47</v>
      </c>
      <c r="E471" s="33">
        <v>157.47</v>
      </c>
      <c r="F471" s="41">
        <v>1</v>
      </c>
      <c r="G471" s="42" t="str">
        <f t="shared" si="26"/>
        <v>VIA BRASIL - OAE - OAE - Vias Marginais - 157,47 - 157,47 - 1</v>
      </c>
      <c r="I471" s="23" t="s">
        <v>368</v>
      </c>
    </row>
    <row r="472" spans="1:9" x14ac:dyDescent="0.25">
      <c r="A472" s="33" t="s">
        <v>349</v>
      </c>
      <c r="B472" s="13" t="s">
        <v>319</v>
      </c>
      <c r="C472" s="33" t="s">
        <v>350</v>
      </c>
      <c r="D472" s="33">
        <v>213.1</v>
      </c>
      <c r="E472" s="33">
        <v>213.1</v>
      </c>
      <c r="F472" s="41">
        <v>1</v>
      </c>
      <c r="G472" s="42" t="str">
        <f t="shared" si="26"/>
        <v>RIO/SP - OAE - OAE - Intersecção Diamante - 213,1 - 213,1 - 1</v>
      </c>
      <c r="I472" s="23" t="s">
        <v>368</v>
      </c>
    </row>
    <row r="473" spans="1:9" x14ac:dyDescent="0.25">
      <c r="A473" s="33" t="s">
        <v>349</v>
      </c>
      <c r="B473" s="13" t="s">
        <v>319</v>
      </c>
      <c r="C473" s="33" t="s">
        <v>351</v>
      </c>
      <c r="D473" s="33">
        <v>157.5</v>
      </c>
      <c r="E473" s="33">
        <v>157.5</v>
      </c>
      <c r="F473" s="41">
        <v>1</v>
      </c>
      <c r="G473" s="42" t="str">
        <f t="shared" si="26"/>
        <v>RIO/SP - OAE - OAE - Intersecção Trombeta - 157,5 - 157,5 - 1</v>
      </c>
      <c r="I473" s="23" t="s">
        <v>368</v>
      </c>
    </row>
    <row r="474" spans="1:9" x14ac:dyDescent="0.25">
      <c r="A474" s="33" t="s">
        <v>6</v>
      </c>
      <c r="B474" s="13" t="s">
        <v>319</v>
      </c>
      <c r="C474" s="33" t="s">
        <v>354</v>
      </c>
      <c r="D474" s="33">
        <v>1</v>
      </c>
      <c r="E474" s="33">
        <v>1</v>
      </c>
      <c r="F474" s="41">
        <v>3</v>
      </c>
      <c r="G474" s="42" t="str">
        <f t="shared" si="26"/>
        <v>TRANSBRASILIANA - OAE - Implantação de Trevos em Desnível, com Alças, em Pista Dupla – Completo: 3 interseções em localização a definir - 1 - 1 - 3</v>
      </c>
      <c r="I474" s="23" t="s">
        <v>368</v>
      </c>
    </row>
    <row r="475" spans="1:9" x14ac:dyDescent="0.25">
      <c r="A475" s="33" t="s">
        <v>6</v>
      </c>
      <c r="B475" s="13" t="s">
        <v>319</v>
      </c>
      <c r="C475" s="33" t="s">
        <v>355</v>
      </c>
      <c r="D475" s="33">
        <v>1</v>
      </c>
      <c r="E475" s="33">
        <v>1</v>
      </c>
      <c r="F475" s="41">
        <v>1</v>
      </c>
      <c r="G475" s="42" t="str">
        <f t="shared" si="26"/>
        <v>TRANSBRASILIANA - OAE - Implantação de Passagens em Desnível Inferior Tipo Viaduto: a definir, a ser executada no 16º ano. - 1 - 1 - 1</v>
      </c>
      <c r="I475" s="23" t="s">
        <v>368</v>
      </c>
    </row>
    <row r="476" spans="1:9" x14ac:dyDescent="0.25">
      <c r="A476" s="33" t="s">
        <v>6</v>
      </c>
      <c r="B476" s="13" t="s">
        <v>319</v>
      </c>
      <c r="C476" s="33" t="s">
        <v>356</v>
      </c>
      <c r="D476" s="33">
        <v>1</v>
      </c>
      <c r="E476" s="33">
        <v>1</v>
      </c>
      <c r="F476" s="41">
        <v>1</v>
      </c>
      <c r="G476" s="42" t="str">
        <f t="shared" si="26"/>
        <v>TRANSBRASILIANA - OAE - Passagem Superior - km 169+300 (Trevo em Desnível), com execução prevista do 14º ano ao 16º ano ( - 1 - 1 - 1</v>
      </c>
      <c r="I476" s="23" t="s">
        <v>368</v>
      </c>
    </row>
    <row r="477" spans="1:9" x14ac:dyDescent="0.25">
      <c r="A477" s="33" t="s">
        <v>6</v>
      </c>
      <c r="B477" s="13" t="s">
        <v>319</v>
      </c>
      <c r="C477" s="33" t="s">
        <v>357</v>
      </c>
      <c r="D477" s="33">
        <v>1</v>
      </c>
      <c r="E477" s="33">
        <v>1</v>
      </c>
      <c r="F477" s="41">
        <v>1</v>
      </c>
      <c r="G477" s="42" t="str">
        <f t="shared" si="26"/>
        <v>TRANSBRASILIANA - OAE - Interseção - km 174+015 - Lote 02 - 1 - 1 - 1</v>
      </c>
      <c r="I477" s="23" t="s">
        <v>368</v>
      </c>
    </row>
    <row r="478" spans="1:9" x14ac:dyDescent="0.25">
      <c r="A478" s="33" t="s">
        <v>6</v>
      </c>
      <c r="B478" s="13" t="s">
        <v>319</v>
      </c>
      <c r="C478" s="33" t="s">
        <v>358</v>
      </c>
      <c r="D478" s="33">
        <v>1</v>
      </c>
      <c r="E478" s="33">
        <v>1</v>
      </c>
      <c r="F478" s="41">
        <v>1</v>
      </c>
      <c r="G478" s="42" t="str">
        <f t="shared" si="26"/>
        <v>TRANSBRASILIANA - OAE - Interseção -km 177+600;- Lote 02 - 1 - 1 - 1</v>
      </c>
      <c r="I478" s="23" t="s">
        <v>368</v>
      </c>
    </row>
    <row r="479" spans="1:9" x14ac:dyDescent="0.25">
      <c r="A479" s="33" t="s">
        <v>6</v>
      </c>
      <c r="B479" s="13" t="s">
        <v>319</v>
      </c>
      <c r="C479" s="33" t="s">
        <v>359</v>
      </c>
      <c r="D479" s="33">
        <v>1</v>
      </c>
      <c r="E479" s="33">
        <v>1</v>
      </c>
      <c r="F479" s="41">
        <v>1</v>
      </c>
      <c r="G479" s="42" t="str">
        <f t="shared" si="26"/>
        <v>TRANSBRASILIANA - OAE - Interseção -km 182+140;- Lote 02 - 1 - 1 - 1</v>
      </c>
      <c r="I479" s="23" t="s">
        <v>368</v>
      </c>
    </row>
    <row r="480" spans="1:9" x14ac:dyDescent="0.25">
      <c r="A480" s="33" t="s">
        <v>6</v>
      </c>
      <c r="B480" s="13" t="s">
        <v>319</v>
      </c>
      <c r="C480" s="33" t="s">
        <v>360</v>
      </c>
      <c r="D480" s="33">
        <v>1</v>
      </c>
      <c r="E480" s="33">
        <v>1</v>
      </c>
      <c r="F480" s="41">
        <v>1</v>
      </c>
      <c r="G480" s="42" t="str">
        <f t="shared" si="26"/>
        <v>TRANSBRASILIANA - OAE - Interseção -km 194+700,- Lote 02 - 1 - 1 - 1</v>
      </c>
      <c r="I480" s="23" t="s">
        <v>368</v>
      </c>
    </row>
    <row r="481" spans="1:10" x14ac:dyDescent="0.25">
      <c r="A481" s="33" t="s">
        <v>160</v>
      </c>
      <c r="B481" s="13" t="s">
        <v>319</v>
      </c>
      <c r="C481" s="33" t="s">
        <v>361</v>
      </c>
      <c r="D481" s="33">
        <v>236.7</v>
      </c>
      <c r="E481" s="33">
        <v>236.7</v>
      </c>
      <c r="F481" s="41">
        <v>1</v>
      </c>
      <c r="G481" s="42" t="str">
        <f t="shared" si="26"/>
        <v>FLUMINENSE - OAE - Implantação de Trevos em desnível – Completo:Conclusão do trevo em desnível de Silva Jardim, - 236,7 - 236,7 - 1</v>
      </c>
      <c r="I481" s="23" t="s">
        <v>368</v>
      </c>
    </row>
    <row r="482" spans="1:10" x14ac:dyDescent="0.25">
      <c r="A482" s="33" t="s">
        <v>160</v>
      </c>
      <c r="B482" s="13" t="s">
        <v>319</v>
      </c>
      <c r="C482" s="33" t="s">
        <v>362</v>
      </c>
      <c r="D482" s="33">
        <v>236.7</v>
      </c>
      <c r="E482" s="33">
        <v>236.7</v>
      </c>
      <c r="F482" s="41">
        <v>1</v>
      </c>
      <c r="G482" s="42" t="str">
        <f t="shared" si="26"/>
        <v>FLUMINENSE - OAE - Implantação de Trevos em Desnível, com Alças, em Pista Dupla – Parcial:Conclusão do trevo em desnível de Silva Jardim, localizado no km 236+700 - 236,7 - 236,7 - 1</v>
      </c>
      <c r="I482" s="23" t="s">
        <v>368</v>
      </c>
    </row>
    <row r="483" spans="1:10" x14ac:dyDescent="0.25">
      <c r="A483" s="22" t="s">
        <v>382</v>
      </c>
      <c r="B483" s="13" t="s">
        <v>320</v>
      </c>
      <c r="C483" s="33" t="s">
        <v>61</v>
      </c>
      <c r="D483" s="33">
        <v>347.06</v>
      </c>
      <c r="E483" s="33">
        <v>347.58</v>
      </c>
      <c r="F483" s="41">
        <v>0.51999999999998181</v>
      </c>
      <c r="G483" s="42" t="str">
        <f t="shared" si="26"/>
        <v>CONCESSÃO VIA SUL - FX ADICIONAL - Faixa Adicional Lajeado / Estrela- Subtrecho 5 - 347,06 - 347,58 - 0,519999999999982</v>
      </c>
      <c r="I483" s="23" t="s">
        <v>368</v>
      </c>
    </row>
    <row r="484" spans="1:10" x14ac:dyDescent="0.25">
      <c r="A484" s="22" t="s">
        <v>382</v>
      </c>
      <c r="B484" s="13" t="s">
        <v>320</v>
      </c>
      <c r="C484" s="33" t="s">
        <v>62</v>
      </c>
      <c r="D484" s="33">
        <v>347.58</v>
      </c>
      <c r="E484" s="33">
        <v>348.34</v>
      </c>
      <c r="F484" s="41">
        <v>0.75999999999999091</v>
      </c>
      <c r="G484" s="42" t="str">
        <f t="shared" si="26"/>
        <v>CONCESSÃO VIA SUL - FX ADICIONAL - Faixa Adicional Lajeado / Estrela- Subtrecho 6 - 347,58 - 348,34 - 0,759999999999991</v>
      </c>
      <c r="I484" s="23" t="s">
        <v>368</v>
      </c>
    </row>
    <row r="485" spans="1:10" x14ac:dyDescent="0.25">
      <c r="A485" s="22" t="s">
        <v>382</v>
      </c>
      <c r="B485" s="13" t="s">
        <v>320</v>
      </c>
      <c r="C485" s="33" t="s">
        <v>63</v>
      </c>
      <c r="D485" s="33">
        <v>348.34</v>
      </c>
      <c r="E485" s="33">
        <v>348.77</v>
      </c>
      <c r="F485" s="41">
        <v>0.43000000000000682</v>
      </c>
      <c r="G485" s="42" t="str">
        <f t="shared" si="26"/>
        <v>CONCESSÃO VIA SUL - FX ADICIONAL - Faixa Adicional Lajeado / Estrela- Subtrecho 7 - 348,34 - 348,77 - 0,430000000000007</v>
      </c>
      <c r="I485" s="23" t="s">
        <v>368</v>
      </c>
    </row>
    <row r="486" spans="1:10" x14ac:dyDescent="0.25">
      <c r="A486" s="22" t="s">
        <v>382</v>
      </c>
      <c r="B486" s="13" t="s">
        <v>320</v>
      </c>
      <c r="C486" s="33" t="s">
        <v>64</v>
      </c>
      <c r="D486" s="33">
        <v>348.77</v>
      </c>
      <c r="E486" s="33">
        <v>349.12</v>
      </c>
      <c r="F486" s="41">
        <v>0.35000000000002274</v>
      </c>
      <c r="G486" s="42" t="str">
        <f t="shared" si="26"/>
        <v>CONCESSÃO VIA SUL - FX ADICIONAL - Faixa Adicional Lajeado / Estrela- Subtrecho 8 - 348,77 - 349,12 - 0,350000000000023</v>
      </c>
      <c r="I486" s="23" t="s">
        <v>368</v>
      </c>
    </row>
    <row r="487" spans="1:10" x14ac:dyDescent="0.25">
      <c r="A487" s="22" t="s">
        <v>382</v>
      </c>
      <c r="B487" s="13" t="s">
        <v>320</v>
      </c>
      <c r="C487" s="33" t="s">
        <v>65</v>
      </c>
      <c r="D487" s="33">
        <v>349.12</v>
      </c>
      <c r="E487" s="33">
        <v>349.5</v>
      </c>
      <c r="F487" s="41">
        <v>0.37999999999999545</v>
      </c>
      <c r="G487" s="42" t="str">
        <f t="shared" si="26"/>
        <v>CONCESSÃO VIA SUL - FX ADICIONAL - Faixa Adicional Lajeado / Estrela- Subtrecho 9 - 349,12 - 349,5 - 0,379999999999995</v>
      </c>
      <c r="I487" s="23" t="s">
        <v>368</v>
      </c>
    </row>
    <row r="488" spans="1:10" x14ac:dyDescent="0.25">
      <c r="A488" s="33" t="s">
        <v>365</v>
      </c>
      <c r="B488" s="13" t="s">
        <v>320</v>
      </c>
      <c r="C488" s="33" t="s">
        <v>70</v>
      </c>
      <c r="D488" s="33">
        <v>753.2</v>
      </c>
      <c r="E488" s="33">
        <v>793.4</v>
      </c>
      <c r="F488" s="41">
        <v>40.199999999999932</v>
      </c>
      <c r="G488" s="42" t="str">
        <f t="shared" si="26"/>
        <v>CERRADO - FX ADICIONAL - Implantação de 3ª Faixa - 753,2 - 793,4 - 40,1999999999999</v>
      </c>
      <c r="I488" s="23" t="s">
        <v>368</v>
      </c>
    </row>
    <row r="489" spans="1:10" x14ac:dyDescent="0.25">
      <c r="A489" s="33" t="s">
        <v>8</v>
      </c>
      <c r="B489" s="13" t="s">
        <v>320</v>
      </c>
      <c r="C489" s="33" t="s">
        <v>367</v>
      </c>
      <c r="D489" s="33">
        <v>885.65</v>
      </c>
      <c r="E489" s="33">
        <v>887.26099999999997</v>
      </c>
      <c r="F489" s="41">
        <v>1.61099999999999</v>
      </c>
      <c r="G489" s="42" t="str">
        <f t="shared" si="26"/>
        <v>VIA BRASIL - FX ADICIONAL - Faixa Adicional  - 885,65 - 887,261 - 1,61099999999999</v>
      </c>
      <c r="I489" s="23" t="s">
        <v>368</v>
      </c>
    </row>
    <row r="490" spans="1:10" x14ac:dyDescent="0.25">
      <c r="A490" s="33" t="s">
        <v>8</v>
      </c>
      <c r="B490" s="13" t="s">
        <v>320</v>
      </c>
      <c r="C490" s="33" t="s">
        <v>367</v>
      </c>
      <c r="D490" s="33">
        <v>893.06600000000003</v>
      </c>
      <c r="E490" s="33">
        <v>896.25599999999997</v>
      </c>
      <c r="F490" s="41">
        <v>3.1899999999999409</v>
      </c>
      <c r="G490" s="42" t="str">
        <f t="shared" si="26"/>
        <v>VIA BRASIL - FX ADICIONAL - Faixa Adicional  - 893,066 - 896,256 - 3,18999999999994</v>
      </c>
      <c r="I490" s="23" t="s">
        <v>368</v>
      </c>
    </row>
    <row r="491" spans="1:10" x14ac:dyDescent="0.25">
      <c r="A491" s="33" t="s">
        <v>8</v>
      </c>
      <c r="B491" s="13" t="s">
        <v>320</v>
      </c>
      <c r="C491" s="33" t="s">
        <v>367</v>
      </c>
      <c r="D491" s="33">
        <v>902.851</v>
      </c>
      <c r="E491" s="33">
        <v>904.75900000000001</v>
      </c>
      <c r="F491" s="41">
        <v>1.9080000000000155</v>
      </c>
      <c r="G491" s="42" t="str">
        <f t="shared" si="26"/>
        <v>VIA BRASIL - FX ADICIONAL - Faixa Adicional  - 902,851 - 904,759 - 1,90800000000002</v>
      </c>
      <c r="I491" s="23" t="s">
        <v>368</v>
      </c>
    </row>
    <row r="492" spans="1:10" x14ac:dyDescent="0.25">
      <c r="A492" s="33" t="s">
        <v>349</v>
      </c>
      <c r="B492" s="13" t="s">
        <v>320</v>
      </c>
      <c r="C492" s="33" t="s">
        <v>352</v>
      </c>
      <c r="D492" s="33">
        <v>151.30000000000001</v>
      </c>
      <c r="E492" s="33">
        <v>157.80000000000001</v>
      </c>
      <c r="F492" s="41">
        <v>13</v>
      </c>
      <c r="G492" s="42" t="str">
        <f t="shared" si="26"/>
        <v>RIO/SP - FX ADICIONAL - 3ª e 4ª faixa (LD e LE) - 151,3 - 157,8 - 13</v>
      </c>
      <c r="I492" s="23" t="s">
        <v>368</v>
      </c>
    </row>
    <row r="493" spans="1:10" x14ac:dyDescent="0.25">
      <c r="A493" s="33" t="s">
        <v>382</v>
      </c>
      <c r="B493" s="13" t="s">
        <v>317</v>
      </c>
      <c r="C493" s="33" t="s">
        <v>326</v>
      </c>
      <c r="D493" s="33">
        <v>243.6</v>
      </c>
      <c r="E493" s="33">
        <v>246.9</v>
      </c>
      <c r="F493" s="41">
        <v>3.3000000000000114</v>
      </c>
      <c r="G493" s="42" t="str">
        <f t="shared" si="26"/>
        <v>CONCESSÃO VIA SUL - PAVIMENTAÇÃO - Vias marginais - km 243,6 ao km 246,9 LE - Soledade - 243,6 - 246,9 - 3,30000000000001</v>
      </c>
      <c r="J493" s="23" t="s">
        <v>363</v>
      </c>
    </row>
    <row r="494" spans="1:10" x14ac:dyDescent="0.25">
      <c r="A494" s="33" t="s">
        <v>382</v>
      </c>
      <c r="B494" s="13" t="s">
        <v>317</v>
      </c>
      <c r="C494" s="33" t="s">
        <v>327</v>
      </c>
      <c r="D494" s="33">
        <v>243.6</v>
      </c>
      <c r="E494" s="33">
        <v>246.9</v>
      </c>
      <c r="F494" s="41">
        <v>3.3000000000000114</v>
      </c>
      <c r="G494" s="42" t="str">
        <f t="shared" si="26"/>
        <v>CONCESSÃO VIA SUL - PAVIMENTAÇÃO - Vias marginais - km 243,6 ao km 246,9 LD - Soledade - 243,6 - 246,9 - 3,30000000000001</v>
      </c>
      <c r="J494" s="23" t="s">
        <v>363</v>
      </c>
    </row>
    <row r="495" spans="1:10" x14ac:dyDescent="0.25">
      <c r="A495" s="33" t="s">
        <v>382</v>
      </c>
      <c r="B495" s="13" t="s">
        <v>317</v>
      </c>
      <c r="C495" s="33" t="s">
        <v>328</v>
      </c>
      <c r="D495" s="33">
        <v>268</v>
      </c>
      <c r="E495" s="33">
        <v>271.8</v>
      </c>
      <c r="F495" s="41">
        <v>3.8000000000000114</v>
      </c>
      <c r="G495" s="42" t="str">
        <f t="shared" si="26"/>
        <v>CONCESSÃO VIA SUL - PAVIMENTAÇÃO - Vias marginais - km 268 ao km 271,8 LE - Fontoura Xavier - 268 - 271,8 - 3,80000000000001</v>
      </c>
      <c r="J495" s="23" t="s">
        <v>363</v>
      </c>
    </row>
    <row r="496" spans="1:10" x14ac:dyDescent="0.25">
      <c r="A496" s="33" t="s">
        <v>382</v>
      </c>
      <c r="B496" s="13" t="s">
        <v>317</v>
      </c>
      <c r="C496" s="33" t="s">
        <v>329</v>
      </c>
      <c r="D496" s="33">
        <v>268</v>
      </c>
      <c r="E496" s="33">
        <v>271.8</v>
      </c>
      <c r="F496" s="41">
        <v>3.8000000000000114</v>
      </c>
      <c r="G496" s="42" t="str">
        <f t="shared" si="26"/>
        <v>CONCESSÃO VIA SUL - PAVIMENTAÇÃO - Vias marginais - km 268 ao km 271,8 LD - Fontoura Xavier - 268 - 271,8 - 3,80000000000001</v>
      </c>
      <c r="J496" s="23" t="s">
        <v>363</v>
      </c>
    </row>
    <row r="497" spans="1:14" x14ac:dyDescent="0.25">
      <c r="A497" s="33" t="s">
        <v>382</v>
      </c>
      <c r="B497" s="13" t="s">
        <v>317</v>
      </c>
      <c r="C497" s="33" t="s">
        <v>369</v>
      </c>
      <c r="D497" s="33">
        <v>213.4</v>
      </c>
      <c r="E497" s="33">
        <v>214.7</v>
      </c>
      <c r="F497" s="41">
        <v>1.2999999999999829</v>
      </c>
      <c r="G497" s="42" t="str">
        <f t="shared" si="26"/>
        <v>CONCESSÃO VIA SUL - PAVIMENTAÇÃO - Tio Hugo (Esquerdo) - 213,4 - 214,7 - 1,29999999999998</v>
      </c>
      <c r="J497" s="23" t="s">
        <v>363</v>
      </c>
    </row>
    <row r="498" spans="1:14" x14ac:dyDescent="0.25">
      <c r="A498" s="33" t="s">
        <v>382</v>
      </c>
      <c r="B498" s="13" t="s">
        <v>317</v>
      </c>
      <c r="C498" s="33" t="s">
        <v>370</v>
      </c>
      <c r="D498" s="33">
        <v>213.4</v>
      </c>
      <c r="E498" s="33">
        <v>214.7</v>
      </c>
      <c r="F498" s="41">
        <v>1.2999999999999829</v>
      </c>
      <c r="G498" s="42" t="str">
        <f t="shared" si="26"/>
        <v>CONCESSÃO VIA SUL - PAVIMENTAÇÃO - Tio Hugo (Direito) - 213,4 - 214,7 - 1,29999999999998</v>
      </c>
      <c r="J498" s="23" t="s">
        <v>363</v>
      </c>
    </row>
    <row r="499" spans="1:14" x14ac:dyDescent="0.25">
      <c r="A499" s="33" t="s">
        <v>365</v>
      </c>
      <c r="B499" s="13" t="s">
        <v>317</v>
      </c>
      <c r="C499" s="33" t="s">
        <v>371</v>
      </c>
      <c r="D499" s="33">
        <v>752.6</v>
      </c>
      <c r="E499" s="33">
        <v>753.2</v>
      </c>
      <c r="F499" s="41">
        <v>0.60000000000002274</v>
      </c>
      <c r="G499" s="42" t="str">
        <f t="shared" si="26"/>
        <v>CERRADO - PAVIMENTAÇÃO - Vias Marginais LD (Ituiutaba) - 752,6 - 753,2 - 0,600000000000023</v>
      </c>
      <c r="J499" s="23" t="s">
        <v>363</v>
      </c>
    </row>
    <row r="500" spans="1:14" x14ac:dyDescent="0.25">
      <c r="A500" s="33" t="s">
        <v>365</v>
      </c>
      <c r="B500" s="13" t="s">
        <v>317</v>
      </c>
      <c r="C500" s="33" t="s">
        <v>372</v>
      </c>
      <c r="D500" s="33">
        <v>752.6</v>
      </c>
      <c r="E500" s="33">
        <v>753.2</v>
      </c>
      <c r="F500" s="41">
        <v>0.60000000000002274</v>
      </c>
      <c r="G500" s="42" t="str">
        <f t="shared" si="26"/>
        <v>CERRADO - PAVIMENTAÇÃO - Vias Marginais LE (Ituiutaba) - 752,6 - 753,2 - 0,600000000000023</v>
      </c>
      <c r="J500" s="23" t="s">
        <v>363</v>
      </c>
    </row>
    <row r="501" spans="1:14" x14ac:dyDescent="0.25">
      <c r="A501" s="33" t="s">
        <v>365</v>
      </c>
      <c r="B501" s="13" t="s">
        <v>317</v>
      </c>
      <c r="C501" s="33" t="s">
        <v>371</v>
      </c>
      <c r="D501" s="33">
        <v>753.2</v>
      </c>
      <c r="E501" s="33">
        <v>754.5</v>
      </c>
      <c r="F501" s="41">
        <v>1.2999999999999545</v>
      </c>
      <c r="G501" s="42" t="str">
        <f t="shared" si="26"/>
        <v>CERRADO - PAVIMENTAÇÃO - Vias Marginais LD (Ituiutaba) - 753,2 - 754,5 - 1,29999999999995</v>
      </c>
      <c r="J501" s="23" t="s">
        <v>363</v>
      </c>
    </row>
    <row r="502" spans="1:14" x14ac:dyDescent="0.25">
      <c r="A502" s="33" t="s">
        <v>365</v>
      </c>
      <c r="B502" s="13" t="s">
        <v>317</v>
      </c>
      <c r="C502" s="33" t="s">
        <v>372</v>
      </c>
      <c r="D502" s="33">
        <v>753.2</v>
      </c>
      <c r="E502" s="33">
        <v>754.5</v>
      </c>
      <c r="F502" s="41">
        <v>1.2999999999999545</v>
      </c>
      <c r="G502" s="42" t="str">
        <f t="shared" si="26"/>
        <v>CERRADO - PAVIMENTAÇÃO - Vias Marginais LE (Ituiutaba) - 753,2 - 754,5 - 1,29999999999995</v>
      </c>
      <c r="J502" s="23" t="s">
        <v>363</v>
      </c>
    </row>
    <row r="503" spans="1:14" x14ac:dyDescent="0.25">
      <c r="A503" s="33" t="s">
        <v>365</v>
      </c>
      <c r="B503" s="13" t="s">
        <v>317</v>
      </c>
      <c r="C503" s="33" t="s">
        <v>373</v>
      </c>
      <c r="D503" s="33">
        <v>113.9</v>
      </c>
      <c r="E503" s="33">
        <v>114.6</v>
      </c>
      <c r="F503" s="41">
        <v>0.69999999999998863</v>
      </c>
      <c r="G503" s="42" t="str">
        <f t="shared" si="26"/>
        <v>CERRADO - PAVIMENTAÇÃO - Vias Marginais LD (Aparecida do Rio Doce) - 113,9 - 114,6 - 0,699999999999989</v>
      </c>
      <c r="J503" s="23" t="s">
        <v>363</v>
      </c>
    </row>
    <row r="504" spans="1:14" x14ac:dyDescent="0.25">
      <c r="A504" s="33" t="s">
        <v>365</v>
      </c>
      <c r="B504" s="13" t="s">
        <v>317</v>
      </c>
      <c r="C504" s="33" t="s">
        <v>374</v>
      </c>
      <c r="D504" s="33">
        <v>113.8</v>
      </c>
      <c r="E504" s="33">
        <v>114.6</v>
      </c>
      <c r="F504" s="41">
        <v>0.79999999999999716</v>
      </c>
      <c r="G504" s="42" t="str">
        <f t="shared" si="26"/>
        <v>CERRADO - PAVIMENTAÇÃO - Vias Marginais LE (Aparecida do Rio Doce) - 113,8 - 114,6 - 0,799999999999997</v>
      </c>
      <c r="J504" s="23" t="s">
        <v>363</v>
      </c>
    </row>
    <row r="505" spans="1:14" x14ac:dyDescent="0.25">
      <c r="A505" s="33" t="s">
        <v>4</v>
      </c>
      <c r="B505" s="13" t="s">
        <v>317</v>
      </c>
      <c r="C505" s="33" t="s">
        <v>341</v>
      </c>
      <c r="D505" s="33">
        <v>273.02999999999997</v>
      </c>
      <c r="E505" s="33">
        <v>276</v>
      </c>
      <c r="F505" s="41">
        <v>2.9700000000000273</v>
      </c>
      <c r="G505" s="42" t="str">
        <f t="shared" si="26"/>
        <v>VIA COSTEIRA - PAVIMENTAÇÃO - Não Consta (pista Sul) - 273,03 - 276 - 2,97000000000003</v>
      </c>
      <c r="J505" s="23" t="s">
        <v>363</v>
      </c>
    </row>
    <row r="506" spans="1:14" x14ac:dyDescent="0.25">
      <c r="A506" s="33" t="s">
        <v>4</v>
      </c>
      <c r="B506" s="13" t="s">
        <v>317</v>
      </c>
      <c r="C506" s="33" t="s">
        <v>341</v>
      </c>
      <c r="D506" s="33">
        <v>276.72000000000003</v>
      </c>
      <c r="E506" s="33">
        <v>277.83999999999997</v>
      </c>
      <c r="F506" s="41">
        <v>1.1199999999999477</v>
      </c>
      <c r="G506" s="42" t="str">
        <f t="shared" si="26"/>
        <v>VIA COSTEIRA - PAVIMENTAÇÃO - Não Consta (pista Sul) - 276,72 - 277,84 - 1,11999999999995</v>
      </c>
      <c r="J506" s="23" t="s">
        <v>363</v>
      </c>
    </row>
    <row r="507" spans="1:14" x14ac:dyDescent="0.25">
      <c r="A507" s="33" t="s">
        <v>4</v>
      </c>
      <c r="B507" s="13" t="s">
        <v>317</v>
      </c>
      <c r="C507" s="33" t="s">
        <v>341</v>
      </c>
      <c r="D507" s="33">
        <v>279.07</v>
      </c>
      <c r="E507" s="33">
        <v>279.75</v>
      </c>
      <c r="F507" s="41">
        <v>0.68000000000000682</v>
      </c>
      <c r="G507" s="42" t="str">
        <f t="shared" si="26"/>
        <v>VIA COSTEIRA - PAVIMENTAÇÃO - Não Consta (pista Sul) - 279,07 - 279,75 - 0,680000000000007</v>
      </c>
      <c r="J507" s="23" t="s">
        <v>363</v>
      </c>
    </row>
    <row r="508" spans="1:14" x14ac:dyDescent="0.25">
      <c r="A508" s="33" t="s">
        <v>4</v>
      </c>
      <c r="B508" s="13" t="s">
        <v>317</v>
      </c>
      <c r="C508" s="33" t="s">
        <v>342</v>
      </c>
      <c r="D508" s="33">
        <v>289.3</v>
      </c>
      <c r="E508" s="33">
        <v>288.5</v>
      </c>
      <c r="F508" s="41">
        <v>0.80000000000001137</v>
      </c>
      <c r="G508" s="42" t="str">
        <f t="shared" si="26"/>
        <v>VIA COSTEIRA - PAVIMENTAÇÃO - Não Consta (Pista Norte) - 289,3 - 288,5 - 0,800000000000011</v>
      </c>
      <c r="J508" s="23" t="s">
        <v>363</v>
      </c>
    </row>
    <row r="509" spans="1:14" x14ac:dyDescent="0.25">
      <c r="A509" s="33" t="s">
        <v>4</v>
      </c>
      <c r="B509" s="13" t="s">
        <v>317</v>
      </c>
      <c r="C509" s="33" t="s">
        <v>342</v>
      </c>
      <c r="D509" s="33">
        <v>286.85000000000002</v>
      </c>
      <c r="E509" s="33">
        <v>285.8</v>
      </c>
      <c r="F509" s="41">
        <v>1.0500000000000114</v>
      </c>
      <c r="G509" s="42" t="str">
        <f t="shared" si="26"/>
        <v>VIA COSTEIRA - PAVIMENTAÇÃO - Não Consta (Pista Norte) - 286,85 - 285,8 - 1,05000000000001</v>
      </c>
      <c r="J509" s="23" t="s">
        <v>363</v>
      </c>
    </row>
    <row r="510" spans="1:14" x14ac:dyDescent="0.25">
      <c r="A510" s="33" t="s">
        <v>4</v>
      </c>
      <c r="B510" s="13" t="s">
        <v>317</v>
      </c>
      <c r="C510" s="33" t="s">
        <v>342</v>
      </c>
      <c r="D510" s="33">
        <v>281.8</v>
      </c>
      <c r="E510" s="33">
        <v>278.60000000000002</v>
      </c>
      <c r="F510" s="41">
        <v>3.1999999999999886</v>
      </c>
      <c r="G510" s="42" t="str">
        <f t="shared" si="26"/>
        <v>VIA COSTEIRA - PAVIMENTAÇÃO - Não Consta (Pista Norte) - 281,8 - 278,6 - 3,19999999999999</v>
      </c>
      <c r="J510" s="23" t="s">
        <v>363</v>
      </c>
    </row>
    <row r="511" spans="1:14" s="44" customFormat="1" x14ac:dyDescent="0.25">
      <c r="A511" s="46" t="s">
        <v>383</v>
      </c>
      <c r="B511" s="49" t="s">
        <v>317</v>
      </c>
      <c r="C511" s="46" t="s">
        <v>375</v>
      </c>
      <c r="D511" s="46">
        <v>622.70000000000005</v>
      </c>
      <c r="E511" s="46">
        <v>624.29999999999995</v>
      </c>
      <c r="F511" s="50">
        <v>1.5999999999999091</v>
      </c>
      <c r="G511" s="51" t="str">
        <f t="shared" si="26"/>
        <v>ARAGUAIA - PAVIMENTAÇÃO - Não Consta (Decrescente) - 622,7 - 624,3 - 1,59999999999991</v>
      </c>
      <c r="H511" s="47"/>
      <c r="I511" s="47"/>
      <c r="J511" s="47" t="s">
        <v>363</v>
      </c>
      <c r="K511" s="47"/>
      <c r="L511" s="47"/>
      <c r="M511" s="47"/>
      <c r="N511" s="47"/>
    </row>
    <row r="512" spans="1:14" s="44" customFormat="1" x14ac:dyDescent="0.25">
      <c r="A512" s="46" t="s">
        <v>383</v>
      </c>
      <c r="B512" s="49" t="s">
        <v>317</v>
      </c>
      <c r="C512" s="46" t="s">
        <v>376</v>
      </c>
      <c r="D512" s="46">
        <v>622.70000000000005</v>
      </c>
      <c r="E512" s="46">
        <v>624.29999999999995</v>
      </c>
      <c r="F512" s="50">
        <v>1.5999999999999091</v>
      </c>
      <c r="G512" s="51" t="str">
        <f t="shared" si="26"/>
        <v>ARAGUAIA - PAVIMENTAÇÃO - Não Consta (Crescente) - 622,7 - 624,3 - 1,59999999999991</v>
      </c>
      <c r="H512" s="47"/>
      <c r="I512" s="47"/>
      <c r="J512" s="47" t="s">
        <v>363</v>
      </c>
      <c r="K512" s="47"/>
      <c r="L512" s="47"/>
      <c r="M512" s="47"/>
      <c r="N512" s="47"/>
    </row>
    <row r="513" spans="1:14" s="44" customFormat="1" x14ac:dyDescent="0.25">
      <c r="A513" s="46" t="s">
        <v>383</v>
      </c>
      <c r="B513" s="49" t="s">
        <v>317</v>
      </c>
      <c r="C513" s="46" t="s">
        <v>375</v>
      </c>
      <c r="D513" s="46">
        <v>671.2</v>
      </c>
      <c r="E513" s="46">
        <v>676.8</v>
      </c>
      <c r="F513" s="50">
        <v>5.5999999999999091</v>
      </c>
      <c r="G513" s="51" t="str">
        <f t="shared" si="26"/>
        <v>ARAGUAIA - PAVIMENTAÇÃO - Não Consta (Decrescente) - 671,2 - 676,8 - 5,59999999999991</v>
      </c>
      <c r="H513" s="47"/>
      <c r="I513" s="47"/>
      <c r="J513" s="47" t="s">
        <v>363</v>
      </c>
      <c r="K513" s="47"/>
      <c r="L513" s="47"/>
      <c r="M513" s="47"/>
      <c r="N513" s="47"/>
    </row>
    <row r="514" spans="1:14" s="44" customFormat="1" x14ac:dyDescent="0.25">
      <c r="A514" s="46" t="s">
        <v>383</v>
      </c>
      <c r="B514" s="49" t="s">
        <v>317</v>
      </c>
      <c r="C514" s="46" t="s">
        <v>376</v>
      </c>
      <c r="D514" s="46">
        <v>671.4</v>
      </c>
      <c r="E514" s="46">
        <v>676.8</v>
      </c>
      <c r="F514" s="50">
        <v>5.3999999999999773</v>
      </c>
      <c r="G514" s="51" t="str">
        <f t="shared" si="26"/>
        <v>ARAGUAIA - PAVIMENTAÇÃO - Não Consta (Crescente) - 671,4 - 676,8 - 5,39999999999998</v>
      </c>
      <c r="H514" s="47"/>
      <c r="I514" s="47"/>
      <c r="J514" s="47" t="s">
        <v>363</v>
      </c>
      <c r="K514" s="47"/>
      <c r="L514" s="47"/>
      <c r="M514" s="47"/>
      <c r="N514" s="47"/>
    </row>
    <row r="515" spans="1:14" x14ac:dyDescent="0.25">
      <c r="A515" s="33" t="s">
        <v>8</v>
      </c>
      <c r="B515" s="13" t="s">
        <v>317</v>
      </c>
      <c r="C515" s="33" t="s">
        <v>345</v>
      </c>
      <c r="D515" s="33">
        <v>278.83999999999997</v>
      </c>
      <c r="E515" s="33">
        <v>279.83999999999997</v>
      </c>
      <c r="F515" s="41">
        <v>1</v>
      </c>
      <c r="G515" s="42" t="str">
        <f t="shared" ref="G515:G578" si="27">_xlfn.TEXTJOIN(" - ",TRUE,A515:F515)</f>
        <v>VIA BRASIL - PAVIMENTAÇÃO - Vias Marginais - 278,84 - 279,84 - 1</v>
      </c>
      <c r="J515" s="23" t="s">
        <v>363</v>
      </c>
    </row>
    <row r="516" spans="1:14" x14ac:dyDescent="0.25">
      <c r="A516" s="33" t="s">
        <v>8</v>
      </c>
      <c r="B516" s="13" t="s">
        <v>317</v>
      </c>
      <c r="C516" s="33" t="s">
        <v>345</v>
      </c>
      <c r="D516" s="33">
        <v>344.2</v>
      </c>
      <c r="E516" s="33">
        <v>345.05</v>
      </c>
      <c r="F516" s="41">
        <v>0.85000000000002274</v>
      </c>
      <c r="G516" s="42" t="str">
        <f t="shared" si="27"/>
        <v>VIA BRASIL - PAVIMENTAÇÃO - Vias Marginais - 344,2 - 345,05 - 0,850000000000023</v>
      </c>
      <c r="J516" s="23" t="s">
        <v>363</v>
      </c>
    </row>
    <row r="517" spans="1:14" x14ac:dyDescent="0.25">
      <c r="A517" s="33" t="s">
        <v>8</v>
      </c>
      <c r="B517" s="13" t="s">
        <v>317</v>
      </c>
      <c r="C517" s="33" t="s">
        <v>345</v>
      </c>
      <c r="D517" s="33">
        <v>409.1</v>
      </c>
      <c r="E517" s="33">
        <v>411.3</v>
      </c>
      <c r="F517" s="41">
        <v>2.1999999999999886</v>
      </c>
      <c r="G517" s="42" t="str">
        <f t="shared" si="27"/>
        <v>VIA BRASIL - PAVIMENTAÇÃO - Vias Marginais - 409,1 - 411,3 - 2,19999999999999</v>
      </c>
      <c r="J517" s="23" t="s">
        <v>363</v>
      </c>
    </row>
    <row r="518" spans="1:14" x14ac:dyDescent="0.25">
      <c r="A518" s="33" t="s">
        <v>8</v>
      </c>
      <c r="B518" s="13" t="s">
        <v>317</v>
      </c>
      <c r="C518" s="33" t="s">
        <v>345</v>
      </c>
      <c r="D518" s="33">
        <v>408.4</v>
      </c>
      <c r="E518" s="33">
        <v>411.6</v>
      </c>
      <c r="F518" s="41">
        <v>3.2000000000000455</v>
      </c>
      <c r="G518" s="42" t="str">
        <f t="shared" si="27"/>
        <v>VIA BRASIL - PAVIMENTAÇÃO - Vias Marginais - 408,4 - 411,6 - 3,20000000000005</v>
      </c>
      <c r="J518" s="23" t="s">
        <v>363</v>
      </c>
    </row>
    <row r="519" spans="1:14" x14ac:dyDescent="0.25">
      <c r="A519" s="33" t="s">
        <v>8</v>
      </c>
      <c r="B519" s="13" t="s">
        <v>317</v>
      </c>
      <c r="C519" s="33" t="s">
        <v>345</v>
      </c>
      <c r="D519" s="33">
        <v>527.4</v>
      </c>
      <c r="E519" s="33">
        <v>527.85</v>
      </c>
      <c r="F519" s="41">
        <v>0.45000000000004547</v>
      </c>
      <c r="G519" s="42" t="str">
        <f t="shared" si="27"/>
        <v>VIA BRASIL - PAVIMENTAÇÃO - Vias Marginais - 527,4 - 527,85 - 0,450000000000045</v>
      </c>
      <c r="J519" s="23" t="s">
        <v>363</v>
      </c>
    </row>
    <row r="520" spans="1:14" x14ac:dyDescent="0.25">
      <c r="A520" s="33" t="s">
        <v>8</v>
      </c>
      <c r="B520" s="13" t="s">
        <v>317</v>
      </c>
      <c r="C520" s="33" t="s">
        <v>345</v>
      </c>
      <c r="D520" s="33">
        <v>527.4</v>
      </c>
      <c r="E520" s="33">
        <v>527.85</v>
      </c>
      <c r="F520" s="41">
        <v>0.45000000000004547</v>
      </c>
      <c r="G520" s="42" t="str">
        <f t="shared" si="27"/>
        <v>VIA BRASIL - PAVIMENTAÇÃO - Vias Marginais - 527,4 - 527,85 - 0,450000000000045</v>
      </c>
      <c r="J520" s="23" t="s">
        <v>363</v>
      </c>
    </row>
    <row r="521" spans="1:14" x14ac:dyDescent="0.25">
      <c r="A521" s="33" t="s">
        <v>8</v>
      </c>
      <c r="B521" s="13" t="s">
        <v>317</v>
      </c>
      <c r="C521" s="33" t="s">
        <v>345</v>
      </c>
      <c r="D521" s="33">
        <v>574.4</v>
      </c>
      <c r="E521" s="33">
        <v>575.5</v>
      </c>
      <c r="F521" s="41">
        <v>1.1000000000000227</v>
      </c>
      <c r="G521" s="42" t="str">
        <f t="shared" si="27"/>
        <v>VIA BRASIL - PAVIMENTAÇÃO - Vias Marginais - 574,4 - 575,5 - 1,10000000000002</v>
      </c>
      <c r="J521" s="23" t="s">
        <v>363</v>
      </c>
    </row>
    <row r="522" spans="1:14" x14ac:dyDescent="0.25">
      <c r="A522" s="33" t="s">
        <v>8</v>
      </c>
      <c r="B522" s="13" t="s">
        <v>317</v>
      </c>
      <c r="C522" s="33" t="s">
        <v>345</v>
      </c>
      <c r="D522" s="33">
        <v>574.4</v>
      </c>
      <c r="E522" s="33">
        <v>575.6</v>
      </c>
      <c r="F522" s="41">
        <v>1.2000000000000455</v>
      </c>
      <c r="G522" s="42" t="str">
        <f t="shared" si="27"/>
        <v>VIA BRASIL - PAVIMENTAÇÃO - Vias Marginais - 574,4 - 575,6 - 1,20000000000005</v>
      </c>
      <c r="J522" s="23" t="s">
        <v>363</v>
      </c>
    </row>
    <row r="523" spans="1:14" x14ac:dyDescent="0.25">
      <c r="A523" s="33" t="s">
        <v>8</v>
      </c>
      <c r="B523" s="13" t="s">
        <v>317</v>
      </c>
      <c r="C523" s="33" t="s">
        <v>377</v>
      </c>
      <c r="D523" s="33">
        <v>1144.3</v>
      </c>
      <c r="E523" s="33" t="s">
        <v>384</v>
      </c>
      <c r="F523" s="41">
        <v>8.3000000000000007</v>
      </c>
      <c r="G523" s="42" t="str">
        <f t="shared" si="27"/>
        <v>VIA BRASIL - PAVIMENTAÇÃO - Acesso ao Porto de Miritituba - 1144,3 - xxx - 8,3</v>
      </c>
      <c r="J523" s="23" t="s">
        <v>363</v>
      </c>
    </row>
    <row r="524" spans="1:14" x14ac:dyDescent="0.25">
      <c r="A524" s="33" t="s">
        <v>8</v>
      </c>
      <c r="B524" s="13" t="s">
        <v>317</v>
      </c>
      <c r="C524" s="33" t="s">
        <v>378</v>
      </c>
      <c r="D524" s="33">
        <v>1134.46</v>
      </c>
      <c r="E524" s="33" t="s">
        <v>384</v>
      </c>
      <c r="F524" s="41">
        <v>14.5</v>
      </c>
      <c r="G524" s="42" t="str">
        <f t="shared" si="27"/>
        <v>VIA BRASIL - PAVIMENTAÇÃO - Acesso ao Porto de Itapacurá - 1134,46 - xxx - 14,5</v>
      </c>
      <c r="J524" s="23" t="s">
        <v>363</v>
      </c>
    </row>
    <row r="525" spans="1:14" x14ac:dyDescent="0.25">
      <c r="A525" s="33" t="s">
        <v>8</v>
      </c>
      <c r="B525" s="13" t="s">
        <v>317</v>
      </c>
      <c r="C525" s="33" t="s">
        <v>379</v>
      </c>
      <c r="D525" s="33">
        <v>1112.9000000000001</v>
      </c>
      <c r="E525" s="33" t="s">
        <v>384</v>
      </c>
      <c r="F525" s="41">
        <v>16.52</v>
      </c>
      <c r="G525" s="42" t="str">
        <f t="shared" si="27"/>
        <v>VIA BRASIL - PAVIMENTAÇÃO - Acesso ao Terminal Portuário de Santarenzinho - 1112,9 - xxx - 16,52</v>
      </c>
      <c r="J525" s="23" t="s">
        <v>363</v>
      </c>
    </row>
    <row r="526" spans="1:14" x14ac:dyDescent="0.25">
      <c r="A526" s="33" t="s">
        <v>349</v>
      </c>
      <c r="B526" s="13" t="s">
        <v>317</v>
      </c>
      <c r="C526" s="33" t="s">
        <v>380</v>
      </c>
      <c r="D526" s="33">
        <v>151.30000000000001</v>
      </c>
      <c r="E526" s="33">
        <v>152.16</v>
      </c>
      <c r="F526" s="41">
        <v>0.85999999999998522</v>
      </c>
      <c r="G526" s="42" t="str">
        <f t="shared" si="27"/>
        <v>RIO/SP - PAVIMENTAÇÃO - Direito - 151,3 - 152,16 - 0,859999999999985</v>
      </c>
      <c r="J526" s="23" t="s">
        <v>363</v>
      </c>
    </row>
    <row r="527" spans="1:14" x14ac:dyDescent="0.25">
      <c r="A527" s="33" t="s">
        <v>349</v>
      </c>
      <c r="B527" s="13" t="s">
        <v>317</v>
      </c>
      <c r="C527" s="33" t="s">
        <v>380</v>
      </c>
      <c r="D527" s="33">
        <v>204.74</v>
      </c>
      <c r="E527" s="33">
        <v>206.327</v>
      </c>
      <c r="F527" s="41">
        <v>1.5869999999999891</v>
      </c>
      <c r="G527" s="42" t="str">
        <f t="shared" si="27"/>
        <v>RIO/SP - PAVIMENTAÇÃO - Direito - 204,74 - 206,327 - 1,58699999999999</v>
      </c>
      <c r="J527" s="23" t="s">
        <v>363</v>
      </c>
    </row>
    <row r="528" spans="1:14" x14ac:dyDescent="0.25">
      <c r="A528" s="33" t="s">
        <v>349</v>
      </c>
      <c r="B528" s="13" t="s">
        <v>317</v>
      </c>
      <c r="C528" s="33" t="s">
        <v>380</v>
      </c>
      <c r="D528" s="33">
        <v>206.327</v>
      </c>
      <c r="E528" s="33">
        <v>208</v>
      </c>
      <c r="F528" s="41">
        <v>1.6730000000000018</v>
      </c>
      <c r="G528" s="42" t="str">
        <f t="shared" si="27"/>
        <v>RIO/SP - PAVIMENTAÇÃO - Direito - 206,327 - 208 - 1,673</v>
      </c>
      <c r="J528" s="23" t="s">
        <v>363</v>
      </c>
    </row>
    <row r="529" spans="1:10" x14ac:dyDescent="0.25">
      <c r="A529" s="33" t="s">
        <v>349</v>
      </c>
      <c r="B529" s="13" t="s">
        <v>317</v>
      </c>
      <c r="C529" s="33" t="s">
        <v>380</v>
      </c>
      <c r="D529" s="33">
        <v>208</v>
      </c>
      <c r="E529" s="33">
        <v>209.95</v>
      </c>
      <c r="F529" s="41">
        <v>1.9499999999999886</v>
      </c>
      <c r="G529" s="42" t="str">
        <f t="shared" si="27"/>
        <v>RIO/SP - PAVIMENTAÇÃO - Direito - 208 - 209,95 - 1,94999999999999</v>
      </c>
      <c r="J529" s="23" t="s">
        <v>363</v>
      </c>
    </row>
    <row r="530" spans="1:10" x14ac:dyDescent="0.25">
      <c r="A530" s="33" t="s">
        <v>349</v>
      </c>
      <c r="B530" s="13" t="s">
        <v>317</v>
      </c>
      <c r="C530" s="33" t="s">
        <v>381</v>
      </c>
      <c r="D530" s="33">
        <v>208.3</v>
      </c>
      <c r="E530" s="33">
        <v>210.7</v>
      </c>
      <c r="F530" s="41">
        <v>2.3999999999999773</v>
      </c>
      <c r="G530" s="42" t="str">
        <f t="shared" si="27"/>
        <v>RIO/SP - PAVIMENTAÇÃO - Esquerdo - 208,3 - 210,7 - 2,39999999999998</v>
      </c>
      <c r="J530" s="23" t="s">
        <v>363</v>
      </c>
    </row>
    <row r="531" spans="1:10" x14ac:dyDescent="0.25">
      <c r="A531" s="33" t="s">
        <v>382</v>
      </c>
      <c r="B531" s="13" t="s">
        <v>318</v>
      </c>
      <c r="C531" s="33" t="s">
        <v>385</v>
      </c>
      <c r="D531" s="33">
        <v>213.1</v>
      </c>
      <c r="E531" s="33">
        <v>243.6</v>
      </c>
      <c r="F531" s="41">
        <v>30.5</v>
      </c>
      <c r="G531" s="42" t="str">
        <f t="shared" si="27"/>
        <v>CONCESSÃO VIA SUL - DUPLICAÇÃO - Tio Hugo - Soledade - 213,1 - 243,6 - 30,5</v>
      </c>
      <c r="J531" s="23" t="s">
        <v>363</v>
      </c>
    </row>
    <row r="532" spans="1:10" x14ac:dyDescent="0.25">
      <c r="A532" s="33" t="s">
        <v>382</v>
      </c>
      <c r="B532" s="13" t="s">
        <v>318</v>
      </c>
      <c r="C532" s="33" t="s">
        <v>330</v>
      </c>
      <c r="D532" s="33">
        <v>243.6</v>
      </c>
      <c r="E532" s="33">
        <v>269.2</v>
      </c>
      <c r="F532" s="41">
        <v>25.599999999999994</v>
      </c>
      <c r="G532" s="42" t="str">
        <f t="shared" si="27"/>
        <v>CONCESSÃO VIA SUL - DUPLICAÇÃO - Duplicacões - km 243+600 ao km 269+200 - Soledade e Fontoura Xavier - 243,6 - 269,2 - 25,6</v>
      </c>
      <c r="J532" s="23" t="s">
        <v>363</v>
      </c>
    </row>
    <row r="533" spans="1:10" x14ac:dyDescent="0.25">
      <c r="A533" s="33" t="s">
        <v>383</v>
      </c>
      <c r="B533" s="13" t="s">
        <v>318</v>
      </c>
      <c r="C533" s="33" t="s">
        <v>386</v>
      </c>
      <c r="D533" s="33">
        <v>622.70000000000005</v>
      </c>
      <c r="E533" s="33">
        <v>624.29999999999995</v>
      </c>
      <c r="F533" s="41">
        <v>1.5999999999999091</v>
      </c>
      <c r="G533" s="42" t="str">
        <f t="shared" si="27"/>
        <v>ARAGUAIA - DUPLICAÇÃO - Nada Consta - 622,7 - 624,3 - 1,59999999999991</v>
      </c>
      <c r="J533" s="23" t="s">
        <v>363</v>
      </c>
    </row>
    <row r="534" spans="1:10" x14ac:dyDescent="0.25">
      <c r="A534" s="33" t="s">
        <v>383</v>
      </c>
      <c r="B534" s="13" t="s">
        <v>318</v>
      </c>
      <c r="C534" s="33" t="s">
        <v>386</v>
      </c>
      <c r="D534" s="33">
        <v>663</v>
      </c>
      <c r="E534" s="33">
        <v>671.19</v>
      </c>
      <c r="F534" s="41">
        <v>8.1900000000000546</v>
      </c>
      <c r="G534" s="42" t="str">
        <f t="shared" si="27"/>
        <v>ARAGUAIA - DUPLICAÇÃO - Nada Consta - 663 - 671,19 - 8,19000000000005</v>
      </c>
      <c r="J534" s="23" t="s">
        <v>363</v>
      </c>
    </row>
    <row r="535" spans="1:10" x14ac:dyDescent="0.25">
      <c r="A535" s="33" t="s">
        <v>383</v>
      </c>
      <c r="B535" s="13" t="s">
        <v>318</v>
      </c>
      <c r="C535" s="33" t="s">
        <v>386</v>
      </c>
      <c r="D535" s="33">
        <v>671.19</v>
      </c>
      <c r="E535" s="33">
        <v>677</v>
      </c>
      <c r="F535" s="41">
        <v>5.8099999999999454</v>
      </c>
      <c r="G535" s="42" t="str">
        <f t="shared" si="27"/>
        <v>ARAGUAIA - DUPLICAÇÃO - Nada Consta - 671,19 - 677 - 5,80999999999995</v>
      </c>
      <c r="J535" s="23" t="s">
        <v>363</v>
      </c>
    </row>
    <row r="536" spans="1:10" x14ac:dyDescent="0.25">
      <c r="A536" s="33" t="s">
        <v>6</v>
      </c>
      <c r="B536" s="13" t="s">
        <v>318</v>
      </c>
      <c r="C536" s="33" t="s">
        <v>387</v>
      </c>
      <c r="D536" s="33">
        <v>0</v>
      </c>
      <c r="E536" s="33">
        <v>51.7</v>
      </c>
      <c r="F536" s="41">
        <v>51.7</v>
      </c>
      <c r="G536" s="42" t="str">
        <f t="shared" si="27"/>
        <v>TRANSBRASILIANA - DUPLICAÇÃO - Obras de Duplicação – Lote 01: km 0 ao km 51+700, com execução prevista do 14º ano ao 17º ano - 0 - 51,7 - 51,7</v>
      </c>
      <c r="J536" s="23" t="s">
        <v>363</v>
      </c>
    </row>
    <row r="537" spans="1:10" x14ac:dyDescent="0.25">
      <c r="A537" s="33" t="s">
        <v>382</v>
      </c>
      <c r="B537" s="13" t="s">
        <v>319</v>
      </c>
      <c r="C537" s="33" t="s">
        <v>388</v>
      </c>
      <c r="D537" s="33">
        <v>213.1</v>
      </c>
      <c r="E537" s="33">
        <v>213.1</v>
      </c>
      <c r="F537" s="41">
        <v>1</v>
      </c>
      <c r="G537" s="42" t="str">
        <f t="shared" si="27"/>
        <v>CONCESSÃO VIA SUL - OAE - Interconexão Tipo Trevo Completo - Tio Hugo - Reformulação - 213,1 - 213,1 - 1</v>
      </c>
      <c r="J537" s="23" t="s">
        <v>363</v>
      </c>
    </row>
    <row r="538" spans="1:10" x14ac:dyDescent="0.25">
      <c r="A538" s="33" t="s">
        <v>382</v>
      </c>
      <c r="B538" s="13" t="s">
        <v>319</v>
      </c>
      <c r="C538" s="33" t="s">
        <v>389</v>
      </c>
      <c r="D538" s="33">
        <v>218.7</v>
      </c>
      <c r="E538" s="33">
        <v>218.7</v>
      </c>
      <c r="F538" s="41">
        <v>1</v>
      </c>
      <c r="G538" s="42" t="str">
        <f t="shared" si="27"/>
        <v>CONCESSÃO VIA SUL - OAE - Interconexão Tipo Diamante - Tio Hugo - 218,7 - 218,7 - 1</v>
      </c>
      <c r="J538" s="23" t="s">
        <v>363</v>
      </c>
    </row>
    <row r="539" spans="1:10" x14ac:dyDescent="0.25">
      <c r="A539" s="33" t="s">
        <v>382</v>
      </c>
      <c r="B539" s="13" t="s">
        <v>319</v>
      </c>
      <c r="C539" s="33" t="s">
        <v>390</v>
      </c>
      <c r="D539" s="33">
        <v>225.32</v>
      </c>
      <c r="E539" s="33">
        <v>225.32</v>
      </c>
      <c r="F539" s="41">
        <v>1</v>
      </c>
      <c r="G539" s="42" t="str">
        <f t="shared" si="27"/>
        <v>CONCESSÃO VIA SUL - OAE - Interconexão Tipo Trombeta - Mormaço - 225,32 - 225,32 - 1</v>
      </c>
      <c r="J539" s="23" t="s">
        <v>363</v>
      </c>
    </row>
    <row r="540" spans="1:10" x14ac:dyDescent="0.25">
      <c r="A540" s="33" t="s">
        <v>382</v>
      </c>
      <c r="B540" s="13" t="s">
        <v>319</v>
      </c>
      <c r="C540" s="33" t="s">
        <v>391</v>
      </c>
      <c r="D540" s="33">
        <v>243.6</v>
      </c>
      <c r="E540" s="33">
        <v>243.6</v>
      </c>
      <c r="F540" s="41">
        <v>1</v>
      </c>
      <c r="G540" s="42" t="str">
        <f t="shared" si="27"/>
        <v>CONCESSÃO VIA SUL - OAE - Interconexão Tipo Diamante - Soledade - 243,6 - 243,6 - 1</v>
      </c>
      <c r="J540" s="23" t="s">
        <v>363</v>
      </c>
    </row>
    <row r="541" spans="1:10" x14ac:dyDescent="0.25">
      <c r="A541" s="33" t="s">
        <v>382</v>
      </c>
      <c r="B541" s="13" t="s">
        <v>319</v>
      </c>
      <c r="C541" s="33" t="s">
        <v>331</v>
      </c>
      <c r="D541" s="33">
        <v>245.33</v>
      </c>
      <c r="E541" s="33">
        <v>245.33</v>
      </c>
      <c r="F541" s="41">
        <v>1</v>
      </c>
      <c r="G541" s="42" t="str">
        <f t="shared" si="27"/>
        <v>CONCESSÃO VIA SUL - OAE -  OAE  Nova Duplicada - km 245+330  - 245,33 - 245,33 - 1</v>
      </c>
      <c r="J541" s="23" t="s">
        <v>363</v>
      </c>
    </row>
    <row r="542" spans="1:10" x14ac:dyDescent="0.25">
      <c r="A542" s="33" t="s">
        <v>382</v>
      </c>
      <c r="B542" s="13" t="s">
        <v>319</v>
      </c>
      <c r="C542" s="33" t="s">
        <v>332</v>
      </c>
      <c r="D542" s="33">
        <v>245.33</v>
      </c>
      <c r="E542" s="33">
        <v>245.33</v>
      </c>
      <c r="F542" s="41">
        <v>1</v>
      </c>
      <c r="G542" s="42" t="str">
        <f t="shared" si="27"/>
        <v>CONCESSÃO VIA SUL - OAE - Passagem Inferior - km 245+330 - Passagem inferior Soledade - 245,33 - 245,33 - 1</v>
      </c>
      <c r="J542" s="23" t="s">
        <v>363</v>
      </c>
    </row>
    <row r="543" spans="1:10" x14ac:dyDescent="0.25">
      <c r="A543" s="33" t="s">
        <v>382</v>
      </c>
      <c r="B543" s="13" t="s">
        <v>319</v>
      </c>
      <c r="C543" s="33" t="s">
        <v>333</v>
      </c>
      <c r="D543" s="33">
        <v>247.3</v>
      </c>
      <c r="E543" s="33">
        <v>247.3</v>
      </c>
      <c r="F543" s="41">
        <v>1</v>
      </c>
      <c r="G543" s="42" t="str">
        <f t="shared" si="27"/>
        <v>CONCESSÃO VIA SUL - OAE - Interconexao Tipo Diamante - km 247+300 - Soledade - 247,3 - 247,3 - 1</v>
      </c>
      <c r="J543" s="23" t="s">
        <v>363</v>
      </c>
    </row>
    <row r="544" spans="1:10" x14ac:dyDescent="0.25">
      <c r="A544" s="33" t="s">
        <v>382</v>
      </c>
      <c r="B544" s="13" t="s">
        <v>319</v>
      </c>
      <c r="C544" s="33" t="s">
        <v>334</v>
      </c>
      <c r="D544" s="33">
        <v>249.9</v>
      </c>
      <c r="E544" s="33">
        <v>249.9</v>
      </c>
      <c r="F544" s="41">
        <v>1</v>
      </c>
      <c r="G544" s="42" t="str">
        <f t="shared" si="27"/>
        <v>CONCESSÃO VIA SUL - OAE - Interconexao Tipo Diamante - km 249+900 - Soledade - 249,9 - 249,9 - 1</v>
      </c>
      <c r="J544" s="23" t="s">
        <v>363</v>
      </c>
    </row>
    <row r="545" spans="1:10" x14ac:dyDescent="0.25">
      <c r="A545" s="33" t="s">
        <v>382</v>
      </c>
      <c r="B545" s="13" t="s">
        <v>319</v>
      </c>
      <c r="C545" s="33" t="s">
        <v>335</v>
      </c>
      <c r="D545" s="33">
        <v>252.1</v>
      </c>
      <c r="E545" s="33">
        <v>252.1</v>
      </c>
      <c r="F545" s="41">
        <v>1</v>
      </c>
      <c r="G545" s="42" t="str">
        <f t="shared" si="27"/>
        <v>CONCESSÃO VIA SUL - OAE - OAE  Nova Duplicada - km 252+100  - 252,1 - 252,1 - 1</v>
      </c>
      <c r="J545" s="23" t="s">
        <v>363</v>
      </c>
    </row>
    <row r="546" spans="1:10" x14ac:dyDescent="0.25">
      <c r="A546" s="33" t="s">
        <v>382</v>
      </c>
      <c r="B546" s="13" t="s">
        <v>319</v>
      </c>
      <c r="C546" s="33" t="s">
        <v>53</v>
      </c>
      <c r="D546" s="33">
        <v>352.58</v>
      </c>
      <c r="E546" s="33">
        <v>352.58</v>
      </c>
      <c r="F546" s="41">
        <v>1</v>
      </c>
      <c r="G546" s="42" t="str">
        <f t="shared" si="27"/>
        <v>CONCESSÃO VIA SUL - OAE - Interconexão Tipo Trombeta - Estrela  - 352,58 - 352,58 - 1</v>
      </c>
      <c r="J546" s="23" t="s">
        <v>363</v>
      </c>
    </row>
    <row r="547" spans="1:10" x14ac:dyDescent="0.25">
      <c r="A547" s="33" t="s">
        <v>382</v>
      </c>
      <c r="B547" s="13" t="s">
        <v>319</v>
      </c>
      <c r="C547" s="54" t="s">
        <v>336</v>
      </c>
      <c r="D547" s="33">
        <v>390.8</v>
      </c>
      <c r="E547" s="33">
        <v>390.8</v>
      </c>
      <c r="F547" s="41">
        <v>1</v>
      </c>
      <c r="G547" s="42" t="str">
        <f t="shared" si="27"/>
        <v>CONCESSÃO VIA SUL - OAE - Interconexão - Trevo Completo (BR-287/BR-479) - Triunfo - Km 392+700 SNV* - 390,8 - 390,8 - 1</v>
      </c>
      <c r="J547" s="23" t="s">
        <v>363</v>
      </c>
    </row>
    <row r="548" spans="1:10" x14ac:dyDescent="0.25">
      <c r="A548" s="33" t="s">
        <v>4</v>
      </c>
      <c r="B548" s="13" t="s">
        <v>319</v>
      </c>
      <c r="C548" s="33" t="s">
        <v>392</v>
      </c>
      <c r="D548" s="33">
        <v>401.85</v>
      </c>
      <c r="E548" s="33">
        <v>401.85</v>
      </c>
      <c r="F548" s="41">
        <v>1</v>
      </c>
      <c r="G548" s="42" t="str">
        <f t="shared" si="27"/>
        <v>VIA COSTEIRA - OAE - Dispositivo em Desnível - 401,85 - 401,85 - 1</v>
      </c>
      <c r="J548" s="23" t="s">
        <v>363</v>
      </c>
    </row>
    <row r="549" spans="1:10" x14ac:dyDescent="0.25">
      <c r="A549" s="33" t="s">
        <v>383</v>
      </c>
      <c r="B549" s="13" t="s">
        <v>319</v>
      </c>
      <c r="C549" s="33" t="s">
        <v>393</v>
      </c>
      <c r="D549" s="33">
        <v>624</v>
      </c>
      <c r="E549" s="33">
        <v>624</v>
      </c>
      <c r="F549" s="41">
        <v>1</v>
      </c>
      <c r="G549" s="42" t="str">
        <f t="shared" si="27"/>
        <v>ARAGUAIA - OAE - Passagem Inferior - 624 - 624 - 1</v>
      </c>
      <c r="J549" s="23" t="s">
        <v>363</v>
      </c>
    </row>
    <row r="550" spans="1:10" x14ac:dyDescent="0.25">
      <c r="A550" s="33" t="s">
        <v>383</v>
      </c>
      <c r="B550" s="13" t="s">
        <v>319</v>
      </c>
      <c r="C550" s="33" t="s">
        <v>394</v>
      </c>
      <c r="D550" s="33">
        <v>622.70000000000005</v>
      </c>
      <c r="E550" s="33">
        <v>622.70000000000005</v>
      </c>
      <c r="F550" s="41">
        <v>1</v>
      </c>
      <c r="G550" s="42" t="str">
        <f t="shared" si="27"/>
        <v>ARAGUAIA - OAE - Trombeta - 622,7 - 622,7 - 1</v>
      </c>
      <c r="J550" s="23" t="s">
        <v>363</v>
      </c>
    </row>
    <row r="551" spans="1:10" x14ac:dyDescent="0.25">
      <c r="A551" s="33" t="s">
        <v>383</v>
      </c>
      <c r="B551" s="13" t="s">
        <v>319</v>
      </c>
      <c r="C551" s="33" t="s">
        <v>1</v>
      </c>
      <c r="D551" s="33">
        <v>671.75</v>
      </c>
      <c r="E551" s="33">
        <v>671.75</v>
      </c>
      <c r="F551" s="41">
        <v>1</v>
      </c>
      <c r="G551" s="42" t="str">
        <f t="shared" si="27"/>
        <v>ARAGUAIA - OAE - Diamante - 671,75 - 671,75 - 1</v>
      </c>
      <c r="J551" s="23" t="s">
        <v>363</v>
      </c>
    </row>
    <row r="552" spans="1:10" x14ac:dyDescent="0.25">
      <c r="A552" s="33" t="s">
        <v>383</v>
      </c>
      <c r="B552" s="13" t="s">
        <v>319</v>
      </c>
      <c r="C552" s="33" t="s">
        <v>1</v>
      </c>
      <c r="D552" s="33">
        <v>674.25</v>
      </c>
      <c r="E552" s="33">
        <v>674.25</v>
      </c>
      <c r="F552" s="41">
        <v>1</v>
      </c>
      <c r="G552" s="42" t="str">
        <f t="shared" si="27"/>
        <v>ARAGUAIA - OAE - Diamante - 674,25 - 674,25 - 1</v>
      </c>
      <c r="J552" s="23" t="s">
        <v>363</v>
      </c>
    </row>
    <row r="553" spans="1:10" x14ac:dyDescent="0.25">
      <c r="A553" s="33" t="s">
        <v>8</v>
      </c>
      <c r="B553" s="13" t="s">
        <v>319</v>
      </c>
      <c r="C553" s="33" t="s">
        <v>394</v>
      </c>
      <c r="D553" s="33">
        <v>969.8</v>
      </c>
      <c r="E553" s="33">
        <v>969.8</v>
      </c>
      <c r="F553" s="41">
        <v>1</v>
      </c>
      <c r="G553" s="42" t="str">
        <f t="shared" si="27"/>
        <v>VIA BRASIL - OAE - Trombeta - 969,8 - 969,8 - 1</v>
      </c>
      <c r="J553" s="23" t="s">
        <v>363</v>
      </c>
    </row>
    <row r="554" spans="1:10" x14ac:dyDescent="0.25">
      <c r="A554" s="33" t="s">
        <v>8</v>
      </c>
      <c r="B554" s="13" t="s">
        <v>319</v>
      </c>
      <c r="C554" s="33" t="s">
        <v>394</v>
      </c>
      <c r="D554" s="33">
        <v>973.6</v>
      </c>
      <c r="E554" s="33">
        <v>973.6</v>
      </c>
      <c r="F554" s="41">
        <v>1</v>
      </c>
      <c r="G554" s="42" t="str">
        <f t="shared" si="27"/>
        <v>VIA BRASIL - OAE - Trombeta - 973,6 - 973,6 - 1</v>
      </c>
      <c r="J554" s="23" t="s">
        <v>363</v>
      </c>
    </row>
    <row r="555" spans="1:10" x14ac:dyDescent="0.25">
      <c r="A555" s="33" t="s">
        <v>8</v>
      </c>
      <c r="B555" s="13" t="s">
        <v>319</v>
      </c>
      <c r="C555" s="33" t="s">
        <v>1</v>
      </c>
      <c r="D555" s="33">
        <v>1001.5</v>
      </c>
      <c r="E555" s="33">
        <v>1001.5</v>
      </c>
      <c r="F555" s="41">
        <v>1</v>
      </c>
      <c r="G555" s="42" t="str">
        <f t="shared" si="27"/>
        <v>VIA BRASIL - OAE - Diamante - 1001,5 - 1001,5 - 1</v>
      </c>
      <c r="J555" s="23" t="s">
        <v>363</v>
      </c>
    </row>
    <row r="556" spans="1:10" x14ac:dyDescent="0.25">
      <c r="A556" s="33" t="s">
        <v>8</v>
      </c>
      <c r="B556" s="13" t="s">
        <v>319</v>
      </c>
      <c r="C556" s="33" t="s">
        <v>1</v>
      </c>
      <c r="D556" s="33">
        <v>1045.0999999999999</v>
      </c>
      <c r="E556" s="33">
        <v>1045.0999999999999</v>
      </c>
      <c r="F556" s="41">
        <v>1</v>
      </c>
      <c r="G556" s="42" t="str">
        <f t="shared" si="27"/>
        <v>VIA BRASIL - OAE - Diamante - 1045,1 - 1045,1 - 1</v>
      </c>
      <c r="J556" s="23" t="s">
        <v>363</v>
      </c>
    </row>
    <row r="557" spans="1:10" x14ac:dyDescent="0.25">
      <c r="A557" s="33" t="s">
        <v>8</v>
      </c>
      <c r="B557" s="13" t="s">
        <v>319</v>
      </c>
      <c r="C557" s="33" t="s">
        <v>395</v>
      </c>
      <c r="D557" s="33">
        <v>1144.3</v>
      </c>
      <c r="E557" s="33">
        <v>1144.3</v>
      </c>
      <c r="F557" s="41">
        <v>1</v>
      </c>
      <c r="G557" s="42" t="str">
        <f t="shared" si="27"/>
        <v>VIA BRASIL - OAE - Rotatória Alonga - Acesso ao Porto de Miritituba - 1144,3 - 1144,3 - 1</v>
      </c>
      <c r="J557" s="23" t="s">
        <v>363</v>
      </c>
    </row>
    <row r="558" spans="1:10" x14ac:dyDescent="0.25">
      <c r="A558" s="33" t="s">
        <v>8</v>
      </c>
      <c r="B558" s="13" t="s">
        <v>319</v>
      </c>
      <c r="C558" s="33" t="s">
        <v>396</v>
      </c>
      <c r="D558" s="33">
        <v>1134.46</v>
      </c>
      <c r="E558" s="33">
        <v>1134.46</v>
      </c>
      <c r="F558" s="41">
        <v>1</v>
      </c>
      <c r="G558" s="42" t="str">
        <f t="shared" si="27"/>
        <v>VIA BRASIL - OAE - Rotatória Alonga - Acesso ao Porto de Itapacurá - 1134,46 - 1134,46 - 1</v>
      </c>
      <c r="J558" s="23" t="s">
        <v>363</v>
      </c>
    </row>
    <row r="559" spans="1:10" x14ac:dyDescent="0.25">
      <c r="A559" s="33" t="s">
        <v>8</v>
      </c>
      <c r="B559" s="13" t="s">
        <v>319</v>
      </c>
      <c r="C559" s="33" t="s">
        <v>397</v>
      </c>
      <c r="D559" s="33">
        <v>1112.9000000000001</v>
      </c>
      <c r="E559" s="33">
        <v>1112.9000000000001</v>
      </c>
      <c r="F559" s="41">
        <v>1</v>
      </c>
      <c r="G559" s="42" t="str">
        <f t="shared" si="27"/>
        <v>VIA BRASIL - OAE - Rotatória Alonga - Acesso ao Porto de Santarenzinho - 1112,9 - 1112,9 - 1</v>
      </c>
      <c r="J559" s="23" t="s">
        <v>363</v>
      </c>
    </row>
    <row r="560" spans="1:10" x14ac:dyDescent="0.25">
      <c r="A560" s="33" t="s">
        <v>8</v>
      </c>
      <c r="B560" s="13" t="s">
        <v>319</v>
      </c>
      <c r="C560" s="33" t="s">
        <v>346</v>
      </c>
      <c r="D560" s="33">
        <v>311</v>
      </c>
      <c r="E560" s="33">
        <v>311</v>
      </c>
      <c r="F560" s="41">
        <v>1</v>
      </c>
      <c r="G560" s="42" t="str">
        <f t="shared" si="27"/>
        <v>VIA BRASIL - OAE - OAE - Vias Marginais - 311 - 311 - 1</v>
      </c>
      <c r="J560" s="23" t="s">
        <v>363</v>
      </c>
    </row>
    <row r="561" spans="1:10" x14ac:dyDescent="0.25">
      <c r="A561" s="33" t="s">
        <v>8</v>
      </c>
      <c r="B561" s="13" t="s">
        <v>319</v>
      </c>
      <c r="C561" s="33" t="s">
        <v>346</v>
      </c>
      <c r="D561" s="33">
        <v>311</v>
      </c>
      <c r="E561" s="33">
        <v>311</v>
      </c>
      <c r="F561" s="41">
        <v>1</v>
      </c>
      <c r="G561" s="42" t="str">
        <f t="shared" si="27"/>
        <v>VIA BRASIL - OAE - OAE - Vias Marginais - 311 - 311 - 1</v>
      </c>
      <c r="J561" s="23" t="s">
        <v>363</v>
      </c>
    </row>
    <row r="562" spans="1:10" x14ac:dyDescent="0.25">
      <c r="A562" s="33" t="s">
        <v>349</v>
      </c>
      <c r="B562" s="13" t="s">
        <v>319</v>
      </c>
      <c r="C562" s="33" t="s">
        <v>398</v>
      </c>
      <c r="D562" s="33">
        <v>127.43899999999999</v>
      </c>
      <c r="E562" s="33">
        <v>127.43899999999999</v>
      </c>
      <c r="F562" s="41">
        <v>1</v>
      </c>
      <c r="G562" s="42" t="str">
        <f t="shared" si="27"/>
        <v>RIO/SP - OAE - Ponte - 127,439 - 127,439 - 1</v>
      </c>
      <c r="J562" s="23" t="s">
        <v>363</v>
      </c>
    </row>
    <row r="563" spans="1:10" x14ac:dyDescent="0.25">
      <c r="A563" s="33" t="s">
        <v>349</v>
      </c>
      <c r="B563" s="13" t="s">
        <v>319</v>
      </c>
      <c r="C563" s="33" t="s">
        <v>398</v>
      </c>
      <c r="D563" s="33">
        <v>153.44999999999999</v>
      </c>
      <c r="E563" s="33">
        <v>153.44999999999999</v>
      </c>
      <c r="F563" s="41">
        <v>1</v>
      </c>
      <c r="G563" s="42" t="str">
        <f t="shared" si="27"/>
        <v>RIO/SP - OAE - Ponte - 153,45 - 153,45 - 1</v>
      </c>
      <c r="J563" s="23" t="s">
        <v>363</v>
      </c>
    </row>
    <row r="564" spans="1:10" x14ac:dyDescent="0.25">
      <c r="A564" s="33" t="s">
        <v>349</v>
      </c>
      <c r="B564" s="13" t="s">
        <v>319</v>
      </c>
      <c r="C564" s="33" t="s">
        <v>398</v>
      </c>
      <c r="D564" s="33">
        <v>157.59</v>
      </c>
      <c r="E564" s="33">
        <v>157.59</v>
      </c>
      <c r="F564" s="41">
        <v>1</v>
      </c>
      <c r="G564" s="42" t="str">
        <f t="shared" si="27"/>
        <v>RIO/SP - OAE - Ponte - 157,59 - 157,59 - 1</v>
      </c>
      <c r="J564" s="23" t="s">
        <v>363</v>
      </c>
    </row>
    <row r="565" spans="1:10" x14ac:dyDescent="0.25">
      <c r="A565" s="33" t="s">
        <v>349</v>
      </c>
      <c r="B565" s="13" t="s">
        <v>319</v>
      </c>
      <c r="C565" s="33" t="s">
        <v>398</v>
      </c>
      <c r="D565" s="33">
        <v>157.63999999999999</v>
      </c>
      <c r="E565" s="33">
        <v>157.63999999999999</v>
      </c>
      <c r="F565" s="41">
        <v>1</v>
      </c>
      <c r="G565" s="42" t="str">
        <f t="shared" si="27"/>
        <v>RIO/SP - OAE - Ponte - 157,64 - 157,64 - 1</v>
      </c>
      <c r="J565" s="23" t="s">
        <v>363</v>
      </c>
    </row>
    <row r="566" spans="1:10" x14ac:dyDescent="0.25">
      <c r="A566" s="33" t="s">
        <v>349</v>
      </c>
      <c r="B566" s="13" t="s">
        <v>319</v>
      </c>
      <c r="C566" s="33" t="s">
        <v>398</v>
      </c>
      <c r="D566" s="33">
        <v>222.84</v>
      </c>
      <c r="E566" s="33">
        <v>222.84</v>
      </c>
      <c r="F566" s="41">
        <v>1</v>
      </c>
      <c r="G566" s="42" t="str">
        <f t="shared" si="27"/>
        <v>RIO/SP - OAE - Ponte - 222,84 - 222,84 - 1</v>
      </c>
      <c r="J566" s="23" t="s">
        <v>363</v>
      </c>
    </row>
    <row r="567" spans="1:10" x14ac:dyDescent="0.25">
      <c r="A567" s="33" t="s">
        <v>349</v>
      </c>
      <c r="B567" s="13" t="s">
        <v>319</v>
      </c>
      <c r="C567" s="33" t="s">
        <v>398</v>
      </c>
      <c r="D567" s="33">
        <v>222.95</v>
      </c>
      <c r="E567" s="33">
        <v>222.95</v>
      </c>
      <c r="F567" s="41">
        <v>1</v>
      </c>
      <c r="G567" s="42" t="str">
        <f t="shared" si="27"/>
        <v>RIO/SP - OAE - Ponte - 222,95 - 222,95 - 1</v>
      </c>
      <c r="J567" s="23" t="s">
        <v>363</v>
      </c>
    </row>
    <row r="568" spans="1:10" x14ac:dyDescent="0.25">
      <c r="A568" s="33" t="s">
        <v>401</v>
      </c>
      <c r="B568" s="13" t="s">
        <v>319</v>
      </c>
      <c r="C568" s="33" t="s">
        <v>399</v>
      </c>
      <c r="D568" s="33">
        <v>229.3</v>
      </c>
      <c r="E568" s="33">
        <v>229.3</v>
      </c>
      <c r="F568" s="41">
        <v>1</v>
      </c>
      <c r="G568" s="42" t="str">
        <f t="shared" si="27"/>
        <v>LITORAL - OAE - Implantação de Passagens em Desnível Superior Tipo Viaduto: Passagem superior (Relocação 1), no km 229+300 do Contorno de Florianópolis - 229,3 - 229,3 - 1</v>
      </c>
      <c r="J568" s="23" t="s">
        <v>363</v>
      </c>
    </row>
    <row r="569" spans="1:10" x14ac:dyDescent="0.25">
      <c r="A569" s="33" t="s">
        <v>401</v>
      </c>
      <c r="B569" s="13" t="s">
        <v>319</v>
      </c>
      <c r="C569" s="33" t="s">
        <v>400</v>
      </c>
      <c r="D569" s="33">
        <v>232.15</v>
      </c>
      <c r="E569" s="33">
        <v>232.15</v>
      </c>
      <c r="F569" s="41">
        <v>1</v>
      </c>
      <c r="G569" s="42" t="str">
        <f t="shared" si="27"/>
        <v>LITORAL - OAE - Implantação de Passagens em Desnível Superior Tipo Viaduto: Passagem superior (Relocação 3), no km 232+150 do Contorno de Florianópolis - 232,15 - 232,15 - 1</v>
      </c>
      <c r="J569" s="23" t="s">
        <v>363</v>
      </c>
    </row>
    <row r="570" spans="1:10" x14ac:dyDescent="0.25">
      <c r="A570" s="33" t="s">
        <v>382</v>
      </c>
      <c r="B570" s="13" t="s">
        <v>320</v>
      </c>
      <c r="C570" s="33" t="s">
        <v>61</v>
      </c>
      <c r="D570" s="33">
        <v>347.06</v>
      </c>
      <c r="E570" s="33">
        <v>347.58</v>
      </c>
      <c r="F570" s="41">
        <v>0.51999999999998181</v>
      </c>
      <c r="G570" s="42" t="str">
        <f t="shared" si="27"/>
        <v>CONCESSÃO VIA SUL - FX ADICIONAL - Faixa Adicional Lajeado / Estrela- Subtrecho 5 - 347,06 - 347,58 - 0,519999999999982</v>
      </c>
      <c r="J570" s="23" t="s">
        <v>363</v>
      </c>
    </row>
    <row r="571" spans="1:10" x14ac:dyDescent="0.25">
      <c r="A571" s="33" t="s">
        <v>382</v>
      </c>
      <c r="B571" s="13" t="s">
        <v>320</v>
      </c>
      <c r="C571" s="33" t="s">
        <v>62</v>
      </c>
      <c r="D571" s="33">
        <v>347.58</v>
      </c>
      <c r="E571" s="33">
        <v>348.34</v>
      </c>
      <c r="F571" s="41">
        <v>0.75999999999999091</v>
      </c>
      <c r="G571" s="42" t="str">
        <f t="shared" si="27"/>
        <v>CONCESSÃO VIA SUL - FX ADICIONAL - Faixa Adicional Lajeado / Estrela- Subtrecho 6 - 347,58 - 348,34 - 0,759999999999991</v>
      </c>
      <c r="J571" s="23" t="s">
        <v>363</v>
      </c>
    </row>
    <row r="572" spans="1:10" x14ac:dyDescent="0.25">
      <c r="A572" s="33" t="s">
        <v>382</v>
      </c>
      <c r="B572" s="13" t="s">
        <v>320</v>
      </c>
      <c r="C572" s="33" t="s">
        <v>63</v>
      </c>
      <c r="D572" s="33">
        <v>348.34</v>
      </c>
      <c r="E572" s="33">
        <v>348.77</v>
      </c>
      <c r="F572" s="41">
        <v>0.43000000000000682</v>
      </c>
      <c r="G572" s="42" t="str">
        <f t="shared" si="27"/>
        <v>CONCESSÃO VIA SUL - FX ADICIONAL - Faixa Adicional Lajeado / Estrela- Subtrecho 7 - 348,34 - 348,77 - 0,430000000000007</v>
      </c>
      <c r="J572" s="23" t="s">
        <v>363</v>
      </c>
    </row>
    <row r="573" spans="1:10" x14ac:dyDescent="0.25">
      <c r="A573" s="33" t="s">
        <v>382</v>
      </c>
      <c r="B573" s="13" t="s">
        <v>320</v>
      </c>
      <c r="C573" s="33" t="s">
        <v>64</v>
      </c>
      <c r="D573" s="33">
        <v>348.77</v>
      </c>
      <c r="E573" s="33">
        <v>349.12</v>
      </c>
      <c r="F573" s="41">
        <v>0.35000000000002274</v>
      </c>
      <c r="G573" s="42" t="str">
        <f t="shared" si="27"/>
        <v>CONCESSÃO VIA SUL - FX ADICIONAL - Faixa Adicional Lajeado / Estrela- Subtrecho 8 - 348,77 - 349,12 - 0,350000000000023</v>
      </c>
      <c r="J573" s="23" t="s">
        <v>363</v>
      </c>
    </row>
    <row r="574" spans="1:10" x14ac:dyDescent="0.25">
      <c r="A574" s="33" t="s">
        <v>382</v>
      </c>
      <c r="B574" s="13" t="s">
        <v>320</v>
      </c>
      <c r="C574" s="33" t="s">
        <v>65</v>
      </c>
      <c r="D574" s="33">
        <v>349.12</v>
      </c>
      <c r="E574" s="33">
        <v>349.5</v>
      </c>
      <c r="F574" s="41">
        <v>0.37999999999999545</v>
      </c>
      <c r="G574" s="42" t="str">
        <f t="shared" si="27"/>
        <v>CONCESSÃO VIA SUL - FX ADICIONAL - Faixa Adicional Lajeado / Estrela- Subtrecho 9 - 349,12 - 349,5 - 0,379999999999995</v>
      </c>
      <c r="J574" s="23" t="s">
        <v>363</v>
      </c>
    </row>
    <row r="575" spans="1:10" x14ac:dyDescent="0.25">
      <c r="A575" s="33" t="s">
        <v>365</v>
      </c>
      <c r="B575" s="13" t="s">
        <v>320</v>
      </c>
      <c r="C575" s="33" t="s">
        <v>70</v>
      </c>
      <c r="D575" s="33">
        <v>795.9</v>
      </c>
      <c r="E575" s="33">
        <v>871.1</v>
      </c>
      <c r="F575" s="41">
        <v>75.200000000000045</v>
      </c>
      <c r="G575" s="42" t="str">
        <f t="shared" si="27"/>
        <v>CERRADO - FX ADICIONAL - Implantação de 3ª Faixa - 795,9 - 871,1 - 75,2</v>
      </c>
      <c r="J575" s="23" t="s">
        <v>363</v>
      </c>
    </row>
    <row r="576" spans="1:10" x14ac:dyDescent="0.25">
      <c r="A576" s="33" t="s">
        <v>365</v>
      </c>
      <c r="B576" s="13" t="s">
        <v>320</v>
      </c>
      <c r="C576" s="33" t="s">
        <v>70</v>
      </c>
      <c r="D576" s="33">
        <v>871.1</v>
      </c>
      <c r="E576" s="33">
        <v>873.3</v>
      </c>
      <c r="F576" s="41">
        <v>2.1999999999999318</v>
      </c>
      <c r="G576" s="42" t="str">
        <f t="shared" si="27"/>
        <v>CERRADO - FX ADICIONAL - Implantação de 3ª Faixa - 871,1 - 873,3 - 2,19999999999993</v>
      </c>
      <c r="J576" s="23" t="s">
        <v>363</v>
      </c>
    </row>
    <row r="577" spans="1:11" x14ac:dyDescent="0.25">
      <c r="A577" s="33" t="s">
        <v>8</v>
      </c>
      <c r="B577" s="13" t="s">
        <v>320</v>
      </c>
      <c r="C577" s="33" t="s">
        <v>367</v>
      </c>
      <c r="D577" s="33">
        <v>912.66300000000001</v>
      </c>
      <c r="E577" s="33">
        <v>913.95100000000002</v>
      </c>
      <c r="F577" s="41">
        <v>1.2880000000000109</v>
      </c>
      <c r="G577" s="42" t="str">
        <f t="shared" si="27"/>
        <v>VIA BRASIL - FX ADICIONAL - Faixa Adicional  - 912,663 - 913,951 - 1,28800000000001</v>
      </c>
      <c r="J577" s="23" t="s">
        <v>363</v>
      </c>
    </row>
    <row r="578" spans="1:11" x14ac:dyDescent="0.25">
      <c r="A578" s="33" t="s">
        <v>8</v>
      </c>
      <c r="B578" s="13" t="s">
        <v>320</v>
      </c>
      <c r="C578" s="33" t="s">
        <v>367</v>
      </c>
      <c r="D578" s="33">
        <v>923.45899999999995</v>
      </c>
      <c r="E578" s="33">
        <v>924.65499999999997</v>
      </c>
      <c r="F578" s="41">
        <v>1.1960000000000264</v>
      </c>
      <c r="G578" s="42" t="str">
        <f t="shared" si="27"/>
        <v>VIA BRASIL - FX ADICIONAL - Faixa Adicional  - 923,459 - 924,655 - 1,19600000000003</v>
      </c>
      <c r="J578" s="23" t="s">
        <v>363</v>
      </c>
    </row>
    <row r="579" spans="1:11" x14ac:dyDescent="0.25">
      <c r="A579" s="33" t="s">
        <v>8</v>
      </c>
      <c r="B579" s="13" t="s">
        <v>320</v>
      </c>
      <c r="C579" s="33" t="s">
        <v>367</v>
      </c>
      <c r="D579" s="33">
        <v>932.55899999999997</v>
      </c>
      <c r="E579" s="33">
        <v>936.65</v>
      </c>
      <c r="F579" s="41">
        <v>4.0910000000000082</v>
      </c>
      <c r="G579" s="42" t="str">
        <f t="shared" ref="G579:G636" si="28">_xlfn.TEXTJOIN(" - ",TRUE,A579:F579)</f>
        <v>VIA BRASIL - FX ADICIONAL - Faixa Adicional  - 932,559 - 936,65 - 4,09100000000001</v>
      </c>
      <c r="J579" s="23" t="s">
        <v>363</v>
      </c>
    </row>
    <row r="580" spans="1:11" x14ac:dyDescent="0.25">
      <c r="A580" s="33" t="s">
        <v>8</v>
      </c>
      <c r="B580" s="13" t="s">
        <v>320</v>
      </c>
      <c r="C580" s="33" t="s">
        <v>367</v>
      </c>
      <c r="D580" s="33">
        <v>940.05100000000004</v>
      </c>
      <c r="E580" s="33">
        <v>940.95799999999997</v>
      </c>
      <c r="F580" s="41">
        <v>0.90699999999992542</v>
      </c>
      <c r="G580" s="42" t="str">
        <f t="shared" si="28"/>
        <v>VIA BRASIL - FX ADICIONAL - Faixa Adicional  - 940,051 - 940,958 - 0,906999999999925</v>
      </c>
      <c r="J580" s="23" t="s">
        <v>363</v>
      </c>
    </row>
    <row r="581" spans="1:11" x14ac:dyDescent="0.25">
      <c r="A581" s="33" t="s">
        <v>8</v>
      </c>
      <c r="B581" s="13" t="s">
        <v>320</v>
      </c>
      <c r="C581" s="33" t="s">
        <v>367</v>
      </c>
      <c r="D581" s="33">
        <v>940.95799999999997</v>
      </c>
      <c r="E581" s="33">
        <v>943.05</v>
      </c>
      <c r="F581" s="41">
        <v>2.0919999999999845</v>
      </c>
      <c r="G581" s="42" t="str">
        <f t="shared" si="28"/>
        <v>VIA BRASIL - FX ADICIONAL - Faixa Adicional  - 940,958 - 943,05 - 2,09199999999998</v>
      </c>
      <c r="J581" s="23" t="s">
        <v>363</v>
      </c>
    </row>
    <row r="582" spans="1:11" x14ac:dyDescent="0.25">
      <c r="A582" s="33" t="s">
        <v>8</v>
      </c>
      <c r="B582" s="13" t="s">
        <v>320</v>
      </c>
      <c r="C582" s="33" t="s">
        <v>367</v>
      </c>
      <c r="D582" s="33">
        <v>944.05</v>
      </c>
      <c r="E582" s="33">
        <v>946.35799999999995</v>
      </c>
      <c r="F582" s="41">
        <v>2.3079999999999927</v>
      </c>
      <c r="G582" s="42" t="str">
        <f t="shared" si="28"/>
        <v>VIA BRASIL - FX ADICIONAL - Faixa Adicional  - 944,05 - 946,358 - 2,30799999999999</v>
      </c>
      <c r="J582" s="23" t="s">
        <v>363</v>
      </c>
    </row>
    <row r="583" spans="1:11" x14ac:dyDescent="0.25">
      <c r="A583" s="33" t="s">
        <v>382</v>
      </c>
      <c r="B583" s="13" t="s">
        <v>317</v>
      </c>
      <c r="C583" s="33" t="s">
        <v>14</v>
      </c>
      <c r="D583" s="33">
        <v>337.7</v>
      </c>
      <c r="E583" s="33">
        <v>340.7</v>
      </c>
      <c r="F583" s="41">
        <v>3</v>
      </c>
      <c r="G583" s="42" t="str">
        <f t="shared" si="28"/>
        <v>CONCESSÃO VIA SUL - PAVIMENTAÇÃO - Vias Marginais- Lajeado LD - 337,7 - 340,7 - 3</v>
      </c>
      <c r="K583" s="23" t="s">
        <v>363</v>
      </c>
    </row>
    <row r="584" spans="1:11" x14ac:dyDescent="0.25">
      <c r="A584" s="33" t="s">
        <v>382</v>
      </c>
      <c r="B584" s="13" t="s">
        <v>317</v>
      </c>
      <c r="C584" s="33" t="s">
        <v>14</v>
      </c>
      <c r="D584" s="33">
        <v>340.7</v>
      </c>
      <c r="E584" s="33">
        <v>344.2</v>
      </c>
      <c r="F584" s="41">
        <v>3.5</v>
      </c>
      <c r="G584" s="42" t="str">
        <f t="shared" si="28"/>
        <v>CONCESSÃO VIA SUL - PAVIMENTAÇÃO - Vias Marginais- Lajeado LD - 340,7 - 344,2 - 3,5</v>
      </c>
      <c r="K584" s="23" t="s">
        <v>363</v>
      </c>
    </row>
    <row r="585" spans="1:11" x14ac:dyDescent="0.25">
      <c r="A585" s="33" t="s">
        <v>382</v>
      </c>
      <c r="B585" s="13" t="s">
        <v>317</v>
      </c>
      <c r="C585" s="33" t="s">
        <v>15</v>
      </c>
      <c r="D585" s="33">
        <v>337.7</v>
      </c>
      <c r="E585" s="33">
        <v>340.7</v>
      </c>
      <c r="F585" s="41">
        <v>3</v>
      </c>
      <c r="G585" s="42" t="str">
        <f t="shared" si="28"/>
        <v>CONCESSÃO VIA SUL - PAVIMENTAÇÃO - Vias Marginais- Lajeado LE - 337,7 - 340,7 - 3</v>
      </c>
      <c r="K585" s="23" t="s">
        <v>363</v>
      </c>
    </row>
    <row r="586" spans="1:11" x14ac:dyDescent="0.25">
      <c r="A586" s="33" t="s">
        <v>382</v>
      </c>
      <c r="B586" s="13" t="s">
        <v>317</v>
      </c>
      <c r="C586" s="33" t="s">
        <v>15</v>
      </c>
      <c r="D586" s="33">
        <v>340.7</v>
      </c>
      <c r="E586" s="33">
        <v>344.2</v>
      </c>
      <c r="F586" s="41">
        <v>3.5</v>
      </c>
      <c r="G586" s="42" t="str">
        <f t="shared" si="28"/>
        <v>CONCESSÃO VIA SUL - PAVIMENTAÇÃO - Vias Marginais- Lajeado LE - 340,7 - 344,2 - 3,5</v>
      </c>
      <c r="K586" s="23" t="s">
        <v>363</v>
      </c>
    </row>
    <row r="587" spans="1:11" x14ac:dyDescent="0.25">
      <c r="A587" s="33" t="s">
        <v>382</v>
      </c>
      <c r="B587" s="13" t="s">
        <v>317</v>
      </c>
      <c r="C587" s="33" t="s">
        <v>326</v>
      </c>
      <c r="D587" s="33">
        <v>243.6</v>
      </c>
      <c r="E587" s="33">
        <v>246.9</v>
      </c>
      <c r="F587" s="41">
        <v>3.3000000000000114</v>
      </c>
      <c r="G587" s="42" t="str">
        <f t="shared" si="28"/>
        <v>CONCESSÃO VIA SUL - PAVIMENTAÇÃO - Vias marginais - km 243,6 ao km 246,9 LE - Soledade - 243,6 - 246,9 - 3,30000000000001</v>
      </c>
      <c r="K587" s="23" t="s">
        <v>363</v>
      </c>
    </row>
    <row r="588" spans="1:11" x14ac:dyDescent="0.25">
      <c r="A588" s="33" t="s">
        <v>382</v>
      </c>
      <c r="B588" s="13" t="s">
        <v>317</v>
      </c>
      <c r="C588" s="33" t="s">
        <v>327</v>
      </c>
      <c r="D588" s="33">
        <v>243.6</v>
      </c>
      <c r="E588" s="33">
        <v>246.9</v>
      </c>
      <c r="F588" s="41">
        <v>3.3000000000000114</v>
      </c>
      <c r="G588" s="42" t="str">
        <f t="shared" si="28"/>
        <v>CONCESSÃO VIA SUL - PAVIMENTAÇÃO - Vias marginais - km 243,6 ao km 246,9 LD - Soledade - 243,6 - 246,9 - 3,30000000000001</v>
      </c>
      <c r="K588" s="23" t="s">
        <v>363</v>
      </c>
    </row>
    <row r="589" spans="1:11" x14ac:dyDescent="0.25">
      <c r="A589" s="33" t="s">
        <v>382</v>
      </c>
      <c r="B589" s="13" t="s">
        <v>317</v>
      </c>
      <c r="C589" s="33" t="s">
        <v>328</v>
      </c>
      <c r="D589" s="33">
        <v>268</v>
      </c>
      <c r="E589" s="33">
        <v>271.8</v>
      </c>
      <c r="F589" s="41">
        <v>3.8000000000000114</v>
      </c>
      <c r="G589" s="42" t="str">
        <f t="shared" si="28"/>
        <v>CONCESSÃO VIA SUL - PAVIMENTAÇÃO - Vias marginais - km 268 ao km 271,8 LE - Fontoura Xavier - 268 - 271,8 - 3,80000000000001</v>
      </c>
      <c r="K589" s="23" t="s">
        <v>363</v>
      </c>
    </row>
    <row r="590" spans="1:11" x14ac:dyDescent="0.25">
      <c r="A590" s="33" t="s">
        <v>382</v>
      </c>
      <c r="B590" s="13" t="s">
        <v>317</v>
      </c>
      <c r="C590" s="33" t="s">
        <v>329</v>
      </c>
      <c r="D590" s="33">
        <v>268</v>
      </c>
      <c r="E590" s="33">
        <v>271.8</v>
      </c>
      <c r="F590" s="41">
        <v>3.8000000000000114</v>
      </c>
      <c r="G590" s="42" t="str">
        <f t="shared" si="28"/>
        <v>CONCESSÃO VIA SUL - PAVIMENTAÇÃO - Vias marginais - km 268 ao km 271,8 LD - Fontoura Xavier - 268 - 271,8 - 3,80000000000001</v>
      </c>
      <c r="K590" s="23" t="s">
        <v>363</v>
      </c>
    </row>
    <row r="591" spans="1:11" x14ac:dyDescent="0.25">
      <c r="A591" s="33" t="s">
        <v>365</v>
      </c>
      <c r="B591" s="13" t="s">
        <v>317</v>
      </c>
      <c r="C591" s="33" t="s">
        <v>66</v>
      </c>
      <c r="D591" s="33">
        <v>628.9</v>
      </c>
      <c r="E591" s="33">
        <v>631.16</v>
      </c>
      <c r="F591" s="41">
        <v>2.2599999999999909</v>
      </c>
      <c r="G591" s="42" t="str">
        <f t="shared" si="28"/>
        <v>CERRADO - PAVIMENTAÇÃO - *Vias Marginais LD (Monte Alegre de Minas) - 628,9 - 631,16 - 2,25999999999999</v>
      </c>
      <c r="K591" s="23" t="s">
        <v>363</v>
      </c>
    </row>
    <row r="592" spans="1:11" x14ac:dyDescent="0.25">
      <c r="A592" s="33" t="s">
        <v>365</v>
      </c>
      <c r="B592" s="13" t="s">
        <v>317</v>
      </c>
      <c r="C592" s="33" t="s">
        <v>67</v>
      </c>
      <c r="D592" s="33">
        <v>628.9</v>
      </c>
      <c r="E592" s="33">
        <v>631.16</v>
      </c>
      <c r="F592" s="41">
        <v>2.2599999999999909</v>
      </c>
      <c r="G592" s="42" t="str">
        <f t="shared" si="28"/>
        <v>CERRADO - PAVIMENTAÇÃO - *Vias Marginais LE (Monte Alegre de Minas) - 628,9 - 631,16 - 2,25999999999999</v>
      </c>
      <c r="K592" s="23" t="s">
        <v>363</v>
      </c>
    </row>
    <row r="593" spans="1:11" x14ac:dyDescent="0.25">
      <c r="A593" s="33" t="s">
        <v>365</v>
      </c>
      <c r="B593" s="13" t="s">
        <v>317</v>
      </c>
      <c r="C593" s="33" t="s">
        <v>338</v>
      </c>
      <c r="D593" s="33">
        <v>5</v>
      </c>
      <c r="E593" s="33">
        <v>8.5</v>
      </c>
      <c r="F593" s="41">
        <v>3.5</v>
      </c>
      <c r="G593" s="42" t="str">
        <f t="shared" si="28"/>
        <v>CERRADO - PAVIMENTAÇÃO - Vias Marginais LD (São Simão) - 5 - 8,5 - 3,5</v>
      </c>
      <c r="K593" s="23" t="s">
        <v>363</v>
      </c>
    </row>
    <row r="594" spans="1:11" x14ac:dyDescent="0.25">
      <c r="A594" s="33" t="s">
        <v>365</v>
      </c>
      <c r="B594" s="13" t="s">
        <v>317</v>
      </c>
      <c r="C594" s="33" t="s">
        <v>339</v>
      </c>
      <c r="D594" s="33">
        <v>57</v>
      </c>
      <c r="E594" s="33">
        <v>58</v>
      </c>
      <c r="F594" s="41">
        <v>1</v>
      </c>
      <c r="G594" s="42" t="str">
        <f t="shared" si="28"/>
        <v>CERRADO - PAVIMENTAÇÃO - Vias Marginais LD (Cachoeira Alta) - 57 - 58 - 1</v>
      </c>
      <c r="K594" s="23" t="s">
        <v>363</v>
      </c>
    </row>
    <row r="595" spans="1:11" x14ac:dyDescent="0.25">
      <c r="A595" s="33" t="s">
        <v>365</v>
      </c>
      <c r="B595" s="13" t="s">
        <v>317</v>
      </c>
      <c r="C595" s="33" t="s">
        <v>340</v>
      </c>
      <c r="D595" s="33">
        <v>57</v>
      </c>
      <c r="E595" s="33">
        <v>58</v>
      </c>
      <c r="F595" s="41">
        <v>1</v>
      </c>
      <c r="G595" s="42" t="str">
        <f t="shared" si="28"/>
        <v>CERRADO - PAVIMENTAÇÃO - Vias Marginais LE (Cachoeira Alta) - 57 - 58 - 1</v>
      </c>
      <c r="K595" s="23" t="s">
        <v>363</v>
      </c>
    </row>
    <row r="596" spans="1:11" x14ac:dyDescent="0.25">
      <c r="A596" s="33" t="s">
        <v>4</v>
      </c>
      <c r="B596" s="13" t="s">
        <v>317</v>
      </c>
      <c r="C596" s="33" t="s">
        <v>341</v>
      </c>
      <c r="D596" s="33">
        <v>327.5</v>
      </c>
      <c r="E596" s="33">
        <v>328.83</v>
      </c>
      <c r="F596" s="41">
        <v>1.3299999999999841</v>
      </c>
      <c r="G596" s="42" t="str">
        <f t="shared" si="28"/>
        <v>VIA COSTEIRA - PAVIMENTAÇÃO - Não Consta (pista Sul) - 327,5 - 328,83 - 1,32999999999998</v>
      </c>
      <c r="K596" s="23" t="s">
        <v>363</v>
      </c>
    </row>
    <row r="597" spans="1:11" x14ac:dyDescent="0.25">
      <c r="A597" s="33" t="s">
        <v>4</v>
      </c>
      <c r="B597" s="13" t="s">
        <v>317</v>
      </c>
      <c r="C597" s="33" t="s">
        <v>341</v>
      </c>
      <c r="D597" s="33">
        <v>328.9</v>
      </c>
      <c r="E597" s="33">
        <v>331.4</v>
      </c>
      <c r="F597" s="41">
        <v>2.5</v>
      </c>
      <c r="G597" s="42" t="str">
        <f t="shared" si="28"/>
        <v>VIA COSTEIRA - PAVIMENTAÇÃO - Não Consta (pista Sul) - 328,9 - 331,4 - 2,5</v>
      </c>
      <c r="K597" s="23" t="s">
        <v>363</v>
      </c>
    </row>
    <row r="598" spans="1:11" x14ac:dyDescent="0.25">
      <c r="A598" s="33" t="s">
        <v>4</v>
      </c>
      <c r="B598" s="13" t="s">
        <v>317</v>
      </c>
      <c r="C598" s="33" t="s">
        <v>341</v>
      </c>
      <c r="D598" s="33">
        <v>332.07</v>
      </c>
      <c r="E598" s="33">
        <v>332.77</v>
      </c>
      <c r="F598" s="41">
        <v>0.69999999999998863</v>
      </c>
      <c r="G598" s="42" t="str">
        <f t="shared" si="28"/>
        <v>VIA COSTEIRA - PAVIMENTAÇÃO - Não Consta (pista Sul) - 332,07 - 332,77 - 0,699999999999989</v>
      </c>
      <c r="K598" s="23" t="s">
        <v>363</v>
      </c>
    </row>
    <row r="599" spans="1:11" x14ac:dyDescent="0.25">
      <c r="A599" s="33" t="s">
        <v>4</v>
      </c>
      <c r="B599" s="13" t="s">
        <v>317</v>
      </c>
      <c r="C599" s="33" t="s">
        <v>342</v>
      </c>
      <c r="D599" s="33">
        <v>329.6</v>
      </c>
      <c r="E599" s="33">
        <v>328.45</v>
      </c>
      <c r="F599" s="41">
        <v>1.1500000000000341</v>
      </c>
      <c r="G599" s="42" t="str">
        <f t="shared" si="28"/>
        <v>VIA COSTEIRA - PAVIMENTAÇÃO - Não Consta (Pista Norte) - 329,6 - 328,45 - 1,15000000000003</v>
      </c>
      <c r="K599" s="23" t="s">
        <v>363</v>
      </c>
    </row>
    <row r="600" spans="1:11" x14ac:dyDescent="0.25">
      <c r="A600" s="33" t="s">
        <v>4</v>
      </c>
      <c r="B600" s="13" t="s">
        <v>317</v>
      </c>
      <c r="C600" s="33" t="s">
        <v>342</v>
      </c>
      <c r="D600" s="33">
        <v>278</v>
      </c>
      <c r="E600" s="33">
        <v>276.45</v>
      </c>
      <c r="F600" s="41">
        <v>1.5500000000000114</v>
      </c>
      <c r="G600" s="42" t="str">
        <f t="shared" si="28"/>
        <v>VIA COSTEIRA - PAVIMENTAÇÃO - Não Consta (Pista Norte) - 278 - 276,45 - 1,55000000000001</v>
      </c>
      <c r="K600" s="23" t="s">
        <v>363</v>
      </c>
    </row>
    <row r="601" spans="1:11" x14ac:dyDescent="0.25">
      <c r="A601" s="33" t="s">
        <v>4</v>
      </c>
      <c r="B601" s="13" t="s">
        <v>317</v>
      </c>
      <c r="C601" s="33" t="s">
        <v>342</v>
      </c>
      <c r="D601" s="33">
        <v>275.7</v>
      </c>
      <c r="E601" s="33">
        <v>273.73</v>
      </c>
      <c r="F601" s="41">
        <v>1.9699999999999704</v>
      </c>
      <c r="G601" s="42" t="str">
        <f t="shared" si="28"/>
        <v>VIA COSTEIRA - PAVIMENTAÇÃO - Não Consta (Pista Norte) - 275,7 - 273,73 - 1,96999999999997</v>
      </c>
      <c r="K601" s="23" t="s">
        <v>363</v>
      </c>
    </row>
    <row r="602" spans="1:11" x14ac:dyDescent="0.25">
      <c r="A602" s="33" t="s">
        <v>4</v>
      </c>
      <c r="B602" s="13" t="s">
        <v>317</v>
      </c>
      <c r="C602" s="33" t="s">
        <v>342</v>
      </c>
      <c r="D602" s="33">
        <v>273.73</v>
      </c>
      <c r="E602" s="33">
        <v>272.85000000000002</v>
      </c>
      <c r="F602" s="41">
        <v>0.87999999999999545</v>
      </c>
      <c r="G602" s="42" t="str">
        <f t="shared" si="28"/>
        <v>VIA COSTEIRA - PAVIMENTAÇÃO - Não Consta (Pista Norte) - 273,73 - 272,85 - 0,879999999999995</v>
      </c>
      <c r="K602" s="23" t="s">
        <v>363</v>
      </c>
    </row>
    <row r="603" spans="1:11" x14ac:dyDescent="0.25">
      <c r="A603" s="33" t="s">
        <v>4</v>
      </c>
      <c r="B603" s="13" t="s">
        <v>317</v>
      </c>
      <c r="C603" s="33" t="s">
        <v>342</v>
      </c>
      <c r="D603" s="33">
        <v>272.45</v>
      </c>
      <c r="E603" s="33">
        <v>271.35000000000002</v>
      </c>
      <c r="F603" s="41">
        <v>1.0999999999999659</v>
      </c>
      <c r="G603" s="42" t="str">
        <f t="shared" si="28"/>
        <v>VIA COSTEIRA - PAVIMENTAÇÃO - Não Consta (Pista Norte) - 272,45 - 271,35 - 1,09999999999997</v>
      </c>
      <c r="K603" s="23" t="s">
        <v>363</v>
      </c>
    </row>
    <row r="604" spans="1:11" x14ac:dyDescent="0.25">
      <c r="A604" s="33" t="s">
        <v>8</v>
      </c>
      <c r="B604" s="13" t="s">
        <v>317</v>
      </c>
      <c r="C604" s="33" t="s">
        <v>345</v>
      </c>
      <c r="D604" s="33">
        <v>120.36</v>
      </c>
      <c r="E604" s="33">
        <v>121.36</v>
      </c>
      <c r="F604" s="41">
        <v>1</v>
      </c>
      <c r="G604" s="42" t="str">
        <f t="shared" si="28"/>
        <v>VIA BRASIL - PAVIMENTAÇÃO - Vias Marginais - 120,36 - 121,36 - 1</v>
      </c>
      <c r="K604" s="23" t="s">
        <v>363</v>
      </c>
    </row>
    <row r="605" spans="1:11" x14ac:dyDescent="0.25">
      <c r="A605" s="33" t="s">
        <v>8</v>
      </c>
      <c r="B605" s="13" t="s">
        <v>317</v>
      </c>
      <c r="C605" s="33" t="s">
        <v>345</v>
      </c>
      <c r="D605" s="33">
        <v>156.26</v>
      </c>
      <c r="E605" s="33">
        <v>159.46</v>
      </c>
      <c r="F605" s="41">
        <v>3.2000000000000171</v>
      </c>
      <c r="G605" s="42" t="str">
        <f t="shared" si="28"/>
        <v>VIA BRASIL - PAVIMENTAÇÃO - Vias Marginais - 156,26 - 159,46 - 3,20000000000002</v>
      </c>
      <c r="K605" s="23" t="s">
        <v>363</v>
      </c>
    </row>
    <row r="606" spans="1:11" x14ac:dyDescent="0.25">
      <c r="A606" s="33" t="s">
        <v>8</v>
      </c>
      <c r="B606" s="13" t="s">
        <v>317</v>
      </c>
      <c r="C606" s="33" t="s">
        <v>345</v>
      </c>
      <c r="D606" s="33">
        <v>157.22</v>
      </c>
      <c r="E606" s="33">
        <v>159.46</v>
      </c>
      <c r="F606" s="41">
        <v>2.2400000000000091</v>
      </c>
      <c r="G606" s="42" t="str">
        <f t="shared" si="28"/>
        <v>VIA BRASIL - PAVIMENTAÇÃO - Vias Marginais - 157,22 - 159,46 - 2,24000000000001</v>
      </c>
      <c r="K606" s="23" t="s">
        <v>363</v>
      </c>
    </row>
    <row r="607" spans="1:11" x14ac:dyDescent="0.25">
      <c r="A607" s="33" t="s">
        <v>8</v>
      </c>
      <c r="B607" s="13" t="s">
        <v>317</v>
      </c>
      <c r="C607" s="33" t="s">
        <v>345</v>
      </c>
      <c r="D607" s="33">
        <v>225.57</v>
      </c>
      <c r="E607" s="33">
        <v>226.67</v>
      </c>
      <c r="F607" s="41">
        <v>1.0999999999999943</v>
      </c>
      <c r="G607" s="42" t="str">
        <f t="shared" si="28"/>
        <v>VIA BRASIL - PAVIMENTAÇÃO - Vias Marginais - 225,57 - 226,67 - 1,09999999999999</v>
      </c>
      <c r="K607" s="23" t="s">
        <v>363</v>
      </c>
    </row>
    <row r="608" spans="1:11" x14ac:dyDescent="0.25">
      <c r="A608" s="33" t="s">
        <v>8</v>
      </c>
      <c r="B608" s="13" t="s">
        <v>317</v>
      </c>
      <c r="C608" s="33" t="s">
        <v>345</v>
      </c>
      <c r="D608" s="33">
        <v>226</v>
      </c>
      <c r="E608" s="33">
        <v>226.8</v>
      </c>
      <c r="F608" s="41">
        <v>0.80000000000001137</v>
      </c>
      <c r="G608" s="42" t="str">
        <f t="shared" si="28"/>
        <v>VIA BRASIL - PAVIMENTAÇÃO - Vias Marginais - 226 - 226,8 - 0,800000000000011</v>
      </c>
      <c r="K608" s="23" t="s">
        <v>363</v>
      </c>
    </row>
    <row r="609" spans="1:11" x14ac:dyDescent="0.25">
      <c r="A609" s="33" t="s">
        <v>8</v>
      </c>
      <c r="B609" s="13" t="s">
        <v>317</v>
      </c>
      <c r="C609" s="33" t="s">
        <v>345</v>
      </c>
      <c r="D609" s="33">
        <v>278.83999999999997</v>
      </c>
      <c r="E609" s="33">
        <v>279.83999999999997</v>
      </c>
      <c r="F609" s="41">
        <v>1</v>
      </c>
      <c r="G609" s="42" t="str">
        <f t="shared" si="28"/>
        <v>VIA BRASIL - PAVIMENTAÇÃO - Vias Marginais - 278,84 - 279,84 - 1</v>
      </c>
      <c r="K609" s="23" t="s">
        <v>363</v>
      </c>
    </row>
    <row r="610" spans="1:11" x14ac:dyDescent="0.25">
      <c r="A610" s="33" t="s">
        <v>349</v>
      </c>
      <c r="B610" s="13" t="s">
        <v>317</v>
      </c>
      <c r="C610" s="33" t="s">
        <v>347</v>
      </c>
      <c r="D610" s="33">
        <v>151.30000000000001</v>
      </c>
      <c r="E610" s="33">
        <v>157.69</v>
      </c>
      <c r="F610" s="41">
        <v>6.3899999999999864</v>
      </c>
      <c r="G610" s="42" t="str">
        <f t="shared" si="28"/>
        <v>RIO/SP - PAVIMENTAÇÃO - Vias Marginais (Esquerdo) - 151,3 - 157,69 - 6,38999999999999</v>
      </c>
      <c r="K610" s="23" t="s">
        <v>363</v>
      </c>
    </row>
    <row r="611" spans="1:11" x14ac:dyDescent="0.25">
      <c r="A611" s="33" t="s">
        <v>349</v>
      </c>
      <c r="B611" s="13" t="s">
        <v>317</v>
      </c>
      <c r="C611" s="33" t="s">
        <v>348</v>
      </c>
      <c r="D611" s="33">
        <v>152.88999999999999</v>
      </c>
      <c r="E611" s="33">
        <v>157.03</v>
      </c>
      <c r="F611" s="41">
        <v>4.1400000000000148</v>
      </c>
      <c r="G611" s="42" t="str">
        <f t="shared" si="28"/>
        <v>RIO/SP - PAVIMENTAÇÃO - Vias Marginais (Direito) - 152,89 - 157,03 - 4,14000000000001</v>
      </c>
      <c r="K611" s="23" t="s">
        <v>363</v>
      </c>
    </row>
    <row r="612" spans="1:11" x14ac:dyDescent="0.25">
      <c r="A612" s="33" t="s">
        <v>349</v>
      </c>
      <c r="B612" s="13" t="s">
        <v>317</v>
      </c>
      <c r="C612" s="33" t="s">
        <v>348</v>
      </c>
      <c r="D612" s="33">
        <v>209.95</v>
      </c>
      <c r="E612" s="33">
        <v>211.4</v>
      </c>
      <c r="F612" s="41">
        <v>1.4500000000000171</v>
      </c>
      <c r="G612" s="42" t="str">
        <f t="shared" si="28"/>
        <v>RIO/SP - PAVIMENTAÇÃO - Vias Marginais (Direito) - 209,95 - 211,4 - 1,45000000000002</v>
      </c>
      <c r="K612" s="23" t="s">
        <v>363</v>
      </c>
    </row>
    <row r="613" spans="1:11" x14ac:dyDescent="0.25">
      <c r="A613" s="33" t="s">
        <v>401</v>
      </c>
      <c r="B613" s="13" t="s">
        <v>317</v>
      </c>
      <c r="C613" s="33" t="s">
        <v>93</v>
      </c>
      <c r="D613" s="33">
        <v>617</v>
      </c>
      <c r="E613" s="33">
        <v>618.4</v>
      </c>
      <c r="F613" s="41">
        <v>2.7999999999999545</v>
      </c>
      <c r="G613" s="42" t="str">
        <f t="shared" si="28"/>
        <v>LITORAL - PAVIMENTAÇÃO - região da interseção do Contorno Leste de Curitiba - 617 - 618,4 - 2,79999999999995</v>
      </c>
      <c r="K613" s="23" t="s">
        <v>363</v>
      </c>
    </row>
    <row r="614" spans="1:11" x14ac:dyDescent="0.25">
      <c r="A614" s="33" t="s">
        <v>401</v>
      </c>
      <c r="B614" s="13" t="s">
        <v>317</v>
      </c>
      <c r="C614" s="33" t="s">
        <v>97</v>
      </c>
      <c r="D614" s="33">
        <v>0</v>
      </c>
      <c r="E614" s="33">
        <v>1.5</v>
      </c>
      <c r="F614" s="41">
        <v>1.5</v>
      </c>
      <c r="G614" s="42" t="str">
        <f t="shared" si="28"/>
        <v>LITORAL - PAVIMENTAÇÃO - Execução de Ruas Laterais em Pista Simples - Tijucas - 2 lados - segmentos descontínuos - 0 - 1,5 - 1,5</v>
      </c>
      <c r="K614" s="23" t="s">
        <v>363</v>
      </c>
    </row>
    <row r="615" spans="1:11" x14ac:dyDescent="0.25">
      <c r="A615" s="33" t="s">
        <v>403</v>
      </c>
      <c r="B615" s="13" t="s">
        <v>317</v>
      </c>
      <c r="C615" s="33" t="s">
        <v>135</v>
      </c>
      <c r="D615" s="33">
        <v>0</v>
      </c>
      <c r="E615" s="33">
        <v>15</v>
      </c>
      <c r="F615" s="41">
        <v>15</v>
      </c>
      <c r="G615" s="42" t="str">
        <f t="shared" si="28"/>
        <v>REGIS - PAVIMENTAÇÃO - Ruas laterais em segmentos descontínuos a serem definidos, nos municípios de Campina Grande do Sul, Quatro Barras, Colombo e Curitiba - 0 - 15 - 15</v>
      </c>
      <c r="K615" s="23" t="s">
        <v>363</v>
      </c>
    </row>
    <row r="616" spans="1:11" x14ac:dyDescent="0.25">
      <c r="A616" s="33" t="s">
        <v>403</v>
      </c>
      <c r="B616" s="13" t="s">
        <v>317</v>
      </c>
      <c r="C616" s="33" t="s">
        <v>136</v>
      </c>
      <c r="D616" s="33">
        <v>0</v>
      </c>
      <c r="E616" s="33">
        <v>20</v>
      </c>
      <c r="F616" s="41">
        <v>20</v>
      </c>
      <c r="G616" s="42" t="str">
        <f t="shared" si="28"/>
        <v>REGIS - PAVIMENTAÇÃO - Ruas laterais em segmentos descontínuos a serem definidos, nos municípios de Taboão da Serra, Embu, São Lourenço da Serra e Itapecerica da Serra, - 0 - 20 - 20</v>
      </c>
      <c r="K616" s="23" t="s">
        <v>363</v>
      </c>
    </row>
    <row r="617" spans="1:11" x14ac:dyDescent="0.25">
      <c r="A617" s="33" t="s">
        <v>403</v>
      </c>
      <c r="B617" s="13" t="s">
        <v>317</v>
      </c>
      <c r="C617" s="33" t="s">
        <v>137</v>
      </c>
      <c r="D617" s="33">
        <v>0</v>
      </c>
      <c r="E617" s="33">
        <v>20</v>
      </c>
      <c r="F617" s="41">
        <v>20</v>
      </c>
      <c r="G617" s="42" t="str">
        <f t="shared" si="28"/>
        <v>REGIS - PAVIMENTAÇÃO - Ruas laterais em segmentos descontínuos a serem definidos, nos municípios de Miracatu, Registro, Pariquera-Açu, Jacupiranga e Cajati - 0 - 20 - 20</v>
      </c>
      <c r="K617" s="23" t="s">
        <v>363</v>
      </c>
    </row>
    <row r="618" spans="1:11" x14ac:dyDescent="0.25">
      <c r="A618" s="33" t="s">
        <v>7</v>
      </c>
      <c r="B618" s="13" t="s">
        <v>317</v>
      </c>
      <c r="C618" s="33" t="s">
        <v>178</v>
      </c>
      <c r="D618" s="33">
        <v>8.1</v>
      </c>
      <c r="E618" s="33">
        <v>8.6</v>
      </c>
      <c r="F618" s="41">
        <v>0.5</v>
      </c>
      <c r="G618" s="42" t="str">
        <f t="shared" si="28"/>
        <v>VIA BAHIA - PAVIMENTAÇÃO - Construção de ruas laterais - SUBTRECHO 8 - Perímetro urbano ASSIB LE - 8,1 - 8,6 - 0,5</v>
      </c>
      <c r="K618" s="23" t="s">
        <v>363</v>
      </c>
    </row>
    <row r="619" spans="1:11" x14ac:dyDescent="0.25">
      <c r="A619" s="33" t="s">
        <v>7</v>
      </c>
      <c r="B619" s="13" t="s">
        <v>317</v>
      </c>
      <c r="C619" s="33" t="s">
        <v>179</v>
      </c>
      <c r="D619" s="33">
        <v>21.1</v>
      </c>
      <c r="E619" s="33">
        <v>21.9</v>
      </c>
      <c r="F619" s="41">
        <v>1.5999999999999943</v>
      </c>
      <c r="G619" s="42" t="str">
        <f t="shared" si="28"/>
        <v>VIA BAHIA - PAVIMENTAÇÃO - Construção de ruas laterais - SUBTRECHO 8 - Perímetro Urbano Itatim Lado E/D - 21,1 - 21,9 - 1,59999999999999</v>
      </c>
      <c r="K619" s="23" t="s">
        <v>363</v>
      </c>
    </row>
    <row r="620" spans="1:11" x14ac:dyDescent="0.25">
      <c r="A620" s="33" t="s">
        <v>7</v>
      </c>
      <c r="B620" s="13" t="s">
        <v>317</v>
      </c>
      <c r="C620" s="33" t="s">
        <v>179</v>
      </c>
      <c r="D620" s="33">
        <v>23.3</v>
      </c>
      <c r="E620" s="33">
        <v>24.4</v>
      </c>
      <c r="F620" s="41">
        <v>2.1999999999999957</v>
      </c>
      <c r="G620" s="42" t="str">
        <f t="shared" si="28"/>
        <v>VIA BAHIA - PAVIMENTAÇÃO - Construção de ruas laterais - SUBTRECHO 8 - Perímetro Urbano Itatim Lado E/D - 23,3 - 24,4 - 2,2</v>
      </c>
      <c r="K620" s="23" t="s">
        <v>363</v>
      </c>
    </row>
    <row r="621" spans="1:11" x14ac:dyDescent="0.25">
      <c r="A621" s="33" t="s">
        <v>7</v>
      </c>
      <c r="B621" s="13" t="s">
        <v>317</v>
      </c>
      <c r="C621" s="33" t="s">
        <v>180</v>
      </c>
      <c r="D621" s="33">
        <v>0.2</v>
      </c>
      <c r="E621" s="33">
        <v>0.6</v>
      </c>
      <c r="F621" s="41">
        <v>0.79999999999999993</v>
      </c>
      <c r="G621" s="42" t="str">
        <f t="shared" si="28"/>
        <v>VIA BAHIA - PAVIMENTAÇÃO - Construção de ruas laterais - SUBTRECHO 7 - Perímetro Urbano Paraguaçu Lado E/D - 0,2 - 0,6 - 0,8</v>
      </c>
      <c r="K621" s="23" t="s">
        <v>363</v>
      </c>
    </row>
    <row r="622" spans="1:11" x14ac:dyDescent="0.25">
      <c r="A622" s="33" t="s">
        <v>7</v>
      </c>
      <c r="B622" s="13" t="s">
        <v>317</v>
      </c>
      <c r="C622" s="33" t="s">
        <v>181</v>
      </c>
      <c r="D622" s="33">
        <v>29</v>
      </c>
      <c r="E622" s="33">
        <v>29.5</v>
      </c>
      <c r="F622" s="41">
        <v>1</v>
      </c>
      <c r="G622" s="42" t="str">
        <f t="shared" si="28"/>
        <v>VIA BAHIA - PAVIMENTAÇÃO - Construção de ruas laterais - SUBTRECHO 7 - Perímetro Urbano Lado E/D - 29 - 29,5 - 1</v>
      </c>
      <c r="K622" s="23" t="s">
        <v>363</v>
      </c>
    </row>
    <row r="623" spans="1:11" x14ac:dyDescent="0.25">
      <c r="A623" s="33" t="s">
        <v>7</v>
      </c>
      <c r="B623" s="13" t="s">
        <v>317</v>
      </c>
      <c r="C623" s="33" t="s">
        <v>182</v>
      </c>
      <c r="D623" s="33">
        <v>30.1</v>
      </c>
      <c r="E623" s="33">
        <v>30.6</v>
      </c>
      <c r="F623" s="41">
        <v>0.5</v>
      </c>
      <c r="G623" s="42" t="str">
        <f t="shared" si="28"/>
        <v>VIA BAHIA - PAVIMENTAÇÃO - Construção de ruas laterais - SUBTRECHO 7 - Perímetro Urbano Lado D - 30,1 - 30,6 - 0,5</v>
      </c>
      <c r="K623" s="23" t="s">
        <v>363</v>
      </c>
    </row>
    <row r="624" spans="1:11" x14ac:dyDescent="0.25">
      <c r="A624" s="33" t="s">
        <v>7</v>
      </c>
      <c r="B624" s="13" t="s">
        <v>317</v>
      </c>
      <c r="C624" s="33" t="s">
        <v>183</v>
      </c>
      <c r="D624" s="33">
        <v>33</v>
      </c>
      <c r="E624" s="33">
        <v>33.6</v>
      </c>
      <c r="F624" s="41">
        <v>1.2000000000000028</v>
      </c>
      <c r="G624" s="42" t="str">
        <f t="shared" si="28"/>
        <v>VIA BAHIA - PAVIMENTAÇÃO - Construção de ruas laterais - SUBTRECHO 7 - Perímetro urbano Santo Estevão Lado E/D - 33 - 33,6 - 1,2</v>
      </c>
      <c r="K624" s="23" t="s">
        <v>363</v>
      </c>
    </row>
    <row r="625" spans="1:11" x14ac:dyDescent="0.25">
      <c r="A625" s="33" t="s">
        <v>7</v>
      </c>
      <c r="B625" s="13" t="s">
        <v>317</v>
      </c>
      <c r="C625" s="33" t="s">
        <v>184</v>
      </c>
      <c r="D625" s="33">
        <v>0</v>
      </c>
      <c r="E625" s="33">
        <v>1.8</v>
      </c>
      <c r="F625" s="41">
        <v>1.8</v>
      </c>
      <c r="G625" s="42" t="str">
        <f t="shared" si="28"/>
        <v>VIA BAHIA - PAVIMENTAÇÃO - Construção de ruas laterais - SUBTRECHO 6 - Perímetro Urbano Santo Estevão Lado E/D - 0 - 1,8 - 1,8</v>
      </c>
      <c r="K625" s="23" t="s">
        <v>363</v>
      </c>
    </row>
    <row r="626" spans="1:11" x14ac:dyDescent="0.25">
      <c r="A626" s="33" t="s">
        <v>7</v>
      </c>
      <c r="B626" s="13" t="s">
        <v>317</v>
      </c>
      <c r="C626" s="33" t="s">
        <v>185</v>
      </c>
      <c r="D626" s="33">
        <v>30.4</v>
      </c>
      <c r="E626" s="33">
        <v>30.8</v>
      </c>
      <c r="F626" s="41">
        <v>0.40000000000000213</v>
      </c>
      <c r="G626" s="42" t="str">
        <f t="shared" si="28"/>
        <v>VIA BAHIA - PAVIMENTAÇÃO - Construção de ruas laterais - SUBTRECHO 6 - Perímetro Urbano Km 7 Chapeu de Coro Lado D - 30,4 - 30,8 - 0,400000000000002</v>
      </c>
      <c r="K626" s="23" t="s">
        <v>363</v>
      </c>
    </row>
    <row r="627" spans="1:11" x14ac:dyDescent="0.25">
      <c r="A627" s="33" t="s">
        <v>404</v>
      </c>
      <c r="B627" s="13" t="s">
        <v>317</v>
      </c>
      <c r="C627" s="33" t="s">
        <v>200</v>
      </c>
      <c r="D627" s="33">
        <v>98</v>
      </c>
      <c r="E627" s="33">
        <v>100.8</v>
      </c>
      <c r="F627" s="41">
        <v>2.7999999999999972</v>
      </c>
      <c r="G627" s="42" t="str">
        <f t="shared" si="28"/>
        <v>ECO 050 - PAVIMENTAÇÃO - Via Marginal ID-02 - Pista Sul BR 050/GO - CRISTALINA - 98 - 100,8 - 2,8</v>
      </c>
      <c r="K627" s="23" t="s">
        <v>363</v>
      </c>
    </row>
    <row r="628" spans="1:11" x14ac:dyDescent="0.25">
      <c r="A628" s="33" t="s">
        <v>404</v>
      </c>
      <c r="B628" s="13" t="s">
        <v>317</v>
      </c>
      <c r="C628" s="33" t="s">
        <v>201</v>
      </c>
      <c r="D628" s="33">
        <v>98</v>
      </c>
      <c r="E628" s="33">
        <v>100.8</v>
      </c>
      <c r="F628" s="41">
        <v>2.7999999999999972</v>
      </c>
      <c r="G628" s="42" t="str">
        <f t="shared" si="28"/>
        <v>ECO 050 - PAVIMENTAÇÃO - Via Marginal ID-02 - Pista Norte BR 050/GO - CRISTALINA - 98 - 100,8 - 2,8</v>
      </c>
      <c r="K628" s="23" t="s">
        <v>363</v>
      </c>
    </row>
    <row r="629" spans="1:11" x14ac:dyDescent="0.25">
      <c r="A629" s="33" t="s">
        <v>404</v>
      </c>
      <c r="B629" s="13" t="s">
        <v>317</v>
      </c>
      <c r="C629" s="33" t="s">
        <v>202</v>
      </c>
      <c r="D629" s="33">
        <v>106.7</v>
      </c>
      <c r="E629" s="33">
        <v>107.3</v>
      </c>
      <c r="F629" s="41">
        <v>0.59999999999999432</v>
      </c>
      <c r="G629" s="42" t="str">
        <f t="shared" si="28"/>
        <v>ECO 050 - PAVIMENTAÇÃO - Via Marginal ID-03 - Pista Sul BR 050/GO - CRISTALINA - 106,7 - 107,3 - 0,599999999999994</v>
      </c>
      <c r="K629" s="23" t="s">
        <v>363</v>
      </c>
    </row>
    <row r="630" spans="1:11" x14ac:dyDescent="0.25">
      <c r="A630" s="33" t="s">
        <v>404</v>
      </c>
      <c r="B630" s="13" t="s">
        <v>317</v>
      </c>
      <c r="C630" s="33" t="s">
        <v>203</v>
      </c>
      <c r="D630" s="33">
        <v>107.3</v>
      </c>
      <c r="E630" s="33">
        <v>108</v>
      </c>
      <c r="F630" s="41">
        <v>0.70000000000000284</v>
      </c>
      <c r="G630" s="42" t="str">
        <f t="shared" si="28"/>
        <v>ECO 050 - PAVIMENTAÇÃO - Via Marginal ID-04 - Pista Norte BR 050/GO - CRISTALINA - 107,3 - 108 - 0,700000000000003</v>
      </c>
      <c r="K630" s="23" t="s">
        <v>363</v>
      </c>
    </row>
    <row r="631" spans="1:11" x14ac:dyDescent="0.25">
      <c r="A631" s="33" t="s">
        <v>404</v>
      </c>
      <c r="B631" s="13" t="s">
        <v>317</v>
      </c>
      <c r="C631" s="33" t="s">
        <v>205</v>
      </c>
      <c r="D631" s="33">
        <v>245.4</v>
      </c>
      <c r="E631" s="33">
        <v>246.9</v>
      </c>
      <c r="F631" s="41">
        <v>1.5</v>
      </c>
      <c r="G631" s="42" t="str">
        <f t="shared" si="28"/>
        <v>ECO 050 - PAVIMENTAÇÃO - Via Marginal ID-06 - Pista Norte BR 050/GO - CATALÃO - 245,4 - 246,9 - 1,5</v>
      </c>
      <c r="K631" s="23" t="s">
        <v>363</v>
      </c>
    </row>
    <row r="632" spans="1:11" x14ac:dyDescent="0.25">
      <c r="A632" s="33" t="s">
        <v>404</v>
      </c>
      <c r="B632" s="13" t="s">
        <v>317</v>
      </c>
      <c r="C632" s="33" t="s">
        <v>206</v>
      </c>
      <c r="D632" s="33">
        <v>276.5</v>
      </c>
      <c r="E632" s="33">
        <v>280.5</v>
      </c>
      <c r="F632" s="41">
        <v>4</v>
      </c>
      <c r="G632" s="42" t="str">
        <f t="shared" si="28"/>
        <v>ECO 050 - PAVIMENTAÇÃO - Via Marginal ID-07 - Pista Norte BR 050/GO - CATALÃO - 276,5 - 280,5 - 4</v>
      </c>
      <c r="K632" s="23" t="s">
        <v>363</v>
      </c>
    </row>
    <row r="633" spans="1:11" x14ac:dyDescent="0.25">
      <c r="A633" s="33" t="s">
        <v>404</v>
      </c>
      <c r="B633" s="13" t="s">
        <v>317</v>
      </c>
      <c r="C633" s="33" t="s">
        <v>207</v>
      </c>
      <c r="D633" s="33">
        <v>276.89999999999998</v>
      </c>
      <c r="E633" s="33">
        <v>283.10000000000002</v>
      </c>
      <c r="F633" s="41">
        <v>6.2000000000000455</v>
      </c>
      <c r="G633" s="42" t="str">
        <f t="shared" si="28"/>
        <v>ECO 050 - PAVIMENTAÇÃO - Via Marginal ID-08 - Pista Sul BR 050/GO - CATALÃO - 276,9 - 283,1 - 6,20000000000005</v>
      </c>
      <c r="K633" s="23" t="s">
        <v>363</v>
      </c>
    </row>
    <row r="634" spans="1:11" x14ac:dyDescent="0.25">
      <c r="A634" s="33" t="s">
        <v>5</v>
      </c>
      <c r="B634" s="13" t="s">
        <v>317</v>
      </c>
      <c r="C634" s="33" t="s">
        <v>242</v>
      </c>
      <c r="D634" s="33">
        <v>319</v>
      </c>
      <c r="E634" s="33">
        <v>320.10000000000002</v>
      </c>
      <c r="F634" s="41">
        <v>1.1000000000000227</v>
      </c>
      <c r="G634" s="42" t="str">
        <f t="shared" si="28"/>
        <v>CRO - PAVIMENTAÇÃO - Vias Marginais ID-01 BR 163/MT - 319 - 320,1 - 1,10000000000002</v>
      </c>
      <c r="K634" s="23" t="s">
        <v>363</v>
      </c>
    </row>
    <row r="635" spans="1:11" x14ac:dyDescent="0.25">
      <c r="A635" s="33" t="s">
        <v>5</v>
      </c>
      <c r="B635" s="13" t="s">
        <v>317</v>
      </c>
      <c r="C635" s="33" t="s">
        <v>243</v>
      </c>
      <c r="D635" s="33">
        <v>595.29999999999995</v>
      </c>
      <c r="E635" s="33">
        <v>598.54999999999995</v>
      </c>
      <c r="F635" s="41">
        <v>3.25</v>
      </c>
      <c r="G635" s="42" t="str">
        <f t="shared" si="28"/>
        <v>CRO - PAVIMENTAÇÃO - Vias Marginais ID-03 BR 163/MT - 595,3 - 598,55 - 3,25</v>
      </c>
      <c r="K635" s="23" t="s">
        <v>363</v>
      </c>
    </row>
    <row r="636" spans="1:11" x14ac:dyDescent="0.25">
      <c r="A636" s="33" t="s">
        <v>5</v>
      </c>
      <c r="B636" s="13" t="s">
        <v>317</v>
      </c>
      <c r="C636" s="33" t="s">
        <v>244</v>
      </c>
      <c r="D636" s="33">
        <v>681.8</v>
      </c>
      <c r="E636" s="33">
        <v>686.2</v>
      </c>
      <c r="F636" s="41">
        <v>4.4000000000000909</v>
      </c>
      <c r="G636" s="42" t="str">
        <f t="shared" si="28"/>
        <v>CRO - PAVIMENTAÇÃO - Vias Marginais ID-04 BR 163/MT - Direito - 681,8 - 686,2 - 4,40000000000009</v>
      </c>
      <c r="K636" s="23" t="s">
        <v>363</v>
      </c>
    </row>
    <row r="637" spans="1:11" x14ac:dyDescent="0.25">
      <c r="A637" s="33" t="s">
        <v>5</v>
      </c>
      <c r="B637" s="13" t="s">
        <v>317</v>
      </c>
      <c r="C637" s="33" t="s">
        <v>245</v>
      </c>
      <c r="D637" s="33">
        <v>681.8</v>
      </c>
      <c r="E637" s="33">
        <v>685.8</v>
      </c>
      <c r="F637" s="41">
        <v>4</v>
      </c>
      <c r="G637" s="42" t="str">
        <f t="shared" ref="G637:G700" si="29">_xlfn.TEXTJOIN(" - ",TRUE,A637:F637)</f>
        <v>CRO - PAVIMENTAÇÃO - Vias Marginais ID-04 BR 163/MT - Esquerdo - 681,8 - 685,8 - 4</v>
      </c>
      <c r="K637" s="23" t="s">
        <v>363</v>
      </c>
    </row>
    <row r="638" spans="1:11" x14ac:dyDescent="0.25">
      <c r="A638" s="33" t="s">
        <v>5</v>
      </c>
      <c r="B638" s="13" t="s">
        <v>317</v>
      </c>
      <c r="C638" s="33" t="s">
        <v>246</v>
      </c>
      <c r="D638" s="33">
        <v>708.9</v>
      </c>
      <c r="E638" s="33">
        <v>710.3</v>
      </c>
      <c r="F638" s="41">
        <v>1.3999999999999773</v>
      </c>
      <c r="G638" s="42" t="str">
        <f t="shared" si="29"/>
        <v>CRO - PAVIMENTAÇÃO - Vias Marginais ID-05 BR 163/MT Direito - 708,9 - 710,3 - 1,39999999999998</v>
      </c>
      <c r="K638" s="23" t="s">
        <v>363</v>
      </c>
    </row>
    <row r="639" spans="1:11" x14ac:dyDescent="0.25">
      <c r="A639" s="33" t="s">
        <v>5</v>
      </c>
      <c r="B639" s="13" t="s">
        <v>317</v>
      </c>
      <c r="C639" s="33" t="s">
        <v>247</v>
      </c>
      <c r="D639" s="33">
        <v>708.9</v>
      </c>
      <c r="E639" s="33">
        <v>709.8</v>
      </c>
      <c r="F639" s="41">
        <v>0.89999999999997726</v>
      </c>
      <c r="G639" s="42" t="str">
        <f t="shared" si="29"/>
        <v>CRO - PAVIMENTAÇÃO - Vias Marginais ID-05 BR 163/MT Esquerdo - 708,9 - 709,8 - 0,899999999999977</v>
      </c>
      <c r="K639" s="23" t="s">
        <v>363</v>
      </c>
    </row>
    <row r="640" spans="1:11" x14ac:dyDescent="0.25">
      <c r="A640" s="33" t="s">
        <v>5</v>
      </c>
      <c r="B640" s="13" t="s">
        <v>317</v>
      </c>
      <c r="C640" s="33" t="s">
        <v>248</v>
      </c>
      <c r="D640" s="33">
        <v>818.9</v>
      </c>
      <c r="E640" s="33">
        <v>822</v>
      </c>
      <c r="F640" s="41">
        <v>3.1000000000000227</v>
      </c>
      <c r="G640" s="42" t="str">
        <f t="shared" si="29"/>
        <v>CRO - PAVIMENTAÇÃO - Vias Marginais ID-06 BR 163/MT Direito - 818,9 - 822 - 3,10000000000002</v>
      </c>
      <c r="K640" s="23" t="s">
        <v>363</v>
      </c>
    </row>
    <row r="641" spans="1:11" x14ac:dyDescent="0.25">
      <c r="A641" s="33" t="s">
        <v>5</v>
      </c>
      <c r="B641" s="13" t="s">
        <v>317</v>
      </c>
      <c r="C641" s="33" t="s">
        <v>249</v>
      </c>
      <c r="D641" s="33">
        <v>818.9</v>
      </c>
      <c r="E641" s="33">
        <v>822</v>
      </c>
      <c r="F641" s="41">
        <v>3.1000000000000227</v>
      </c>
      <c r="G641" s="42" t="str">
        <f t="shared" si="29"/>
        <v>CRO - PAVIMENTAÇÃO - Vias Marginais ID-06 BR 163/MT Esquerdo - 818,9 - 822 - 3,10000000000002</v>
      </c>
      <c r="K641" s="23" t="s">
        <v>363</v>
      </c>
    </row>
    <row r="642" spans="1:11" x14ac:dyDescent="0.25">
      <c r="A642" s="33" t="s">
        <v>5</v>
      </c>
      <c r="B642" s="13" t="s">
        <v>317</v>
      </c>
      <c r="C642" s="33" t="s">
        <v>250</v>
      </c>
      <c r="D642" s="33">
        <v>853.9</v>
      </c>
      <c r="E642" s="33">
        <v>855</v>
      </c>
      <c r="F642" s="41">
        <v>1.1000000000000227</v>
      </c>
      <c r="G642" s="42" t="str">
        <f t="shared" si="29"/>
        <v>CRO - PAVIMENTAÇÃO - Vias Marginais ID-07 BR 163/MT Direito - 853,9 - 855 - 1,10000000000002</v>
      </c>
      <c r="K642" s="23" t="s">
        <v>363</v>
      </c>
    </row>
    <row r="643" spans="1:11" x14ac:dyDescent="0.25">
      <c r="A643" s="33" t="s">
        <v>5</v>
      </c>
      <c r="B643" s="13" t="s">
        <v>317</v>
      </c>
      <c r="C643" s="33" t="s">
        <v>251</v>
      </c>
      <c r="D643" s="33">
        <v>853.9</v>
      </c>
      <c r="E643" s="33">
        <v>855</v>
      </c>
      <c r="F643" s="41">
        <v>1.1000000000000227</v>
      </c>
      <c r="G643" s="42" t="str">
        <f t="shared" si="29"/>
        <v>CRO - PAVIMENTAÇÃO - Vias Marginais ID-07 BR 163/MT Esquerdo - 853,9 - 855 - 1,10000000000002</v>
      </c>
      <c r="K643" s="23" t="s">
        <v>363</v>
      </c>
    </row>
    <row r="644" spans="1:11" x14ac:dyDescent="0.25">
      <c r="A644" s="33" t="s">
        <v>5</v>
      </c>
      <c r="B644" s="13" t="s">
        <v>317</v>
      </c>
      <c r="C644" s="33" t="s">
        <v>252</v>
      </c>
      <c r="D644" s="33">
        <v>339.1</v>
      </c>
      <c r="E644" s="33">
        <v>342</v>
      </c>
      <c r="F644" s="41">
        <v>2.8999999999999773</v>
      </c>
      <c r="G644" s="42" t="str">
        <f t="shared" si="29"/>
        <v>CRO - PAVIMENTAÇÃO - Vias Marginais ID-02 BR 406/MT Direito - 339,1 - 342 - 2,89999999999998</v>
      </c>
      <c r="K644" s="23" t="s">
        <v>363</v>
      </c>
    </row>
    <row r="645" spans="1:11" x14ac:dyDescent="0.25">
      <c r="A645" s="33" t="s">
        <v>5</v>
      </c>
      <c r="B645" s="13" t="s">
        <v>317</v>
      </c>
      <c r="C645" s="33" t="s">
        <v>253</v>
      </c>
      <c r="D645" s="33">
        <v>339.1</v>
      </c>
      <c r="E645" s="33">
        <v>340.2</v>
      </c>
      <c r="F645" s="41">
        <v>1.0999999999999659</v>
      </c>
      <c r="G645" s="42" t="str">
        <f t="shared" si="29"/>
        <v>CRO - PAVIMENTAÇÃO - Vias Marginais ID-02 BR 406/MT Esquerdo - 339,1 - 340,2 - 1,09999999999997</v>
      </c>
      <c r="K645" s="23" t="s">
        <v>363</v>
      </c>
    </row>
    <row r="646" spans="1:11" x14ac:dyDescent="0.25">
      <c r="A646" s="33" t="s">
        <v>382</v>
      </c>
      <c r="B646" s="13" t="s">
        <v>318</v>
      </c>
      <c r="C646" s="33" t="s">
        <v>28</v>
      </c>
      <c r="D646" s="33">
        <v>332.95</v>
      </c>
      <c r="E646" s="33">
        <v>335.67700000000002</v>
      </c>
      <c r="F646" s="41">
        <v>2.7270000000000323</v>
      </c>
      <c r="G646" s="42" t="str">
        <f t="shared" si="29"/>
        <v>CONCESSÃO VIA SUL - DUPLICAÇÃO - Duplicação - Marques de Souza/ Lajeado - Subtrecho 13 - 332,95 - 335,677 - 2,72700000000003</v>
      </c>
      <c r="K646" s="23" t="s">
        <v>363</v>
      </c>
    </row>
    <row r="647" spans="1:11" x14ac:dyDescent="0.25">
      <c r="A647" s="33" t="s">
        <v>382</v>
      </c>
      <c r="B647" s="13" t="s">
        <v>318</v>
      </c>
      <c r="C647" s="33" t="s">
        <v>29</v>
      </c>
      <c r="D647" s="33">
        <v>335.67700000000002</v>
      </c>
      <c r="E647" s="33">
        <v>337.7</v>
      </c>
      <c r="F647" s="41">
        <v>2.0229999999999677</v>
      </c>
      <c r="G647" s="42" t="str">
        <f t="shared" si="29"/>
        <v>CONCESSÃO VIA SUL - DUPLICAÇÃO - Duplicação - Marques de Souza/ Lajeado - Subtrecho 14 - 335,677 - 337,7 - 2,02299999999997</v>
      </c>
      <c r="K647" s="23" t="s">
        <v>363</v>
      </c>
    </row>
    <row r="648" spans="1:11" x14ac:dyDescent="0.25">
      <c r="A648" s="33" t="s">
        <v>382</v>
      </c>
      <c r="B648" s="13" t="s">
        <v>318</v>
      </c>
      <c r="C648" s="33" t="s">
        <v>31</v>
      </c>
      <c r="D648" s="33">
        <v>337.78199999999998</v>
      </c>
      <c r="E648" s="33">
        <v>340.35</v>
      </c>
      <c r="F648" s="41">
        <v>2.5680000000000405</v>
      </c>
      <c r="G648" s="42" t="str">
        <f t="shared" si="29"/>
        <v>CONCESSÃO VIA SUL - DUPLICAÇÃO - Duplicação - Marques de Souza/ Lajeado - Subtrecho 16 - OAE km 339+100 SNV* - 337,782 - 340,35 - 2,56800000000004</v>
      </c>
      <c r="K648" s="23" t="s">
        <v>363</v>
      </c>
    </row>
    <row r="649" spans="1:11" x14ac:dyDescent="0.25">
      <c r="A649" s="33" t="s">
        <v>382</v>
      </c>
      <c r="B649" s="13" t="s">
        <v>318</v>
      </c>
      <c r="C649" s="33" t="s">
        <v>32</v>
      </c>
      <c r="D649" s="33">
        <v>340.35</v>
      </c>
      <c r="E649" s="33">
        <v>343.9</v>
      </c>
      <c r="F649" s="41">
        <v>3.5499999999999545</v>
      </c>
      <c r="G649" s="42" t="str">
        <f t="shared" si="29"/>
        <v>CONCESSÃO VIA SUL - DUPLICAÇÃO - Duplicação - Marques de Souza/ Lajeado - Subtrecho 17 - 340,35 - 343,9 - 3,54999999999995</v>
      </c>
      <c r="K649" s="23" t="s">
        <v>363</v>
      </c>
    </row>
    <row r="650" spans="1:11" x14ac:dyDescent="0.25">
      <c r="A650" s="33" t="s">
        <v>382</v>
      </c>
      <c r="B650" s="13" t="s">
        <v>318</v>
      </c>
      <c r="C650" s="33" t="s">
        <v>33</v>
      </c>
      <c r="D650" s="33">
        <v>343.9</v>
      </c>
      <c r="E650" s="33">
        <v>344.4</v>
      </c>
      <c r="F650" s="41">
        <v>0.5</v>
      </c>
      <c r="G650" s="42" t="str">
        <f t="shared" si="29"/>
        <v>CONCESSÃO VIA SUL - DUPLICAÇÃO - Duplicação - Marques de Souza/ Lajeado - Subtrecho 18 - 343,9 - 344,4 - 0,5</v>
      </c>
      <c r="K650" s="23" t="s">
        <v>363</v>
      </c>
    </row>
    <row r="651" spans="1:11" x14ac:dyDescent="0.25">
      <c r="A651" s="33" t="s">
        <v>382</v>
      </c>
      <c r="B651" s="13" t="s">
        <v>318</v>
      </c>
      <c r="C651" s="33" t="s">
        <v>330</v>
      </c>
      <c r="D651" s="33">
        <v>243.6</v>
      </c>
      <c r="E651" s="33">
        <v>269.2</v>
      </c>
      <c r="F651" s="41">
        <v>25.599999999999994</v>
      </c>
      <c r="G651" s="42" t="str">
        <f t="shared" si="29"/>
        <v>CONCESSÃO VIA SUL - DUPLICAÇÃO - Duplicacões - km 243+600 ao km 269+200 - Soledade e Fontoura Xavier - 243,6 - 269,2 - 25,6</v>
      </c>
      <c r="K651" s="23" t="s">
        <v>363</v>
      </c>
    </row>
    <row r="652" spans="1:11" x14ac:dyDescent="0.25">
      <c r="A652" s="33" t="s">
        <v>6</v>
      </c>
      <c r="B652" s="13" t="s">
        <v>318</v>
      </c>
      <c r="C652" s="33" t="s">
        <v>153</v>
      </c>
      <c r="D652" s="33">
        <v>0</v>
      </c>
      <c r="E652" s="33">
        <v>37.299999999999997</v>
      </c>
      <c r="F652" s="41">
        <v>37.299999999999997</v>
      </c>
      <c r="G652" s="42" t="str">
        <f t="shared" si="29"/>
        <v>TRANSBRASILIANA - DUPLICAÇÃO - Duplicações (inclusive OAE's) - 0 - 37,3 - 37,3</v>
      </c>
      <c r="K652" s="23" t="s">
        <v>363</v>
      </c>
    </row>
    <row r="653" spans="1:11" x14ac:dyDescent="0.25">
      <c r="A653" s="33" t="s">
        <v>6</v>
      </c>
      <c r="B653" s="13" t="s">
        <v>318</v>
      </c>
      <c r="C653" s="33" t="s">
        <v>153</v>
      </c>
      <c r="D653" s="33">
        <v>74.900000000000006</v>
      </c>
      <c r="E653" s="33">
        <v>99.8</v>
      </c>
      <c r="F653" s="41">
        <v>24.899999999999991</v>
      </c>
      <c r="G653" s="42" t="str">
        <f t="shared" si="29"/>
        <v>TRANSBRASILIANA - DUPLICAÇÃO - Duplicações (inclusive OAE's) - 74,9 - 99,8 - 24,9</v>
      </c>
      <c r="K653" s="23" t="s">
        <v>363</v>
      </c>
    </row>
    <row r="654" spans="1:11" x14ac:dyDescent="0.25">
      <c r="A654" s="33" t="s">
        <v>6</v>
      </c>
      <c r="B654" s="13" t="s">
        <v>318</v>
      </c>
      <c r="C654" s="33" t="s">
        <v>353</v>
      </c>
      <c r="D654" s="33">
        <v>162</v>
      </c>
      <c r="E654" s="33">
        <v>195</v>
      </c>
      <c r="F654" s="41">
        <v>33</v>
      </c>
      <c r="G654" s="42" t="str">
        <f t="shared" si="29"/>
        <v>TRANSBRASILIANA - DUPLICAÇÃO - Obras de Duplicação – Lote 02: km 162+000 ao 195+000, com execução prevista do 14º ano ao 16º ano - 162 - 195 - 33</v>
      </c>
      <c r="K654" s="23" t="s">
        <v>363</v>
      </c>
    </row>
    <row r="655" spans="1:11" x14ac:dyDescent="0.25">
      <c r="A655" s="33" t="s">
        <v>160</v>
      </c>
      <c r="B655" s="13" t="s">
        <v>318</v>
      </c>
      <c r="C655" s="33" t="s">
        <v>162</v>
      </c>
      <c r="D655" s="33">
        <v>84.6</v>
      </c>
      <c r="E655" s="33">
        <v>102</v>
      </c>
      <c r="F655" s="41">
        <v>17.400000000000006</v>
      </c>
      <c r="G655" s="42" t="str">
        <f t="shared" si="29"/>
        <v>FLUMINENSE - DUPLICAÇÃO - Duplicações (inclusive OAE's): - 84,6 - 102 - 17,4</v>
      </c>
      <c r="K655" s="23" t="s">
        <v>363</v>
      </c>
    </row>
    <row r="656" spans="1:11" x14ac:dyDescent="0.25">
      <c r="A656" s="33" t="s">
        <v>160</v>
      </c>
      <c r="B656" s="13" t="s">
        <v>318</v>
      </c>
      <c r="C656" s="33" t="s">
        <v>162</v>
      </c>
      <c r="D656" s="33">
        <v>102</v>
      </c>
      <c r="E656" s="33">
        <v>103.5</v>
      </c>
      <c r="F656" s="41">
        <v>1.5</v>
      </c>
      <c r="G656" s="42" t="str">
        <f t="shared" si="29"/>
        <v>FLUMINENSE - DUPLICAÇÃO - Duplicações (inclusive OAE's): - 102 - 103,5 - 1,5</v>
      </c>
      <c r="K656" s="23" t="s">
        <v>363</v>
      </c>
    </row>
    <row r="657" spans="1:11" x14ac:dyDescent="0.25">
      <c r="A657" s="33" t="s">
        <v>160</v>
      </c>
      <c r="B657" s="13" t="s">
        <v>318</v>
      </c>
      <c r="C657" s="33" t="s">
        <v>162</v>
      </c>
      <c r="D657" s="33">
        <v>103.5</v>
      </c>
      <c r="E657" s="33">
        <v>105.2</v>
      </c>
      <c r="F657" s="41">
        <v>1.7000000000000028</v>
      </c>
      <c r="G657" s="42" t="str">
        <f t="shared" si="29"/>
        <v>FLUMINENSE - DUPLICAÇÃO - Duplicações (inclusive OAE's): - 103,5 - 105,2 - 1,7</v>
      </c>
      <c r="K657" s="23" t="s">
        <v>363</v>
      </c>
    </row>
    <row r="658" spans="1:11" x14ac:dyDescent="0.25">
      <c r="A658" s="33" t="s">
        <v>160</v>
      </c>
      <c r="B658" s="13" t="s">
        <v>318</v>
      </c>
      <c r="C658" s="33" t="s">
        <v>162</v>
      </c>
      <c r="D658" s="33">
        <v>105.2</v>
      </c>
      <c r="E658" s="33">
        <v>117.8</v>
      </c>
      <c r="F658" s="41">
        <v>12.599999999999994</v>
      </c>
      <c r="G658" s="42" t="str">
        <f t="shared" si="29"/>
        <v>FLUMINENSE - DUPLICAÇÃO - Duplicações (inclusive OAE's): - 105,2 - 117,8 - 12,6</v>
      </c>
      <c r="K658" s="23" t="s">
        <v>363</v>
      </c>
    </row>
    <row r="659" spans="1:11" x14ac:dyDescent="0.25">
      <c r="A659" s="33" t="s">
        <v>160</v>
      </c>
      <c r="B659" s="13" t="s">
        <v>318</v>
      </c>
      <c r="C659" s="33" t="s">
        <v>162</v>
      </c>
      <c r="D659" s="33">
        <v>117.8</v>
      </c>
      <c r="E659" s="33">
        <v>121.3</v>
      </c>
      <c r="F659" s="41">
        <v>3.5</v>
      </c>
      <c r="G659" s="42" t="str">
        <f t="shared" si="29"/>
        <v>FLUMINENSE - DUPLICAÇÃO - Duplicações (inclusive OAE's): - 117,8 - 121,3 - 3,5</v>
      </c>
      <c r="K659" s="23" t="s">
        <v>363</v>
      </c>
    </row>
    <row r="660" spans="1:11" x14ac:dyDescent="0.25">
      <c r="A660" s="33" t="s">
        <v>160</v>
      </c>
      <c r="B660" s="13" t="s">
        <v>318</v>
      </c>
      <c r="C660" s="33" t="s">
        <v>162</v>
      </c>
      <c r="D660" s="33">
        <v>121.3</v>
      </c>
      <c r="E660" s="33">
        <v>123.2</v>
      </c>
      <c r="F660" s="41">
        <v>1.9000000000000057</v>
      </c>
      <c r="G660" s="42" t="str">
        <f t="shared" si="29"/>
        <v>FLUMINENSE - DUPLICAÇÃO - Duplicações (inclusive OAE's): - 121,3 - 123,2 - 1,90000000000001</v>
      </c>
      <c r="K660" s="23" t="s">
        <v>363</v>
      </c>
    </row>
    <row r="661" spans="1:11" x14ac:dyDescent="0.25">
      <c r="A661" s="33" t="s">
        <v>160</v>
      </c>
      <c r="B661" s="13" t="s">
        <v>318</v>
      </c>
      <c r="C661" s="33" t="s">
        <v>162</v>
      </c>
      <c r="D661" s="33">
        <v>123.2</v>
      </c>
      <c r="E661" s="33">
        <v>132.5</v>
      </c>
      <c r="F661" s="41">
        <v>9.2999999999999972</v>
      </c>
      <c r="G661" s="42" t="str">
        <f t="shared" si="29"/>
        <v>FLUMINENSE - DUPLICAÇÃO - Duplicações (inclusive OAE's): - 123,2 - 132,5 - 9,3</v>
      </c>
      <c r="K661" s="23" t="s">
        <v>363</v>
      </c>
    </row>
    <row r="662" spans="1:11" x14ac:dyDescent="0.25">
      <c r="A662" s="33" t="s">
        <v>160</v>
      </c>
      <c r="B662" s="13" t="s">
        <v>318</v>
      </c>
      <c r="C662" s="33" t="s">
        <v>162</v>
      </c>
      <c r="D662" s="33">
        <v>132.5</v>
      </c>
      <c r="E662" s="33">
        <v>144.19999999999999</v>
      </c>
      <c r="F662" s="41">
        <v>11.699999999999989</v>
      </c>
      <c r="G662" s="42" t="str">
        <f t="shared" si="29"/>
        <v>FLUMINENSE - DUPLICAÇÃO - Duplicações (inclusive OAE's): - 132,5 - 144,2 - 11,7</v>
      </c>
      <c r="K662" s="23" t="s">
        <v>363</v>
      </c>
    </row>
    <row r="663" spans="1:11" x14ac:dyDescent="0.25">
      <c r="A663" s="33" t="s">
        <v>160</v>
      </c>
      <c r="B663" s="13" t="s">
        <v>318</v>
      </c>
      <c r="C663" s="33" t="s">
        <v>162</v>
      </c>
      <c r="D663" s="33">
        <v>190.3</v>
      </c>
      <c r="E663" s="33">
        <v>202</v>
      </c>
      <c r="F663" s="41">
        <v>11.699999999999989</v>
      </c>
      <c r="G663" s="42" t="str">
        <f t="shared" si="29"/>
        <v>FLUMINENSE - DUPLICAÇÃO - Duplicações (inclusive OAE's): - 190,3 - 202 - 11,7</v>
      </c>
      <c r="K663" s="23" t="s">
        <v>363</v>
      </c>
    </row>
    <row r="664" spans="1:11" x14ac:dyDescent="0.25">
      <c r="A664" s="33" t="s">
        <v>160</v>
      </c>
      <c r="B664" s="13" t="s">
        <v>318</v>
      </c>
      <c r="C664" s="33" t="s">
        <v>162</v>
      </c>
      <c r="D664" s="33">
        <v>202</v>
      </c>
      <c r="E664" s="33">
        <v>205.6</v>
      </c>
      <c r="F664" s="41">
        <v>3.5999999999999943</v>
      </c>
      <c r="G664" s="42" t="str">
        <f t="shared" si="29"/>
        <v>FLUMINENSE - DUPLICAÇÃO - Duplicações (inclusive OAE's): - 202 - 205,6 - 3,59999999999999</v>
      </c>
      <c r="K664" s="23" t="s">
        <v>363</v>
      </c>
    </row>
    <row r="665" spans="1:11" x14ac:dyDescent="0.25">
      <c r="A665" s="33" t="s">
        <v>160</v>
      </c>
      <c r="B665" s="13" t="s">
        <v>318</v>
      </c>
      <c r="C665" s="33" t="s">
        <v>162</v>
      </c>
      <c r="D665" s="33">
        <v>208.6</v>
      </c>
      <c r="E665" s="33">
        <v>210</v>
      </c>
      <c r="F665" s="41">
        <v>1.4000000000000057</v>
      </c>
      <c r="G665" s="42" t="str">
        <f t="shared" si="29"/>
        <v>FLUMINENSE - DUPLICAÇÃO - Duplicações (inclusive OAE's): - 208,6 - 210 - 1,40000000000001</v>
      </c>
      <c r="K665" s="23" t="s">
        <v>363</v>
      </c>
    </row>
    <row r="666" spans="1:11" x14ac:dyDescent="0.25">
      <c r="A666" s="33" t="s">
        <v>160</v>
      </c>
      <c r="B666" s="13" t="s">
        <v>318</v>
      </c>
      <c r="C666" s="33" t="s">
        <v>162</v>
      </c>
      <c r="D666" s="33">
        <v>210</v>
      </c>
      <c r="E666" s="33">
        <v>215.3</v>
      </c>
      <c r="F666" s="41">
        <v>5.3000000000000114</v>
      </c>
      <c r="G666" s="42" t="str">
        <f t="shared" si="29"/>
        <v>FLUMINENSE - DUPLICAÇÃO - Duplicações (inclusive OAE's): - 210 - 215,3 - 5,30000000000001</v>
      </c>
      <c r="K666" s="23" t="s">
        <v>363</v>
      </c>
    </row>
    <row r="667" spans="1:11" x14ac:dyDescent="0.25">
      <c r="A667" s="33" t="s">
        <v>160</v>
      </c>
      <c r="B667" s="13" t="s">
        <v>318</v>
      </c>
      <c r="C667" s="33" t="s">
        <v>162</v>
      </c>
      <c r="D667" s="33">
        <v>217.1</v>
      </c>
      <c r="E667" s="33">
        <v>228.8</v>
      </c>
      <c r="F667" s="41">
        <v>11.700000000000017</v>
      </c>
      <c r="G667" s="42" t="str">
        <f t="shared" si="29"/>
        <v>FLUMINENSE - DUPLICAÇÃO - Duplicações (inclusive OAE's): - 217,1 - 228,8 - 11,7</v>
      </c>
      <c r="K667" s="23" t="s">
        <v>363</v>
      </c>
    </row>
    <row r="668" spans="1:11" x14ac:dyDescent="0.25">
      <c r="A668" s="33" t="s">
        <v>160</v>
      </c>
      <c r="B668" s="13" t="s">
        <v>318</v>
      </c>
      <c r="C668" s="33" t="s">
        <v>162</v>
      </c>
      <c r="D668" s="33">
        <v>228.8</v>
      </c>
      <c r="E668" s="33">
        <v>248.8</v>
      </c>
      <c r="F668" s="41">
        <v>20</v>
      </c>
      <c r="G668" s="42" t="str">
        <f t="shared" si="29"/>
        <v>FLUMINENSE - DUPLICAÇÃO - Duplicações (inclusive OAE's): - 228,8 - 248,8 - 20</v>
      </c>
      <c r="K668" s="23" t="s">
        <v>363</v>
      </c>
    </row>
    <row r="669" spans="1:11" x14ac:dyDescent="0.25">
      <c r="A669" s="33" t="s">
        <v>160</v>
      </c>
      <c r="B669" s="13" t="s">
        <v>318</v>
      </c>
      <c r="C669" s="33" t="s">
        <v>162</v>
      </c>
      <c r="D669" s="33">
        <v>248.8</v>
      </c>
      <c r="E669" s="33">
        <v>261.2</v>
      </c>
      <c r="F669" s="41">
        <v>12.399999999999977</v>
      </c>
      <c r="G669" s="42" t="str">
        <f t="shared" si="29"/>
        <v>FLUMINENSE - DUPLICAÇÃO - Duplicações (inclusive OAE's): - 248,8 - 261,2 - 12,4</v>
      </c>
      <c r="K669" s="23" t="s">
        <v>363</v>
      </c>
    </row>
    <row r="670" spans="1:11" x14ac:dyDescent="0.25">
      <c r="A670" s="33" t="s">
        <v>160</v>
      </c>
      <c r="B670" s="13" t="s">
        <v>318</v>
      </c>
      <c r="C670" s="33" t="s">
        <v>162</v>
      </c>
      <c r="D670" s="33">
        <v>215.3</v>
      </c>
      <c r="E670" s="33">
        <v>217.1</v>
      </c>
      <c r="F670" s="41">
        <v>1.7999999999999829</v>
      </c>
      <c r="G670" s="42" t="str">
        <f t="shared" si="29"/>
        <v>FLUMINENSE - DUPLICAÇÃO - Duplicações (inclusive OAE's): - 215,3 - 217,1 - 1,79999999999998</v>
      </c>
      <c r="K670" s="23" t="s">
        <v>363</v>
      </c>
    </row>
    <row r="671" spans="1:11" x14ac:dyDescent="0.25">
      <c r="A671" s="33" t="s">
        <v>160</v>
      </c>
      <c r="B671" s="13" t="s">
        <v>318</v>
      </c>
      <c r="C671" s="33" t="s">
        <v>162</v>
      </c>
      <c r="D671" s="33">
        <v>215.3</v>
      </c>
      <c r="E671" s="33">
        <v>217.1</v>
      </c>
      <c r="F671" s="41">
        <v>1.7999999999999829</v>
      </c>
      <c r="G671" s="42" t="str">
        <f t="shared" si="29"/>
        <v>FLUMINENSE - DUPLICAÇÃO - Duplicações (inclusive OAE's): - 215,3 - 217,1 - 1,79999999999998</v>
      </c>
      <c r="K671" s="23" t="s">
        <v>363</v>
      </c>
    </row>
    <row r="672" spans="1:11" x14ac:dyDescent="0.25">
      <c r="A672" s="33" t="s">
        <v>7</v>
      </c>
      <c r="B672" s="13" t="s">
        <v>318</v>
      </c>
      <c r="C672" s="33" t="s">
        <v>186</v>
      </c>
      <c r="D672" s="33">
        <v>0</v>
      </c>
      <c r="E672" s="33">
        <v>5.4</v>
      </c>
      <c r="F672" s="41">
        <v>5.4</v>
      </c>
      <c r="G672" s="42" t="str">
        <f t="shared" si="29"/>
        <v>VIA BAHIA - DUPLICAÇÃO - Trecho entre Feira de Santana e BA-052 - SUBTRECHO 5 - 0 - 5,4 - 5,4</v>
      </c>
      <c r="K672" s="23" t="s">
        <v>363</v>
      </c>
    </row>
    <row r="673" spans="1:11" x14ac:dyDescent="0.25">
      <c r="A673" s="33" t="s">
        <v>7</v>
      </c>
      <c r="B673" s="13" t="s">
        <v>318</v>
      </c>
      <c r="C673" s="33" t="s">
        <v>187</v>
      </c>
      <c r="D673" s="33">
        <v>5.4</v>
      </c>
      <c r="E673" s="33">
        <v>35.380000000000003</v>
      </c>
      <c r="F673" s="41">
        <v>29.980000000000004</v>
      </c>
      <c r="G673" s="42" t="str">
        <f t="shared" si="29"/>
        <v>VIA BAHIA - DUPLICAÇÃO - Trecho entre BA-052 e Santo Estevão - SUBTRECHO 6 - 5,4 - 35,38 - 29,98</v>
      </c>
      <c r="K673" s="23" t="s">
        <v>363</v>
      </c>
    </row>
    <row r="674" spans="1:11" x14ac:dyDescent="0.25">
      <c r="A674" s="33" t="s">
        <v>7</v>
      </c>
      <c r="B674" s="13" t="s">
        <v>318</v>
      </c>
      <c r="C674" s="33" t="s">
        <v>188</v>
      </c>
      <c r="D674" s="33">
        <v>0</v>
      </c>
      <c r="E674" s="33">
        <v>33.729999999999997</v>
      </c>
      <c r="F674" s="41">
        <v>33.729999999999997</v>
      </c>
      <c r="G674" s="42" t="str">
        <f t="shared" si="29"/>
        <v>VIA BAHIA - DUPLICAÇÃO - Trecho entre Santo Estevão e BR - 242 - SUBTRECHO 7 - 0 - 33,73 - 33,73</v>
      </c>
      <c r="K674" s="23" t="s">
        <v>363</v>
      </c>
    </row>
    <row r="675" spans="1:11" x14ac:dyDescent="0.25">
      <c r="A675" s="33" t="s">
        <v>7</v>
      </c>
      <c r="B675" s="13" t="s">
        <v>318</v>
      </c>
      <c r="C675" s="33" t="s">
        <v>189</v>
      </c>
      <c r="D675" s="33">
        <v>0</v>
      </c>
      <c r="E675" s="33">
        <v>4.7300000000000004</v>
      </c>
      <c r="F675" s="41">
        <v>4.7300000000000004</v>
      </c>
      <c r="G675" s="42" t="str">
        <f t="shared" si="29"/>
        <v>VIA BAHIA - DUPLICAÇÃO - Trecho entre Santo Estevão e BR - 242 - SUBTRECHO 8 - 0 - 4,73 - 4,73</v>
      </c>
      <c r="K675" s="23" t="s">
        <v>363</v>
      </c>
    </row>
    <row r="676" spans="1:11" x14ac:dyDescent="0.25">
      <c r="A676" s="33" t="s">
        <v>404</v>
      </c>
      <c r="B676" s="13" t="s">
        <v>318</v>
      </c>
      <c r="C676" s="33" t="s">
        <v>211</v>
      </c>
      <c r="D676" s="33">
        <v>257.39999999999998</v>
      </c>
      <c r="E676" s="33">
        <v>314.2</v>
      </c>
      <c r="F676" s="41">
        <v>56.800000000000011</v>
      </c>
      <c r="G676" s="42" t="str">
        <f t="shared" si="29"/>
        <v>ECO 050 - DUPLICAÇÃO - Duplicação (5º ano) - 257,4 - 314,2 - 56,8</v>
      </c>
      <c r="K676" s="23" t="s">
        <v>363</v>
      </c>
    </row>
    <row r="677" spans="1:11" x14ac:dyDescent="0.25">
      <c r="A677" s="33" t="s">
        <v>5</v>
      </c>
      <c r="B677" s="13" t="s">
        <v>318</v>
      </c>
      <c r="C677" s="33" t="s">
        <v>255</v>
      </c>
      <c r="D677" s="33">
        <v>72.599999999999994</v>
      </c>
      <c r="E677" s="33">
        <v>181.5</v>
      </c>
      <c r="F677" s="41">
        <v>108.9</v>
      </c>
      <c r="G677" s="42" t="str">
        <f t="shared" si="29"/>
        <v>CRO - DUPLICAÇÃO - Duplicação - Meta ano 2 - 72,6 - 181,5 - 108,9</v>
      </c>
      <c r="K677" s="23" t="s">
        <v>363</v>
      </c>
    </row>
    <row r="678" spans="1:11" x14ac:dyDescent="0.25">
      <c r="A678" s="33" t="s">
        <v>5</v>
      </c>
      <c r="B678" s="13" t="s">
        <v>318</v>
      </c>
      <c r="C678" s="33" t="s">
        <v>256</v>
      </c>
      <c r="D678" s="33">
        <v>108.9</v>
      </c>
      <c r="E678" s="33">
        <v>263.10000000000002</v>
      </c>
      <c r="F678" s="41">
        <v>154.20000000000002</v>
      </c>
      <c r="G678" s="42" t="str">
        <f t="shared" si="29"/>
        <v>CRO - DUPLICAÇÃO - Duplicação - Meta ano 3 - 108,9 - 263,1 - 154,2</v>
      </c>
      <c r="K678" s="23" t="s">
        <v>363</v>
      </c>
    </row>
    <row r="679" spans="1:11" x14ac:dyDescent="0.25">
      <c r="A679" s="33" t="s">
        <v>5</v>
      </c>
      <c r="B679" s="13" t="s">
        <v>318</v>
      </c>
      <c r="C679" s="33" t="s">
        <v>257</v>
      </c>
      <c r="D679" s="33">
        <v>154.19999999999999</v>
      </c>
      <c r="E679" s="33">
        <v>272.10000000000002</v>
      </c>
      <c r="F679" s="41">
        <v>117.90000000000003</v>
      </c>
      <c r="G679" s="42" t="str">
        <f t="shared" si="29"/>
        <v>CRO - DUPLICAÇÃO - Duplicação - Meta ano 4 - 154,2 - 272,1 - 117,9</v>
      </c>
      <c r="K679" s="23" t="s">
        <v>363</v>
      </c>
    </row>
    <row r="680" spans="1:11" x14ac:dyDescent="0.25">
      <c r="A680" s="33" t="s">
        <v>5</v>
      </c>
      <c r="B680" s="13" t="s">
        <v>318</v>
      </c>
      <c r="C680" s="33" t="s">
        <v>258</v>
      </c>
      <c r="D680" s="33">
        <v>353.5</v>
      </c>
      <c r="E680" s="33">
        <v>461.7</v>
      </c>
      <c r="F680" s="41">
        <v>108.19999999999999</v>
      </c>
      <c r="G680" s="42" t="str">
        <f t="shared" si="29"/>
        <v>CRO - DUPLICAÇÃO - Duplicação Posterior (Remanescente DNIT) - 353,5 - 461,7 - 108,2</v>
      </c>
      <c r="K680" s="23" t="s">
        <v>363</v>
      </c>
    </row>
    <row r="681" spans="1:11" x14ac:dyDescent="0.25">
      <c r="A681" s="33" t="s">
        <v>382</v>
      </c>
      <c r="B681" s="13" t="s">
        <v>319</v>
      </c>
      <c r="C681" s="33" t="s">
        <v>34</v>
      </c>
      <c r="D681" s="33">
        <v>0</v>
      </c>
      <c r="E681" s="33">
        <v>0</v>
      </c>
      <c r="F681" s="41">
        <v>1</v>
      </c>
      <c r="G681" s="42" t="str">
        <f t="shared" si="29"/>
        <v>CONCESSÃO VIA SUL - OAE - Ponte sobre o Rio Mampituba - 0 - 0 - 1</v>
      </c>
      <c r="K681" s="23" t="s">
        <v>363</v>
      </c>
    </row>
    <row r="682" spans="1:11" x14ac:dyDescent="0.25">
      <c r="A682" s="33" t="s">
        <v>382</v>
      </c>
      <c r="B682" s="13" t="s">
        <v>319</v>
      </c>
      <c r="C682" s="33" t="s">
        <v>35</v>
      </c>
      <c r="D682" s="33">
        <v>52.93</v>
      </c>
      <c r="E682" s="33">
        <v>52.93</v>
      </c>
      <c r="F682" s="41">
        <v>1</v>
      </c>
      <c r="G682" s="42" t="str">
        <f t="shared" si="29"/>
        <v>CONCESSÃO VIA SUL - OAE - Ponte sobre o Rio Sanga Funda - 52,93 - 52,93 - 1</v>
      </c>
      <c r="K682" s="23" t="s">
        <v>363</v>
      </c>
    </row>
    <row r="683" spans="1:11" x14ac:dyDescent="0.25">
      <c r="A683" s="33" t="s">
        <v>382</v>
      </c>
      <c r="B683" s="13" t="s">
        <v>319</v>
      </c>
      <c r="C683" s="33" t="s">
        <v>366</v>
      </c>
      <c r="D683" s="33">
        <v>39.72</v>
      </c>
      <c r="E683" s="33">
        <v>39.72</v>
      </c>
      <c r="F683" s="41">
        <v>1</v>
      </c>
      <c r="G683" s="42" t="str">
        <f t="shared" si="29"/>
        <v>CONCESSÃO VIA SUL - OAE - Interconexao Tipo Diamante - km 39+720 - Tres Forquilhas - 39,72 - 39,72 - 1</v>
      </c>
      <c r="K683" s="23" t="s">
        <v>363</v>
      </c>
    </row>
    <row r="684" spans="1:11" x14ac:dyDescent="0.25">
      <c r="A684" s="33" t="s">
        <v>382</v>
      </c>
      <c r="B684" s="13" t="s">
        <v>319</v>
      </c>
      <c r="C684" s="33" t="s">
        <v>36</v>
      </c>
      <c r="D684" s="33">
        <v>4.83</v>
      </c>
      <c r="E684" s="33">
        <v>4.83</v>
      </c>
      <c r="F684" s="41">
        <v>1</v>
      </c>
      <c r="G684" s="42" t="str">
        <f t="shared" si="29"/>
        <v>CONCESSÃO VIA SUL - OAE - Interconexão Tipo Trombeta - Osório - 4,83 - 4,83 - 1</v>
      </c>
      <c r="K684" s="23" t="s">
        <v>363</v>
      </c>
    </row>
    <row r="685" spans="1:11" x14ac:dyDescent="0.25">
      <c r="A685" s="33" t="s">
        <v>382</v>
      </c>
      <c r="B685" s="13" t="s">
        <v>319</v>
      </c>
      <c r="C685" s="33" t="s">
        <v>37</v>
      </c>
      <c r="D685" s="33">
        <v>32.17</v>
      </c>
      <c r="E685" s="33">
        <v>32.17</v>
      </c>
      <c r="F685" s="41">
        <v>1</v>
      </c>
      <c r="G685" s="42" t="str">
        <f t="shared" si="29"/>
        <v>CONCESSÃO VIA SUL - OAE - Interconexão Tipo Diamante - Sto. Antônio Patrulha - 32,17 - 32,17 - 1</v>
      </c>
      <c r="K685" s="23" t="s">
        <v>363</v>
      </c>
    </row>
    <row r="686" spans="1:11" x14ac:dyDescent="0.25">
      <c r="A686" s="33" t="s">
        <v>382</v>
      </c>
      <c r="B686" s="13" t="s">
        <v>319</v>
      </c>
      <c r="C686" s="33" t="s">
        <v>38</v>
      </c>
      <c r="D686" s="33">
        <v>62.6</v>
      </c>
      <c r="E686" s="33">
        <v>62.6</v>
      </c>
      <c r="F686" s="41">
        <v>1</v>
      </c>
      <c r="G686" s="42" t="str">
        <f t="shared" si="29"/>
        <v>CONCESSÃO VIA SUL - OAE - Interconexão Tipo Diamante - Gravataí - 62,6 - 62,6 - 1</v>
      </c>
      <c r="K686" s="23" t="s">
        <v>363</v>
      </c>
    </row>
    <row r="687" spans="1:11" x14ac:dyDescent="0.25">
      <c r="A687" s="33" t="s">
        <v>382</v>
      </c>
      <c r="B687" s="13" t="s">
        <v>319</v>
      </c>
      <c r="C687" s="33" t="s">
        <v>39</v>
      </c>
      <c r="D687" s="33">
        <v>80.05</v>
      </c>
      <c r="E687" s="33">
        <v>80.05</v>
      </c>
      <c r="F687" s="41">
        <v>1</v>
      </c>
      <c r="G687" s="42" t="str">
        <f t="shared" si="29"/>
        <v>CONCESSÃO VIA SUL - OAE - Interconexão Tipo Trombeta - Gravataí - 80,05 - 80,05 - 1</v>
      </c>
      <c r="K687" s="23" t="s">
        <v>363</v>
      </c>
    </row>
    <row r="688" spans="1:11" x14ac:dyDescent="0.25">
      <c r="A688" s="33" t="s">
        <v>382</v>
      </c>
      <c r="B688" s="13" t="s">
        <v>319</v>
      </c>
      <c r="C688" s="33" t="s">
        <v>40</v>
      </c>
      <c r="D688" s="33">
        <v>80.08</v>
      </c>
      <c r="E688" s="33">
        <v>80.08</v>
      </c>
      <c r="F688" s="41">
        <v>1</v>
      </c>
      <c r="G688" s="42" t="str">
        <f t="shared" si="29"/>
        <v>CONCESSÃO VIA SUL - OAE - Passagem Superior - 80,08 - 80,08 - 1</v>
      </c>
      <c r="K688" s="23" t="s">
        <v>363</v>
      </c>
    </row>
    <row r="689" spans="1:11" x14ac:dyDescent="0.25">
      <c r="A689" s="33" t="s">
        <v>382</v>
      </c>
      <c r="B689" s="13" t="s">
        <v>319</v>
      </c>
      <c r="C689" s="33" t="s">
        <v>41</v>
      </c>
      <c r="D689" s="33">
        <v>81.099999999999994</v>
      </c>
      <c r="E689" s="33">
        <v>81.099999999999994</v>
      </c>
      <c r="F689" s="41">
        <v>1</v>
      </c>
      <c r="G689" s="42" t="str">
        <f t="shared" si="29"/>
        <v>CONCESSÃO VIA SUL - OAE - Ponte sobre o Canal DNOS II - 81,1 - 81,1 - 1</v>
      </c>
      <c r="K689" s="23" t="s">
        <v>363</v>
      </c>
    </row>
    <row r="690" spans="1:11" x14ac:dyDescent="0.25">
      <c r="A690" s="33" t="s">
        <v>382</v>
      </c>
      <c r="B690" s="13" t="s">
        <v>319</v>
      </c>
      <c r="C690" s="33" t="s">
        <v>42</v>
      </c>
      <c r="D690" s="33">
        <v>83.59</v>
      </c>
      <c r="E690" s="33">
        <v>83.59</v>
      </c>
      <c r="F690" s="41">
        <v>1</v>
      </c>
      <c r="G690" s="42" t="str">
        <f t="shared" si="29"/>
        <v>CONCESSÃO VIA SUL - OAE - Interconexão Tipo Diamante - Cachoeirinha - 83,59 - 83,59 - 1</v>
      </c>
      <c r="K690" s="23" t="s">
        <v>363</v>
      </c>
    </row>
    <row r="691" spans="1:11" x14ac:dyDescent="0.25">
      <c r="A691" s="33" t="s">
        <v>382</v>
      </c>
      <c r="B691" s="13" t="s">
        <v>319</v>
      </c>
      <c r="C691" s="33" t="s">
        <v>40</v>
      </c>
      <c r="D691" s="33">
        <v>83.65</v>
      </c>
      <c r="E691" s="33">
        <v>83.65</v>
      </c>
      <c r="F691" s="41">
        <v>1</v>
      </c>
      <c r="G691" s="42" t="str">
        <f t="shared" si="29"/>
        <v>CONCESSÃO VIA SUL - OAE - Passagem Superior - 83,65 - 83,65 - 1</v>
      </c>
      <c r="K691" s="23" t="s">
        <v>363</v>
      </c>
    </row>
    <row r="692" spans="1:11" x14ac:dyDescent="0.25">
      <c r="A692" s="33" t="s">
        <v>382</v>
      </c>
      <c r="B692" s="13" t="s">
        <v>319</v>
      </c>
      <c r="C692" s="33" t="s">
        <v>43</v>
      </c>
      <c r="D692" s="33">
        <v>85.84</v>
      </c>
      <c r="E692" s="33">
        <v>85.84</v>
      </c>
      <c r="F692" s="41">
        <v>1</v>
      </c>
      <c r="G692" s="42" t="str">
        <f t="shared" si="29"/>
        <v>CONCESSÃO VIA SUL - OAE - Passagem Inferior - Porto Alegre - Norte - 85,84 - 85,84 - 1</v>
      </c>
      <c r="K692" s="23" t="s">
        <v>363</v>
      </c>
    </row>
    <row r="693" spans="1:11" x14ac:dyDescent="0.25">
      <c r="A693" s="33" t="s">
        <v>382</v>
      </c>
      <c r="B693" s="13" t="s">
        <v>319</v>
      </c>
      <c r="C693" s="33" t="s">
        <v>44</v>
      </c>
      <c r="D693" s="33">
        <v>85.84</v>
      </c>
      <c r="E693" s="33">
        <v>85.84</v>
      </c>
      <c r="F693" s="41">
        <v>1</v>
      </c>
      <c r="G693" s="42" t="str">
        <f t="shared" si="29"/>
        <v>CONCESSÃO VIA SUL - OAE - Passagem Inferior - Porto Alegre - Sul - 85,84 - 85,84 - 1</v>
      </c>
      <c r="K693" s="23" t="s">
        <v>363</v>
      </c>
    </row>
    <row r="694" spans="1:11" x14ac:dyDescent="0.25">
      <c r="A694" s="33" t="s">
        <v>382</v>
      </c>
      <c r="B694" s="13" t="s">
        <v>319</v>
      </c>
      <c r="C694" s="33" t="s">
        <v>45</v>
      </c>
      <c r="D694" s="33">
        <v>339.9</v>
      </c>
      <c r="E694" s="33">
        <v>339.9</v>
      </c>
      <c r="F694" s="41">
        <v>1</v>
      </c>
      <c r="G694" s="42" t="str">
        <f t="shared" si="29"/>
        <v>CONCESSÃO VIA SUL - OAE - Passagem Inferior -  Arnoldo Scherer Duplicação - 339,9 - 339,9 - 1</v>
      </c>
      <c r="K694" s="23" t="s">
        <v>363</v>
      </c>
    </row>
    <row r="695" spans="1:11" x14ac:dyDescent="0.25">
      <c r="A695" s="33" t="s">
        <v>382</v>
      </c>
      <c r="B695" s="13" t="s">
        <v>319</v>
      </c>
      <c r="C695" s="33" t="s">
        <v>46</v>
      </c>
      <c r="D695" s="33">
        <v>340.2</v>
      </c>
      <c r="E695" s="33">
        <v>340.2</v>
      </c>
      <c r="F695" s="41">
        <v>1</v>
      </c>
      <c r="G695" s="42" t="str">
        <f t="shared" si="29"/>
        <v>CONCESSÃO VIA SUL - OAE - Interseção Diamante - km 340+200 - BR 386-RS - Duplicação - 340,2 - 340,2 - 1</v>
      </c>
      <c r="K695" s="23" t="s">
        <v>363</v>
      </c>
    </row>
    <row r="696" spans="1:11" x14ac:dyDescent="0.25">
      <c r="A696" s="33" t="s">
        <v>382</v>
      </c>
      <c r="B696" s="13" t="s">
        <v>319</v>
      </c>
      <c r="C696" s="33" t="s">
        <v>47</v>
      </c>
      <c r="D696" s="33">
        <v>343.45</v>
      </c>
      <c r="E696" s="33">
        <v>343.45</v>
      </c>
      <c r="F696" s="41">
        <v>1</v>
      </c>
      <c r="G696" s="42" t="str">
        <f t="shared" si="29"/>
        <v>CONCESSÃO VIA SUL - OAE - Passagem Inferior - Lajeado / Montanhas - 343,45 - 343,45 - 1</v>
      </c>
      <c r="K696" s="23" t="s">
        <v>363</v>
      </c>
    </row>
    <row r="697" spans="1:11" x14ac:dyDescent="0.25">
      <c r="A697" s="33" t="s">
        <v>382</v>
      </c>
      <c r="B697" s="13" t="s">
        <v>319</v>
      </c>
      <c r="C697" s="33" t="s">
        <v>48</v>
      </c>
      <c r="D697" s="33">
        <v>344.2</v>
      </c>
      <c r="E697" s="33">
        <v>344.2</v>
      </c>
      <c r="F697" s="41">
        <v>1</v>
      </c>
      <c r="G697" s="42" t="str">
        <f t="shared" si="29"/>
        <v>CONCESSÃO VIA SUL - OAE - Passagem Inferior - Lajeado / Olarias - 344,2 - 344,2 - 1</v>
      </c>
      <c r="K697" s="23" t="s">
        <v>363</v>
      </c>
    </row>
    <row r="698" spans="1:11" x14ac:dyDescent="0.25">
      <c r="A698" s="33" t="s">
        <v>382</v>
      </c>
      <c r="B698" s="13" t="s">
        <v>319</v>
      </c>
      <c r="C698" s="33" t="s">
        <v>49</v>
      </c>
      <c r="D698" s="33">
        <v>344.4</v>
      </c>
      <c r="E698" s="33">
        <v>344.4</v>
      </c>
      <c r="F698" s="41">
        <v>1</v>
      </c>
      <c r="G698" s="42" t="str">
        <f t="shared" si="29"/>
        <v>CONCESSÃO VIA SUL - OAE - Interconexão Tipo Trevo Completo - Lajeado - Reformulação - 344,4 - 344,4 - 1</v>
      </c>
      <c r="K698" s="23" t="s">
        <v>363</v>
      </c>
    </row>
    <row r="699" spans="1:11" x14ac:dyDescent="0.25">
      <c r="A699" s="33" t="s">
        <v>382</v>
      </c>
      <c r="B699" s="13" t="s">
        <v>319</v>
      </c>
      <c r="C699" s="33" t="s">
        <v>49</v>
      </c>
      <c r="D699" s="33">
        <v>345.35</v>
      </c>
      <c r="E699" s="33">
        <v>345.35</v>
      </c>
      <c r="F699" s="41">
        <v>1</v>
      </c>
      <c r="G699" s="42" t="str">
        <f t="shared" si="29"/>
        <v>CONCESSÃO VIA SUL - OAE - Interconexão Tipo Trevo Completo - Lajeado - Reformulação - 345,35 - 345,35 - 1</v>
      </c>
      <c r="K699" s="23" t="s">
        <v>363</v>
      </c>
    </row>
    <row r="700" spans="1:11" x14ac:dyDescent="0.25">
      <c r="A700" s="33" t="s">
        <v>382</v>
      </c>
      <c r="B700" s="13" t="s">
        <v>319</v>
      </c>
      <c r="C700" s="46" t="s">
        <v>50</v>
      </c>
      <c r="D700" s="33">
        <v>347.43</v>
      </c>
      <c r="E700" s="33">
        <v>347.43</v>
      </c>
      <c r="F700" s="41">
        <v>1</v>
      </c>
      <c r="G700" s="42" t="str">
        <f t="shared" si="29"/>
        <v>CONCESSÃO VIA SUL - OAE - Interconexão Tipo Diamante - Lajeado - Reformulação do diamante existente - 347,43 - 347,43 - 1</v>
      </c>
      <c r="K700" s="23" t="s">
        <v>363</v>
      </c>
    </row>
    <row r="701" spans="1:11" x14ac:dyDescent="0.25">
      <c r="A701" s="33" t="s">
        <v>382</v>
      </c>
      <c r="B701" s="13" t="s">
        <v>319</v>
      </c>
      <c r="C701" s="33" t="s">
        <v>51</v>
      </c>
      <c r="D701" s="33">
        <v>348.8</v>
      </c>
      <c r="E701" s="33">
        <v>348.8</v>
      </c>
      <c r="F701" s="41">
        <v>1</v>
      </c>
      <c r="G701" s="42" t="str">
        <f t="shared" ref="G701:G764" si="30">_xlfn.TEXTJOIN(" - ",TRUE,A701:F701)</f>
        <v>CONCESSÃO VIA SUL - OAE - Interconexão Tipo Trombeta - Estrela - Reformulação - 348,8 - 348,8 - 1</v>
      </c>
      <c r="K701" s="23" t="s">
        <v>363</v>
      </c>
    </row>
    <row r="702" spans="1:11" x14ac:dyDescent="0.25">
      <c r="A702" s="33" t="s">
        <v>382</v>
      </c>
      <c r="B702" s="13" t="s">
        <v>319</v>
      </c>
      <c r="C702" s="53" t="s">
        <v>52</v>
      </c>
      <c r="D702" s="33">
        <v>349.5</v>
      </c>
      <c r="E702" s="33">
        <v>349.5</v>
      </c>
      <c r="F702" s="41">
        <v>1</v>
      </c>
      <c r="G702" s="42" t="str">
        <f t="shared" si="30"/>
        <v>CONCESSÃO VIA SUL - OAE - Interconexão Tipo Trevo Completo - Estrela - Reformulação - 349,5 - 349,5 - 1</v>
      </c>
      <c r="K702" s="23" t="s">
        <v>363</v>
      </c>
    </row>
    <row r="703" spans="1:11" x14ac:dyDescent="0.25">
      <c r="A703" s="33" t="s">
        <v>382</v>
      </c>
      <c r="B703" s="13" t="s">
        <v>319</v>
      </c>
      <c r="C703" s="33" t="s">
        <v>53</v>
      </c>
      <c r="D703" s="33">
        <v>352.58</v>
      </c>
      <c r="E703" s="33">
        <v>352.58</v>
      </c>
      <c r="F703" s="41">
        <v>1</v>
      </c>
      <c r="G703" s="42" t="str">
        <f t="shared" si="30"/>
        <v>CONCESSÃO VIA SUL - OAE - Interconexão Tipo Trombeta - Estrela  - 352,58 - 352,58 - 1</v>
      </c>
      <c r="K703" s="23" t="s">
        <v>363</v>
      </c>
    </row>
    <row r="704" spans="1:11" x14ac:dyDescent="0.25">
      <c r="A704" s="33" t="s">
        <v>382</v>
      </c>
      <c r="B704" s="13" t="s">
        <v>319</v>
      </c>
      <c r="C704" s="33" t="s">
        <v>54</v>
      </c>
      <c r="D704" s="33">
        <v>372.95</v>
      </c>
      <c r="E704" s="33">
        <v>372.95</v>
      </c>
      <c r="F704" s="41">
        <v>1</v>
      </c>
      <c r="G704" s="42" t="str">
        <f t="shared" si="30"/>
        <v>CONCESSÃO VIA SUL - OAE - Ponte sobre o Arroio Concórdia - 372,95 - 372,95 - 1</v>
      </c>
      <c r="K704" s="23" t="s">
        <v>363</v>
      </c>
    </row>
    <row r="705" spans="1:11" x14ac:dyDescent="0.25">
      <c r="A705" s="33" t="s">
        <v>382</v>
      </c>
      <c r="B705" s="13" t="s">
        <v>319</v>
      </c>
      <c r="C705" s="54" t="s">
        <v>336</v>
      </c>
      <c r="D705" s="33">
        <v>390.8</v>
      </c>
      <c r="E705" s="33">
        <v>390.8</v>
      </c>
      <c r="F705" s="41">
        <v>1</v>
      </c>
      <c r="G705" s="42" t="str">
        <f t="shared" si="30"/>
        <v>CONCESSÃO VIA SUL - OAE - Interconexão - Trevo Completo (BR-287/BR-479) - Triunfo - Km 392+700 SNV* - 390,8 - 390,8 - 1</v>
      </c>
      <c r="K705" s="23" t="s">
        <v>363</v>
      </c>
    </row>
    <row r="706" spans="1:11" x14ac:dyDescent="0.25">
      <c r="A706" s="33" t="s">
        <v>382</v>
      </c>
      <c r="B706" s="13" t="s">
        <v>319</v>
      </c>
      <c r="C706" s="33" t="s">
        <v>55</v>
      </c>
      <c r="D706" s="33">
        <v>432.9</v>
      </c>
      <c r="E706" s="33">
        <v>432.9</v>
      </c>
      <c r="F706" s="41">
        <v>1</v>
      </c>
      <c r="G706" s="42" t="str">
        <f t="shared" si="30"/>
        <v>CONCESSÃO VIA SUL - OAE - Interconexão Tipo Diamante - Nova Santa Rita - km 434,800 SNV* - 432,9 - 432,9 - 1</v>
      </c>
      <c r="K706" s="23" t="s">
        <v>363</v>
      </c>
    </row>
    <row r="707" spans="1:11" x14ac:dyDescent="0.25">
      <c r="A707" s="33" t="s">
        <v>382</v>
      </c>
      <c r="B707" s="13" t="s">
        <v>319</v>
      </c>
      <c r="C707" s="33" t="s">
        <v>56</v>
      </c>
      <c r="D707" s="33">
        <v>433.6</v>
      </c>
      <c r="E707" s="33">
        <v>433.6</v>
      </c>
      <c r="F707" s="41">
        <v>1</v>
      </c>
      <c r="G707" s="42" t="str">
        <f t="shared" si="30"/>
        <v>CONCESSÃO VIA SUL - OAE - Interconexão Tipo Diamante  - Nova Santa Rita  km 435,500 SNV - 433,6 - 433,6 - 1</v>
      </c>
      <c r="K707" s="23" t="s">
        <v>363</v>
      </c>
    </row>
    <row r="708" spans="1:11" x14ac:dyDescent="0.25">
      <c r="A708" s="33" t="s">
        <v>382</v>
      </c>
      <c r="B708" s="13" t="s">
        <v>319</v>
      </c>
      <c r="C708" s="33" t="s">
        <v>331</v>
      </c>
      <c r="D708" s="33">
        <v>245.33</v>
      </c>
      <c r="E708" s="33">
        <v>245.33</v>
      </c>
      <c r="F708" s="41">
        <v>1</v>
      </c>
      <c r="G708" s="42" t="str">
        <f t="shared" si="30"/>
        <v>CONCESSÃO VIA SUL - OAE -  OAE  Nova Duplicada - km 245+330  - 245,33 - 245,33 - 1</v>
      </c>
      <c r="K708" s="23" t="s">
        <v>363</v>
      </c>
    </row>
    <row r="709" spans="1:11" x14ac:dyDescent="0.25">
      <c r="A709" s="33" t="s">
        <v>382</v>
      </c>
      <c r="B709" s="13" t="s">
        <v>319</v>
      </c>
      <c r="C709" s="33" t="s">
        <v>332</v>
      </c>
      <c r="D709" s="33">
        <v>245.33</v>
      </c>
      <c r="E709" s="33">
        <v>245.33</v>
      </c>
      <c r="F709" s="41">
        <v>1</v>
      </c>
      <c r="G709" s="42" t="str">
        <f t="shared" si="30"/>
        <v>CONCESSÃO VIA SUL - OAE - Passagem Inferior - km 245+330 - Passagem inferior Soledade - 245,33 - 245,33 - 1</v>
      </c>
      <c r="K709" s="23" t="s">
        <v>363</v>
      </c>
    </row>
    <row r="710" spans="1:11" x14ac:dyDescent="0.25">
      <c r="A710" s="33" t="s">
        <v>382</v>
      </c>
      <c r="B710" s="13" t="s">
        <v>319</v>
      </c>
      <c r="C710" s="33" t="s">
        <v>333</v>
      </c>
      <c r="D710" s="33">
        <v>247.3</v>
      </c>
      <c r="E710" s="33">
        <v>247.3</v>
      </c>
      <c r="F710" s="41">
        <v>1</v>
      </c>
      <c r="G710" s="42" t="str">
        <f t="shared" si="30"/>
        <v>CONCESSÃO VIA SUL - OAE - Interconexao Tipo Diamante - km 247+300 - Soledade - 247,3 - 247,3 - 1</v>
      </c>
      <c r="K710" s="23" t="s">
        <v>363</v>
      </c>
    </row>
    <row r="711" spans="1:11" x14ac:dyDescent="0.25">
      <c r="A711" s="33" t="s">
        <v>382</v>
      </c>
      <c r="B711" s="13" t="s">
        <v>319</v>
      </c>
      <c r="C711" s="33" t="s">
        <v>334</v>
      </c>
      <c r="D711" s="33">
        <v>249.9</v>
      </c>
      <c r="E711" s="33">
        <v>249.9</v>
      </c>
      <c r="F711" s="41">
        <v>1</v>
      </c>
      <c r="G711" s="42" t="str">
        <f t="shared" si="30"/>
        <v>CONCESSÃO VIA SUL - OAE - Interconexao Tipo Diamante - km 249+900 - Soledade - 249,9 - 249,9 - 1</v>
      </c>
      <c r="K711" s="23" t="s">
        <v>363</v>
      </c>
    </row>
    <row r="712" spans="1:11" x14ac:dyDescent="0.25">
      <c r="A712" s="33" t="s">
        <v>382</v>
      </c>
      <c r="B712" s="13" t="s">
        <v>319</v>
      </c>
      <c r="C712" s="33" t="s">
        <v>335</v>
      </c>
      <c r="D712" s="33">
        <v>252.1</v>
      </c>
      <c r="E712" s="33">
        <v>252.1</v>
      </c>
      <c r="F712" s="41">
        <v>1</v>
      </c>
      <c r="G712" s="42" t="str">
        <f t="shared" si="30"/>
        <v>CONCESSÃO VIA SUL - OAE - OAE  Nova Duplicada - km 252+100  - 252,1 - 252,1 - 1</v>
      </c>
      <c r="K712" s="23" t="s">
        <v>363</v>
      </c>
    </row>
    <row r="713" spans="1:11" x14ac:dyDescent="0.25">
      <c r="A713" s="33" t="s">
        <v>365</v>
      </c>
      <c r="B713" s="13" t="s">
        <v>319</v>
      </c>
      <c r="C713" s="33" t="s">
        <v>68</v>
      </c>
      <c r="D713" s="33">
        <v>709</v>
      </c>
      <c r="E713" s="33">
        <v>709</v>
      </c>
      <c r="F713" s="41">
        <v>1</v>
      </c>
      <c r="G713" s="42" t="str">
        <f t="shared" si="30"/>
        <v>CERRADO - OAE - Trevo para o entroncamento da Rodovia BR-365/MG com a Rodovia
BR-153/MG (Trevão) - 709 - 709 - 1</v>
      </c>
      <c r="K713" s="23" t="s">
        <v>363</v>
      </c>
    </row>
    <row r="714" spans="1:11" x14ac:dyDescent="0.25">
      <c r="A714" s="33" t="s">
        <v>4</v>
      </c>
      <c r="B714" s="13" t="s">
        <v>319</v>
      </c>
      <c r="C714" s="33" t="s">
        <v>343</v>
      </c>
      <c r="D714" s="33">
        <v>328.85</v>
      </c>
      <c r="E714" s="33">
        <v>328.85</v>
      </c>
      <c r="F714" s="41">
        <v>1</v>
      </c>
      <c r="G714" s="42" t="str">
        <f t="shared" si="30"/>
        <v>VIA COSTEIRA - OAE - Pista Marginal Sul] - 328,85 - 328,85 - 1</v>
      </c>
      <c r="K714" s="23" t="s">
        <v>363</v>
      </c>
    </row>
    <row r="715" spans="1:11" x14ac:dyDescent="0.25">
      <c r="A715" s="33" t="s">
        <v>4</v>
      </c>
      <c r="B715" s="13" t="s">
        <v>319</v>
      </c>
      <c r="C715" s="33" t="s">
        <v>344</v>
      </c>
      <c r="D715" s="33">
        <v>328.75</v>
      </c>
      <c r="E715" s="33">
        <v>328.75</v>
      </c>
      <c r="F715" s="41">
        <v>1</v>
      </c>
      <c r="G715" s="42" t="str">
        <f t="shared" si="30"/>
        <v>VIA COSTEIRA - OAE - Pista Marginal Norte - 328,75 - 328,75 - 1</v>
      </c>
      <c r="K715" s="23" t="s">
        <v>363</v>
      </c>
    </row>
    <row r="716" spans="1:11" x14ac:dyDescent="0.25">
      <c r="A716" s="33" t="s">
        <v>8</v>
      </c>
      <c r="B716" s="13" t="s">
        <v>319</v>
      </c>
      <c r="C716" s="33" t="s">
        <v>346</v>
      </c>
      <c r="D716" s="33">
        <v>158.72</v>
      </c>
      <c r="E716" s="33">
        <v>158.72</v>
      </c>
      <c r="F716" s="41">
        <v>1</v>
      </c>
      <c r="G716" s="42" t="str">
        <f t="shared" si="30"/>
        <v>VIA BRASIL - OAE - OAE - Vias Marginais - 158,72 - 158,72 - 1</v>
      </c>
      <c r="K716" s="23" t="s">
        <v>363</v>
      </c>
    </row>
    <row r="717" spans="1:11" x14ac:dyDescent="0.25">
      <c r="A717" s="33" t="s">
        <v>8</v>
      </c>
      <c r="B717" s="13" t="s">
        <v>319</v>
      </c>
      <c r="C717" s="33" t="s">
        <v>346</v>
      </c>
      <c r="D717" s="33">
        <v>158.72</v>
      </c>
      <c r="E717" s="33">
        <v>158.72</v>
      </c>
      <c r="F717" s="41">
        <v>1</v>
      </c>
      <c r="G717" s="42" t="str">
        <f t="shared" si="30"/>
        <v>VIA BRASIL - OAE - OAE - Vias Marginais - 158,72 - 158,72 - 1</v>
      </c>
      <c r="K717" s="23" t="s">
        <v>363</v>
      </c>
    </row>
    <row r="718" spans="1:11" x14ac:dyDescent="0.25">
      <c r="A718" s="33" t="s">
        <v>8</v>
      </c>
      <c r="B718" s="13" t="s">
        <v>319</v>
      </c>
      <c r="C718" s="33" t="s">
        <v>346</v>
      </c>
      <c r="D718" s="33">
        <v>157.47</v>
      </c>
      <c r="E718" s="33">
        <v>157.47</v>
      </c>
      <c r="F718" s="41">
        <v>1</v>
      </c>
      <c r="G718" s="42" t="str">
        <f t="shared" si="30"/>
        <v>VIA BRASIL - OAE - OAE - Vias Marginais - 157,47 - 157,47 - 1</v>
      </c>
      <c r="K718" s="23" t="s">
        <v>363</v>
      </c>
    </row>
    <row r="719" spans="1:11" x14ac:dyDescent="0.25">
      <c r="A719" s="33" t="s">
        <v>8</v>
      </c>
      <c r="B719" s="13" t="s">
        <v>319</v>
      </c>
      <c r="C719" s="33" t="s">
        <v>346</v>
      </c>
      <c r="D719" s="33">
        <v>157.47</v>
      </c>
      <c r="E719" s="33">
        <v>157.47</v>
      </c>
      <c r="F719" s="41">
        <v>1</v>
      </c>
      <c r="G719" s="42" t="str">
        <f t="shared" si="30"/>
        <v>VIA BRASIL - OAE - OAE - Vias Marginais - 157,47 - 157,47 - 1</v>
      </c>
      <c r="K719" s="23" t="s">
        <v>363</v>
      </c>
    </row>
    <row r="720" spans="1:11" x14ac:dyDescent="0.25">
      <c r="A720" s="33" t="s">
        <v>349</v>
      </c>
      <c r="B720" s="13" t="s">
        <v>319</v>
      </c>
      <c r="C720" s="33" t="s">
        <v>350</v>
      </c>
      <c r="D720" s="33">
        <v>213.1</v>
      </c>
      <c r="E720" s="33">
        <v>213.1</v>
      </c>
      <c r="F720" s="41">
        <v>1</v>
      </c>
      <c r="G720" s="42" t="str">
        <f t="shared" si="30"/>
        <v>RIO/SP - OAE - OAE - Intersecção Diamante - 213,1 - 213,1 - 1</v>
      </c>
      <c r="K720" s="23" t="s">
        <v>363</v>
      </c>
    </row>
    <row r="721" spans="1:11" x14ac:dyDescent="0.25">
      <c r="A721" s="33" t="s">
        <v>349</v>
      </c>
      <c r="B721" s="13" t="s">
        <v>319</v>
      </c>
      <c r="C721" s="33" t="s">
        <v>351</v>
      </c>
      <c r="D721" s="33">
        <v>157.5</v>
      </c>
      <c r="E721" s="33">
        <v>157.5</v>
      </c>
      <c r="F721" s="41">
        <v>1</v>
      </c>
      <c r="G721" s="42" t="str">
        <f t="shared" si="30"/>
        <v>RIO/SP - OAE - OAE - Intersecção Trombeta - 157,5 - 157,5 - 1</v>
      </c>
      <c r="K721" s="23" t="s">
        <v>363</v>
      </c>
    </row>
    <row r="722" spans="1:11" x14ac:dyDescent="0.25">
      <c r="A722" s="33" t="s">
        <v>401</v>
      </c>
      <c r="B722" s="13" t="s">
        <v>319</v>
      </c>
      <c r="C722" s="83" t="s">
        <v>101</v>
      </c>
      <c r="D722" s="33">
        <v>1</v>
      </c>
      <c r="E722" s="33">
        <v>1</v>
      </c>
      <c r="F722" s="41">
        <v>1</v>
      </c>
      <c r="G722" s="42" t="str">
        <f t="shared" si="30"/>
        <v>LITORAL - OAE - Implantação de Trevos em Desnível, com Alças, em Pista Dupla – Parcial: a definir - 1 - 1 - 1</v>
      </c>
      <c r="K722" s="23" t="s">
        <v>363</v>
      </c>
    </row>
    <row r="723" spans="1:11" x14ac:dyDescent="0.25">
      <c r="A723" s="33" t="s">
        <v>401</v>
      </c>
      <c r="B723" s="13" t="s">
        <v>319</v>
      </c>
      <c r="C723" s="33" t="s">
        <v>103</v>
      </c>
      <c r="D723" s="33">
        <v>663.26</v>
      </c>
      <c r="E723" s="33">
        <v>663.26</v>
      </c>
      <c r="F723" s="41">
        <v>1</v>
      </c>
      <c r="G723" s="42" t="str">
        <f t="shared" si="30"/>
        <v>LITORAL - OAE - Implantação de Trevos em Desnível, com Alças, em Pista simples – Parcial: km 663,260 (PNV 2009) - 663,26 - 663,26 - 1</v>
      </c>
      <c r="K723" s="23" t="s">
        <v>363</v>
      </c>
    </row>
    <row r="724" spans="1:11" x14ac:dyDescent="0.25">
      <c r="A724" s="33" t="s">
        <v>401</v>
      </c>
      <c r="B724" s="13" t="s">
        <v>319</v>
      </c>
      <c r="C724" s="33" t="s">
        <v>104</v>
      </c>
      <c r="D724" s="33">
        <v>617.45000000000005</v>
      </c>
      <c r="E724" s="33">
        <v>617.45000000000005</v>
      </c>
      <c r="F724" s="41">
        <v>1</v>
      </c>
      <c r="G724" s="42" t="str">
        <f t="shared" si="30"/>
        <v>LITORAL - OAE - Implantação de Trevos em Desnível, com Alças, em Pista Dupla – Parcial: - 617,45 - 617,45 - 1</v>
      </c>
      <c r="K724" s="23" t="s">
        <v>363</v>
      </c>
    </row>
    <row r="725" spans="1:11" x14ac:dyDescent="0.25">
      <c r="A725" s="33" t="s">
        <v>401</v>
      </c>
      <c r="B725" s="13" t="s">
        <v>319</v>
      </c>
      <c r="C725" s="33" t="s">
        <v>104</v>
      </c>
      <c r="D725" s="33">
        <v>648.29999999999995</v>
      </c>
      <c r="E725" s="33">
        <v>648.29999999999995</v>
      </c>
      <c r="F725" s="41">
        <v>1</v>
      </c>
      <c r="G725" s="42" t="str">
        <f t="shared" si="30"/>
        <v>LITORAL - OAE - Implantação de Trevos em Desnível, com Alças, em Pista Dupla – Parcial: - 648,3 - 648,3 - 1</v>
      </c>
      <c r="K725" s="23" t="s">
        <v>363</v>
      </c>
    </row>
    <row r="726" spans="1:11" x14ac:dyDescent="0.25">
      <c r="A726" s="33" t="s">
        <v>401</v>
      </c>
      <c r="B726" s="13" t="s">
        <v>319</v>
      </c>
      <c r="C726" s="33" t="s">
        <v>104</v>
      </c>
      <c r="D726" s="33">
        <v>633</v>
      </c>
      <c r="E726" s="33">
        <v>633</v>
      </c>
      <c r="F726" s="41">
        <v>1</v>
      </c>
      <c r="G726" s="42" t="str">
        <f t="shared" si="30"/>
        <v>LITORAL - OAE - Implantação de Trevos em Desnível, com Alças, em Pista Dupla – Parcial: - 633 - 633 - 1</v>
      </c>
      <c r="K726" s="23" t="s">
        <v>363</v>
      </c>
    </row>
    <row r="727" spans="1:11" x14ac:dyDescent="0.25">
      <c r="A727" s="33" t="s">
        <v>401</v>
      </c>
      <c r="B727" s="13" t="s">
        <v>319</v>
      </c>
      <c r="C727" s="33" t="s">
        <v>105</v>
      </c>
      <c r="D727" s="33">
        <v>646.04999999999995</v>
      </c>
      <c r="E727" s="33">
        <v>646.04999999999995</v>
      </c>
      <c r="F727" s="41">
        <v>1</v>
      </c>
      <c r="G727" s="42" t="str">
        <f t="shared" si="30"/>
        <v>LITORAL - OAE - Implantação de Passagens em Desnível Inferior Tipo Viaduto: - 646,05 - 646,05 - 1</v>
      </c>
      <c r="K727" s="23" t="s">
        <v>363</v>
      </c>
    </row>
    <row r="728" spans="1:11" x14ac:dyDescent="0.25">
      <c r="A728" s="33" t="s">
        <v>401</v>
      </c>
      <c r="B728" s="13" t="s">
        <v>319</v>
      </c>
      <c r="C728" s="33" t="s">
        <v>105</v>
      </c>
      <c r="D728" s="33">
        <v>639.25</v>
      </c>
      <c r="E728" s="33">
        <v>639.25</v>
      </c>
      <c r="F728" s="41">
        <v>1</v>
      </c>
      <c r="G728" s="42" t="str">
        <f t="shared" si="30"/>
        <v>LITORAL - OAE - Implantação de Passagens em Desnível Inferior Tipo Viaduto: - 639,25 - 639,25 - 1</v>
      </c>
      <c r="K728" s="23" t="s">
        <v>363</v>
      </c>
    </row>
    <row r="729" spans="1:11" x14ac:dyDescent="0.25">
      <c r="A729" s="33" t="s">
        <v>401</v>
      </c>
      <c r="B729" s="13" t="s">
        <v>319</v>
      </c>
      <c r="C729" s="33" t="s">
        <v>107</v>
      </c>
      <c r="D729" s="33">
        <v>0</v>
      </c>
      <c r="E729" s="33">
        <v>7</v>
      </c>
      <c r="F729" s="41">
        <v>7</v>
      </c>
      <c r="G729" s="42" t="str">
        <f t="shared" si="30"/>
        <v>LITORAL - OAE - Túnel do Contorno de Florianopolis - 4 túneis duplo - 0 - 7 - 7</v>
      </c>
      <c r="K729" s="23" t="s">
        <v>363</v>
      </c>
    </row>
    <row r="730" spans="1:11" x14ac:dyDescent="0.25">
      <c r="A730" s="33" t="s">
        <v>401</v>
      </c>
      <c r="B730" s="13" t="s">
        <v>319</v>
      </c>
      <c r="C730" s="33" t="s">
        <v>108</v>
      </c>
      <c r="D730" s="33">
        <v>1</v>
      </c>
      <c r="E730" s="33">
        <v>1</v>
      </c>
      <c r="F730" s="41">
        <v>1</v>
      </c>
      <c r="G730" s="42" t="str">
        <f t="shared" si="30"/>
        <v>LITORAL - OAE - Implantação de Trevos em Desnível, com Alças, em Pista simples – Parcial: Elevação da ponte sobre o rio Camboriú - 1 - 1 - 1</v>
      </c>
      <c r="K730" s="23" t="s">
        <v>363</v>
      </c>
    </row>
    <row r="731" spans="1:11" x14ac:dyDescent="0.25">
      <c r="A731" s="33" t="s">
        <v>401</v>
      </c>
      <c r="B731" s="13" t="s">
        <v>319</v>
      </c>
      <c r="C731" s="33" t="s">
        <v>109</v>
      </c>
      <c r="D731" s="33">
        <v>109.2</v>
      </c>
      <c r="E731" s="33">
        <v>109.2</v>
      </c>
      <c r="F731" s="41">
        <v>1</v>
      </c>
      <c r="G731" s="42" t="str">
        <f t="shared" si="30"/>
        <v>LITORAL - OAE - Implantação de Trevos em Desnível, com Alças, em Pista simples – Parcial: - 109,2 - 109,2 - 1</v>
      </c>
      <c r="K731" s="23" t="s">
        <v>363</v>
      </c>
    </row>
    <row r="732" spans="1:11" x14ac:dyDescent="0.25">
      <c r="A732" s="33" t="s">
        <v>401</v>
      </c>
      <c r="B732" s="13" t="s">
        <v>319</v>
      </c>
      <c r="C732" s="33" t="s">
        <v>109</v>
      </c>
      <c r="D732" s="33">
        <v>140.30000000000001</v>
      </c>
      <c r="E732" s="33">
        <v>140.30000000000001</v>
      </c>
      <c r="F732" s="41">
        <v>1</v>
      </c>
      <c r="G732" s="42" t="str">
        <f t="shared" si="30"/>
        <v>LITORAL - OAE - Implantação de Trevos em Desnível, com Alças, em Pista simples – Parcial: - 140,3 - 140,3 - 1</v>
      </c>
      <c r="K732" s="23" t="s">
        <v>363</v>
      </c>
    </row>
    <row r="733" spans="1:11" x14ac:dyDescent="0.25">
      <c r="A733" s="33" t="s">
        <v>401</v>
      </c>
      <c r="B733" s="13" t="s">
        <v>319</v>
      </c>
      <c r="C733" s="33" t="s">
        <v>405</v>
      </c>
      <c r="D733" s="33">
        <v>1</v>
      </c>
      <c r="E733" s="33">
        <v>1</v>
      </c>
      <c r="F733" s="41">
        <v>1</v>
      </c>
      <c r="G733" s="42" t="str">
        <f t="shared" si="30"/>
        <v>LITORAL - OAE - Implantação de Trevos em Desnível, com Alças, em Pista simples – Completo: Trevo de interseção c/ a SC 408 - 1 - 1 - 1</v>
      </c>
      <c r="K733" s="23" t="s">
        <v>363</v>
      </c>
    </row>
    <row r="734" spans="1:11" x14ac:dyDescent="0.25">
      <c r="A734" s="33" t="s">
        <v>401</v>
      </c>
      <c r="B734" s="13" t="s">
        <v>319</v>
      </c>
      <c r="C734" s="33" t="s">
        <v>406</v>
      </c>
      <c r="D734" s="33">
        <v>1</v>
      </c>
      <c r="E734" s="33">
        <v>1</v>
      </c>
      <c r="F734" s="41">
        <v>1</v>
      </c>
      <c r="G734" s="42" t="str">
        <f t="shared" si="30"/>
        <v>LITORAL - OAE - Implantação de Trevos em Desnível, com Alças, em Pista simples – Completo: Trevo de interseção c/ a SC-407 - 1 - 1 - 1</v>
      </c>
      <c r="K734" s="23" t="s">
        <v>363</v>
      </c>
    </row>
    <row r="735" spans="1:11" x14ac:dyDescent="0.25">
      <c r="A735" s="33" t="s">
        <v>401</v>
      </c>
      <c r="B735" s="13" t="s">
        <v>319</v>
      </c>
      <c r="C735" s="33" t="s">
        <v>112</v>
      </c>
      <c r="D735" s="33">
        <v>1</v>
      </c>
      <c r="E735" s="33">
        <v>1</v>
      </c>
      <c r="F735" s="41">
        <v>1</v>
      </c>
      <c r="G735" s="42" t="str">
        <f t="shared" si="30"/>
        <v>LITORAL - OAE - Implantação de Trevos em Desnível, com Alças, em Pista simples – Completo: Contorno de Florianopolis trevos na interseção c/ vias locais - 1 - 1 - 1</v>
      </c>
      <c r="K735" s="23" t="s">
        <v>363</v>
      </c>
    </row>
    <row r="736" spans="1:11" x14ac:dyDescent="0.25">
      <c r="A736" s="33" t="s">
        <v>401</v>
      </c>
      <c r="B736" s="13" t="s">
        <v>319</v>
      </c>
      <c r="C736" s="33" t="s">
        <v>112</v>
      </c>
      <c r="D736" s="33">
        <v>1</v>
      </c>
      <c r="E736" s="33">
        <v>1</v>
      </c>
      <c r="F736" s="41">
        <v>1</v>
      </c>
      <c r="G736" s="42" t="str">
        <f t="shared" si="30"/>
        <v>LITORAL - OAE - Implantação de Trevos em Desnível, com Alças, em Pista simples – Completo: Contorno de Florianopolis trevos na interseção c/ vias locais - 1 - 1 - 1</v>
      </c>
      <c r="K736" s="23" t="s">
        <v>363</v>
      </c>
    </row>
    <row r="737" spans="1:11" x14ac:dyDescent="0.25">
      <c r="A737" s="33" t="s">
        <v>401</v>
      </c>
      <c r="B737" s="13" t="s">
        <v>319</v>
      </c>
      <c r="C737" s="33" t="s">
        <v>113</v>
      </c>
      <c r="D737" s="33">
        <v>1</v>
      </c>
      <c r="E737" s="33">
        <v>1</v>
      </c>
      <c r="F737" s="41">
        <v>1</v>
      </c>
      <c r="G737" s="42" t="str">
        <f t="shared" si="30"/>
        <v>LITORAL - OAE - Implantação de Trevos em Desnível, com Alças, em Pista Dupla – Completo - Contorno de Florianopolis - nas interseções c/ BR-101/SC - 1 - 1 - 1</v>
      </c>
      <c r="K737" s="23" t="s">
        <v>363</v>
      </c>
    </row>
    <row r="738" spans="1:11" x14ac:dyDescent="0.25">
      <c r="A738" s="33" t="s">
        <v>401</v>
      </c>
      <c r="B738" s="13" t="s">
        <v>319</v>
      </c>
      <c r="C738" s="33" t="s">
        <v>113</v>
      </c>
      <c r="D738" s="33">
        <v>1</v>
      </c>
      <c r="E738" s="33">
        <v>1</v>
      </c>
      <c r="F738" s="41">
        <v>1</v>
      </c>
      <c r="G738" s="42" t="str">
        <f t="shared" si="30"/>
        <v>LITORAL - OAE - Implantação de Trevos em Desnível, com Alças, em Pista Dupla – Completo - Contorno de Florianopolis - nas interseções c/ BR-101/SC - 1 - 1 - 1</v>
      </c>
      <c r="K738" s="23" t="s">
        <v>363</v>
      </c>
    </row>
    <row r="739" spans="1:11" x14ac:dyDescent="0.25">
      <c r="A739" s="33" t="s">
        <v>401</v>
      </c>
      <c r="B739" s="13" t="s">
        <v>319</v>
      </c>
      <c r="C739" s="33" t="s">
        <v>114</v>
      </c>
      <c r="D739" s="33">
        <v>1</v>
      </c>
      <c r="E739" s="33">
        <v>1</v>
      </c>
      <c r="F739" s="41">
        <v>1</v>
      </c>
      <c r="G739" s="42" t="str">
        <f t="shared" si="30"/>
        <v>LITORAL - OAE - Implantação de Trevos em Desnível, com Alças, em Pista Dupla – Completo - Contorno de Florianopolis - nas interseções c/ a BR-282/SC. - 1 - 1 - 1</v>
      </c>
      <c r="K739" s="23" t="s">
        <v>363</v>
      </c>
    </row>
    <row r="740" spans="1:11" x14ac:dyDescent="0.25">
      <c r="A740" s="33" t="s">
        <v>401</v>
      </c>
      <c r="B740" s="13" t="s">
        <v>319</v>
      </c>
      <c r="C740" s="33" t="s">
        <v>115</v>
      </c>
      <c r="D740" s="33">
        <v>1</v>
      </c>
      <c r="E740" s="33">
        <v>1</v>
      </c>
      <c r="F740" s="41">
        <v>1</v>
      </c>
      <c r="G740" s="42" t="str">
        <f t="shared" si="30"/>
        <v>LITORAL - OAE - Passagens em Desnível Inferior tipo Galeria: no Contorno de Florianópolis - 1 - 1 - 1</v>
      </c>
      <c r="K740" s="23" t="s">
        <v>363</v>
      </c>
    </row>
    <row r="741" spans="1:11" x14ac:dyDescent="0.25">
      <c r="A741" s="33" t="s">
        <v>401</v>
      </c>
      <c r="B741" s="13" t="s">
        <v>319</v>
      </c>
      <c r="C741" s="33" t="s">
        <v>115</v>
      </c>
      <c r="D741" s="33">
        <v>1</v>
      </c>
      <c r="E741" s="33">
        <v>1</v>
      </c>
      <c r="F741" s="41">
        <v>1</v>
      </c>
      <c r="G741" s="42" t="str">
        <f t="shared" si="30"/>
        <v>LITORAL - OAE - Passagens em Desnível Inferior tipo Galeria: no Contorno de Florianópolis - 1 - 1 - 1</v>
      </c>
      <c r="K741" s="23" t="s">
        <v>363</v>
      </c>
    </row>
    <row r="742" spans="1:11" x14ac:dyDescent="0.25">
      <c r="A742" s="33" t="s">
        <v>401</v>
      </c>
      <c r="B742" s="13" t="s">
        <v>319</v>
      </c>
      <c r="C742" s="33" t="s">
        <v>115</v>
      </c>
      <c r="D742" s="33">
        <v>1</v>
      </c>
      <c r="E742" s="33">
        <v>1</v>
      </c>
      <c r="F742" s="41">
        <v>1</v>
      </c>
      <c r="G742" s="42" t="str">
        <f t="shared" si="30"/>
        <v>LITORAL - OAE - Passagens em Desnível Inferior tipo Galeria: no Contorno de Florianópolis - 1 - 1 - 1</v>
      </c>
      <c r="K742" s="23" t="s">
        <v>363</v>
      </c>
    </row>
    <row r="743" spans="1:11" x14ac:dyDescent="0.25">
      <c r="A743" s="33" t="s">
        <v>401</v>
      </c>
      <c r="B743" s="13" t="s">
        <v>319</v>
      </c>
      <c r="C743" s="33" t="s">
        <v>115</v>
      </c>
      <c r="D743" s="33">
        <v>1</v>
      </c>
      <c r="E743" s="33">
        <v>1</v>
      </c>
      <c r="F743" s="41">
        <v>1</v>
      </c>
      <c r="G743" s="42" t="str">
        <f t="shared" si="30"/>
        <v>LITORAL - OAE - Passagens em Desnível Inferior tipo Galeria: no Contorno de Florianópolis - 1 - 1 - 1</v>
      </c>
      <c r="K743" s="23" t="s">
        <v>363</v>
      </c>
    </row>
    <row r="744" spans="1:11" x14ac:dyDescent="0.25">
      <c r="A744" s="33" t="s">
        <v>401</v>
      </c>
      <c r="B744" s="13" t="s">
        <v>319</v>
      </c>
      <c r="C744" s="33" t="s">
        <v>116</v>
      </c>
      <c r="D744" s="33">
        <v>1</v>
      </c>
      <c r="E744" s="33">
        <v>1</v>
      </c>
      <c r="F744" s="41">
        <v>1</v>
      </c>
      <c r="G744" s="42" t="str">
        <f t="shared" si="30"/>
        <v>LITORAL - OAE - Passagens em Desnível Inferior tipo Galeria: a definir - 1 - 1 - 1</v>
      </c>
      <c r="K744" s="23" t="s">
        <v>363</v>
      </c>
    </row>
    <row r="745" spans="1:11" x14ac:dyDescent="0.25">
      <c r="A745" s="33" t="s">
        <v>401</v>
      </c>
      <c r="B745" s="13" t="s">
        <v>319</v>
      </c>
      <c r="C745" s="33" t="s">
        <v>116</v>
      </c>
      <c r="D745" s="33">
        <v>1</v>
      </c>
      <c r="E745" s="33">
        <v>1</v>
      </c>
      <c r="F745" s="41">
        <v>1</v>
      </c>
      <c r="G745" s="42" t="str">
        <f t="shared" si="30"/>
        <v>LITORAL - OAE - Passagens em Desnível Inferior tipo Galeria: a definir - 1 - 1 - 1</v>
      </c>
      <c r="K745" s="23" t="s">
        <v>363</v>
      </c>
    </row>
    <row r="746" spans="1:11" x14ac:dyDescent="0.25">
      <c r="A746" s="33" t="s">
        <v>401</v>
      </c>
      <c r="B746" s="13" t="s">
        <v>319</v>
      </c>
      <c r="C746" s="33" t="s">
        <v>116</v>
      </c>
      <c r="D746" s="33">
        <v>1</v>
      </c>
      <c r="E746" s="33">
        <v>1</v>
      </c>
      <c r="F746" s="41">
        <v>1</v>
      </c>
      <c r="G746" s="42" t="str">
        <f t="shared" si="30"/>
        <v>LITORAL - OAE - Passagens em Desnível Inferior tipo Galeria: a definir - 1 - 1 - 1</v>
      </c>
      <c r="K746" s="23" t="s">
        <v>363</v>
      </c>
    </row>
    <row r="747" spans="1:11" x14ac:dyDescent="0.25">
      <c r="A747" s="33" t="s">
        <v>401</v>
      </c>
      <c r="B747" s="13" t="s">
        <v>319</v>
      </c>
      <c r="C747" s="33" t="s">
        <v>117</v>
      </c>
      <c r="D747" s="33">
        <v>1</v>
      </c>
      <c r="E747" s="33">
        <v>1</v>
      </c>
      <c r="F747" s="41">
        <v>1</v>
      </c>
      <c r="G747" s="42" t="str">
        <f t="shared" si="30"/>
        <v>LITORAL - OAE - Implantação de Passagens em Desnível Inferior Tipo Viaduto: no Contorno Florianópolis - 1 - 1 - 1</v>
      </c>
      <c r="K747" s="23" t="s">
        <v>363</v>
      </c>
    </row>
    <row r="748" spans="1:11" x14ac:dyDescent="0.25">
      <c r="A748" s="33" t="s">
        <v>401</v>
      </c>
      <c r="B748" s="13" t="s">
        <v>319</v>
      </c>
      <c r="C748" s="33" t="s">
        <v>117</v>
      </c>
      <c r="D748" s="33">
        <v>1</v>
      </c>
      <c r="E748" s="33">
        <v>1</v>
      </c>
      <c r="F748" s="41">
        <v>1</v>
      </c>
      <c r="G748" s="42" t="str">
        <f t="shared" si="30"/>
        <v>LITORAL - OAE - Implantação de Passagens em Desnível Inferior Tipo Viaduto: no Contorno Florianópolis - 1 - 1 - 1</v>
      </c>
      <c r="K748" s="23" t="s">
        <v>363</v>
      </c>
    </row>
    <row r="749" spans="1:11" x14ac:dyDescent="0.25">
      <c r="A749" s="33" t="s">
        <v>401</v>
      </c>
      <c r="B749" s="13" t="s">
        <v>319</v>
      </c>
      <c r="C749" s="33" t="s">
        <v>117</v>
      </c>
      <c r="D749" s="33">
        <v>1</v>
      </c>
      <c r="E749" s="33">
        <v>1</v>
      </c>
      <c r="F749" s="41">
        <v>1</v>
      </c>
      <c r="G749" s="42" t="str">
        <f t="shared" si="30"/>
        <v>LITORAL - OAE - Implantação de Passagens em Desnível Inferior Tipo Viaduto: no Contorno Florianópolis - 1 - 1 - 1</v>
      </c>
      <c r="K749" s="23" t="s">
        <v>363</v>
      </c>
    </row>
    <row r="750" spans="1:11" x14ac:dyDescent="0.25">
      <c r="A750" s="33" t="s">
        <v>401</v>
      </c>
      <c r="B750" s="13" t="s">
        <v>319</v>
      </c>
      <c r="C750" s="33" t="s">
        <v>117</v>
      </c>
      <c r="D750" s="33">
        <v>1</v>
      </c>
      <c r="E750" s="33">
        <v>1</v>
      </c>
      <c r="F750" s="41">
        <v>1</v>
      </c>
      <c r="G750" s="42" t="str">
        <f t="shared" si="30"/>
        <v>LITORAL - OAE - Implantação de Passagens em Desnível Inferior Tipo Viaduto: no Contorno Florianópolis - 1 - 1 - 1</v>
      </c>
      <c r="K750" s="23" t="s">
        <v>363</v>
      </c>
    </row>
    <row r="751" spans="1:11" x14ac:dyDescent="0.25">
      <c r="A751" s="33" t="s">
        <v>401</v>
      </c>
      <c r="B751" s="13" t="s">
        <v>319</v>
      </c>
      <c r="C751" s="33" t="s">
        <v>117</v>
      </c>
      <c r="D751" s="33">
        <v>1</v>
      </c>
      <c r="E751" s="33">
        <v>1</v>
      </c>
      <c r="F751" s="41">
        <v>1</v>
      </c>
      <c r="G751" s="42" t="str">
        <f t="shared" si="30"/>
        <v>LITORAL - OAE - Implantação de Passagens em Desnível Inferior Tipo Viaduto: no Contorno Florianópolis - 1 - 1 - 1</v>
      </c>
      <c r="K751" s="23" t="s">
        <v>363</v>
      </c>
    </row>
    <row r="752" spans="1:11" x14ac:dyDescent="0.25">
      <c r="A752" s="33" t="s">
        <v>401</v>
      </c>
      <c r="B752" s="13" t="s">
        <v>319</v>
      </c>
      <c r="C752" s="33" t="s">
        <v>117</v>
      </c>
      <c r="D752" s="33">
        <v>1</v>
      </c>
      <c r="E752" s="33">
        <v>1</v>
      </c>
      <c r="F752" s="41">
        <v>1</v>
      </c>
      <c r="G752" s="42" t="str">
        <f t="shared" si="30"/>
        <v>LITORAL - OAE - Implantação de Passagens em Desnível Inferior Tipo Viaduto: no Contorno Florianópolis - 1 - 1 - 1</v>
      </c>
      <c r="K752" s="23" t="s">
        <v>363</v>
      </c>
    </row>
    <row r="753" spans="1:11" x14ac:dyDescent="0.25">
      <c r="A753" s="33" t="s">
        <v>401</v>
      </c>
      <c r="B753" s="13" t="s">
        <v>319</v>
      </c>
      <c r="C753" s="33" t="s">
        <v>117</v>
      </c>
      <c r="D753" s="33">
        <v>1</v>
      </c>
      <c r="E753" s="33">
        <v>1</v>
      </c>
      <c r="F753" s="41">
        <v>1</v>
      </c>
      <c r="G753" s="42" t="str">
        <f t="shared" si="30"/>
        <v>LITORAL - OAE - Implantação de Passagens em Desnível Inferior Tipo Viaduto: no Contorno Florianópolis - 1 - 1 - 1</v>
      </c>
      <c r="K753" s="23" t="s">
        <v>363</v>
      </c>
    </row>
    <row r="754" spans="1:11" x14ac:dyDescent="0.25">
      <c r="A754" s="33" t="s">
        <v>401</v>
      </c>
      <c r="B754" s="13" t="s">
        <v>319</v>
      </c>
      <c r="C754" s="33" t="s">
        <v>117</v>
      </c>
      <c r="D754" s="33">
        <v>1</v>
      </c>
      <c r="E754" s="33">
        <v>1</v>
      </c>
      <c r="F754" s="41">
        <v>1</v>
      </c>
      <c r="G754" s="42" t="str">
        <f t="shared" si="30"/>
        <v>LITORAL - OAE - Implantação de Passagens em Desnível Inferior Tipo Viaduto: no Contorno Florianópolis - 1 - 1 - 1</v>
      </c>
      <c r="K754" s="23" t="s">
        <v>363</v>
      </c>
    </row>
    <row r="755" spans="1:11" x14ac:dyDescent="0.25">
      <c r="A755" s="33" t="s">
        <v>401</v>
      </c>
      <c r="B755" s="13" t="s">
        <v>319</v>
      </c>
      <c r="C755" s="33" t="s">
        <v>117</v>
      </c>
      <c r="D755" s="33">
        <v>1</v>
      </c>
      <c r="E755" s="33">
        <v>1</v>
      </c>
      <c r="F755" s="41">
        <v>1</v>
      </c>
      <c r="G755" s="42" t="str">
        <f t="shared" si="30"/>
        <v>LITORAL - OAE - Implantação de Passagens em Desnível Inferior Tipo Viaduto: no Contorno Florianópolis - 1 - 1 - 1</v>
      </c>
      <c r="K755" s="23" t="s">
        <v>363</v>
      </c>
    </row>
    <row r="756" spans="1:11" x14ac:dyDescent="0.25">
      <c r="A756" s="33" t="s">
        <v>401</v>
      </c>
      <c r="B756" s="13" t="s">
        <v>319</v>
      </c>
      <c r="C756" s="33" t="s">
        <v>117</v>
      </c>
      <c r="D756" s="33">
        <v>1</v>
      </c>
      <c r="E756" s="33">
        <v>1</v>
      </c>
      <c r="F756" s="41">
        <v>1</v>
      </c>
      <c r="G756" s="42" t="str">
        <f t="shared" si="30"/>
        <v>LITORAL - OAE - Implantação de Passagens em Desnível Inferior Tipo Viaduto: no Contorno Florianópolis - 1 - 1 - 1</v>
      </c>
      <c r="K756" s="23" t="s">
        <v>363</v>
      </c>
    </row>
    <row r="757" spans="1:11" x14ac:dyDescent="0.25">
      <c r="A757" s="33" t="s">
        <v>401</v>
      </c>
      <c r="B757" s="13" t="s">
        <v>319</v>
      </c>
      <c r="C757" s="33" t="s">
        <v>117</v>
      </c>
      <c r="D757" s="33">
        <v>1</v>
      </c>
      <c r="E757" s="33">
        <v>1</v>
      </c>
      <c r="F757" s="41">
        <v>1</v>
      </c>
      <c r="G757" s="42" t="str">
        <f t="shared" si="30"/>
        <v>LITORAL - OAE - Implantação de Passagens em Desnível Inferior Tipo Viaduto: no Contorno Florianópolis - 1 - 1 - 1</v>
      </c>
      <c r="K757" s="23" t="s">
        <v>363</v>
      </c>
    </row>
    <row r="758" spans="1:11" x14ac:dyDescent="0.25">
      <c r="A758" s="33" t="s">
        <v>401</v>
      </c>
      <c r="B758" s="13" t="s">
        <v>319</v>
      </c>
      <c r="C758" s="33" t="s">
        <v>117</v>
      </c>
      <c r="D758" s="33">
        <v>1</v>
      </c>
      <c r="E758" s="33">
        <v>1</v>
      </c>
      <c r="F758" s="41">
        <v>1</v>
      </c>
      <c r="G758" s="42" t="str">
        <f t="shared" si="30"/>
        <v>LITORAL - OAE - Implantação de Passagens em Desnível Inferior Tipo Viaduto: no Contorno Florianópolis - 1 - 1 - 1</v>
      </c>
      <c r="K758" s="23" t="s">
        <v>363</v>
      </c>
    </row>
    <row r="759" spans="1:11" x14ac:dyDescent="0.25">
      <c r="A759" s="33" t="s">
        <v>401</v>
      </c>
      <c r="B759" s="13" t="s">
        <v>319</v>
      </c>
      <c r="C759" s="33" t="s">
        <v>118</v>
      </c>
      <c r="D759" s="33">
        <v>169.65</v>
      </c>
      <c r="E759" s="33">
        <v>169.65</v>
      </c>
      <c r="F759" s="41">
        <v>1</v>
      </c>
      <c r="G759" s="42" t="str">
        <f t="shared" si="30"/>
        <v>LITORAL - OAE - Implantação de Passagens em Desnível Inferior Tipo Viaduto: km 169,65 da BR-101/SC - 169,65 - 169,65 - 1</v>
      </c>
      <c r="K759" s="23" t="s">
        <v>363</v>
      </c>
    </row>
    <row r="760" spans="1:11" x14ac:dyDescent="0.25">
      <c r="A760" s="33" t="s">
        <v>410</v>
      </c>
      <c r="B760" s="13" t="s">
        <v>319</v>
      </c>
      <c r="C760" s="33" t="s">
        <v>130</v>
      </c>
      <c r="D760" s="33">
        <v>138.80000000000001</v>
      </c>
      <c r="E760" s="33">
        <v>138.80000000000001</v>
      </c>
      <c r="F760" s="41">
        <v>1</v>
      </c>
      <c r="G760" s="42" t="str">
        <f t="shared" si="30"/>
        <v>PLANALTO - OAE - Implantação de Trevos em Desnível, com Alças, em Pista Dupla – Completo - km 138,8 - 138,8 - 138,8 - 1</v>
      </c>
      <c r="K760" s="23" t="s">
        <v>363</v>
      </c>
    </row>
    <row r="761" spans="1:11" x14ac:dyDescent="0.25">
      <c r="A761" s="33" t="s">
        <v>410</v>
      </c>
      <c r="B761" s="13" t="s">
        <v>319</v>
      </c>
      <c r="C761" s="33" t="s">
        <v>131</v>
      </c>
      <c r="D761" s="33">
        <v>141.80000000000001</v>
      </c>
      <c r="E761" s="33">
        <v>141.80000000000001</v>
      </c>
      <c r="F761" s="41">
        <v>1</v>
      </c>
      <c r="G761" s="42" t="str">
        <f t="shared" si="30"/>
        <v>PLANALTO - OAE - Implantação de Trevos em Desnível, com Alças, em Pista Dupla – Completo - km 141,8 – PR 510, Mandirituba/PR - 141,8 - 141,8 - 1</v>
      </c>
      <c r="K761" s="23" t="s">
        <v>363</v>
      </c>
    </row>
    <row r="762" spans="1:11" x14ac:dyDescent="0.25">
      <c r="A762" s="33" t="s">
        <v>403</v>
      </c>
      <c r="B762" s="13" t="s">
        <v>319</v>
      </c>
      <c r="C762" s="33" t="s">
        <v>407</v>
      </c>
      <c r="D762" s="33">
        <v>1</v>
      </c>
      <c r="E762" s="33">
        <v>1</v>
      </c>
      <c r="F762" s="41">
        <v>1</v>
      </c>
      <c r="G762" s="42" t="str">
        <f t="shared" si="30"/>
        <v>REGIS - OAE - Implantação de Trevos em Desnível, com Alças, em Pista Simples – Completo - Contorno Norte de Curitiba - Interseção com BR-476/PR, - 1 - 1 - 1</v>
      </c>
      <c r="K762" s="23" t="s">
        <v>363</v>
      </c>
    </row>
    <row r="763" spans="1:11" x14ac:dyDescent="0.25">
      <c r="A763" s="33" t="s">
        <v>403</v>
      </c>
      <c r="B763" s="13" t="s">
        <v>319</v>
      </c>
      <c r="C763" s="33" t="s">
        <v>408</v>
      </c>
      <c r="D763" s="33">
        <v>1</v>
      </c>
      <c r="E763" s="33">
        <v>1</v>
      </c>
      <c r="F763" s="41">
        <v>1</v>
      </c>
      <c r="G763" s="42" t="str">
        <f t="shared" si="30"/>
        <v>REGIS - OAE - Implantação de Trevos em Desnível, com Alças, em Pista Simples – Completo - Contorno Norte de Curitiba - Interseção com PR - 417 - 1 - 1 - 1</v>
      </c>
      <c r="K763" s="23" t="s">
        <v>363</v>
      </c>
    </row>
    <row r="764" spans="1:11" x14ac:dyDescent="0.25">
      <c r="A764" s="33" t="s">
        <v>403</v>
      </c>
      <c r="B764" s="13" t="s">
        <v>319</v>
      </c>
      <c r="C764" s="33" t="s">
        <v>141</v>
      </c>
      <c r="D764" s="33">
        <v>88.6</v>
      </c>
      <c r="E764" s="33">
        <v>88.6</v>
      </c>
      <c r="F764" s="41">
        <v>1</v>
      </c>
      <c r="G764" s="42" t="str">
        <f t="shared" si="30"/>
        <v>REGIS - OAE - Implantação de Trevos em Desnível, com Alças, em Pista Dupla – Parcial - − BR-116/PR - 88,6 - 88,6 - 1</v>
      </c>
      <c r="K764" s="23" t="s">
        <v>363</v>
      </c>
    </row>
    <row r="765" spans="1:11" x14ac:dyDescent="0.25">
      <c r="A765" s="33" t="s">
        <v>403</v>
      </c>
      <c r="B765" s="13" t="s">
        <v>319</v>
      </c>
      <c r="C765" s="33" t="s">
        <v>409</v>
      </c>
      <c r="D765" s="33">
        <v>1</v>
      </c>
      <c r="E765" s="33">
        <v>1</v>
      </c>
      <c r="F765" s="41">
        <v>1</v>
      </c>
      <c r="G765" s="42" t="str">
        <f t="shared" ref="G765:G828" si="31">_xlfn.TEXTJOIN(" - ",TRUE,A765:F765)</f>
        <v>REGIS - OAE - Implantação de Trevos em Desnível, com Alças, em Pista Dupla - − Contorno Norte de Curitiba - Interseção com BR-116/PR - 1 - 1 - 1</v>
      </c>
      <c r="K765" s="23" t="s">
        <v>363</v>
      </c>
    </row>
    <row r="766" spans="1:11" x14ac:dyDescent="0.25">
      <c r="A766" s="33" t="s">
        <v>403</v>
      </c>
      <c r="B766" s="13" t="s">
        <v>319</v>
      </c>
      <c r="C766" s="33" t="s">
        <v>143</v>
      </c>
      <c r="D766" s="33">
        <v>1</v>
      </c>
      <c r="E766" s="33">
        <v>1</v>
      </c>
      <c r="F766" s="41">
        <v>4</v>
      </c>
      <c r="G766" s="42" t="str">
        <f t="shared" si="31"/>
        <v>REGIS - OAE - Implantação de Passagens em Desnível Inferior tipo Galeria - Locais a definir - 4 unidades - 1 - 1 - 4</v>
      </c>
      <c r="K766" s="23" t="s">
        <v>363</v>
      </c>
    </row>
    <row r="767" spans="1:11" x14ac:dyDescent="0.25">
      <c r="A767" s="33" t="s">
        <v>403</v>
      </c>
      <c r="B767" s="13" t="s">
        <v>319</v>
      </c>
      <c r="C767" s="33" t="s">
        <v>144</v>
      </c>
      <c r="D767" s="33">
        <v>277.60000000000002</v>
      </c>
      <c r="E767" s="33">
        <v>277.60000000000002</v>
      </c>
      <c r="F767" s="41">
        <v>1</v>
      </c>
      <c r="G767" s="42" t="str">
        <f t="shared" si="31"/>
        <v>REGIS - OAE - Implantação de Trevos em Desnível, com Alças, em Pista Simples – Completo - BR-116/SP - km 277+600m - 277,6 - 277,6 - 1</v>
      </c>
      <c r="K767" s="23" t="s">
        <v>363</v>
      </c>
    </row>
    <row r="768" spans="1:11" x14ac:dyDescent="0.25">
      <c r="A768" s="33" t="s">
        <v>403</v>
      </c>
      <c r="B768" s="13" t="s">
        <v>319</v>
      </c>
      <c r="C768" s="33" t="s">
        <v>147</v>
      </c>
      <c r="D768" s="33">
        <v>312.2</v>
      </c>
      <c r="E768" s="33">
        <v>312.2</v>
      </c>
      <c r="F768" s="41">
        <v>1</v>
      </c>
      <c r="G768" s="42" t="str">
        <f t="shared" si="31"/>
        <v>REGIS - OAE - Implantação de Trevos em Desnível, com Alças, em Pista Dupla – Parcial - − BR-116/SP - 312,2 - 312,2 - 1</v>
      </c>
      <c r="K768" s="23" t="s">
        <v>363</v>
      </c>
    </row>
    <row r="769" spans="1:11" x14ac:dyDescent="0.25">
      <c r="A769" s="33" t="s">
        <v>403</v>
      </c>
      <c r="B769" s="13" t="s">
        <v>319</v>
      </c>
      <c r="C769" s="33" t="s">
        <v>147</v>
      </c>
      <c r="D769" s="33">
        <v>332</v>
      </c>
      <c r="E769" s="33">
        <v>332</v>
      </c>
      <c r="F769" s="41">
        <v>1</v>
      </c>
      <c r="G769" s="42" t="str">
        <f t="shared" si="31"/>
        <v>REGIS - OAE - Implantação de Trevos em Desnível, com Alças, em Pista Dupla – Parcial - − BR-116/SP - 332 - 332 - 1</v>
      </c>
      <c r="K769" s="23" t="s">
        <v>363</v>
      </c>
    </row>
    <row r="770" spans="1:11" x14ac:dyDescent="0.25">
      <c r="A770" s="33" t="s">
        <v>6</v>
      </c>
      <c r="B770" s="13" t="s">
        <v>319</v>
      </c>
      <c r="C770" s="33" t="s">
        <v>155</v>
      </c>
      <c r="D770" s="33">
        <v>4.8</v>
      </c>
      <c r="E770" s="33">
        <v>4.8</v>
      </c>
      <c r="F770" s="41">
        <v>1</v>
      </c>
      <c r="G770" s="42" t="str">
        <f t="shared" si="31"/>
        <v>TRANSBRASILIANA - OAE - Implantação de Trevos em Desnível, com Alças, em Pista Dupla – Parcial: km 4+800 – acesso a Icém, a ser executado no 13º ano - 4,8 - 4,8 - 1</v>
      </c>
      <c r="K770" s="23" t="s">
        <v>363</v>
      </c>
    </row>
    <row r="771" spans="1:11" x14ac:dyDescent="0.25">
      <c r="A771" s="33" t="s">
        <v>6</v>
      </c>
      <c r="B771" s="13" t="s">
        <v>319</v>
      </c>
      <c r="C771" s="33" t="s">
        <v>158</v>
      </c>
      <c r="D771" s="33">
        <v>73</v>
      </c>
      <c r="E771" s="33">
        <v>73</v>
      </c>
      <c r="F771" s="41">
        <v>1</v>
      </c>
      <c r="G771" s="42" t="str">
        <f t="shared" si="31"/>
        <v>TRANSBRASILIANA - OAE - Implantação de Passagens em Desnível Inferior tipo Galeria: - 73 - 73 - 1</v>
      </c>
      <c r="K771" s="23" t="s">
        <v>363</v>
      </c>
    </row>
    <row r="772" spans="1:11" x14ac:dyDescent="0.25">
      <c r="A772" s="33" t="s">
        <v>6</v>
      </c>
      <c r="B772" s="13" t="s">
        <v>319</v>
      </c>
      <c r="C772" s="33" t="s">
        <v>158</v>
      </c>
      <c r="D772" s="33">
        <v>51.04</v>
      </c>
      <c r="E772" s="33">
        <v>51.04</v>
      </c>
      <c r="F772" s="41">
        <v>1</v>
      </c>
      <c r="G772" s="42" t="str">
        <f t="shared" si="31"/>
        <v>TRANSBRASILIANA - OAE - Implantação de Passagens em Desnível Inferior tipo Galeria: - 51,04 - 51,04 - 1</v>
      </c>
      <c r="K772" s="23" t="s">
        <v>363</v>
      </c>
    </row>
    <row r="773" spans="1:11" x14ac:dyDescent="0.25">
      <c r="A773" s="33" t="s">
        <v>6</v>
      </c>
      <c r="B773" s="13" t="s">
        <v>319</v>
      </c>
      <c r="C773" s="33" t="s">
        <v>158</v>
      </c>
      <c r="D773" s="33">
        <v>53.1</v>
      </c>
      <c r="E773" s="33">
        <v>53.1</v>
      </c>
      <c r="F773" s="41">
        <v>1</v>
      </c>
      <c r="G773" s="42" t="str">
        <f t="shared" si="31"/>
        <v>TRANSBRASILIANA - OAE - Implantação de Passagens em Desnível Inferior tipo Galeria: - 53,1 - 53,1 - 1</v>
      </c>
      <c r="K773" s="23" t="s">
        <v>363</v>
      </c>
    </row>
    <row r="774" spans="1:11" x14ac:dyDescent="0.25">
      <c r="A774" s="33" t="s">
        <v>6</v>
      </c>
      <c r="B774" s="13" t="s">
        <v>319</v>
      </c>
      <c r="C774" s="33" t="s">
        <v>158</v>
      </c>
      <c r="D774" s="33">
        <v>85.1</v>
      </c>
      <c r="E774" s="33">
        <v>85.1</v>
      </c>
      <c r="F774" s="41">
        <v>1</v>
      </c>
      <c r="G774" s="42" t="str">
        <f t="shared" si="31"/>
        <v>TRANSBRASILIANA - OAE - Implantação de Passagens em Desnível Inferior tipo Galeria: - 85,1 - 85,1 - 1</v>
      </c>
      <c r="K774" s="23" t="s">
        <v>363</v>
      </c>
    </row>
    <row r="775" spans="1:11" x14ac:dyDescent="0.25">
      <c r="A775" s="33" t="s">
        <v>6</v>
      </c>
      <c r="B775" s="13" t="s">
        <v>319</v>
      </c>
      <c r="C775" s="33" t="s">
        <v>158</v>
      </c>
      <c r="D775" s="33">
        <v>97</v>
      </c>
      <c r="E775" s="33">
        <v>97</v>
      </c>
      <c r="F775" s="41">
        <v>1</v>
      </c>
      <c r="G775" s="42" t="str">
        <f t="shared" si="31"/>
        <v>TRANSBRASILIANA - OAE - Implantação de Passagens em Desnível Inferior tipo Galeria: - 97 - 97 - 1</v>
      </c>
      <c r="K775" s="23" t="s">
        <v>363</v>
      </c>
    </row>
    <row r="776" spans="1:11" x14ac:dyDescent="0.25">
      <c r="A776" s="33" t="s">
        <v>6</v>
      </c>
      <c r="B776" s="13" t="s">
        <v>319</v>
      </c>
      <c r="C776" s="33" t="s">
        <v>354</v>
      </c>
      <c r="D776" s="33">
        <v>1</v>
      </c>
      <c r="E776" s="33">
        <v>1</v>
      </c>
      <c r="F776" s="41">
        <v>3</v>
      </c>
      <c r="G776" s="42" t="str">
        <f t="shared" si="31"/>
        <v>TRANSBRASILIANA - OAE - Implantação de Trevos em Desnível, com Alças, em Pista Dupla – Completo: 3 interseções em localização a definir - 1 - 1 - 3</v>
      </c>
      <c r="K776" s="23" t="s">
        <v>363</v>
      </c>
    </row>
    <row r="777" spans="1:11" x14ac:dyDescent="0.25">
      <c r="A777" s="33" t="s">
        <v>6</v>
      </c>
      <c r="B777" s="13" t="s">
        <v>319</v>
      </c>
      <c r="C777" s="33" t="s">
        <v>355</v>
      </c>
      <c r="D777" s="33">
        <v>1</v>
      </c>
      <c r="E777" s="33">
        <v>1</v>
      </c>
      <c r="F777" s="41">
        <v>1</v>
      </c>
      <c r="G777" s="42" t="str">
        <f t="shared" si="31"/>
        <v>TRANSBRASILIANA - OAE - Implantação de Passagens em Desnível Inferior Tipo Viaduto: a definir, a ser executada no 16º ano. - 1 - 1 - 1</v>
      </c>
      <c r="K777" s="23" t="s">
        <v>363</v>
      </c>
    </row>
    <row r="778" spans="1:11" x14ac:dyDescent="0.25">
      <c r="A778" s="33" t="s">
        <v>6</v>
      </c>
      <c r="B778" s="13" t="s">
        <v>319</v>
      </c>
      <c r="C778" s="33" t="s">
        <v>356</v>
      </c>
      <c r="D778" s="33">
        <v>1</v>
      </c>
      <c r="E778" s="33">
        <v>1</v>
      </c>
      <c r="F778" s="41">
        <v>1</v>
      </c>
      <c r="G778" s="42" t="str">
        <f t="shared" si="31"/>
        <v>TRANSBRASILIANA - OAE - Passagem Superior - km 169+300 (Trevo em Desnível), com execução prevista do 14º ano ao 16º ano ( - 1 - 1 - 1</v>
      </c>
      <c r="K778" s="23" t="s">
        <v>363</v>
      </c>
    </row>
    <row r="779" spans="1:11" x14ac:dyDescent="0.25">
      <c r="A779" s="33" t="s">
        <v>6</v>
      </c>
      <c r="B779" s="13" t="s">
        <v>319</v>
      </c>
      <c r="C779" s="33" t="s">
        <v>357</v>
      </c>
      <c r="D779" s="33">
        <v>1</v>
      </c>
      <c r="E779" s="33">
        <v>1</v>
      </c>
      <c r="F779" s="41">
        <v>1</v>
      </c>
      <c r="G779" s="42" t="str">
        <f t="shared" si="31"/>
        <v>TRANSBRASILIANA - OAE - Interseção - km 174+015 - Lote 02 - 1 - 1 - 1</v>
      </c>
      <c r="K779" s="23" t="s">
        <v>363</v>
      </c>
    </row>
    <row r="780" spans="1:11" x14ac:dyDescent="0.25">
      <c r="A780" s="33" t="s">
        <v>6</v>
      </c>
      <c r="B780" s="13" t="s">
        <v>319</v>
      </c>
      <c r="C780" s="33" t="s">
        <v>358</v>
      </c>
      <c r="D780" s="33">
        <v>1</v>
      </c>
      <c r="E780" s="33">
        <v>1</v>
      </c>
      <c r="F780" s="41">
        <v>1</v>
      </c>
      <c r="G780" s="42" t="str">
        <f t="shared" si="31"/>
        <v>TRANSBRASILIANA - OAE - Interseção -km 177+600;- Lote 02 - 1 - 1 - 1</v>
      </c>
      <c r="K780" s="23" t="s">
        <v>363</v>
      </c>
    </row>
    <row r="781" spans="1:11" x14ac:dyDescent="0.25">
      <c r="A781" s="33" t="s">
        <v>6</v>
      </c>
      <c r="B781" s="13" t="s">
        <v>319</v>
      </c>
      <c r="C781" s="33" t="s">
        <v>359</v>
      </c>
      <c r="D781" s="33">
        <v>1</v>
      </c>
      <c r="E781" s="33">
        <v>1</v>
      </c>
      <c r="F781" s="41">
        <v>1</v>
      </c>
      <c r="G781" s="42" t="str">
        <f t="shared" si="31"/>
        <v>TRANSBRASILIANA - OAE - Interseção -km 182+140;- Lote 02 - 1 - 1 - 1</v>
      </c>
      <c r="K781" s="23" t="s">
        <v>363</v>
      </c>
    </row>
    <row r="782" spans="1:11" x14ac:dyDescent="0.25">
      <c r="A782" s="33" t="s">
        <v>6</v>
      </c>
      <c r="B782" s="13" t="s">
        <v>319</v>
      </c>
      <c r="C782" s="33" t="s">
        <v>360</v>
      </c>
      <c r="D782" s="33">
        <v>1</v>
      </c>
      <c r="E782" s="33">
        <v>1</v>
      </c>
      <c r="F782" s="41">
        <v>1</v>
      </c>
      <c r="G782" s="42" t="str">
        <f t="shared" si="31"/>
        <v>TRANSBRASILIANA - OAE - Interseção -km 194+700,- Lote 02 - 1 - 1 - 1</v>
      </c>
      <c r="K782" s="23" t="s">
        <v>363</v>
      </c>
    </row>
    <row r="783" spans="1:11" x14ac:dyDescent="0.25">
      <c r="A783" s="33" t="s">
        <v>160</v>
      </c>
      <c r="B783" s="13" t="s">
        <v>319</v>
      </c>
      <c r="C783" s="33" t="s">
        <v>163</v>
      </c>
      <c r="D783" s="33">
        <v>169.7</v>
      </c>
      <c r="E783" s="33">
        <v>169.7</v>
      </c>
      <c r="F783" s="41">
        <v>1</v>
      </c>
      <c r="G783" s="42" t="str">
        <f t="shared" si="31"/>
        <v>FLUMINENSE - OAE - Implantação de Trevos em Desnível, com Alças, em Pista Dupla – Parcial: km 169,7– RJ-168 para Macaé
e Glicério - 169,7 - 169,7 - 1</v>
      </c>
      <c r="K783" s="23" t="s">
        <v>363</v>
      </c>
    </row>
    <row r="784" spans="1:11" x14ac:dyDescent="0.25">
      <c r="A784" s="33" t="s">
        <v>160</v>
      </c>
      <c r="B784" s="13" t="s">
        <v>319</v>
      </c>
      <c r="C784" s="33" t="s">
        <v>164</v>
      </c>
      <c r="D784" s="33">
        <v>190.6</v>
      </c>
      <c r="E784" s="33">
        <v>190.6</v>
      </c>
      <c r="F784" s="41">
        <v>1</v>
      </c>
      <c r="G784" s="42" t="str">
        <f t="shared" si="31"/>
        <v>FLUMINENSE - OAE - Implantação de Trevos em Desnível, com Alças, em Pista Dupla – Parcial: km 190,6– Rio Dourado e Rio das Ostras - 190,6 - 190,6 - 1</v>
      </c>
      <c r="K784" s="23" t="s">
        <v>363</v>
      </c>
    </row>
    <row r="785" spans="1:11" x14ac:dyDescent="0.25">
      <c r="A785" s="33" t="s">
        <v>160</v>
      </c>
      <c r="B785" s="13" t="s">
        <v>319</v>
      </c>
      <c r="C785" s="33" t="s">
        <v>165</v>
      </c>
      <c r="D785" s="33">
        <v>204.1</v>
      </c>
      <c r="E785" s="33">
        <v>204.1</v>
      </c>
      <c r="F785" s="41">
        <v>1</v>
      </c>
      <c r="G785" s="42" t="str">
        <f t="shared" si="31"/>
        <v>FLUMINENSE - OAE - Implantação de Trevos em Desnível, com Alças, em Pista Dupla – Parcial: km 204,1 – Distrito Industrial - 204,1 - 204,1 - 1</v>
      </c>
      <c r="K785" s="23" t="s">
        <v>363</v>
      </c>
    </row>
    <row r="786" spans="1:11" x14ac:dyDescent="0.25">
      <c r="A786" s="33" t="s">
        <v>160</v>
      </c>
      <c r="B786" s="13" t="s">
        <v>319</v>
      </c>
      <c r="C786" s="33" t="s">
        <v>166</v>
      </c>
      <c r="D786" s="33">
        <v>243.4</v>
      </c>
      <c r="E786" s="33">
        <v>243.4</v>
      </c>
      <c r="F786" s="41">
        <v>1</v>
      </c>
      <c r="G786" s="42" t="str">
        <f t="shared" si="31"/>
        <v>FLUMINENSE - OAE - Implantação de Trevos em Desnível, com Alças, em Pista Dupla – Parcial:km 243,4–
Imbau - 243,4 - 243,4 - 1</v>
      </c>
      <c r="K786" s="23" t="s">
        <v>363</v>
      </c>
    </row>
    <row r="787" spans="1:11" x14ac:dyDescent="0.25">
      <c r="A787" s="33" t="s">
        <v>160</v>
      </c>
      <c r="B787" s="13" t="s">
        <v>319</v>
      </c>
      <c r="C787" s="33" t="s">
        <v>167</v>
      </c>
      <c r="D787" s="33">
        <v>253.3</v>
      </c>
      <c r="E787" s="33">
        <v>253.3</v>
      </c>
      <c r="F787" s="41">
        <v>1</v>
      </c>
      <c r="G787" s="42" t="str">
        <f t="shared" si="31"/>
        <v>FLUMINENSE - OAE - Implantação de Trevos em Desnível, com Alças, em Pista Dupla – Parcial:km 253,3 – Mato Alto - 253,3 - 253,3 - 1</v>
      </c>
      <c r="K787" s="23" t="s">
        <v>363</v>
      </c>
    </row>
    <row r="788" spans="1:11" x14ac:dyDescent="0.25">
      <c r="A788" s="33" t="s">
        <v>160</v>
      </c>
      <c r="B788" s="13" t="s">
        <v>319</v>
      </c>
      <c r="C788" s="33" t="s">
        <v>168</v>
      </c>
      <c r="D788" s="33">
        <v>248.2</v>
      </c>
      <c r="E788" s="33">
        <v>248.2</v>
      </c>
      <c r="F788" s="41">
        <v>1</v>
      </c>
      <c r="G788" s="42" t="str">
        <f t="shared" si="31"/>
        <v>FLUMINENSE - OAE - Implantação de Trevos em Desnível, com Alças, em Pista Dupla – Parcial:km 248,2 – Caxito - 248,2 - 248,2 - 1</v>
      </c>
      <c r="K788" s="23" t="s">
        <v>363</v>
      </c>
    </row>
    <row r="789" spans="1:11" x14ac:dyDescent="0.25">
      <c r="A789" s="33" t="s">
        <v>160</v>
      </c>
      <c r="B789" s="13" t="s">
        <v>319</v>
      </c>
      <c r="C789" s="33" t="s">
        <v>169</v>
      </c>
      <c r="D789" s="33">
        <v>244.1</v>
      </c>
      <c r="E789" s="33">
        <v>244.1</v>
      </c>
      <c r="F789" s="41">
        <v>1</v>
      </c>
      <c r="G789" s="42" t="str">
        <f t="shared" si="31"/>
        <v>FLUMINENSE - OAE - Implantação de Trevos em Desnível, com Alças, em Pista Dupla – Parcial: km 244,1– Cesário Alvim - 244,1 - 244,1 - 1</v>
      </c>
      <c r="K789" s="23" t="s">
        <v>363</v>
      </c>
    </row>
    <row r="790" spans="1:11" x14ac:dyDescent="0.25">
      <c r="A790" s="33" t="s">
        <v>160</v>
      </c>
      <c r="B790" s="13" t="s">
        <v>319</v>
      </c>
      <c r="C790" s="33" t="s">
        <v>170</v>
      </c>
      <c r="D790" s="33">
        <v>297.39999999999998</v>
      </c>
      <c r="E790" s="33">
        <v>297.39999999999998</v>
      </c>
      <c r="F790" s="41">
        <v>1</v>
      </c>
      <c r="G790" s="42" t="str">
        <f t="shared" si="31"/>
        <v>FLUMINENSE - OAE - Implantação de Trevos em Desnível, com Alças, em Pista Dupla – Parcial: km 297,4 – Complemento
do trevo de Manilha - 297,4 - 297,4 - 1</v>
      </c>
      <c r="K790" s="23" t="s">
        <v>363</v>
      </c>
    </row>
    <row r="791" spans="1:11" x14ac:dyDescent="0.25">
      <c r="A791" s="33" t="s">
        <v>160</v>
      </c>
      <c r="B791" s="13" t="s">
        <v>319</v>
      </c>
      <c r="C791" s="33" t="s">
        <v>171</v>
      </c>
      <c r="D791" s="33">
        <v>260.10000000000002</v>
      </c>
      <c r="E791" s="33">
        <v>260.10000000000002</v>
      </c>
      <c r="F791" s="41">
        <v>1</v>
      </c>
      <c r="G791" s="42" t="str">
        <f t="shared" si="31"/>
        <v>FLUMINENSE - OAE - Implantação de Trevos em Desnível, com Alças, em Pista Dupla – Parcial: km 260,1. - 260,1 - 260,1 - 1</v>
      </c>
      <c r="K791" s="23" t="s">
        <v>363</v>
      </c>
    </row>
    <row r="792" spans="1:11" x14ac:dyDescent="0.25">
      <c r="A792" s="33" t="s">
        <v>160</v>
      </c>
      <c r="B792" s="13" t="s">
        <v>319</v>
      </c>
      <c r="C792" s="33" t="s">
        <v>173</v>
      </c>
      <c r="D792" s="33">
        <v>194.1</v>
      </c>
      <c r="E792" s="33">
        <v>194.1</v>
      </c>
      <c r="F792" s="41">
        <v>1</v>
      </c>
      <c r="G792" s="42" t="str">
        <f t="shared" si="31"/>
        <v>FLUMINENSE - OAE - Implantação de trevo no km 194,1: - 194,1 - 194,1 - 1</v>
      </c>
      <c r="K792" s="23" t="s">
        <v>363</v>
      </c>
    </row>
    <row r="793" spans="1:11" x14ac:dyDescent="0.25">
      <c r="A793" s="33" t="s">
        <v>160</v>
      </c>
      <c r="B793" s="13" t="s">
        <v>319</v>
      </c>
      <c r="C793" s="33" t="s">
        <v>175</v>
      </c>
      <c r="D793" s="33">
        <v>92.8</v>
      </c>
      <c r="E793" s="33">
        <v>92.8</v>
      </c>
      <c r="F793" s="41">
        <v>1</v>
      </c>
      <c r="G793" s="42" t="str">
        <f t="shared" si="31"/>
        <v>FLUMINENSE - OAE - Implantação de Trevos em desnível – Completo: - 92,8 - 92,8 - 1</v>
      </c>
      <c r="K793" s="23" t="s">
        <v>363</v>
      </c>
    </row>
    <row r="794" spans="1:11" x14ac:dyDescent="0.25">
      <c r="A794" s="33" t="s">
        <v>160</v>
      </c>
      <c r="B794" s="13" t="s">
        <v>319</v>
      </c>
      <c r="C794" s="33" t="s">
        <v>175</v>
      </c>
      <c r="D794" s="33">
        <v>101.1</v>
      </c>
      <c r="E794" s="33">
        <v>101.1</v>
      </c>
      <c r="F794" s="41">
        <v>1</v>
      </c>
      <c r="G794" s="42" t="str">
        <f t="shared" si="31"/>
        <v>FLUMINENSE - OAE - Implantação de Trevos em desnível – Completo: - 101,1 - 101,1 - 1</v>
      </c>
      <c r="K794" s="23" t="s">
        <v>363</v>
      </c>
    </row>
    <row r="795" spans="1:11" x14ac:dyDescent="0.25">
      <c r="A795" s="33" t="s">
        <v>160</v>
      </c>
      <c r="B795" s="13" t="s">
        <v>319</v>
      </c>
      <c r="C795" s="33" t="s">
        <v>175</v>
      </c>
      <c r="D795" s="33">
        <v>113.3</v>
      </c>
      <c r="E795" s="33">
        <v>113.3</v>
      </c>
      <c r="F795" s="41">
        <v>1</v>
      </c>
      <c r="G795" s="42" t="str">
        <f t="shared" si="31"/>
        <v>FLUMINENSE - OAE - Implantação de Trevos em desnível – Completo: - 113,3 - 113,3 - 1</v>
      </c>
      <c r="K795" s="23" t="s">
        <v>363</v>
      </c>
    </row>
    <row r="796" spans="1:11" x14ac:dyDescent="0.25">
      <c r="A796" s="33" t="s">
        <v>160</v>
      </c>
      <c r="B796" s="13" t="s">
        <v>319</v>
      </c>
      <c r="C796" s="33" t="s">
        <v>175</v>
      </c>
      <c r="D796" s="33">
        <v>122.14</v>
      </c>
      <c r="E796" s="33">
        <v>122.14</v>
      </c>
      <c r="F796" s="41">
        <v>1</v>
      </c>
      <c r="G796" s="42" t="str">
        <f t="shared" si="31"/>
        <v>FLUMINENSE - OAE - Implantação de Trevos em desnível – Completo: - 122,14 - 122,14 - 1</v>
      </c>
      <c r="K796" s="23" t="s">
        <v>363</v>
      </c>
    </row>
    <row r="797" spans="1:11" x14ac:dyDescent="0.25">
      <c r="A797" s="33" t="s">
        <v>160</v>
      </c>
      <c r="B797" s="13" t="s">
        <v>319</v>
      </c>
      <c r="C797" s="33" t="s">
        <v>361</v>
      </c>
      <c r="D797" s="33">
        <v>236.7</v>
      </c>
      <c r="E797" s="33">
        <v>236.7</v>
      </c>
      <c r="F797" s="41">
        <v>1</v>
      </c>
      <c r="G797" s="42" t="str">
        <f t="shared" si="31"/>
        <v>FLUMINENSE - OAE - Implantação de Trevos em desnível – Completo:Conclusão do trevo em desnível de Silva Jardim, - 236,7 - 236,7 - 1</v>
      </c>
      <c r="K797" s="23" t="s">
        <v>363</v>
      </c>
    </row>
    <row r="798" spans="1:11" x14ac:dyDescent="0.25">
      <c r="A798" s="33" t="s">
        <v>160</v>
      </c>
      <c r="B798" s="13" t="s">
        <v>319</v>
      </c>
      <c r="C798" s="33" t="s">
        <v>362</v>
      </c>
      <c r="D798" s="33">
        <v>236.7</v>
      </c>
      <c r="E798" s="33">
        <v>236.7</v>
      </c>
      <c r="F798" s="41">
        <v>1</v>
      </c>
      <c r="G798" s="42" t="str">
        <f t="shared" si="31"/>
        <v>FLUMINENSE - OAE - Implantação de Trevos em Desnível, com Alças, em Pista Dupla – Parcial:Conclusão do trevo em desnível de Silva Jardim, localizado no km 236+700 - 236,7 - 236,7 - 1</v>
      </c>
      <c r="K798" s="23" t="s">
        <v>363</v>
      </c>
    </row>
    <row r="799" spans="1:11" x14ac:dyDescent="0.25">
      <c r="A799" s="33" t="s">
        <v>7</v>
      </c>
      <c r="B799" s="13" t="s">
        <v>319</v>
      </c>
      <c r="C799" s="33" t="s">
        <v>190</v>
      </c>
      <c r="D799" s="33">
        <v>0.08</v>
      </c>
      <c r="E799" s="33">
        <v>0.08</v>
      </c>
      <c r="F799" s="41">
        <v>1</v>
      </c>
      <c r="G799" s="42" t="str">
        <f t="shared" si="31"/>
        <v>VIA BAHIA - OAE - Viaduto de Acesso entr. BA- 407/415 BA- 262B/263 (Vitória da Conquista - 0,08 - 0,08 - 1</v>
      </c>
      <c r="K799" s="23" t="s">
        <v>363</v>
      </c>
    </row>
    <row r="800" spans="1:11" x14ac:dyDescent="0.25">
      <c r="A800" s="33" t="s">
        <v>7</v>
      </c>
      <c r="B800" s="13" t="s">
        <v>319</v>
      </c>
      <c r="C800" s="33" t="s">
        <v>191</v>
      </c>
      <c r="D800" s="33">
        <v>1</v>
      </c>
      <c r="E800" s="33">
        <v>1</v>
      </c>
      <c r="F800" s="41">
        <v>1</v>
      </c>
      <c r="G800" s="42" t="str">
        <f t="shared" si="31"/>
        <v>VIA BAHIA - OAE - Construção de interseção entre as duas rodovias em níveis diferentes, com ramos; entroncamento entre a BR-
116 e a BR-242 - 1 - 1 - 1</v>
      </c>
      <c r="K800" s="23" t="s">
        <v>363</v>
      </c>
    </row>
    <row r="801" spans="1:11" x14ac:dyDescent="0.25">
      <c r="A801" s="33" t="s">
        <v>7</v>
      </c>
      <c r="B801" s="13" t="s">
        <v>319</v>
      </c>
      <c r="C801" s="33" t="s">
        <v>192</v>
      </c>
      <c r="D801" s="33">
        <v>1</v>
      </c>
      <c r="E801" s="33">
        <v>1</v>
      </c>
      <c r="F801" s="41">
        <v>1</v>
      </c>
      <c r="G801" s="42" t="str">
        <f t="shared" si="31"/>
        <v>VIA BAHIA - OAE - Dispositivos de intersecção no anel viário de Vitória da Conquista - 1 - 1 - 1</v>
      </c>
      <c r="K801" s="23" t="s">
        <v>363</v>
      </c>
    </row>
    <row r="802" spans="1:11" x14ac:dyDescent="0.25">
      <c r="A802" s="33" t="s">
        <v>7</v>
      </c>
      <c r="B802" s="13" t="s">
        <v>319</v>
      </c>
      <c r="C802" s="33" t="s">
        <v>193</v>
      </c>
      <c r="D802" s="33">
        <v>36.47</v>
      </c>
      <c r="E802" s="33">
        <v>36.47</v>
      </c>
      <c r="F802" s="41">
        <v>1</v>
      </c>
      <c r="G802" s="42" t="str">
        <f t="shared" si="31"/>
        <v>VIA BAHIA - OAE - Viaduto sobre a BR-324/BA, acesso a Santo Amaro BA-520 - 36,47 - 36,47 - 1</v>
      </c>
      <c r="K802" s="23" t="s">
        <v>363</v>
      </c>
    </row>
    <row r="803" spans="1:11" x14ac:dyDescent="0.25">
      <c r="A803" s="33" t="s">
        <v>7</v>
      </c>
      <c r="B803" s="13" t="s">
        <v>319</v>
      </c>
      <c r="C803" s="33" t="s">
        <v>195</v>
      </c>
      <c r="D803" s="33">
        <v>1</v>
      </c>
      <c r="E803" s="33">
        <v>1</v>
      </c>
      <c r="F803" s="41">
        <v>1</v>
      </c>
      <c r="G803" s="42" t="str">
        <f t="shared" si="31"/>
        <v>VIA BAHIA - OAE - Construção de trevo com alças de acesso à rodovia BA-524 (Canal de Tráfego), nos quatro sentidos; - 1 - 1 - 1</v>
      </c>
      <c r="K803" s="23" t="s">
        <v>363</v>
      </c>
    </row>
    <row r="804" spans="1:11" x14ac:dyDescent="0.25">
      <c r="A804" s="33" t="s">
        <v>7</v>
      </c>
      <c r="B804" s="13" t="s">
        <v>319</v>
      </c>
      <c r="C804" s="33" t="s">
        <v>196</v>
      </c>
      <c r="D804" s="33">
        <v>1</v>
      </c>
      <c r="E804" s="33">
        <v>1</v>
      </c>
      <c r="F804" s="41">
        <v>1</v>
      </c>
      <c r="G804" s="42" t="str">
        <f t="shared" si="31"/>
        <v>VIA BAHIA - OAE - Construção de interseção com linha ferroviária em níveis diferentes no município de Itatim. - 1 - 1 - 1</v>
      </c>
      <c r="K804" s="23" t="s">
        <v>363</v>
      </c>
    </row>
    <row r="805" spans="1:11" x14ac:dyDescent="0.25">
      <c r="A805" s="33" t="s">
        <v>404</v>
      </c>
      <c r="B805" s="13" t="s">
        <v>319</v>
      </c>
      <c r="C805" s="33" t="s">
        <v>213</v>
      </c>
      <c r="D805" s="33">
        <v>131.30000000000001</v>
      </c>
      <c r="E805" s="33">
        <v>131.30000000000001</v>
      </c>
      <c r="F805" s="41">
        <v>1</v>
      </c>
      <c r="G805" s="42" t="str">
        <f t="shared" si="31"/>
        <v>ECO 050 - OAE - Interconexão Diamante ID-02- BR - 050/MG - UBERABA - 131,3 - 131,3 - 1</v>
      </c>
      <c r="K805" s="23" t="s">
        <v>363</v>
      </c>
    </row>
    <row r="806" spans="1:11" x14ac:dyDescent="0.25">
      <c r="A806" s="33" t="s">
        <v>404</v>
      </c>
      <c r="B806" s="13" t="s">
        <v>319</v>
      </c>
      <c r="C806" s="33" t="s">
        <v>214</v>
      </c>
      <c r="D806" s="33">
        <v>140.30000000000001</v>
      </c>
      <c r="E806" s="33">
        <v>140.30000000000001</v>
      </c>
      <c r="F806" s="41">
        <v>1</v>
      </c>
      <c r="G806" s="42" t="str">
        <f t="shared" si="31"/>
        <v>ECO 050 - OAE - Interconexão Diamante ID-03- BR - 050/MG - UBERABA - 140,3 - 140,3 - 1</v>
      </c>
      <c r="K806" s="23" t="s">
        <v>363</v>
      </c>
    </row>
    <row r="807" spans="1:11" x14ac:dyDescent="0.25">
      <c r="A807" s="33" t="s">
        <v>404</v>
      </c>
      <c r="B807" s="13" t="s">
        <v>319</v>
      </c>
      <c r="C807" s="33" t="s">
        <v>215</v>
      </c>
      <c r="D807" s="33">
        <v>151.5</v>
      </c>
      <c r="E807" s="33">
        <v>151.5</v>
      </c>
      <c r="F807" s="41">
        <v>1</v>
      </c>
      <c r="G807" s="42" t="str">
        <f t="shared" si="31"/>
        <v>ECO 050 - OAE - Interconexão Diamante ID-04- BR - 050/MG - UBERABA - 151,5 - 151,5 - 1</v>
      </c>
      <c r="K807" s="23" t="s">
        <v>363</v>
      </c>
    </row>
    <row r="808" spans="1:11" x14ac:dyDescent="0.25">
      <c r="A808" s="33" t="s">
        <v>404</v>
      </c>
      <c r="B808" s="13" t="s">
        <v>319</v>
      </c>
      <c r="C808" s="33" t="s">
        <v>216</v>
      </c>
      <c r="D808" s="33">
        <v>4</v>
      </c>
      <c r="E808" s="33">
        <v>4</v>
      </c>
      <c r="F808" s="41">
        <v>1</v>
      </c>
      <c r="G808" s="42" t="str">
        <f t="shared" si="31"/>
        <v>ECO 050 - OAE - Interconexão Trombeta ID-01- BR - 050/MG - ARAGUARI - 4 - 4 - 1</v>
      </c>
      <c r="K808" s="23" t="s">
        <v>363</v>
      </c>
    </row>
    <row r="809" spans="1:11" x14ac:dyDescent="0.25">
      <c r="A809" s="33" t="s">
        <v>404</v>
      </c>
      <c r="B809" s="13" t="s">
        <v>319</v>
      </c>
      <c r="C809" s="33" t="s">
        <v>217</v>
      </c>
      <c r="D809" s="33">
        <v>22</v>
      </c>
      <c r="E809" s="33">
        <v>22</v>
      </c>
      <c r="F809" s="41">
        <v>1</v>
      </c>
      <c r="G809" s="42" t="str">
        <f t="shared" si="31"/>
        <v>ECO 050 - OAE - Interconexão Trombeta ID-02- BR - 050/MG - ARAGUARI - 22 - 22 - 1</v>
      </c>
      <c r="K809" s="23" t="s">
        <v>363</v>
      </c>
    </row>
    <row r="810" spans="1:11" x14ac:dyDescent="0.25">
      <c r="A810" s="33" t="s">
        <v>404</v>
      </c>
      <c r="B810" s="13" t="s">
        <v>319</v>
      </c>
      <c r="C810" s="33" t="s">
        <v>219</v>
      </c>
      <c r="D810" s="33">
        <v>101</v>
      </c>
      <c r="E810" s="33">
        <v>101</v>
      </c>
      <c r="F810" s="41">
        <v>1</v>
      </c>
      <c r="G810" s="42" t="str">
        <f t="shared" si="31"/>
        <v>ECO 050 - OAE - Retorno em Desnível ID-01- BR - 050/MG - UBERLÂNDIA - 101 - 101 - 1</v>
      </c>
      <c r="K810" s="23" t="s">
        <v>363</v>
      </c>
    </row>
    <row r="811" spans="1:11" x14ac:dyDescent="0.25">
      <c r="A811" s="33" t="s">
        <v>404</v>
      </c>
      <c r="B811" s="13" t="s">
        <v>319</v>
      </c>
      <c r="C811" s="33" t="s">
        <v>220</v>
      </c>
      <c r="D811" s="33">
        <v>97.3</v>
      </c>
      <c r="E811" s="33">
        <v>97.3</v>
      </c>
      <c r="F811" s="41">
        <v>1</v>
      </c>
      <c r="G811" s="42" t="str">
        <f t="shared" si="31"/>
        <v>ECO 050 - OAE - Interconexão Diamante ID-05- BR - 050/GO - CRISTALINA - 97,3 - 97,3 - 1</v>
      </c>
      <c r="K811" s="23" t="s">
        <v>363</v>
      </c>
    </row>
    <row r="812" spans="1:11" x14ac:dyDescent="0.25">
      <c r="A812" s="33" t="s">
        <v>404</v>
      </c>
      <c r="B812" s="13" t="s">
        <v>319</v>
      </c>
      <c r="C812" s="33" t="s">
        <v>230</v>
      </c>
      <c r="D812" s="33">
        <v>280.5</v>
      </c>
      <c r="E812" s="33">
        <v>280.5</v>
      </c>
      <c r="F812" s="41">
        <v>1</v>
      </c>
      <c r="G812" s="42" t="str">
        <f t="shared" si="31"/>
        <v>ECO 050 - OAE - Interconexão Diamante ID-15- BR - 050/GO - CATALÃO - 280,5 - 280,5 - 1</v>
      </c>
      <c r="K812" s="23" t="s">
        <v>363</v>
      </c>
    </row>
    <row r="813" spans="1:11" x14ac:dyDescent="0.25">
      <c r="A813" s="33" t="s">
        <v>404</v>
      </c>
      <c r="B813" s="13" t="s">
        <v>319</v>
      </c>
      <c r="C813" s="33" t="s">
        <v>232</v>
      </c>
      <c r="D813" s="33">
        <v>276.5</v>
      </c>
      <c r="E813" s="33">
        <v>276.5</v>
      </c>
      <c r="F813" s="41">
        <v>1</v>
      </c>
      <c r="G813" s="42" t="str">
        <f t="shared" si="31"/>
        <v>ECO 050 - OAE - Interconexão Tipo Trevo Completo ID-01- BR - 050/GO - CATALÃO - 276,5 - 276,5 - 1</v>
      </c>
      <c r="K813" s="23" t="s">
        <v>363</v>
      </c>
    </row>
    <row r="814" spans="1:11" x14ac:dyDescent="0.25">
      <c r="A814" s="33" t="s">
        <v>404</v>
      </c>
      <c r="B814" s="13" t="s">
        <v>319</v>
      </c>
      <c r="C814" s="33" t="s">
        <v>237</v>
      </c>
      <c r="D814" s="33">
        <v>311.7</v>
      </c>
      <c r="E814" s="33">
        <v>311.7</v>
      </c>
      <c r="F814" s="41">
        <v>1</v>
      </c>
      <c r="G814" s="42" t="str">
        <f t="shared" si="31"/>
        <v>ECO 050 - OAE - Interconexão Trombeta ID-08- BR - 050/GO - CUMARI - ENTR GO 402 - 311,7 - 311,7 - 1</v>
      </c>
      <c r="K814" s="23" t="s">
        <v>363</v>
      </c>
    </row>
    <row r="815" spans="1:11" x14ac:dyDescent="0.25">
      <c r="A815" s="33" t="s">
        <v>5</v>
      </c>
      <c r="B815" s="13" t="s">
        <v>319</v>
      </c>
      <c r="C815" s="33" t="s">
        <v>259</v>
      </c>
      <c r="D815" s="33">
        <v>14</v>
      </c>
      <c r="E815" s="33">
        <v>14</v>
      </c>
      <c r="F815" s="41">
        <v>1</v>
      </c>
      <c r="G815" s="42" t="str">
        <f t="shared" si="31"/>
        <v>CRO - OAE - Interconexão Diamante ID-01 - BR-163/MT - 14 - 14 - 1</v>
      </c>
      <c r="K815" s="23" t="s">
        <v>363</v>
      </c>
    </row>
    <row r="816" spans="1:11" x14ac:dyDescent="0.25">
      <c r="A816" s="33" t="s">
        <v>5</v>
      </c>
      <c r="B816" s="13" t="s">
        <v>319</v>
      </c>
      <c r="C816" s="33" t="s">
        <v>260</v>
      </c>
      <c r="D816" s="33">
        <v>48</v>
      </c>
      <c r="E816" s="33">
        <v>48</v>
      </c>
      <c r="F816" s="41">
        <v>1</v>
      </c>
      <c r="G816" s="42" t="str">
        <f t="shared" si="31"/>
        <v>CRO - OAE - Interconexão Diamante ID-02 - BR-163/MT - 48 - 48 - 1</v>
      </c>
      <c r="K816" s="23" t="s">
        <v>363</v>
      </c>
    </row>
    <row r="817" spans="1:11" x14ac:dyDescent="0.25">
      <c r="A817" s="33" t="s">
        <v>5</v>
      </c>
      <c r="B817" s="13" t="s">
        <v>319</v>
      </c>
      <c r="C817" s="33" t="s">
        <v>261</v>
      </c>
      <c r="D817" s="33">
        <v>77</v>
      </c>
      <c r="E817" s="33">
        <v>77</v>
      </c>
      <c r="F817" s="41">
        <v>1</v>
      </c>
      <c r="G817" s="42" t="str">
        <f t="shared" si="31"/>
        <v>CRO - OAE - Interconexão Diamante ID-03 - BR-163/MT - 77 - 77 - 1</v>
      </c>
      <c r="K817" s="23" t="s">
        <v>363</v>
      </c>
    </row>
    <row r="818" spans="1:11" x14ac:dyDescent="0.25">
      <c r="A818" s="33" t="s">
        <v>5</v>
      </c>
      <c r="B818" s="13" t="s">
        <v>319</v>
      </c>
      <c r="C818" s="33" t="s">
        <v>262</v>
      </c>
      <c r="D818" s="33">
        <v>94.2</v>
      </c>
      <c r="E818" s="33">
        <v>94.2</v>
      </c>
      <c r="F818" s="41">
        <v>1</v>
      </c>
      <c r="G818" s="42" t="str">
        <f t="shared" si="31"/>
        <v>CRO - OAE - Interconexão Diamante ID-04 - BR-163/MT - 94,2 - 94,2 - 1</v>
      </c>
      <c r="K818" s="23" t="s">
        <v>363</v>
      </c>
    </row>
    <row r="819" spans="1:11" x14ac:dyDescent="0.25">
      <c r="A819" s="33" t="s">
        <v>5</v>
      </c>
      <c r="B819" s="13" t="s">
        <v>319</v>
      </c>
      <c r="C819" s="33" t="s">
        <v>263</v>
      </c>
      <c r="D819" s="33">
        <v>111</v>
      </c>
      <c r="E819" s="33">
        <v>111</v>
      </c>
      <c r="F819" s="41">
        <v>1</v>
      </c>
      <c r="G819" s="42" t="str">
        <f t="shared" si="31"/>
        <v>CRO - OAE - Interconexão Diamante ID-05 - BR-163/MT - 111 - 111 - 1</v>
      </c>
      <c r="K819" s="23" t="s">
        <v>363</v>
      </c>
    </row>
    <row r="820" spans="1:11" x14ac:dyDescent="0.25">
      <c r="A820" s="33" t="s">
        <v>5</v>
      </c>
      <c r="B820" s="13" t="s">
        <v>319</v>
      </c>
      <c r="C820" s="33" t="s">
        <v>264</v>
      </c>
      <c r="D820" s="33">
        <v>117.6</v>
      </c>
      <c r="E820" s="33">
        <v>117.6</v>
      </c>
      <c r="F820" s="41">
        <v>1</v>
      </c>
      <c r="G820" s="42" t="str">
        <f t="shared" si="31"/>
        <v>CRO - OAE - Interconexão Diamante ID-06 - BR-163/MT - 117,6 - 117,6 - 1</v>
      </c>
      <c r="K820" s="23" t="s">
        <v>363</v>
      </c>
    </row>
    <row r="821" spans="1:11" x14ac:dyDescent="0.25">
      <c r="A821" s="33" t="s">
        <v>5</v>
      </c>
      <c r="B821" s="13" t="s">
        <v>319</v>
      </c>
      <c r="C821" s="33" t="s">
        <v>265</v>
      </c>
      <c r="D821" s="33">
        <v>261.89999999999998</v>
      </c>
      <c r="E821" s="33">
        <v>261.89999999999998</v>
      </c>
      <c r="F821" s="41">
        <v>1</v>
      </c>
      <c r="G821" s="42" t="str">
        <f t="shared" si="31"/>
        <v>CRO - OAE - Interconexão Diamante ID-07 - BR-163/MT - 261,9 - 261,9 - 1</v>
      </c>
      <c r="K821" s="23" t="s">
        <v>363</v>
      </c>
    </row>
    <row r="822" spans="1:11" x14ac:dyDescent="0.25">
      <c r="A822" s="33" t="s">
        <v>5</v>
      </c>
      <c r="B822" s="13" t="s">
        <v>319</v>
      </c>
      <c r="C822" s="33" t="s">
        <v>266</v>
      </c>
      <c r="D822" s="33">
        <v>279</v>
      </c>
      <c r="E822" s="33">
        <v>279</v>
      </c>
      <c r="F822" s="41">
        <v>1</v>
      </c>
      <c r="G822" s="42" t="str">
        <f t="shared" si="31"/>
        <v>CRO - OAE - Interconexão Diamante ID-08 - BR-163/MT - 279 - 279 - 1</v>
      </c>
      <c r="K822" s="23" t="s">
        <v>363</v>
      </c>
    </row>
    <row r="823" spans="1:11" x14ac:dyDescent="0.25">
      <c r="A823" s="33" t="s">
        <v>5</v>
      </c>
      <c r="B823" s="13" t="s">
        <v>319</v>
      </c>
      <c r="C823" s="33" t="s">
        <v>267</v>
      </c>
      <c r="D823" s="33">
        <v>270.5</v>
      </c>
      <c r="E823" s="33">
        <v>270.5</v>
      </c>
      <c r="F823" s="41">
        <v>1</v>
      </c>
      <c r="G823" s="42" t="str">
        <f t="shared" si="31"/>
        <v>CRO - OAE - Interconexão Diamante ID-09 - BR-163/MT - 270,5 - 270,5 - 1</v>
      </c>
      <c r="K823" s="23" t="s">
        <v>363</v>
      </c>
    </row>
    <row r="824" spans="1:11" x14ac:dyDescent="0.25">
      <c r="A824" s="33" t="s">
        <v>5</v>
      </c>
      <c r="B824" s="13" t="s">
        <v>319</v>
      </c>
      <c r="C824" s="33" t="s">
        <v>268</v>
      </c>
      <c r="D824" s="33">
        <v>315.39999999999998</v>
      </c>
      <c r="E824" s="33">
        <v>315.39999999999998</v>
      </c>
      <c r="F824" s="41">
        <v>1</v>
      </c>
      <c r="G824" s="42" t="str">
        <f t="shared" si="31"/>
        <v>CRO - OAE - Interconexão Diamante ID-10 - BR-163/MT - 315,4 - 315,4 - 1</v>
      </c>
      <c r="K824" s="23" t="s">
        <v>363</v>
      </c>
    </row>
    <row r="825" spans="1:11" x14ac:dyDescent="0.25">
      <c r="A825" s="33" t="s">
        <v>5</v>
      </c>
      <c r="B825" s="13" t="s">
        <v>319</v>
      </c>
      <c r="C825" s="33" t="s">
        <v>269</v>
      </c>
      <c r="D825" s="33">
        <v>320.10000000000002</v>
      </c>
      <c r="E825" s="33">
        <v>320.10000000000002</v>
      </c>
      <c r="F825" s="41">
        <v>1</v>
      </c>
      <c r="G825" s="42" t="str">
        <f t="shared" si="31"/>
        <v>CRO - OAE - Interconexão Diamante ID-11 - BR-163/MT - 320,1 - 320,1 - 1</v>
      </c>
      <c r="K825" s="23" t="s">
        <v>363</v>
      </c>
    </row>
    <row r="826" spans="1:11" x14ac:dyDescent="0.25">
      <c r="A826" s="33" t="s">
        <v>5</v>
      </c>
      <c r="B826" s="13" t="s">
        <v>319</v>
      </c>
      <c r="C826" s="33" t="s">
        <v>270</v>
      </c>
      <c r="D826" s="33">
        <v>347.7</v>
      </c>
      <c r="E826" s="33">
        <v>347.7</v>
      </c>
      <c r="F826" s="41">
        <v>1</v>
      </c>
      <c r="G826" s="42" t="str">
        <f t="shared" si="31"/>
        <v>CRO - OAE - Interconexão Diamante ID-12 - BR-163/MT - 347,7 - 347,7 - 1</v>
      </c>
      <c r="K826" s="23" t="s">
        <v>363</v>
      </c>
    </row>
    <row r="827" spans="1:11" x14ac:dyDescent="0.25">
      <c r="A827" s="33" t="s">
        <v>5</v>
      </c>
      <c r="B827" s="13" t="s">
        <v>319</v>
      </c>
      <c r="C827" s="33" t="s">
        <v>271</v>
      </c>
      <c r="D827" s="33">
        <v>465.5</v>
      </c>
      <c r="E827" s="33">
        <v>465.5</v>
      </c>
      <c r="F827" s="41">
        <v>1</v>
      </c>
      <c r="G827" s="42" t="str">
        <f t="shared" si="31"/>
        <v>CRO - OAE - Interconexão Diamante ID-13 - BR-163/MT - 465,5 - 465,5 - 1</v>
      </c>
      <c r="K827" s="23" t="s">
        <v>363</v>
      </c>
    </row>
    <row r="828" spans="1:11" x14ac:dyDescent="0.25">
      <c r="A828" s="33" t="s">
        <v>5</v>
      </c>
      <c r="B828" s="13" t="s">
        <v>319</v>
      </c>
      <c r="C828" s="33" t="s">
        <v>272</v>
      </c>
      <c r="D828" s="33">
        <v>475.9</v>
      </c>
      <c r="E828" s="33">
        <v>475.9</v>
      </c>
      <c r="F828" s="41">
        <v>1</v>
      </c>
      <c r="G828" s="42" t="str">
        <f t="shared" si="31"/>
        <v>CRO - OAE - Interconexão Diamante ID-14 - BR-163/MT - 475,9 - 475,9 - 1</v>
      </c>
      <c r="K828" s="23" t="s">
        <v>363</v>
      </c>
    </row>
    <row r="829" spans="1:11" x14ac:dyDescent="0.25">
      <c r="A829" s="33" t="s">
        <v>5</v>
      </c>
      <c r="B829" s="13" t="s">
        <v>319</v>
      </c>
      <c r="C829" s="33" t="s">
        <v>273</v>
      </c>
      <c r="D829" s="33">
        <v>480</v>
      </c>
      <c r="E829" s="33">
        <v>480</v>
      </c>
      <c r="F829" s="41">
        <v>1</v>
      </c>
      <c r="G829" s="42" t="str">
        <f t="shared" ref="G829:G893" si="32">_xlfn.TEXTJOIN(" - ",TRUE,A829:F829)</f>
        <v>CRO - OAE - Interconexão Diamante ID-15 - BR-163/MT - 480 - 480 - 1</v>
      </c>
      <c r="K829" s="23" t="s">
        <v>363</v>
      </c>
    </row>
    <row r="830" spans="1:11" x14ac:dyDescent="0.25">
      <c r="A830" s="33" t="s">
        <v>5</v>
      </c>
      <c r="B830" s="13" t="s">
        <v>319</v>
      </c>
      <c r="C830" s="33" t="s">
        <v>274</v>
      </c>
      <c r="D830" s="33">
        <v>503.5</v>
      </c>
      <c r="E830" s="33">
        <v>503.5</v>
      </c>
      <c r="F830" s="41">
        <v>1</v>
      </c>
      <c r="G830" s="42" t="str">
        <f t="shared" si="32"/>
        <v>CRO - OAE - Interconexão Diamante ID-16 - BR-163/MT - 503,5 - 503,5 - 1</v>
      </c>
      <c r="K830" s="23" t="s">
        <v>363</v>
      </c>
    </row>
    <row r="831" spans="1:11" x14ac:dyDescent="0.25">
      <c r="A831" s="33" t="s">
        <v>5</v>
      </c>
      <c r="B831" s="13" t="s">
        <v>319</v>
      </c>
      <c r="C831" s="33" t="s">
        <v>275</v>
      </c>
      <c r="D831" s="33">
        <v>572.70000000000005</v>
      </c>
      <c r="E831" s="33">
        <v>572.70000000000005</v>
      </c>
      <c r="F831" s="41">
        <v>1</v>
      </c>
      <c r="G831" s="42" t="str">
        <f t="shared" si="32"/>
        <v>CRO - OAE - Interconexão Diamante ID-17 - BR-163/MT - 572,7 - 572,7 - 1</v>
      </c>
      <c r="K831" s="23" t="s">
        <v>363</v>
      </c>
    </row>
    <row r="832" spans="1:11" x14ac:dyDescent="0.25">
      <c r="A832" s="33" t="s">
        <v>5</v>
      </c>
      <c r="B832" s="13" t="s">
        <v>319</v>
      </c>
      <c r="C832" s="33" t="s">
        <v>276</v>
      </c>
      <c r="D832" s="33">
        <v>592.9</v>
      </c>
      <c r="E832" s="33">
        <v>592.9</v>
      </c>
      <c r="F832" s="41">
        <v>1</v>
      </c>
      <c r="G832" s="42" t="str">
        <f t="shared" si="32"/>
        <v>CRO - OAE - Interconexão Diamante ID-18 - BR-163/MT - 592,9 - 592,9 - 1</v>
      </c>
      <c r="K832" s="23" t="s">
        <v>363</v>
      </c>
    </row>
    <row r="833" spans="1:11" x14ac:dyDescent="0.25">
      <c r="A833" s="33" t="s">
        <v>5</v>
      </c>
      <c r="B833" s="13" t="s">
        <v>319</v>
      </c>
      <c r="C833" s="33" t="s">
        <v>277</v>
      </c>
      <c r="D833" s="33">
        <v>599.20000000000005</v>
      </c>
      <c r="E833" s="33">
        <v>599.20000000000005</v>
      </c>
      <c r="F833" s="41">
        <v>1</v>
      </c>
      <c r="G833" s="42" t="str">
        <f t="shared" si="32"/>
        <v>CRO - OAE - Interconexão Diamante ID-19 - BR-163/MT - 599,2 - 599,2 - 1</v>
      </c>
      <c r="K833" s="23" t="s">
        <v>363</v>
      </c>
    </row>
    <row r="834" spans="1:11" x14ac:dyDescent="0.25">
      <c r="A834" s="33" t="s">
        <v>5</v>
      </c>
      <c r="B834" s="13" t="s">
        <v>319</v>
      </c>
      <c r="C834" s="33" t="s">
        <v>278</v>
      </c>
      <c r="D834" s="33">
        <v>644</v>
      </c>
      <c r="E834" s="33">
        <v>644</v>
      </c>
      <c r="F834" s="41">
        <v>1</v>
      </c>
      <c r="G834" s="42" t="str">
        <f t="shared" si="32"/>
        <v>CRO - OAE - Interconexão Diamante ID-20 - BR-163/MT - 644 - 644 - 1</v>
      </c>
      <c r="K834" s="23" t="s">
        <v>363</v>
      </c>
    </row>
    <row r="835" spans="1:11" x14ac:dyDescent="0.25">
      <c r="A835" s="33" t="s">
        <v>5</v>
      </c>
      <c r="B835" s="13" t="s">
        <v>319</v>
      </c>
      <c r="C835" s="33" t="s">
        <v>279</v>
      </c>
      <c r="D835" s="33">
        <v>660</v>
      </c>
      <c r="E835" s="33">
        <v>660</v>
      </c>
      <c r="F835" s="41">
        <v>1</v>
      </c>
      <c r="G835" s="42" t="str">
        <f t="shared" si="32"/>
        <v>CRO - OAE - Interconexão Diamante ID-21 - BR-163/MT - 660 - 660 - 1</v>
      </c>
      <c r="K835" s="23" t="s">
        <v>363</v>
      </c>
    </row>
    <row r="836" spans="1:11" x14ac:dyDescent="0.25">
      <c r="A836" s="33" t="s">
        <v>5</v>
      </c>
      <c r="B836" s="13" t="s">
        <v>319</v>
      </c>
      <c r="C836" s="33" t="s">
        <v>280</v>
      </c>
      <c r="D836" s="33">
        <v>689.5</v>
      </c>
      <c r="E836" s="33">
        <v>689.5</v>
      </c>
      <c r="F836" s="41">
        <v>1</v>
      </c>
      <c r="G836" s="42" t="str">
        <f t="shared" si="32"/>
        <v>CRO - OAE - Interconexão Diamante ID-22 - BR-163/MT - 689,5 - 689,5 - 1</v>
      </c>
      <c r="K836" s="23" t="s">
        <v>363</v>
      </c>
    </row>
    <row r="837" spans="1:11" x14ac:dyDescent="0.25">
      <c r="A837" s="33" t="s">
        <v>5</v>
      </c>
      <c r="B837" s="13" t="s">
        <v>319</v>
      </c>
      <c r="C837" s="33" t="s">
        <v>281</v>
      </c>
      <c r="D837" s="33">
        <v>713.8</v>
      </c>
      <c r="E837" s="33">
        <v>713.8</v>
      </c>
      <c r="F837" s="41">
        <v>1</v>
      </c>
      <c r="G837" s="42" t="str">
        <f t="shared" si="32"/>
        <v>CRO - OAE - Interconexão Diamante ID-23 - BR-163/MT - 713,8 - 713,8 - 1</v>
      </c>
      <c r="K837" s="23" t="s">
        <v>363</v>
      </c>
    </row>
    <row r="838" spans="1:11" x14ac:dyDescent="0.25">
      <c r="A838" s="33" t="s">
        <v>5</v>
      </c>
      <c r="B838" s="13" t="s">
        <v>319</v>
      </c>
      <c r="C838" s="33" t="s">
        <v>282</v>
      </c>
      <c r="D838" s="33">
        <v>758.8</v>
      </c>
      <c r="E838" s="33">
        <v>758.8</v>
      </c>
      <c r="F838" s="41">
        <v>1</v>
      </c>
      <c r="G838" s="42" t="str">
        <f t="shared" si="32"/>
        <v>CRO - OAE - Interconexão Diamante ID-24 - BR-163/MT - 758,8 - 758,8 - 1</v>
      </c>
      <c r="K838" s="23" t="s">
        <v>363</v>
      </c>
    </row>
    <row r="839" spans="1:11" x14ac:dyDescent="0.25">
      <c r="A839" s="33" t="s">
        <v>5</v>
      </c>
      <c r="B839" s="13" t="s">
        <v>319</v>
      </c>
      <c r="C839" s="33" t="s">
        <v>283</v>
      </c>
      <c r="D839" s="33">
        <v>762.8</v>
      </c>
      <c r="E839" s="33">
        <v>762.8</v>
      </c>
      <c r="F839" s="41">
        <v>1</v>
      </c>
      <c r="G839" s="42" t="str">
        <f t="shared" si="32"/>
        <v>CRO - OAE - Interconexão Diamante ID-25 - BR-163/MT - 762,8 - 762,8 - 1</v>
      </c>
      <c r="K839" s="23" t="s">
        <v>363</v>
      </c>
    </row>
    <row r="840" spans="1:11" x14ac:dyDescent="0.25">
      <c r="A840" s="33" t="s">
        <v>5</v>
      </c>
      <c r="B840" s="13" t="s">
        <v>319</v>
      </c>
      <c r="C840" s="33" t="s">
        <v>284</v>
      </c>
      <c r="D840" s="33">
        <v>819.8</v>
      </c>
      <c r="E840" s="33">
        <v>819.8</v>
      </c>
      <c r="F840" s="41">
        <v>1</v>
      </c>
      <c r="G840" s="42" t="str">
        <f t="shared" si="32"/>
        <v>CRO - OAE - Interconexão Diamante ID-26 - BR-163/MT - 819,8 - 819,8 - 1</v>
      </c>
      <c r="K840" s="23" t="s">
        <v>363</v>
      </c>
    </row>
    <row r="841" spans="1:11" x14ac:dyDescent="0.25">
      <c r="A841" s="33" t="s">
        <v>5</v>
      </c>
      <c r="B841" s="13" t="s">
        <v>319</v>
      </c>
      <c r="C841" s="33" t="s">
        <v>285</v>
      </c>
      <c r="D841" s="33">
        <v>831.5</v>
      </c>
      <c r="E841" s="33">
        <v>831.5</v>
      </c>
      <c r="F841" s="41">
        <v>1</v>
      </c>
      <c r="G841" s="42" t="str">
        <f t="shared" si="32"/>
        <v>CRO - OAE - Interconexão Diamante ID-27 - BR-163/MT - 831,5 - 831,5 - 1</v>
      </c>
      <c r="K841" s="23" t="s">
        <v>363</v>
      </c>
    </row>
    <row r="842" spans="1:11" x14ac:dyDescent="0.25">
      <c r="A842" s="33" t="s">
        <v>5</v>
      </c>
      <c r="B842" s="13" t="s">
        <v>319</v>
      </c>
      <c r="C842" s="33" t="s">
        <v>286</v>
      </c>
      <c r="D842" s="33">
        <v>833.3</v>
      </c>
      <c r="E842" s="33">
        <v>833.3</v>
      </c>
      <c r="F842" s="41">
        <v>1</v>
      </c>
      <c r="G842" s="42" t="str">
        <f t="shared" si="32"/>
        <v>CRO - OAE - Interconexão Diamante ID-28 - BR-163/MT - 833,3 - 833,3 - 1</v>
      </c>
      <c r="K842" s="23" t="s">
        <v>363</v>
      </c>
    </row>
    <row r="843" spans="1:11" x14ac:dyDescent="0.25">
      <c r="A843" s="33" t="s">
        <v>5</v>
      </c>
      <c r="B843" s="13" t="s">
        <v>319</v>
      </c>
      <c r="C843" s="33" t="s">
        <v>287</v>
      </c>
      <c r="D843" s="33">
        <v>839.8</v>
      </c>
      <c r="E843" s="33">
        <v>839.8</v>
      </c>
      <c r="F843" s="41">
        <v>1</v>
      </c>
      <c r="G843" s="42" t="str">
        <f t="shared" si="32"/>
        <v>CRO - OAE - Interconexão Diamante ID-29 - BR-163/MT - 839,8 - 839,8 - 1</v>
      </c>
      <c r="K843" s="23" t="s">
        <v>363</v>
      </c>
    </row>
    <row r="844" spans="1:11" x14ac:dyDescent="0.25">
      <c r="A844" s="33" t="s">
        <v>5</v>
      </c>
      <c r="B844" s="13" t="s">
        <v>319</v>
      </c>
      <c r="C844" s="33" t="s">
        <v>288</v>
      </c>
      <c r="D844" s="33">
        <v>855</v>
      </c>
      <c r="E844" s="33">
        <v>855</v>
      </c>
      <c r="F844" s="41">
        <v>1</v>
      </c>
      <c r="G844" s="42" t="str">
        <f t="shared" si="32"/>
        <v>CRO - OAE - Interconexão Diamante ID-30 - BR-163/MT - 855 - 855 - 1</v>
      </c>
      <c r="K844" s="23" t="s">
        <v>363</v>
      </c>
    </row>
    <row r="845" spans="1:11" x14ac:dyDescent="0.25">
      <c r="A845" s="33" t="s">
        <v>5</v>
      </c>
      <c r="B845" s="13" t="s">
        <v>319</v>
      </c>
      <c r="C845" s="33" t="s">
        <v>289</v>
      </c>
      <c r="D845" s="33">
        <v>102</v>
      </c>
      <c r="E845" s="33">
        <v>102</v>
      </c>
      <c r="F845" s="41">
        <v>1</v>
      </c>
      <c r="G845" s="42" t="str">
        <f t="shared" si="32"/>
        <v>CRO - OAE - Interconexão Trombeta ID - 01 - BR - 163/MT - 102 - 102 - 1</v>
      </c>
      <c r="K845" s="23" t="s">
        <v>363</v>
      </c>
    </row>
    <row r="846" spans="1:11" x14ac:dyDescent="0.25">
      <c r="A846" s="33" t="s">
        <v>5</v>
      </c>
      <c r="B846" s="13" t="s">
        <v>319</v>
      </c>
      <c r="C846" s="33" t="s">
        <v>290</v>
      </c>
      <c r="D846" s="33">
        <v>107</v>
      </c>
      <c r="E846" s="33">
        <v>107</v>
      </c>
      <c r="F846" s="41">
        <v>1</v>
      </c>
      <c r="G846" s="42" t="str">
        <f t="shared" si="32"/>
        <v>CRO - OAE - Interconexão Trombeta ID - 02 - BR - 163/MT - 107 - 107 - 1</v>
      </c>
      <c r="K846" s="23" t="s">
        <v>363</v>
      </c>
    </row>
    <row r="847" spans="1:11" x14ac:dyDescent="0.25">
      <c r="A847" s="33" t="s">
        <v>5</v>
      </c>
      <c r="B847" s="13" t="s">
        <v>319</v>
      </c>
      <c r="C847" s="33" t="s">
        <v>291</v>
      </c>
      <c r="D847" s="33">
        <v>787.3</v>
      </c>
      <c r="E847" s="33">
        <v>787.3</v>
      </c>
      <c r="F847" s="41">
        <v>1</v>
      </c>
      <c r="G847" s="42" t="str">
        <f t="shared" si="32"/>
        <v>CRO - OAE - Interconexão Trombeta ID - 03 - BR - 163/MT - 787,3 - 787,3 - 1</v>
      </c>
      <c r="K847" s="23" t="s">
        <v>363</v>
      </c>
    </row>
    <row r="848" spans="1:11" x14ac:dyDescent="0.25">
      <c r="A848" s="33" t="s">
        <v>5</v>
      </c>
      <c r="B848" s="13" t="s">
        <v>319</v>
      </c>
      <c r="C848" s="33" t="s">
        <v>292</v>
      </c>
      <c r="D848" s="33">
        <v>119.9</v>
      </c>
      <c r="E848" s="33">
        <v>119.9</v>
      </c>
      <c r="F848" s="41">
        <v>1</v>
      </c>
      <c r="G848" s="42" t="str">
        <f t="shared" si="32"/>
        <v>CRO - OAE - Interconexão Trombeta ID - 04 - BR - 163/MT - 119,9 - 119,9 - 1</v>
      </c>
      <c r="K848" s="23" t="s">
        <v>363</v>
      </c>
    </row>
    <row r="849" spans="1:11" x14ac:dyDescent="0.25">
      <c r="A849" s="33" t="s">
        <v>5</v>
      </c>
      <c r="B849" s="13" t="s">
        <v>319</v>
      </c>
      <c r="C849" s="33" t="s">
        <v>293</v>
      </c>
      <c r="D849" s="33">
        <v>32</v>
      </c>
      <c r="E849" s="33">
        <v>32</v>
      </c>
      <c r="F849" s="41">
        <v>1</v>
      </c>
      <c r="G849" s="42" t="str">
        <f t="shared" si="32"/>
        <v>CRO - OAE - Retorno em desnível ID - 01 - BR - 163/MT - 32 - 32 - 1</v>
      </c>
      <c r="K849" s="23" t="s">
        <v>363</v>
      </c>
    </row>
    <row r="850" spans="1:11" x14ac:dyDescent="0.25">
      <c r="A850" s="33" t="s">
        <v>5</v>
      </c>
      <c r="B850" s="13" t="s">
        <v>319</v>
      </c>
      <c r="C850" s="33" t="s">
        <v>294</v>
      </c>
      <c r="D850" s="33">
        <v>56.43</v>
      </c>
      <c r="E850" s="33">
        <v>56.43</v>
      </c>
      <c r="F850" s="41">
        <v>1</v>
      </c>
      <c r="G850" s="42" t="str">
        <f t="shared" si="32"/>
        <v>CRO - OAE - Retorno em desnível ID - 02 - BR - 163/MT - 56,43 - 56,43 - 1</v>
      </c>
      <c r="K850" s="23" t="s">
        <v>363</v>
      </c>
    </row>
    <row r="851" spans="1:11" x14ac:dyDescent="0.25">
      <c r="A851" s="33" t="s">
        <v>5</v>
      </c>
      <c r="B851" s="13" t="s">
        <v>319</v>
      </c>
      <c r="C851" s="33" t="s">
        <v>295</v>
      </c>
      <c r="D851" s="33">
        <v>548</v>
      </c>
      <c r="E851" s="33">
        <v>548</v>
      </c>
      <c r="F851" s="41">
        <v>1</v>
      </c>
      <c r="G851" s="42" t="str">
        <f t="shared" si="32"/>
        <v>CRO - OAE - Retorno em desnível ID - 03 - BR - 163/MT - 548 - 548 - 1</v>
      </c>
      <c r="K851" s="23" t="s">
        <v>363</v>
      </c>
    </row>
    <row r="852" spans="1:11" x14ac:dyDescent="0.25">
      <c r="A852" s="33" t="s">
        <v>5</v>
      </c>
      <c r="B852" s="13" t="s">
        <v>319</v>
      </c>
      <c r="C852" s="33" t="s">
        <v>296</v>
      </c>
      <c r="D852" s="33">
        <v>620</v>
      </c>
      <c r="E852" s="33">
        <v>620</v>
      </c>
      <c r="F852" s="41">
        <v>1</v>
      </c>
      <c r="G852" s="42" t="str">
        <f t="shared" si="32"/>
        <v>CRO - OAE - Retorno em desnível ID - 04 - BR - 163/MT - 620 - 620 - 1</v>
      </c>
      <c r="K852" s="23" t="s">
        <v>363</v>
      </c>
    </row>
    <row r="853" spans="1:11" x14ac:dyDescent="0.25">
      <c r="A853" s="33" t="s">
        <v>5</v>
      </c>
      <c r="B853" s="13" t="s">
        <v>319</v>
      </c>
      <c r="C853" s="33" t="s">
        <v>297</v>
      </c>
      <c r="D853" s="33">
        <v>670</v>
      </c>
      <c r="E853" s="33">
        <v>670</v>
      </c>
      <c r="F853" s="41">
        <v>1</v>
      </c>
      <c r="G853" s="42" t="str">
        <f t="shared" si="32"/>
        <v>CRO - OAE - Retorno em desnível ID - 05 - BR - 163/MT - 670 - 670 - 1</v>
      </c>
      <c r="K853" s="23" t="s">
        <v>363</v>
      </c>
    </row>
    <row r="854" spans="1:11" x14ac:dyDescent="0.25">
      <c r="A854" s="33" t="s">
        <v>5</v>
      </c>
      <c r="B854" s="13" t="s">
        <v>319</v>
      </c>
      <c r="C854" s="33" t="s">
        <v>298</v>
      </c>
      <c r="D854" s="33">
        <v>805</v>
      </c>
      <c r="E854" s="33">
        <v>805</v>
      </c>
      <c r="F854" s="41">
        <v>1</v>
      </c>
      <c r="G854" s="42" t="str">
        <f t="shared" si="32"/>
        <v>CRO - OAE - Retorno em desnível ID - 06 - BR - 163/MT - 805 - 805 - 1</v>
      </c>
      <c r="K854" s="23" t="s">
        <v>363</v>
      </c>
    </row>
    <row r="855" spans="1:11" x14ac:dyDescent="0.25">
      <c r="A855" s="33" t="s">
        <v>5</v>
      </c>
      <c r="B855" s="13" t="s">
        <v>319</v>
      </c>
      <c r="C855" s="33" t="s">
        <v>299</v>
      </c>
      <c r="D855" s="33">
        <v>322.8</v>
      </c>
      <c r="E855" s="33">
        <v>322.8</v>
      </c>
      <c r="F855" s="41">
        <v>1</v>
      </c>
      <c r="G855" s="42" t="str">
        <f t="shared" si="32"/>
        <v>CRO - OAE - Interconexão tipo Trevo Completo ID-01 - BR - 407/MT - 322,8 - 322,8 - 1</v>
      </c>
      <c r="K855" s="23" t="s">
        <v>363</v>
      </c>
    </row>
    <row r="856" spans="1:11" x14ac:dyDescent="0.25">
      <c r="A856" s="33" t="s">
        <v>5</v>
      </c>
      <c r="B856" s="13" t="s">
        <v>319</v>
      </c>
      <c r="C856" s="33" t="s">
        <v>300</v>
      </c>
      <c r="D856" s="33">
        <v>329</v>
      </c>
      <c r="E856" s="33">
        <v>329</v>
      </c>
      <c r="F856" s="41">
        <v>1</v>
      </c>
      <c r="G856" s="42" t="str">
        <f t="shared" si="32"/>
        <v>CRO - OAE - Interconexão tipo Trevo Completo ID-02 - BR - 407/MT - 329 - 329 - 1</v>
      </c>
      <c r="K856" s="23" t="s">
        <v>363</v>
      </c>
    </row>
    <row r="857" spans="1:11" x14ac:dyDescent="0.25">
      <c r="A857" s="33" t="s">
        <v>5</v>
      </c>
      <c r="B857" s="13" t="s">
        <v>319</v>
      </c>
      <c r="C857" s="33" t="s">
        <v>301</v>
      </c>
      <c r="D857" s="33">
        <v>339.1</v>
      </c>
      <c r="E857" s="33">
        <v>339.1</v>
      </c>
      <c r="F857" s="41">
        <v>1</v>
      </c>
      <c r="G857" s="42" t="str">
        <f t="shared" si="32"/>
        <v>CRO - OAE - Interconexão tipo Trevo Completo ID-03 - BR - 407/MT - 339,1 - 339,1 - 1</v>
      </c>
      <c r="K857" s="23" t="s">
        <v>363</v>
      </c>
    </row>
    <row r="858" spans="1:11" x14ac:dyDescent="0.25">
      <c r="A858" s="33" t="s">
        <v>5</v>
      </c>
      <c r="B858" s="13" t="s">
        <v>319</v>
      </c>
      <c r="C858" s="33" t="s">
        <v>302</v>
      </c>
      <c r="D858" s="33">
        <v>342.7</v>
      </c>
      <c r="E858" s="33">
        <v>342.7</v>
      </c>
      <c r="F858" s="41">
        <v>1</v>
      </c>
      <c r="G858" s="42" t="str">
        <f t="shared" si="32"/>
        <v>CRO - OAE - Interconexão tipo Trevo Completo ID-04 - BR - 407/MT - 342,7 - 342,7 - 1</v>
      </c>
      <c r="K858" s="23" t="s">
        <v>363</v>
      </c>
    </row>
    <row r="859" spans="1:11" x14ac:dyDescent="0.25">
      <c r="A859" s="33" t="s">
        <v>401</v>
      </c>
      <c r="B859" s="13" t="s">
        <v>321</v>
      </c>
      <c r="C859" s="33" t="s">
        <v>119</v>
      </c>
      <c r="D859" s="33">
        <v>0</v>
      </c>
      <c r="E859" s="33">
        <v>47.33</v>
      </c>
      <c r="F859" s="41">
        <v>94.66</v>
      </c>
      <c r="G859" s="42" t="str">
        <f t="shared" si="32"/>
        <v>LITORAL - CONTORNO - Contorno de Florianópolis, em pista dupla - 0 - 47,33 - 94,66</v>
      </c>
      <c r="K859" s="23" t="s">
        <v>363</v>
      </c>
    </row>
    <row r="860" spans="1:11" x14ac:dyDescent="0.25">
      <c r="A860" s="33" t="s">
        <v>403</v>
      </c>
      <c r="B860" s="13" t="s">
        <v>321</v>
      </c>
      <c r="C860" s="33" t="s">
        <v>150</v>
      </c>
      <c r="D860" s="33">
        <v>0</v>
      </c>
      <c r="E860" s="33">
        <v>11.785</v>
      </c>
      <c r="F860" s="41">
        <v>23.57</v>
      </c>
      <c r="G860" s="42" t="str">
        <f t="shared" si="32"/>
        <v>REGIS - CONTORNO - Contorno Norte de Curitiba em pista dupla - 0 - 11,785 - 23,57</v>
      </c>
      <c r="K860" s="23" t="s">
        <v>363</v>
      </c>
    </row>
    <row r="861" spans="1:11" x14ac:dyDescent="0.25">
      <c r="A861" s="33" t="s">
        <v>7</v>
      </c>
      <c r="B861" s="13" t="s">
        <v>321</v>
      </c>
      <c r="C861" s="33" t="s">
        <v>197</v>
      </c>
      <c r="D861" s="33">
        <v>0</v>
      </c>
      <c r="E861" s="33">
        <v>9.83</v>
      </c>
      <c r="F861" s="41">
        <v>9.83</v>
      </c>
      <c r="G861" s="42" t="str">
        <f t="shared" si="32"/>
        <v>VIA BAHIA - CONTORNO - Contorno de Feira de Santana entre BR-116 sul e BR-324 - 0 - 9,83 - 9,83</v>
      </c>
      <c r="K861" s="23" t="s">
        <v>363</v>
      </c>
    </row>
    <row r="862" spans="1:11" x14ac:dyDescent="0.25">
      <c r="A862" s="33" t="s">
        <v>382</v>
      </c>
      <c r="B862" s="13" t="s">
        <v>320</v>
      </c>
      <c r="C862" s="33" t="s">
        <v>57</v>
      </c>
      <c r="D862" s="33">
        <v>344.4</v>
      </c>
      <c r="E862" s="33">
        <v>344.64</v>
      </c>
      <c r="F862" s="41">
        <v>0.24000000000000909</v>
      </c>
      <c r="G862" s="42" t="str">
        <f t="shared" si="32"/>
        <v>CONCESSÃO VIA SUL - FX ADICIONAL - Faixa Adicional Lajeado / Estrela- Subtrecho 1 - 344,4 - 344,64 - 0,240000000000009</v>
      </c>
      <c r="K862" s="23" t="s">
        <v>363</v>
      </c>
    </row>
    <row r="863" spans="1:11" x14ac:dyDescent="0.25">
      <c r="A863" s="33" t="s">
        <v>382</v>
      </c>
      <c r="B863" s="13" t="s">
        <v>320</v>
      </c>
      <c r="C863" s="33" t="s">
        <v>58</v>
      </c>
      <c r="D863" s="33">
        <v>344.64</v>
      </c>
      <c r="E863" s="33">
        <v>345</v>
      </c>
      <c r="F863" s="41">
        <v>0.36000000000001364</v>
      </c>
      <c r="G863" s="42" t="str">
        <f t="shared" si="32"/>
        <v>CONCESSÃO VIA SUL - FX ADICIONAL - Faixa Adicional Lajeado / Estrela- Subtrecho 2 - 344,64 - 345 - 0,360000000000014</v>
      </c>
      <c r="K863" s="23" t="s">
        <v>363</v>
      </c>
    </row>
    <row r="864" spans="1:11" x14ac:dyDescent="0.25">
      <c r="A864" s="33" t="s">
        <v>382</v>
      </c>
      <c r="B864" s="13" t="s">
        <v>320</v>
      </c>
      <c r="C864" s="33" t="s">
        <v>59</v>
      </c>
      <c r="D864" s="33">
        <v>345</v>
      </c>
      <c r="E864" s="33">
        <v>345.58</v>
      </c>
      <c r="F864" s="41">
        <v>0.57999999999998408</v>
      </c>
      <c r="G864" s="42" t="str">
        <f t="shared" si="32"/>
        <v>CONCESSÃO VIA SUL - FX ADICIONAL - Faixa Adicional Lajeado / Estrela- Subtrecho 3 - 345 - 345,58 - 0,579999999999984</v>
      </c>
      <c r="K864" s="23" t="s">
        <v>363</v>
      </c>
    </row>
    <row r="865" spans="1:11" x14ac:dyDescent="0.25">
      <c r="A865" s="33" t="s">
        <v>382</v>
      </c>
      <c r="B865" s="13" t="s">
        <v>320</v>
      </c>
      <c r="C865" s="33" t="s">
        <v>60</v>
      </c>
      <c r="D865" s="33">
        <v>345.58</v>
      </c>
      <c r="E865" s="33">
        <v>347.06</v>
      </c>
      <c r="F865" s="41">
        <v>1.4800000000000182</v>
      </c>
      <c r="G865" s="42" t="str">
        <f t="shared" si="32"/>
        <v>CONCESSÃO VIA SUL - FX ADICIONAL - Faixa Adicional Lajeado / Estrela- Subtrecho 4 - 345,58 - 347,06 - 1,48000000000002</v>
      </c>
      <c r="K865" s="23" t="s">
        <v>363</v>
      </c>
    </row>
    <row r="866" spans="1:11" x14ac:dyDescent="0.25">
      <c r="A866" s="33" t="s">
        <v>382</v>
      </c>
      <c r="B866" s="13" t="s">
        <v>320</v>
      </c>
      <c r="C866" s="33" t="s">
        <v>61</v>
      </c>
      <c r="D866" s="33">
        <v>347.06</v>
      </c>
      <c r="E866" s="33">
        <v>347.58</v>
      </c>
      <c r="F866" s="41">
        <v>0.51999999999998181</v>
      </c>
      <c r="G866" s="42" t="str">
        <f t="shared" si="32"/>
        <v>CONCESSÃO VIA SUL - FX ADICIONAL - Faixa Adicional Lajeado / Estrela- Subtrecho 5 - 347,06 - 347,58 - 0,519999999999982</v>
      </c>
      <c r="K866" s="23" t="s">
        <v>363</v>
      </c>
    </row>
    <row r="867" spans="1:11" x14ac:dyDescent="0.25">
      <c r="A867" s="33" t="s">
        <v>382</v>
      </c>
      <c r="B867" s="13" t="s">
        <v>320</v>
      </c>
      <c r="C867" s="33" t="s">
        <v>62</v>
      </c>
      <c r="D867" s="33">
        <v>347.58</v>
      </c>
      <c r="E867" s="33">
        <v>348.34</v>
      </c>
      <c r="F867" s="41">
        <v>0.75999999999999091</v>
      </c>
      <c r="G867" s="42" t="str">
        <f t="shared" si="32"/>
        <v>CONCESSÃO VIA SUL - FX ADICIONAL - Faixa Adicional Lajeado / Estrela- Subtrecho 6 - 347,58 - 348,34 - 0,759999999999991</v>
      </c>
      <c r="K867" s="23" t="s">
        <v>363</v>
      </c>
    </row>
    <row r="868" spans="1:11" x14ac:dyDescent="0.25">
      <c r="A868" s="33" t="s">
        <v>382</v>
      </c>
      <c r="B868" s="13" t="s">
        <v>320</v>
      </c>
      <c r="C868" s="33" t="s">
        <v>63</v>
      </c>
      <c r="D868" s="33">
        <v>348.34</v>
      </c>
      <c r="E868" s="33">
        <v>348.77</v>
      </c>
      <c r="F868" s="41">
        <v>0.43000000000000682</v>
      </c>
      <c r="G868" s="42" t="str">
        <f t="shared" si="32"/>
        <v>CONCESSÃO VIA SUL - FX ADICIONAL - Faixa Adicional Lajeado / Estrela- Subtrecho 7 - 348,34 - 348,77 - 0,430000000000007</v>
      </c>
      <c r="K868" s="23" t="s">
        <v>363</v>
      </c>
    </row>
    <row r="869" spans="1:11" x14ac:dyDescent="0.25">
      <c r="A869" s="33" t="s">
        <v>382</v>
      </c>
      <c r="B869" s="13" t="s">
        <v>320</v>
      </c>
      <c r="C869" s="33" t="s">
        <v>64</v>
      </c>
      <c r="D869" s="33">
        <v>348.77</v>
      </c>
      <c r="E869" s="33">
        <v>349.12</v>
      </c>
      <c r="F869" s="41">
        <v>0.35000000000002274</v>
      </c>
      <c r="G869" s="42" t="str">
        <f t="shared" si="32"/>
        <v>CONCESSÃO VIA SUL - FX ADICIONAL - Faixa Adicional Lajeado / Estrela- Subtrecho 8 - 348,77 - 349,12 - 0,350000000000023</v>
      </c>
      <c r="K869" s="23" t="s">
        <v>363</v>
      </c>
    </row>
    <row r="870" spans="1:11" x14ac:dyDescent="0.25">
      <c r="A870" s="33" t="s">
        <v>382</v>
      </c>
      <c r="B870" s="13" t="s">
        <v>320</v>
      </c>
      <c r="C870" s="33" t="s">
        <v>65</v>
      </c>
      <c r="D870" s="33">
        <v>349.12</v>
      </c>
      <c r="E870" s="33">
        <v>349.5</v>
      </c>
      <c r="F870" s="41">
        <v>0.37999999999999545</v>
      </c>
      <c r="G870" s="42" t="str">
        <f t="shared" si="32"/>
        <v>CONCESSÃO VIA SUL - FX ADICIONAL - Faixa Adicional Lajeado / Estrela- Subtrecho 9 - 349,12 - 349,5 - 0,379999999999995</v>
      </c>
      <c r="K870" s="23" t="s">
        <v>363</v>
      </c>
    </row>
    <row r="871" spans="1:11" x14ac:dyDescent="0.25">
      <c r="A871" s="33" t="s">
        <v>8</v>
      </c>
      <c r="B871" s="13" t="s">
        <v>320</v>
      </c>
      <c r="C871" s="33" t="s">
        <v>367</v>
      </c>
      <c r="D871" s="33">
        <v>885.65</v>
      </c>
      <c r="E871" s="33">
        <v>887.26099999999997</v>
      </c>
      <c r="F871" s="41">
        <v>1.61099999999999</v>
      </c>
      <c r="G871" s="42" t="str">
        <f t="shared" si="32"/>
        <v>VIA BRASIL - FX ADICIONAL - Faixa Adicional  - 885,65 - 887,261 - 1,61099999999999</v>
      </c>
      <c r="K871" s="23" t="s">
        <v>363</v>
      </c>
    </row>
    <row r="872" spans="1:11" x14ac:dyDescent="0.25">
      <c r="A872" s="33" t="s">
        <v>8</v>
      </c>
      <c r="B872" s="13" t="s">
        <v>320</v>
      </c>
      <c r="C872" s="33" t="s">
        <v>367</v>
      </c>
      <c r="D872" s="33">
        <v>893.06600000000003</v>
      </c>
      <c r="E872" s="33">
        <v>896.25599999999997</v>
      </c>
      <c r="F872" s="41">
        <v>3.1899999999999409</v>
      </c>
      <c r="G872" s="42" t="str">
        <f t="shared" si="32"/>
        <v>VIA BRASIL - FX ADICIONAL - Faixa Adicional  - 893,066 - 896,256 - 3,18999999999994</v>
      </c>
      <c r="K872" s="23" t="s">
        <v>363</v>
      </c>
    </row>
    <row r="873" spans="1:11" x14ac:dyDescent="0.25">
      <c r="A873" s="33" t="s">
        <v>8</v>
      </c>
      <c r="B873" s="13" t="s">
        <v>320</v>
      </c>
      <c r="C873" s="33" t="s">
        <v>367</v>
      </c>
      <c r="D873" s="33">
        <v>902.851</v>
      </c>
      <c r="E873" s="33">
        <v>904.75900000000001</v>
      </c>
      <c r="F873" s="41">
        <v>1.9080000000000155</v>
      </c>
      <c r="G873" s="42" t="str">
        <f t="shared" si="32"/>
        <v>VIA BRASIL - FX ADICIONAL - Faixa Adicional  - 902,851 - 904,759 - 1,90800000000002</v>
      </c>
      <c r="K873" s="23" t="s">
        <v>363</v>
      </c>
    </row>
    <row r="874" spans="1:11" x14ac:dyDescent="0.25">
      <c r="A874" s="33" t="s">
        <v>349</v>
      </c>
      <c r="B874" s="13" t="s">
        <v>320</v>
      </c>
      <c r="C874" s="33" t="s">
        <v>352</v>
      </c>
      <c r="D874" s="33">
        <v>151.30000000000001</v>
      </c>
      <c r="E874" s="33">
        <v>157.80000000000001</v>
      </c>
      <c r="F874" s="41">
        <v>13</v>
      </c>
      <c r="G874" s="42" t="str">
        <f t="shared" si="32"/>
        <v>RIO/SP - FX ADICIONAL - 3ª e 4ª faixa (LD e LE) - 151,3 - 157,8 - 13</v>
      </c>
      <c r="K874" s="23" t="s">
        <v>363</v>
      </c>
    </row>
    <row r="875" spans="1:11" x14ac:dyDescent="0.25">
      <c r="A875" s="33" t="s">
        <v>410</v>
      </c>
      <c r="B875" s="13" t="s">
        <v>324</v>
      </c>
      <c r="C875" s="33" t="s">
        <v>9</v>
      </c>
      <c r="D875" s="33">
        <v>115.4</v>
      </c>
      <c r="E875" s="33">
        <v>118</v>
      </c>
      <c r="F875" s="41">
        <v>2.5999999999999943</v>
      </c>
      <c r="G875" s="42" t="str">
        <f t="shared" si="32"/>
        <v>PLANALTO - TERCEIRA FAIXA - Execução de Terceiras Faixas - 115,4 - 118 - 2,59999999999999</v>
      </c>
      <c r="K875" s="23" t="s">
        <v>363</v>
      </c>
    </row>
    <row r="876" spans="1:11" x14ac:dyDescent="0.25">
      <c r="A876" s="33" t="s">
        <v>410</v>
      </c>
      <c r="B876" s="13" t="s">
        <v>324</v>
      </c>
      <c r="C876" s="33" t="s">
        <v>9</v>
      </c>
      <c r="D876" s="33">
        <v>122.5</v>
      </c>
      <c r="E876" s="33">
        <v>126</v>
      </c>
      <c r="F876" s="41">
        <v>3.5</v>
      </c>
      <c r="G876" s="42" t="str">
        <f t="shared" si="32"/>
        <v>PLANALTO - TERCEIRA FAIXA - Execução de Terceiras Faixas - 122,5 - 126 - 3,5</v>
      </c>
      <c r="K876" s="23" t="s">
        <v>363</v>
      </c>
    </row>
    <row r="877" spans="1:11" x14ac:dyDescent="0.25">
      <c r="A877" s="33" t="s">
        <v>410</v>
      </c>
      <c r="B877" s="13" t="s">
        <v>324</v>
      </c>
      <c r="C877" s="33" t="s">
        <v>9</v>
      </c>
      <c r="D877" s="33">
        <v>126.2</v>
      </c>
      <c r="E877" s="33">
        <v>128.80000000000001</v>
      </c>
      <c r="F877" s="41">
        <v>2.6000000000000085</v>
      </c>
      <c r="G877" s="42" t="str">
        <f t="shared" si="32"/>
        <v>PLANALTO - TERCEIRA FAIXA - Execução de Terceiras Faixas - 126,2 - 128,8 - 2,60000000000001</v>
      </c>
      <c r="K877" s="23" t="s">
        <v>363</v>
      </c>
    </row>
    <row r="878" spans="1:11" x14ac:dyDescent="0.25">
      <c r="A878" s="33" t="s">
        <v>410</v>
      </c>
      <c r="B878" s="13" t="s">
        <v>324</v>
      </c>
      <c r="C878" s="33" t="s">
        <v>9</v>
      </c>
      <c r="D878" s="33">
        <v>129.69999999999999</v>
      </c>
      <c r="E878" s="33">
        <v>130.5</v>
      </c>
      <c r="F878" s="41">
        <v>0.80000000000001137</v>
      </c>
      <c r="G878" s="42" t="str">
        <f t="shared" si="32"/>
        <v>PLANALTO - TERCEIRA FAIXA - Execução de Terceiras Faixas - 129,7 - 130,5 - 0,800000000000011</v>
      </c>
      <c r="K878" s="23" t="s">
        <v>363</v>
      </c>
    </row>
    <row r="879" spans="1:11" x14ac:dyDescent="0.25">
      <c r="A879" s="33" t="s">
        <v>410</v>
      </c>
      <c r="B879" s="13" t="s">
        <v>324</v>
      </c>
      <c r="C879" s="33" t="s">
        <v>9</v>
      </c>
      <c r="D879" s="33">
        <v>132.19999999999999</v>
      </c>
      <c r="E879" s="33">
        <v>133.19999999999999</v>
      </c>
      <c r="F879" s="41">
        <v>1</v>
      </c>
      <c r="G879" s="42" t="str">
        <f t="shared" si="32"/>
        <v>PLANALTO - TERCEIRA FAIXA - Execução de Terceiras Faixas - 132,2 - 133,2 - 1</v>
      </c>
      <c r="K879" s="23" t="s">
        <v>363</v>
      </c>
    </row>
    <row r="880" spans="1:11" x14ac:dyDescent="0.25">
      <c r="A880" s="33" t="s">
        <v>410</v>
      </c>
      <c r="B880" s="13" t="s">
        <v>324</v>
      </c>
      <c r="C880" s="33" t="s">
        <v>9</v>
      </c>
      <c r="D880" s="33">
        <v>134.69999999999999</v>
      </c>
      <c r="E880" s="33">
        <v>136.30000000000001</v>
      </c>
      <c r="F880" s="41">
        <v>1.6000000000000227</v>
      </c>
      <c r="G880" s="42" t="str">
        <f t="shared" si="32"/>
        <v>PLANALTO - TERCEIRA FAIXA - Execução de Terceiras Faixas - 134,7 - 136,3 - 1,60000000000002</v>
      </c>
      <c r="K880" s="23" t="s">
        <v>363</v>
      </c>
    </row>
    <row r="881" spans="1:12" x14ac:dyDescent="0.25">
      <c r="A881" s="33" t="s">
        <v>410</v>
      </c>
      <c r="B881" s="13" t="s">
        <v>324</v>
      </c>
      <c r="C881" s="33" t="s">
        <v>9</v>
      </c>
      <c r="D881" s="33">
        <v>136.69999999999999</v>
      </c>
      <c r="E881" s="33">
        <v>139.5</v>
      </c>
      <c r="F881" s="41">
        <v>2.8000000000000114</v>
      </c>
      <c r="G881" s="42" t="str">
        <f t="shared" si="32"/>
        <v>PLANALTO - TERCEIRA FAIXA - Execução de Terceiras Faixas - 136,7 - 139,5 - 2,80000000000001</v>
      </c>
      <c r="K881" s="23" t="s">
        <v>363</v>
      </c>
    </row>
    <row r="882" spans="1:12" x14ac:dyDescent="0.25">
      <c r="A882" s="33" t="s">
        <v>410</v>
      </c>
      <c r="B882" s="13" t="s">
        <v>324</v>
      </c>
      <c r="C882" s="33" t="s">
        <v>9</v>
      </c>
      <c r="D882" s="33">
        <v>156.1</v>
      </c>
      <c r="E882" s="33">
        <v>158.4</v>
      </c>
      <c r="F882" s="41">
        <v>2.3000000000000114</v>
      </c>
      <c r="G882" s="42" t="str">
        <f t="shared" si="32"/>
        <v>PLANALTO - TERCEIRA FAIXA - Execução de Terceiras Faixas - 156,1 - 158,4 - 2,30000000000001</v>
      </c>
      <c r="K882" s="23" t="s">
        <v>363</v>
      </c>
    </row>
    <row r="883" spans="1:12" x14ac:dyDescent="0.25">
      <c r="A883" s="33" t="s">
        <v>410</v>
      </c>
      <c r="B883" s="13" t="s">
        <v>324</v>
      </c>
      <c r="C883" s="33" t="s">
        <v>9</v>
      </c>
      <c r="D883" s="33">
        <v>179</v>
      </c>
      <c r="E883" s="33">
        <v>179.2</v>
      </c>
      <c r="F883" s="41">
        <v>0.19999999999998863</v>
      </c>
      <c r="G883" s="42" t="str">
        <f t="shared" si="32"/>
        <v>PLANALTO - TERCEIRA FAIXA - Execução de Terceiras Faixas - 179 - 179,2 - 0,199999999999989</v>
      </c>
      <c r="K883" s="23" t="s">
        <v>363</v>
      </c>
    </row>
    <row r="884" spans="1:12" x14ac:dyDescent="0.25">
      <c r="A884" s="33" t="s">
        <v>410</v>
      </c>
      <c r="B884" s="13" t="s">
        <v>324</v>
      </c>
      <c r="C884" s="33" t="s">
        <v>9</v>
      </c>
      <c r="D884" s="33">
        <v>211</v>
      </c>
      <c r="E884" s="33">
        <v>212.5</v>
      </c>
      <c r="F884" s="41">
        <v>1.5</v>
      </c>
      <c r="G884" s="42" t="str">
        <f t="shared" si="32"/>
        <v>PLANALTO - TERCEIRA FAIXA - Execução de Terceiras Faixas - 211 - 212,5 - 1,5</v>
      </c>
      <c r="K884" s="23" t="s">
        <v>363</v>
      </c>
    </row>
    <row r="885" spans="1:12" x14ac:dyDescent="0.25">
      <c r="A885" s="33" t="s">
        <v>410</v>
      </c>
      <c r="B885" s="13" t="s">
        <v>324</v>
      </c>
      <c r="C885" s="33" t="s">
        <v>9</v>
      </c>
      <c r="D885" s="33">
        <v>212.5</v>
      </c>
      <c r="E885" s="33">
        <v>215</v>
      </c>
      <c r="F885" s="41">
        <v>2.5</v>
      </c>
      <c r="G885" s="42" t="str">
        <f t="shared" si="32"/>
        <v>PLANALTO - TERCEIRA FAIXA - Execução de Terceiras Faixas - 212,5 - 215 - 2,5</v>
      </c>
      <c r="K885" s="23" t="s">
        <v>363</v>
      </c>
    </row>
    <row r="886" spans="1:12" x14ac:dyDescent="0.25">
      <c r="A886" s="33" t="s">
        <v>410</v>
      </c>
      <c r="B886" s="13" t="s">
        <v>324</v>
      </c>
      <c r="C886" s="33" t="s">
        <v>9</v>
      </c>
      <c r="D886" s="33">
        <v>304</v>
      </c>
      <c r="E886" s="33">
        <v>310</v>
      </c>
      <c r="F886" s="41">
        <v>6</v>
      </c>
      <c r="G886" s="42" t="str">
        <f t="shared" si="32"/>
        <v>PLANALTO - TERCEIRA FAIXA - Execução de Terceiras Faixas - 304 - 310 - 6</v>
      </c>
      <c r="K886" s="23" t="s">
        <v>363</v>
      </c>
    </row>
    <row r="887" spans="1:12" x14ac:dyDescent="0.25">
      <c r="A887" s="33" t="s">
        <v>6</v>
      </c>
      <c r="B887" s="13" t="s">
        <v>324</v>
      </c>
      <c r="C887" s="33" t="s">
        <v>120</v>
      </c>
      <c r="D887" s="33">
        <v>99.8</v>
      </c>
      <c r="E887" s="33">
        <v>121.4</v>
      </c>
      <c r="F887" s="41">
        <v>21.600000000000009</v>
      </c>
      <c r="G887" s="42" t="str">
        <f t="shared" si="32"/>
        <v>TRANSBRASILIANA - TERCEIRA FAIXA - Execução de Terceiras Faixas: - 99,8 - 121,4 - 21,6</v>
      </c>
      <c r="K887" s="23" t="s">
        <v>363</v>
      </c>
    </row>
    <row r="888" spans="1:12" x14ac:dyDescent="0.25">
      <c r="A888" s="33" t="s">
        <v>6</v>
      </c>
      <c r="B888" s="13" t="s">
        <v>324</v>
      </c>
      <c r="C888" s="33" t="s">
        <v>120</v>
      </c>
      <c r="D888" s="33">
        <v>161.80000000000001</v>
      </c>
      <c r="E888" s="33">
        <v>166.1</v>
      </c>
      <c r="F888" s="41">
        <v>4.2999999999999829</v>
      </c>
      <c r="G888" s="42" t="str">
        <f t="shared" si="32"/>
        <v>TRANSBRASILIANA - TERCEIRA FAIXA - Execução de Terceiras Faixas: - 161,8 - 166,1 - 4,29999999999998</v>
      </c>
      <c r="K888" s="23" t="s">
        <v>363</v>
      </c>
    </row>
    <row r="889" spans="1:12" x14ac:dyDescent="0.25">
      <c r="A889" s="33" t="s">
        <v>6</v>
      </c>
      <c r="B889" s="13" t="s">
        <v>324</v>
      </c>
      <c r="C889" s="33" t="s">
        <v>120</v>
      </c>
      <c r="D889" s="33">
        <v>0</v>
      </c>
      <c r="E889" s="33">
        <v>15.6</v>
      </c>
      <c r="F889" s="41">
        <v>15.6</v>
      </c>
      <c r="G889" s="42" t="str">
        <f t="shared" si="32"/>
        <v>TRANSBRASILIANA - TERCEIRA FAIXA - Execução de Terceiras Faixas: - 0 - 15,6 - 15,6</v>
      </c>
      <c r="K889" s="23" t="s">
        <v>363</v>
      </c>
    </row>
    <row r="890" spans="1:12" x14ac:dyDescent="0.25">
      <c r="A890" s="33" t="s">
        <v>6</v>
      </c>
      <c r="B890" s="13" t="s">
        <v>324</v>
      </c>
      <c r="C890" s="33" t="s">
        <v>120</v>
      </c>
      <c r="D890" s="33">
        <v>182.7</v>
      </c>
      <c r="E890" s="33">
        <v>199.1</v>
      </c>
      <c r="F890" s="41">
        <v>16.400000000000006</v>
      </c>
      <c r="G890" s="42" t="str">
        <f t="shared" si="32"/>
        <v>TRANSBRASILIANA - TERCEIRA FAIXA - Execução de Terceiras Faixas: - 182,7 - 199,1 - 16,4</v>
      </c>
      <c r="K890" s="23" t="s">
        <v>363</v>
      </c>
    </row>
    <row r="891" spans="1:12" x14ac:dyDescent="0.25">
      <c r="A891" s="33" t="s">
        <v>6</v>
      </c>
      <c r="B891" s="13" t="s">
        <v>324</v>
      </c>
      <c r="C891" s="33" t="s">
        <v>120</v>
      </c>
      <c r="D891" s="33">
        <v>255.4</v>
      </c>
      <c r="E891" s="33">
        <v>275.3</v>
      </c>
      <c r="F891" s="41">
        <v>19.900000000000006</v>
      </c>
      <c r="G891" s="42" t="str">
        <f t="shared" si="32"/>
        <v>TRANSBRASILIANA - TERCEIRA FAIXA - Execução de Terceiras Faixas: - 255,4 - 275,3 - 19,9</v>
      </c>
      <c r="K891" s="23" t="s">
        <v>363</v>
      </c>
    </row>
    <row r="892" spans="1:12" x14ac:dyDescent="0.25">
      <c r="A892" s="33" t="s">
        <v>160</v>
      </c>
      <c r="B892" s="13" t="s">
        <v>324</v>
      </c>
      <c r="C892" s="33" t="s">
        <v>177</v>
      </c>
      <c r="D892" s="33">
        <v>297.5</v>
      </c>
      <c r="E892" s="33">
        <v>306.39999999999998</v>
      </c>
      <c r="F892" s="41">
        <v>8.8999999999999773</v>
      </c>
      <c r="G892" s="42" t="str">
        <f t="shared" si="32"/>
        <v>FLUMINENSE - TERCEIRA FAIXA - Terceiras Faixas: nos dois sentidos da pista (norte e sul), do km 297,5 (Manilha) ao km
306,4 (São Gonçalo) - 297,5 - 306,4 - 8,89999999999998</v>
      </c>
      <c r="K892" s="23" t="s">
        <v>363</v>
      </c>
    </row>
    <row r="893" spans="1:12" x14ac:dyDescent="0.25">
      <c r="A893" s="23" t="s">
        <v>382</v>
      </c>
      <c r="B893" s="24" t="s">
        <v>317</v>
      </c>
      <c r="C893" s="23" t="s">
        <v>369</v>
      </c>
      <c r="D893" s="23">
        <v>213.4</v>
      </c>
      <c r="E893" s="23">
        <v>214.7</v>
      </c>
      <c r="F893" s="23">
        <v>1.2999999999999829</v>
      </c>
      <c r="G893" s="42" t="str">
        <f t="shared" si="32"/>
        <v>CONCESSÃO VIA SUL - PAVIMENTAÇÃO - Tio Hugo (Esquerdo) - 213,4 - 214,7 - 1,29999999999998</v>
      </c>
      <c r="L893" s="23" t="s">
        <v>363</v>
      </c>
    </row>
    <row r="894" spans="1:12" x14ac:dyDescent="0.25">
      <c r="A894" s="23" t="s">
        <v>382</v>
      </c>
      <c r="B894" s="24" t="s">
        <v>317</v>
      </c>
      <c r="C894" s="23" t="s">
        <v>370</v>
      </c>
      <c r="D894" s="23">
        <v>213.4</v>
      </c>
      <c r="E894" s="23">
        <v>214.7</v>
      </c>
      <c r="F894" s="23">
        <v>1.2999999999999829</v>
      </c>
      <c r="G894" s="42" t="str">
        <f t="shared" ref="G894:G957" si="33">_xlfn.TEXTJOIN(" - ",TRUE,A894:F894)</f>
        <v>CONCESSÃO VIA SUL - PAVIMENTAÇÃO - Tio Hugo (Direito) - 213,4 - 214,7 - 1,29999999999998</v>
      </c>
      <c r="L894" s="23" t="s">
        <v>363</v>
      </c>
    </row>
    <row r="895" spans="1:12" x14ac:dyDescent="0.25">
      <c r="A895" s="23" t="s">
        <v>4</v>
      </c>
      <c r="B895" s="24" t="s">
        <v>317</v>
      </c>
      <c r="C895" s="23" t="s">
        <v>341</v>
      </c>
      <c r="D895" s="23">
        <v>280</v>
      </c>
      <c r="E895" s="23">
        <v>281.8</v>
      </c>
      <c r="F895" s="23">
        <v>1.8000000000000114</v>
      </c>
      <c r="G895" s="42" t="str">
        <f t="shared" si="33"/>
        <v>VIA COSTEIRA - PAVIMENTAÇÃO - Não Consta (pista Sul) - 280 - 281,8 - 1,80000000000001</v>
      </c>
      <c r="L895" s="23" t="s">
        <v>363</v>
      </c>
    </row>
    <row r="896" spans="1:12" x14ac:dyDescent="0.25">
      <c r="A896" s="23" t="s">
        <v>4</v>
      </c>
      <c r="B896" s="24" t="s">
        <v>317</v>
      </c>
      <c r="C896" s="23" t="s">
        <v>341</v>
      </c>
      <c r="D896" s="23">
        <v>282.7</v>
      </c>
      <c r="E896" s="23">
        <v>284.02999999999997</v>
      </c>
      <c r="F896" s="23">
        <v>1.3299999999999841</v>
      </c>
      <c r="G896" s="42" t="str">
        <f t="shared" si="33"/>
        <v>VIA COSTEIRA - PAVIMENTAÇÃO - Não Consta (pista Sul) - 282,7 - 284,03 - 1,32999999999998</v>
      </c>
      <c r="L896" s="23" t="s">
        <v>363</v>
      </c>
    </row>
    <row r="897" spans="1:12" x14ac:dyDescent="0.25">
      <c r="A897" s="23" t="s">
        <v>4</v>
      </c>
      <c r="B897" s="24" t="s">
        <v>317</v>
      </c>
      <c r="C897" s="23" t="s">
        <v>341</v>
      </c>
      <c r="D897" s="23">
        <v>287.5</v>
      </c>
      <c r="E897" s="23">
        <v>288.04000000000002</v>
      </c>
      <c r="F897" s="23">
        <v>0.54000000000002046</v>
      </c>
      <c r="G897" s="42" t="str">
        <f t="shared" si="33"/>
        <v>VIA COSTEIRA - PAVIMENTAÇÃO - Não Consta (pista Sul) - 287,5 - 288,04 - 0,54000000000002</v>
      </c>
      <c r="L897" s="23" t="s">
        <v>363</v>
      </c>
    </row>
    <row r="898" spans="1:12" x14ac:dyDescent="0.25">
      <c r="A898" s="23" t="s">
        <v>4</v>
      </c>
      <c r="B898" s="24" t="s">
        <v>317</v>
      </c>
      <c r="C898" s="23" t="s">
        <v>341</v>
      </c>
      <c r="D898" s="23">
        <v>413.2</v>
      </c>
      <c r="E898" s="23">
        <v>415.2</v>
      </c>
      <c r="F898" s="23">
        <v>2</v>
      </c>
      <c r="G898" s="42" t="str">
        <f t="shared" si="33"/>
        <v>VIA COSTEIRA - PAVIMENTAÇÃO - Não Consta (pista Sul) - 413,2 - 415,2 - 2</v>
      </c>
      <c r="L898" s="23" t="s">
        <v>363</v>
      </c>
    </row>
    <row r="899" spans="1:12" x14ac:dyDescent="0.25">
      <c r="A899" s="23" t="s">
        <v>4</v>
      </c>
      <c r="B899" s="24" t="s">
        <v>317</v>
      </c>
      <c r="C899" s="23" t="s">
        <v>341</v>
      </c>
      <c r="D899" s="23">
        <v>417.25</v>
      </c>
      <c r="E899" s="23">
        <v>417.65</v>
      </c>
      <c r="F899" s="23">
        <v>0.39999999999997726</v>
      </c>
      <c r="G899" s="42" t="str">
        <f t="shared" si="33"/>
        <v>VIA COSTEIRA - PAVIMENTAÇÃO - Não Consta (pista Sul) - 417,25 - 417,65 - 0,399999999999977</v>
      </c>
      <c r="L899" s="23" t="s">
        <v>363</v>
      </c>
    </row>
    <row r="900" spans="1:12" x14ac:dyDescent="0.25">
      <c r="A900" s="23" t="s">
        <v>4</v>
      </c>
      <c r="B900" s="24" t="s">
        <v>317</v>
      </c>
      <c r="C900" s="23" t="s">
        <v>342</v>
      </c>
      <c r="D900" s="23">
        <v>324.10000000000002</v>
      </c>
      <c r="E900" s="23">
        <v>320.14999999999998</v>
      </c>
      <c r="F900" s="23">
        <v>3.9500000000000455</v>
      </c>
      <c r="G900" s="42" t="str">
        <f t="shared" si="33"/>
        <v>VIA COSTEIRA - PAVIMENTAÇÃO - Não Consta (Pista Norte) - 324,1 - 320,15 - 3,95000000000005</v>
      </c>
      <c r="L900" s="23" t="s">
        <v>363</v>
      </c>
    </row>
    <row r="901" spans="1:12" x14ac:dyDescent="0.25">
      <c r="A901" s="23" t="s">
        <v>383</v>
      </c>
      <c r="B901" s="24" t="s">
        <v>317</v>
      </c>
      <c r="C901" s="23" t="s">
        <v>376</v>
      </c>
      <c r="D901" s="23">
        <v>720.8</v>
      </c>
      <c r="E901" s="23">
        <v>723.9</v>
      </c>
      <c r="F901" s="23">
        <v>3.1000000000000227</v>
      </c>
      <c r="G901" s="42" t="str">
        <f t="shared" si="33"/>
        <v>ARAGUAIA - PAVIMENTAÇÃO - Não Consta (Crescente) - 720,8 - 723,9 - 3,10000000000002</v>
      </c>
      <c r="L901" s="23" t="s">
        <v>363</v>
      </c>
    </row>
    <row r="902" spans="1:12" x14ac:dyDescent="0.25">
      <c r="A902" s="23" t="s">
        <v>383</v>
      </c>
      <c r="B902" s="24" t="s">
        <v>317</v>
      </c>
      <c r="C902" s="23" t="s">
        <v>375</v>
      </c>
      <c r="D902" s="23">
        <v>720.8</v>
      </c>
      <c r="E902" s="23">
        <v>723.9</v>
      </c>
      <c r="F902" s="23">
        <v>3.1000000000000227</v>
      </c>
      <c r="G902" s="42" t="str">
        <f t="shared" si="33"/>
        <v>ARAGUAIA - PAVIMENTAÇÃO - Não Consta (Decrescente) - 720,8 - 723,9 - 3,10000000000002</v>
      </c>
      <c r="L902" s="23" t="s">
        <v>363</v>
      </c>
    </row>
    <row r="903" spans="1:12" x14ac:dyDescent="0.25">
      <c r="A903" s="23" t="s">
        <v>383</v>
      </c>
      <c r="B903" s="24" t="s">
        <v>317</v>
      </c>
      <c r="C903" s="23" t="s">
        <v>376</v>
      </c>
      <c r="D903" s="23">
        <v>759.7</v>
      </c>
      <c r="E903" s="23">
        <v>762.9</v>
      </c>
      <c r="F903" s="23">
        <v>3.1999999999999318</v>
      </c>
      <c r="G903" s="42" t="str">
        <f t="shared" si="33"/>
        <v>ARAGUAIA - PAVIMENTAÇÃO - Não Consta (Crescente) - 759,7 - 762,9 - 3,19999999999993</v>
      </c>
      <c r="L903" s="23" t="s">
        <v>363</v>
      </c>
    </row>
    <row r="904" spans="1:12" x14ac:dyDescent="0.25">
      <c r="A904" s="23" t="s">
        <v>383</v>
      </c>
      <c r="B904" s="24" t="s">
        <v>317</v>
      </c>
      <c r="C904" s="23" t="s">
        <v>375</v>
      </c>
      <c r="D904" s="23">
        <v>797.3</v>
      </c>
      <c r="E904" s="23">
        <v>799.7</v>
      </c>
      <c r="F904" s="23">
        <v>2.4000000000000909</v>
      </c>
      <c r="G904" s="42" t="str">
        <f t="shared" si="33"/>
        <v>ARAGUAIA - PAVIMENTAÇÃO - Não Consta (Decrescente) - 797,3 - 799,7 - 2,40000000000009</v>
      </c>
      <c r="L904" s="23" t="s">
        <v>363</v>
      </c>
    </row>
    <row r="905" spans="1:12" x14ac:dyDescent="0.25">
      <c r="A905" s="23" t="s">
        <v>383</v>
      </c>
      <c r="B905" s="24" t="s">
        <v>317</v>
      </c>
      <c r="C905" s="23" t="s">
        <v>375</v>
      </c>
      <c r="D905" s="23">
        <v>197.9</v>
      </c>
      <c r="E905" s="23">
        <v>202.5</v>
      </c>
      <c r="F905" s="23">
        <v>4.5999999999999943</v>
      </c>
      <c r="G905" s="42" t="str">
        <f t="shared" si="33"/>
        <v>ARAGUAIA - PAVIMENTAÇÃO - Não Consta (Decrescente) - 197,9 - 202,5 - 4,59999999999999</v>
      </c>
      <c r="L905" s="23" t="s">
        <v>363</v>
      </c>
    </row>
    <row r="906" spans="1:12" x14ac:dyDescent="0.25">
      <c r="A906" s="23" t="s">
        <v>383</v>
      </c>
      <c r="B906" s="24" t="s">
        <v>317</v>
      </c>
      <c r="C906" s="23" t="s">
        <v>376</v>
      </c>
      <c r="D906" s="23">
        <v>197.9</v>
      </c>
      <c r="E906" s="23">
        <v>202.5</v>
      </c>
      <c r="F906" s="23">
        <v>4.5999999999999943</v>
      </c>
      <c r="G906" s="42" t="str">
        <f t="shared" si="33"/>
        <v>ARAGUAIA - PAVIMENTAÇÃO - Não Consta (Crescente) - 197,9 - 202,5 - 4,59999999999999</v>
      </c>
      <c r="L906" s="23" t="s">
        <v>363</v>
      </c>
    </row>
    <row r="907" spans="1:12" x14ac:dyDescent="0.25">
      <c r="A907" s="23" t="s">
        <v>383</v>
      </c>
      <c r="B907" s="24" t="s">
        <v>317</v>
      </c>
      <c r="C907" s="23" t="s">
        <v>375</v>
      </c>
      <c r="D907" s="23">
        <v>300.5</v>
      </c>
      <c r="E907" s="23">
        <v>302.39999999999998</v>
      </c>
      <c r="F907" s="23">
        <v>1.8999999999999773</v>
      </c>
      <c r="G907" s="42" t="str">
        <f t="shared" si="33"/>
        <v>ARAGUAIA - PAVIMENTAÇÃO - Não Consta (Decrescente) - 300,5 - 302,4 - 1,89999999999998</v>
      </c>
      <c r="L907" s="23" t="s">
        <v>363</v>
      </c>
    </row>
    <row r="908" spans="1:12" x14ac:dyDescent="0.25">
      <c r="A908" s="23" t="s">
        <v>383</v>
      </c>
      <c r="B908" s="24" t="s">
        <v>317</v>
      </c>
      <c r="C908" s="23" t="s">
        <v>376</v>
      </c>
      <c r="D908" s="23">
        <v>301.3</v>
      </c>
      <c r="E908" s="23">
        <v>303.82</v>
      </c>
      <c r="F908" s="23">
        <v>2.5199999999999818</v>
      </c>
      <c r="G908" s="42" t="str">
        <f t="shared" si="33"/>
        <v>ARAGUAIA - PAVIMENTAÇÃO - Não Consta (Crescente) - 301,3 - 303,82 - 2,51999999999998</v>
      </c>
      <c r="L908" s="23" t="s">
        <v>363</v>
      </c>
    </row>
    <row r="909" spans="1:12" x14ac:dyDescent="0.25">
      <c r="A909" s="23" t="s">
        <v>383</v>
      </c>
      <c r="B909" s="24" t="s">
        <v>317</v>
      </c>
      <c r="C909" s="23" t="s">
        <v>376</v>
      </c>
      <c r="D909" s="23">
        <v>318.3</v>
      </c>
      <c r="E909" s="23">
        <v>319.5</v>
      </c>
      <c r="F909" s="23">
        <v>1.1999999999999886</v>
      </c>
      <c r="G909" s="42" t="str">
        <f t="shared" si="33"/>
        <v>ARAGUAIA - PAVIMENTAÇÃO - Não Consta (Crescente) - 318,3 - 319,5 - 1,19999999999999</v>
      </c>
      <c r="L909" s="23" t="s">
        <v>363</v>
      </c>
    </row>
    <row r="910" spans="1:12" x14ac:dyDescent="0.25">
      <c r="A910" s="23" t="s">
        <v>383</v>
      </c>
      <c r="B910" s="24" t="s">
        <v>317</v>
      </c>
      <c r="C910" s="23" t="s">
        <v>375</v>
      </c>
      <c r="D910" s="23">
        <v>318.8</v>
      </c>
      <c r="E910" s="23">
        <v>319.39999999999998</v>
      </c>
      <c r="F910" s="23">
        <v>0.59999999999996589</v>
      </c>
      <c r="G910" s="42" t="str">
        <f t="shared" si="33"/>
        <v>ARAGUAIA - PAVIMENTAÇÃO - Não Consta (Decrescente) - 318,8 - 319,4 - 0,599999999999966</v>
      </c>
      <c r="L910" s="23" t="s">
        <v>363</v>
      </c>
    </row>
    <row r="911" spans="1:12" x14ac:dyDescent="0.25">
      <c r="A911" s="23" t="s">
        <v>8</v>
      </c>
      <c r="B911" s="24" t="s">
        <v>317</v>
      </c>
      <c r="C911" s="23" t="s">
        <v>345</v>
      </c>
      <c r="D911" s="23">
        <v>605.20000000000005</v>
      </c>
      <c r="E911" s="23">
        <v>606.54999999999995</v>
      </c>
      <c r="F911" s="23">
        <v>1.3499999999999091</v>
      </c>
      <c r="G911" s="42" t="str">
        <f t="shared" si="33"/>
        <v>VIA BRASIL - PAVIMENTAÇÃO - Vias Marginais - 605,2 - 606,55 - 1,34999999999991</v>
      </c>
      <c r="L911" s="23" t="s">
        <v>363</v>
      </c>
    </row>
    <row r="912" spans="1:12" x14ac:dyDescent="0.25">
      <c r="A912" s="23" t="s">
        <v>8</v>
      </c>
      <c r="B912" s="24" t="s">
        <v>317</v>
      </c>
      <c r="C912" s="23" t="s">
        <v>345</v>
      </c>
      <c r="D912" s="23">
        <v>624.6</v>
      </c>
      <c r="E912" s="23">
        <v>627</v>
      </c>
      <c r="F912" s="23">
        <v>2.3999999999999773</v>
      </c>
      <c r="G912" s="42" t="str">
        <f t="shared" si="33"/>
        <v>VIA BRASIL - PAVIMENTAÇÃO - Vias Marginais - 624,6 - 627 - 2,39999999999998</v>
      </c>
      <c r="L912" s="23" t="s">
        <v>363</v>
      </c>
    </row>
    <row r="913" spans="1:12" x14ac:dyDescent="0.25">
      <c r="A913" s="23" t="s">
        <v>8</v>
      </c>
      <c r="B913" s="24" t="s">
        <v>317</v>
      </c>
      <c r="C913" s="23" t="s">
        <v>345</v>
      </c>
      <c r="D913" s="23">
        <v>624.6</v>
      </c>
      <c r="E913" s="23">
        <v>627.20000000000005</v>
      </c>
      <c r="F913" s="23">
        <v>2.6000000000000227</v>
      </c>
      <c r="G913" s="42" t="str">
        <f t="shared" si="33"/>
        <v>VIA BRASIL - PAVIMENTAÇÃO - Vias Marginais - 624,6 - 627,2 - 2,60000000000002</v>
      </c>
      <c r="L913" s="23" t="s">
        <v>363</v>
      </c>
    </row>
    <row r="914" spans="1:12" x14ac:dyDescent="0.25">
      <c r="A914" s="23" t="s">
        <v>8</v>
      </c>
      <c r="B914" s="24" t="s">
        <v>317</v>
      </c>
      <c r="C914" s="23" t="s">
        <v>345</v>
      </c>
      <c r="D914" s="23">
        <v>673.8</v>
      </c>
      <c r="E914" s="23">
        <v>674.4</v>
      </c>
      <c r="F914" s="23">
        <v>0.60000000000002274</v>
      </c>
      <c r="G914" s="42" t="str">
        <f t="shared" si="33"/>
        <v>VIA BRASIL - PAVIMENTAÇÃO - Vias Marginais - 673,8 - 674,4 - 0,600000000000023</v>
      </c>
      <c r="L914" s="23" t="s">
        <v>363</v>
      </c>
    </row>
    <row r="915" spans="1:12" x14ac:dyDescent="0.25">
      <c r="A915" s="23" t="s">
        <v>8</v>
      </c>
      <c r="B915" s="24" t="s">
        <v>317</v>
      </c>
      <c r="C915" s="23" t="s">
        <v>345</v>
      </c>
      <c r="D915" s="23">
        <v>673.8</v>
      </c>
      <c r="E915" s="23">
        <v>674.4</v>
      </c>
      <c r="F915" s="23">
        <v>0.60000000000002274</v>
      </c>
      <c r="G915" s="42" t="str">
        <f t="shared" si="33"/>
        <v>VIA BRASIL - PAVIMENTAÇÃO - Vias Marginais - 673,8 - 674,4 - 0,600000000000023</v>
      </c>
      <c r="L915" s="23" t="s">
        <v>363</v>
      </c>
    </row>
    <row r="916" spans="1:12" x14ac:dyDescent="0.25">
      <c r="A916" s="23" t="s">
        <v>8</v>
      </c>
      <c r="B916" s="24" t="s">
        <v>317</v>
      </c>
      <c r="C916" s="23" t="s">
        <v>345</v>
      </c>
      <c r="D916" s="23">
        <v>1143.5</v>
      </c>
      <c r="E916" s="23">
        <v>1144.95</v>
      </c>
      <c r="F916" s="23">
        <v>1.4500000000000455</v>
      </c>
      <c r="G916" s="42" t="str">
        <f t="shared" si="33"/>
        <v>VIA BRASIL - PAVIMENTAÇÃO - Vias Marginais - 1143,5 - 1144,95 - 1,45000000000005</v>
      </c>
      <c r="L916" s="23" t="s">
        <v>363</v>
      </c>
    </row>
    <row r="917" spans="1:12" x14ac:dyDescent="0.25">
      <c r="A917" s="23" t="s">
        <v>8</v>
      </c>
      <c r="B917" s="24" t="s">
        <v>317</v>
      </c>
      <c r="C917" s="23" t="s">
        <v>345</v>
      </c>
      <c r="D917" s="23">
        <v>1143.5</v>
      </c>
      <c r="E917" s="23">
        <v>1144.95</v>
      </c>
      <c r="F917" s="23">
        <v>1.4500000000000455</v>
      </c>
      <c r="G917" s="42" t="str">
        <f t="shared" si="33"/>
        <v>VIA BRASIL - PAVIMENTAÇÃO - Vias Marginais - 1143,5 - 1144,95 - 1,45000000000005</v>
      </c>
      <c r="L917" s="23" t="s">
        <v>363</v>
      </c>
    </row>
    <row r="918" spans="1:12" x14ac:dyDescent="0.25">
      <c r="A918" s="23" t="s">
        <v>349</v>
      </c>
      <c r="B918" s="24" t="s">
        <v>317</v>
      </c>
      <c r="C918" s="23" t="s">
        <v>381</v>
      </c>
      <c r="D918" s="23">
        <v>127.74</v>
      </c>
      <c r="E918" s="23">
        <v>131.31</v>
      </c>
      <c r="F918" s="23">
        <v>3.5700000000000074</v>
      </c>
      <c r="G918" s="42" t="str">
        <f t="shared" si="33"/>
        <v>RIO/SP - PAVIMENTAÇÃO - Esquerdo - 127,74 - 131,31 - 3,57000000000001</v>
      </c>
      <c r="L918" s="23" t="s">
        <v>363</v>
      </c>
    </row>
    <row r="919" spans="1:12" x14ac:dyDescent="0.25">
      <c r="A919" s="23" t="s">
        <v>349</v>
      </c>
      <c r="B919" s="24" t="s">
        <v>317</v>
      </c>
      <c r="C919" s="23" t="s">
        <v>380</v>
      </c>
      <c r="D919" s="23">
        <v>127.75</v>
      </c>
      <c r="E919" s="23">
        <v>131.09</v>
      </c>
      <c r="F919" s="23">
        <v>3.3400000000000034</v>
      </c>
      <c r="G919" s="42" t="str">
        <f t="shared" si="33"/>
        <v>RIO/SP - PAVIMENTAÇÃO - Direito - 127,75 - 131,09 - 3,34</v>
      </c>
      <c r="L919" s="23" t="s">
        <v>363</v>
      </c>
    </row>
    <row r="920" spans="1:12" x14ac:dyDescent="0.25">
      <c r="A920" s="23" t="s">
        <v>349</v>
      </c>
      <c r="B920" s="24" t="s">
        <v>317</v>
      </c>
      <c r="C920" s="23" t="s">
        <v>381</v>
      </c>
      <c r="D920" s="23">
        <v>132.85</v>
      </c>
      <c r="E920" s="23">
        <v>139.30000000000001</v>
      </c>
      <c r="F920" s="23">
        <v>6.4500000000000171</v>
      </c>
      <c r="G920" s="42" t="str">
        <f t="shared" si="33"/>
        <v>RIO/SP - PAVIMENTAÇÃO - Esquerdo - 132,85 - 139,3 - 6,45000000000002</v>
      </c>
      <c r="L920" s="23" t="s">
        <v>363</v>
      </c>
    </row>
    <row r="921" spans="1:12" x14ac:dyDescent="0.25">
      <c r="A921" s="23" t="s">
        <v>349</v>
      </c>
      <c r="B921" s="24" t="s">
        <v>317</v>
      </c>
      <c r="C921" s="23" t="s">
        <v>381</v>
      </c>
      <c r="D921" s="23">
        <v>139.30000000000001</v>
      </c>
      <c r="E921" s="23">
        <v>143.4</v>
      </c>
      <c r="F921" s="23">
        <v>4.0999999999999943</v>
      </c>
      <c r="G921" s="42" t="str">
        <f t="shared" si="33"/>
        <v>RIO/SP - PAVIMENTAÇÃO - Esquerdo - 139,3 - 143,4 - 4,09999999999999</v>
      </c>
      <c r="L921" s="23" t="s">
        <v>363</v>
      </c>
    </row>
    <row r="922" spans="1:12" x14ac:dyDescent="0.25">
      <c r="A922" s="23" t="s">
        <v>349</v>
      </c>
      <c r="B922" s="24" t="s">
        <v>317</v>
      </c>
      <c r="C922" s="23" t="s">
        <v>381</v>
      </c>
      <c r="D922" s="23">
        <v>143.4</v>
      </c>
      <c r="E922" s="23">
        <v>146.69999999999999</v>
      </c>
      <c r="F922" s="23">
        <v>3.2999999999999829</v>
      </c>
      <c r="G922" s="42" t="str">
        <f t="shared" si="33"/>
        <v>RIO/SP - PAVIMENTAÇÃO - Esquerdo - 143,4 - 146,7 - 3,29999999999998</v>
      </c>
      <c r="L922" s="23" t="s">
        <v>363</v>
      </c>
    </row>
    <row r="923" spans="1:12" x14ac:dyDescent="0.25">
      <c r="A923" s="23" t="s">
        <v>349</v>
      </c>
      <c r="B923" s="24" t="s">
        <v>317</v>
      </c>
      <c r="C923" s="23" t="s">
        <v>381</v>
      </c>
      <c r="D923" s="23">
        <v>146.69999999999999</v>
      </c>
      <c r="E923" s="23">
        <v>149.9</v>
      </c>
      <c r="F923" s="23">
        <v>3.2000000000000171</v>
      </c>
      <c r="G923" s="42" t="str">
        <f t="shared" si="33"/>
        <v>RIO/SP - PAVIMENTAÇÃO - Esquerdo - 146,7 - 149,9 - 3,20000000000002</v>
      </c>
      <c r="L923" s="23" t="s">
        <v>363</v>
      </c>
    </row>
    <row r="924" spans="1:12" x14ac:dyDescent="0.25">
      <c r="A924" s="23" t="s">
        <v>349</v>
      </c>
      <c r="B924" s="24" t="s">
        <v>317</v>
      </c>
      <c r="C924" s="23" t="s">
        <v>381</v>
      </c>
      <c r="D924" s="23">
        <v>149.9</v>
      </c>
      <c r="E924" s="23">
        <v>151.30000000000001</v>
      </c>
      <c r="F924" s="23">
        <v>1.4000000000000057</v>
      </c>
      <c r="G924" s="42" t="str">
        <f t="shared" si="33"/>
        <v>RIO/SP - PAVIMENTAÇÃO - Esquerdo - 149,9 - 151,3 - 1,40000000000001</v>
      </c>
      <c r="L924" s="23" t="s">
        <v>363</v>
      </c>
    </row>
    <row r="925" spans="1:12" x14ac:dyDescent="0.25">
      <c r="A925" s="23" t="s">
        <v>349</v>
      </c>
      <c r="B925" s="24" t="s">
        <v>317</v>
      </c>
      <c r="C925" s="23" t="s">
        <v>380</v>
      </c>
      <c r="D925" s="23">
        <v>133.11000000000001</v>
      </c>
      <c r="E925" s="23">
        <v>139.19999999999999</v>
      </c>
      <c r="F925" s="23">
        <v>6.089999999999975</v>
      </c>
      <c r="G925" s="42" t="str">
        <f t="shared" si="33"/>
        <v>RIO/SP - PAVIMENTAÇÃO - Direito - 133,11 - 139,2 - 6,08999999999997</v>
      </c>
      <c r="L925" s="23" t="s">
        <v>363</v>
      </c>
    </row>
    <row r="926" spans="1:12" x14ac:dyDescent="0.25">
      <c r="A926" s="23" t="s">
        <v>349</v>
      </c>
      <c r="B926" s="24" t="s">
        <v>317</v>
      </c>
      <c r="C926" s="23" t="s">
        <v>380</v>
      </c>
      <c r="D926" s="23">
        <v>139.19999999999999</v>
      </c>
      <c r="E926" s="23">
        <v>143.4</v>
      </c>
      <c r="F926" s="23">
        <v>4.2000000000000171</v>
      </c>
      <c r="G926" s="42" t="str">
        <f t="shared" si="33"/>
        <v>RIO/SP - PAVIMENTAÇÃO - Direito - 139,2 - 143,4 - 4,20000000000002</v>
      </c>
      <c r="L926" s="23" t="s">
        <v>363</v>
      </c>
    </row>
    <row r="927" spans="1:12" x14ac:dyDescent="0.25">
      <c r="A927" s="23" t="s">
        <v>349</v>
      </c>
      <c r="B927" s="24" t="s">
        <v>317</v>
      </c>
      <c r="C927" s="23" t="s">
        <v>380</v>
      </c>
      <c r="D927" s="23">
        <v>143.4</v>
      </c>
      <c r="E927" s="23">
        <v>146.69999999999999</v>
      </c>
      <c r="F927" s="23">
        <v>3.2999999999999829</v>
      </c>
      <c r="G927" s="42" t="str">
        <f t="shared" si="33"/>
        <v>RIO/SP - PAVIMENTAÇÃO - Direito - 143,4 - 146,7 - 3,29999999999998</v>
      </c>
      <c r="L927" s="23" t="s">
        <v>363</v>
      </c>
    </row>
    <row r="928" spans="1:12" x14ac:dyDescent="0.25">
      <c r="A928" s="23" t="s">
        <v>349</v>
      </c>
      <c r="B928" s="24" t="s">
        <v>317</v>
      </c>
      <c r="C928" s="23" t="s">
        <v>380</v>
      </c>
      <c r="D928" s="23">
        <v>146.69999999999999</v>
      </c>
      <c r="E928" s="23">
        <v>149.9</v>
      </c>
      <c r="F928" s="23">
        <v>3.2000000000000171</v>
      </c>
      <c r="G928" s="42" t="str">
        <f t="shared" si="33"/>
        <v>RIO/SP - PAVIMENTAÇÃO - Direito - 146,7 - 149,9 - 3,20000000000002</v>
      </c>
      <c r="L928" s="23" t="s">
        <v>363</v>
      </c>
    </row>
    <row r="929" spans="1:13" x14ac:dyDescent="0.25">
      <c r="A929" s="23" t="s">
        <v>349</v>
      </c>
      <c r="B929" s="24" t="s">
        <v>317</v>
      </c>
      <c r="C929" s="23" t="s">
        <v>380</v>
      </c>
      <c r="D929" s="23">
        <v>149.9</v>
      </c>
      <c r="E929" s="23">
        <v>151.30000000000001</v>
      </c>
      <c r="F929" s="23">
        <v>1.4000000000000057</v>
      </c>
      <c r="G929" s="42" t="str">
        <f t="shared" si="33"/>
        <v>RIO/SP - PAVIMENTAÇÃO - Direito - 149,9 - 151,3 - 1,40000000000001</v>
      </c>
      <c r="L929" s="23" t="s">
        <v>363</v>
      </c>
    </row>
    <row r="930" spans="1:13" x14ac:dyDescent="0.25">
      <c r="A930" s="23" t="s">
        <v>4</v>
      </c>
      <c r="B930" s="24" t="s">
        <v>317</v>
      </c>
      <c r="C930" s="23" t="s">
        <v>341</v>
      </c>
      <c r="D930" s="23">
        <v>249.78</v>
      </c>
      <c r="E930" s="23">
        <v>250.42</v>
      </c>
      <c r="F930" s="23">
        <v>0.63999999999998636</v>
      </c>
      <c r="G930" s="42" t="str">
        <f t="shared" si="33"/>
        <v>VIA COSTEIRA - PAVIMENTAÇÃO - Não Consta (pista Sul) - 249,78 - 250,42 - 0,639999999999986</v>
      </c>
      <c r="M930" s="23" t="s">
        <v>363</v>
      </c>
    </row>
    <row r="931" spans="1:13" x14ac:dyDescent="0.25">
      <c r="A931" s="23" t="s">
        <v>4</v>
      </c>
      <c r="B931" s="24" t="s">
        <v>317</v>
      </c>
      <c r="C931" s="23" t="s">
        <v>341</v>
      </c>
      <c r="D931" s="23">
        <v>251.7</v>
      </c>
      <c r="E931" s="23">
        <v>252.3</v>
      </c>
      <c r="F931" s="23">
        <v>0.60000000000002274</v>
      </c>
      <c r="G931" s="42" t="str">
        <f t="shared" si="33"/>
        <v>VIA COSTEIRA - PAVIMENTAÇÃO - Não Consta (pista Sul) - 251,7 - 252,3 - 0,600000000000023</v>
      </c>
      <c r="M931" s="23" t="s">
        <v>363</v>
      </c>
    </row>
    <row r="932" spans="1:13" x14ac:dyDescent="0.25">
      <c r="A932" s="23" t="s">
        <v>4</v>
      </c>
      <c r="B932" s="24" t="s">
        <v>317</v>
      </c>
      <c r="C932" s="23" t="s">
        <v>341</v>
      </c>
      <c r="D932" s="23">
        <v>252.35</v>
      </c>
      <c r="E932" s="23">
        <v>252.92</v>
      </c>
      <c r="F932" s="23">
        <v>0.56999999999999318</v>
      </c>
      <c r="G932" s="42" t="str">
        <f t="shared" si="33"/>
        <v>VIA COSTEIRA - PAVIMENTAÇÃO - Não Consta (pista Sul) - 252,35 - 252,92 - 0,569999999999993</v>
      </c>
      <c r="M932" s="23" t="s">
        <v>363</v>
      </c>
    </row>
    <row r="933" spans="1:13" x14ac:dyDescent="0.25">
      <c r="A933" s="23" t="s">
        <v>4</v>
      </c>
      <c r="B933" s="24" t="s">
        <v>317</v>
      </c>
      <c r="C933" s="23" t="s">
        <v>341</v>
      </c>
      <c r="D933" s="23">
        <v>263.63</v>
      </c>
      <c r="E933" s="23">
        <v>264.47000000000003</v>
      </c>
      <c r="F933" s="23">
        <v>0.84000000000003183</v>
      </c>
      <c r="G933" s="42" t="str">
        <f t="shared" si="33"/>
        <v>VIA COSTEIRA - PAVIMENTAÇÃO - Não Consta (pista Sul) - 263,63 - 264,47 - 0,840000000000032</v>
      </c>
      <c r="M933" s="23" t="s">
        <v>363</v>
      </c>
    </row>
    <row r="934" spans="1:13" x14ac:dyDescent="0.25">
      <c r="A934" s="23" t="s">
        <v>4</v>
      </c>
      <c r="B934" s="24" t="s">
        <v>317</v>
      </c>
      <c r="C934" s="23" t="s">
        <v>341</v>
      </c>
      <c r="D934" s="23">
        <v>268.95999999999998</v>
      </c>
      <c r="E934" s="23">
        <v>269.08</v>
      </c>
      <c r="F934" s="23">
        <v>0.12000000000000455</v>
      </c>
      <c r="G934" s="42" t="str">
        <f t="shared" si="33"/>
        <v>VIA COSTEIRA - PAVIMENTAÇÃO - Não Consta (pista Sul) - 268,96 - 269,08 - 0,120000000000005</v>
      </c>
      <c r="M934" s="23" t="s">
        <v>363</v>
      </c>
    </row>
    <row r="935" spans="1:13" x14ac:dyDescent="0.25">
      <c r="A935" s="23" t="s">
        <v>4</v>
      </c>
      <c r="B935" s="24" t="s">
        <v>317</v>
      </c>
      <c r="C935" s="23" t="s">
        <v>341</v>
      </c>
      <c r="D935" s="23">
        <v>269.42</v>
      </c>
      <c r="E935" s="23">
        <v>269.98</v>
      </c>
      <c r="F935" s="23">
        <v>0.56000000000000227</v>
      </c>
      <c r="G935" s="42" t="str">
        <f t="shared" si="33"/>
        <v>VIA COSTEIRA - PAVIMENTAÇÃO - Não Consta (pista Sul) - 269,42 - 269,98 - 0,560000000000002</v>
      </c>
      <c r="M935" s="23" t="s">
        <v>363</v>
      </c>
    </row>
    <row r="936" spans="1:13" x14ac:dyDescent="0.25">
      <c r="A936" s="23" t="s">
        <v>4</v>
      </c>
      <c r="B936" s="24" t="s">
        <v>317</v>
      </c>
      <c r="C936" s="23" t="s">
        <v>342</v>
      </c>
      <c r="D936" s="23">
        <v>439.65</v>
      </c>
      <c r="E936" s="23">
        <v>437.65</v>
      </c>
      <c r="F936" s="23">
        <v>2</v>
      </c>
      <c r="G936" s="42" t="str">
        <f t="shared" si="33"/>
        <v>VIA COSTEIRA - PAVIMENTAÇÃO - Não Consta (Pista Norte) - 439,65 - 437,65 - 2</v>
      </c>
      <c r="M936" s="23" t="s">
        <v>363</v>
      </c>
    </row>
    <row r="937" spans="1:13" x14ac:dyDescent="0.25">
      <c r="A937" s="23" t="s">
        <v>4</v>
      </c>
      <c r="B937" s="24" t="s">
        <v>317</v>
      </c>
      <c r="C937" s="23" t="s">
        <v>342</v>
      </c>
      <c r="D937" s="23">
        <v>414.65</v>
      </c>
      <c r="E937" s="23">
        <v>413.2</v>
      </c>
      <c r="F937" s="23">
        <v>1.4499999999999886</v>
      </c>
      <c r="G937" s="42" t="str">
        <f t="shared" si="33"/>
        <v>VIA COSTEIRA - PAVIMENTAÇÃO - Não Consta (Pista Norte) - 414,65 - 413,2 - 1,44999999999999</v>
      </c>
      <c r="M937" s="23" t="s">
        <v>363</v>
      </c>
    </row>
    <row r="938" spans="1:13" x14ac:dyDescent="0.25">
      <c r="A938" s="23" t="s">
        <v>4</v>
      </c>
      <c r="B938" s="24" t="s">
        <v>317</v>
      </c>
      <c r="C938" s="23" t="s">
        <v>342</v>
      </c>
      <c r="D938" s="23">
        <v>407.4</v>
      </c>
      <c r="E938" s="23">
        <v>404.8</v>
      </c>
      <c r="F938" s="23">
        <v>2.5999999999999659</v>
      </c>
      <c r="G938" s="42" t="str">
        <f t="shared" si="33"/>
        <v>VIA COSTEIRA - PAVIMENTAÇÃO - Não Consta (Pista Norte) - 407,4 - 404,8 - 2,59999999999997</v>
      </c>
      <c r="M938" s="23" t="s">
        <v>363</v>
      </c>
    </row>
    <row r="939" spans="1:13" x14ac:dyDescent="0.25">
      <c r="A939" s="23" t="s">
        <v>383</v>
      </c>
      <c r="B939" s="24" t="s">
        <v>317</v>
      </c>
      <c r="C939" s="23" t="s">
        <v>375</v>
      </c>
      <c r="D939" s="23">
        <v>692.5</v>
      </c>
      <c r="E939" s="23">
        <v>693.5</v>
      </c>
      <c r="F939" s="23">
        <v>1</v>
      </c>
      <c r="G939" s="42" t="str">
        <f t="shared" si="33"/>
        <v>ARAGUAIA - PAVIMENTAÇÃO - Não Consta (Decrescente) - 692,5 - 693,5 - 1</v>
      </c>
      <c r="M939" s="23" t="s">
        <v>363</v>
      </c>
    </row>
    <row r="940" spans="1:13" x14ac:dyDescent="0.25">
      <c r="A940" s="23" t="s">
        <v>383</v>
      </c>
      <c r="B940" s="24" t="s">
        <v>317</v>
      </c>
      <c r="C940" s="23" t="s">
        <v>376</v>
      </c>
      <c r="D940" s="23">
        <v>284.10000000000002</v>
      </c>
      <c r="E940" s="23">
        <v>284.8</v>
      </c>
      <c r="F940" s="23">
        <v>0.69999999999998863</v>
      </c>
      <c r="G940" s="42" t="str">
        <f t="shared" si="33"/>
        <v>ARAGUAIA - PAVIMENTAÇÃO - Não Consta (Crescente) - 284,1 - 284,8 - 0,699999999999989</v>
      </c>
      <c r="M940" s="23" t="s">
        <v>363</v>
      </c>
    </row>
    <row r="941" spans="1:13" x14ac:dyDescent="0.25">
      <c r="A941" s="23" t="s">
        <v>383</v>
      </c>
      <c r="B941" s="24" t="s">
        <v>317</v>
      </c>
      <c r="C941" s="23" t="s">
        <v>375</v>
      </c>
      <c r="D941" s="23">
        <v>284.2</v>
      </c>
      <c r="E941" s="23">
        <v>284.8</v>
      </c>
      <c r="F941" s="23">
        <v>0.60000000000002274</v>
      </c>
      <c r="G941" s="42" t="str">
        <f t="shared" si="33"/>
        <v>ARAGUAIA - PAVIMENTAÇÃO - Não Consta (Decrescente) - 284,2 - 284,8 - 0,600000000000023</v>
      </c>
      <c r="M941" s="23" t="s">
        <v>363</v>
      </c>
    </row>
    <row r="942" spans="1:13" x14ac:dyDescent="0.25">
      <c r="A942" s="23" t="s">
        <v>935</v>
      </c>
      <c r="B942" s="24" t="s">
        <v>317</v>
      </c>
      <c r="C942" s="23" t="s">
        <v>933</v>
      </c>
      <c r="D942" s="23">
        <v>162.19800000000001</v>
      </c>
      <c r="E942" s="23">
        <v>162.75</v>
      </c>
      <c r="F942" s="23">
        <v>0.5519999999999925</v>
      </c>
      <c r="G942" s="42" t="str">
        <f t="shared" si="33"/>
        <v>RIO/MINAS - PAVIMENTAÇÃO - Decrescente - 162,198 - 162,75 - 0,551999999999992</v>
      </c>
      <c r="M942" s="23" t="s">
        <v>363</v>
      </c>
    </row>
    <row r="943" spans="1:13" x14ac:dyDescent="0.25">
      <c r="A943" s="23" t="s">
        <v>935</v>
      </c>
      <c r="B943" s="24" t="s">
        <v>317</v>
      </c>
      <c r="C943" s="23" t="s">
        <v>933</v>
      </c>
      <c r="D943" s="23">
        <v>163.25</v>
      </c>
      <c r="E943" s="23">
        <v>163.5</v>
      </c>
      <c r="F943" s="23">
        <v>0.25</v>
      </c>
      <c r="G943" s="42" t="str">
        <f t="shared" si="33"/>
        <v>RIO/MINAS - PAVIMENTAÇÃO - Decrescente - 163,25 - 163,5 - 0,25</v>
      </c>
      <c r="M943" s="23" t="s">
        <v>363</v>
      </c>
    </row>
    <row r="944" spans="1:13" x14ac:dyDescent="0.25">
      <c r="A944" s="23" t="s">
        <v>935</v>
      </c>
      <c r="B944" s="24" t="s">
        <v>317</v>
      </c>
      <c r="C944" s="23" t="s">
        <v>934</v>
      </c>
      <c r="D944" s="23">
        <v>175</v>
      </c>
      <c r="E944" s="23">
        <v>177</v>
      </c>
      <c r="F944" s="23">
        <v>2</v>
      </c>
      <c r="G944" s="42" t="str">
        <f t="shared" si="33"/>
        <v>RIO/MINAS - PAVIMENTAÇÃO - Crescente - 175 - 177 - 2</v>
      </c>
      <c r="M944" s="23" t="s">
        <v>363</v>
      </c>
    </row>
    <row r="945" spans="1:13" x14ac:dyDescent="0.25">
      <c r="A945" s="23" t="s">
        <v>935</v>
      </c>
      <c r="B945" s="24" t="s">
        <v>317</v>
      </c>
      <c r="C945" s="23" t="s">
        <v>933</v>
      </c>
      <c r="D945" s="23">
        <v>176.71</v>
      </c>
      <c r="E945" s="23">
        <v>179.35</v>
      </c>
      <c r="F945" s="23">
        <v>2.6399999999999864</v>
      </c>
      <c r="G945" s="42" t="str">
        <f t="shared" si="33"/>
        <v>RIO/MINAS - PAVIMENTAÇÃO - Decrescente - 176,71 - 179,35 - 2,63999999999999</v>
      </c>
      <c r="M945" s="23" t="s">
        <v>363</v>
      </c>
    </row>
    <row r="946" spans="1:13" x14ac:dyDescent="0.25">
      <c r="A946" s="23" t="s">
        <v>935</v>
      </c>
      <c r="B946" s="24" t="s">
        <v>317</v>
      </c>
      <c r="C946" s="23" t="s">
        <v>934</v>
      </c>
      <c r="D946" s="23">
        <v>177.4</v>
      </c>
      <c r="E946" s="23">
        <v>179.25</v>
      </c>
      <c r="F946" s="23">
        <v>1.8499999999999943</v>
      </c>
      <c r="G946" s="42" t="str">
        <f t="shared" si="33"/>
        <v>RIO/MINAS - PAVIMENTAÇÃO - Crescente - 177,4 - 179,25 - 1,84999999999999</v>
      </c>
      <c r="M946" s="23" t="s">
        <v>363</v>
      </c>
    </row>
    <row r="947" spans="1:13" x14ac:dyDescent="0.25">
      <c r="A947" s="23" t="s">
        <v>935</v>
      </c>
      <c r="B947" s="24" t="s">
        <v>317</v>
      </c>
      <c r="C947" s="23" t="s">
        <v>934</v>
      </c>
      <c r="D947" s="23">
        <v>179.84</v>
      </c>
      <c r="E947" s="23">
        <v>180.36</v>
      </c>
      <c r="F947" s="23">
        <v>0.52000000000001023</v>
      </c>
      <c r="G947" s="42" t="str">
        <f t="shared" si="33"/>
        <v>RIO/MINAS - PAVIMENTAÇÃO - Crescente - 179,84 - 180,36 - 0,52000000000001</v>
      </c>
      <c r="M947" s="23" t="s">
        <v>363</v>
      </c>
    </row>
    <row r="948" spans="1:13" x14ac:dyDescent="0.25">
      <c r="A948" s="23" t="s">
        <v>935</v>
      </c>
      <c r="B948" s="24" t="s">
        <v>317</v>
      </c>
      <c r="C948" s="23" t="s">
        <v>933</v>
      </c>
      <c r="D948" s="23">
        <v>180.75</v>
      </c>
      <c r="E948" s="23">
        <v>181.1</v>
      </c>
      <c r="F948" s="23">
        <v>0.34999999999999432</v>
      </c>
      <c r="G948" s="42" t="str">
        <f t="shared" si="33"/>
        <v>RIO/MINAS - PAVIMENTAÇÃO - Decrescente - 180,75 - 181,1 - 0,349999999999994</v>
      </c>
      <c r="M948" s="23" t="s">
        <v>363</v>
      </c>
    </row>
    <row r="949" spans="1:13" x14ac:dyDescent="0.25">
      <c r="A949" s="23" t="s">
        <v>935</v>
      </c>
      <c r="B949" s="24" t="s">
        <v>317</v>
      </c>
      <c r="C949" s="23" t="s">
        <v>934</v>
      </c>
      <c r="D949" s="23">
        <v>180.95</v>
      </c>
      <c r="E949" s="23">
        <v>182.55199999999999</v>
      </c>
      <c r="F949" s="23">
        <v>1.6020000000000039</v>
      </c>
      <c r="G949" s="42" t="str">
        <f t="shared" si="33"/>
        <v>RIO/MINAS - PAVIMENTAÇÃO - Crescente - 180,95 - 182,552 - 1,602</v>
      </c>
      <c r="M949" s="23" t="s">
        <v>363</v>
      </c>
    </row>
    <row r="950" spans="1:13" x14ac:dyDescent="0.25">
      <c r="A950" s="23" t="s">
        <v>935</v>
      </c>
      <c r="B950" s="24" t="s">
        <v>317</v>
      </c>
      <c r="C950" s="23" t="s">
        <v>933</v>
      </c>
      <c r="D950" s="23">
        <v>181.34</v>
      </c>
      <c r="E950" s="23">
        <v>182.482</v>
      </c>
      <c r="F950" s="23">
        <v>1.1419999999999959</v>
      </c>
      <c r="G950" s="42" t="str">
        <f t="shared" si="33"/>
        <v>RIO/MINAS - PAVIMENTAÇÃO - Decrescente - 181,34 - 182,482 - 1,142</v>
      </c>
      <c r="M950" s="23" t="s">
        <v>363</v>
      </c>
    </row>
    <row r="951" spans="1:13" x14ac:dyDescent="0.25">
      <c r="A951" s="23" t="s">
        <v>935</v>
      </c>
      <c r="B951" s="24" t="s">
        <v>317</v>
      </c>
      <c r="C951" s="23" t="s">
        <v>934</v>
      </c>
      <c r="D951" s="23">
        <v>182.69300000000001</v>
      </c>
      <c r="E951" s="23">
        <v>183.32</v>
      </c>
      <c r="F951" s="23">
        <v>0.62699999999998113</v>
      </c>
      <c r="G951" s="42" t="str">
        <f t="shared" si="33"/>
        <v>RIO/MINAS - PAVIMENTAÇÃO - Crescente - 182,693 - 183,32 - 0,626999999999981</v>
      </c>
      <c r="M951" s="23" t="s">
        <v>363</v>
      </c>
    </row>
    <row r="952" spans="1:13" x14ac:dyDescent="0.25">
      <c r="A952" s="23" t="s">
        <v>935</v>
      </c>
      <c r="B952" s="24" t="s">
        <v>317</v>
      </c>
      <c r="C952" s="23" t="s">
        <v>933</v>
      </c>
      <c r="D952" s="23">
        <v>182.81200000000001</v>
      </c>
      <c r="E952" s="23">
        <v>185.3</v>
      </c>
      <c r="F952" s="23">
        <v>2.4879999999999995</v>
      </c>
      <c r="G952" s="42" t="str">
        <f t="shared" si="33"/>
        <v>RIO/MINAS - PAVIMENTAÇÃO - Decrescente - 182,812 - 185,3 - 2,488</v>
      </c>
      <c r="M952" s="23" t="s">
        <v>363</v>
      </c>
    </row>
    <row r="953" spans="1:13" x14ac:dyDescent="0.25">
      <c r="A953" s="23" t="s">
        <v>935</v>
      </c>
      <c r="B953" s="24" t="s">
        <v>317</v>
      </c>
      <c r="C953" s="23" t="s">
        <v>934</v>
      </c>
      <c r="D953" s="23">
        <v>183.66</v>
      </c>
      <c r="E953" s="23">
        <v>186.33</v>
      </c>
      <c r="F953" s="23">
        <v>2.6700000000000159</v>
      </c>
      <c r="G953" s="42" t="str">
        <f t="shared" si="33"/>
        <v>RIO/MINAS - PAVIMENTAÇÃO - Crescente - 183,66 - 186,33 - 2,67000000000002</v>
      </c>
      <c r="M953" s="23" t="s">
        <v>363</v>
      </c>
    </row>
    <row r="954" spans="1:13" x14ac:dyDescent="0.25">
      <c r="A954" s="23" t="s">
        <v>935</v>
      </c>
      <c r="B954" s="24" t="s">
        <v>317</v>
      </c>
      <c r="C954" s="23" t="s">
        <v>933</v>
      </c>
      <c r="D954" s="23">
        <v>185.5</v>
      </c>
      <c r="E954" s="23">
        <v>195.4</v>
      </c>
      <c r="F954" s="23">
        <v>9.9000000000000057</v>
      </c>
      <c r="G954" s="42" t="str">
        <f t="shared" si="33"/>
        <v>RIO/MINAS - PAVIMENTAÇÃO - Decrescente - 185,5 - 195,4 - 9,90000000000001</v>
      </c>
      <c r="M954" s="23" t="s">
        <v>363</v>
      </c>
    </row>
    <row r="955" spans="1:13" x14ac:dyDescent="0.25">
      <c r="A955" s="23" t="s">
        <v>935</v>
      </c>
      <c r="B955" s="24" t="s">
        <v>317</v>
      </c>
      <c r="C955" s="23" t="s">
        <v>934</v>
      </c>
      <c r="D955" s="23">
        <v>186.75</v>
      </c>
      <c r="E955" s="23">
        <v>195.4</v>
      </c>
      <c r="F955" s="23">
        <v>8.6500000000000057</v>
      </c>
      <c r="G955" s="42" t="str">
        <f t="shared" si="33"/>
        <v>RIO/MINAS - PAVIMENTAÇÃO - Crescente - 186,75 - 195,4 - 8,65000000000001</v>
      </c>
      <c r="M955" s="23" t="s">
        <v>363</v>
      </c>
    </row>
    <row r="956" spans="1:13" x14ac:dyDescent="0.25">
      <c r="A956" s="23" t="s">
        <v>935</v>
      </c>
      <c r="B956" s="24" t="s">
        <v>317</v>
      </c>
      <c r="C956" s="23" t="s">
        <v>934</v>
      </c>
      <c r="D956" s="23">
        <v>0.60299999999999998</v>
      </c>
      <c r="E956" s="23">
        <v>5.2229999999999999</v>
      </c>
      <c r="F956" s="23">
        <v>4.62</v>
      </c>
      <c r="G956" s="42" t="str">
        <f t="shared" si="33"/>
        <v>RIO/MINAS - PAVIMENTAÇÃO - Crescente - 0,603 - 5,223 - 4,62</v>
      </c>
      <c r="M956" s="23" t="s">
        <v>363</v>
      </c>
    </row>
    <row r="957" spans="1:13" x14ac:dyDescent="0.25">
      <c r="A957" s="23" t="s">
        <v>935</v>
      </c>
      <c r="B957" s="24" t="s">
        <v>317</v>
      </c>
      <c r="C957" s="23" t="s">
        <v>933</v>
      </c>
      <c r="D957" s="23">
        <v>0.75800000000000001</v>
      </c>
      <c r="E957" s="23">
        <v>3.028</v>
      </c>
      <c r="F957" s="23">
        <v>2.27</v>
      </c>
      <c r="G957" s="42" t="str">
        <f t="shared" si="33"/>
        <v>RIO/MINAS - PAVIMENTAÇÃO - Decrescente - 0,758 - 3,028 - 2,27</v>
      </c>
      <c r="M957" s="23" t="s">
        <v>363</v>
      </c>
    </row>
    <row r="958" spans="1:13" x14ac:dyDescent="0.25">
      <c r="A958" s="23" t="s">
        <v>935</v>
      </c>
      <c r="B958" s="24" t="s">
        <v>317</v>
      </c>
      <c r="C958" s="23" t="s">
        <v>933</v>
      </c>
      <c r="D958" s="23">
        <v>3.3090000000000002</v>
      </c>
      <c r="E958" s="23">
        <v>5.2329999999999997</v>
      </c>
      <c r="F958" s="23">
        <v>1.9239999999999995</v>
      </c>
      <c r="G958" s="42" t="str">
        <f t="shared" ref="G958:G1021" si="34">_xlfn.TEXTJOIN(" - ",TRUE,A958:F958)</f>
        <v>RIO/MINAS - PAVIMENTAÇÃO - Decrescente - 3,309 - 5,233 - 1,924</v>
      </c>
      <c r="M958" s="23" t="s">
        <v>363</v>
      </c>
    </row>
    <row r="959" spans="1:13" x14ac:dyDescent="0.25">
      <c r="A959" s="23" t="s">
        <v>935</v>
      </c>
      <c r="B959" s="24" t="s">
        <v>317</v>
      </c>
      <c r="C959" s="23" t="s">
        <v>934</v>
      </c>
      <c r="D959" s="23">
        <v>5.7889999999999997</v>
      </c>
      <c r="E959" s="23">
        <v>6.641</v>
      </c>
      <c r="F959" s="23">
        <v>0.85200000000000031</v>
      </c>
      <c r="G959" s="42" t="str">
        <f t="shared" si="34"/>
        <v>RIO/MINAS - PAVIMENTAÇÃO - Crescente - 5,789 - 6,641 - 0,852</v>
      </c>
      <c r="M959" s="23" t="s">
        <v>363</v>
      </c>
    </row>
    <row r="960" spans="1:13" x14ac:dyDescent="0.25">
      <c r="A960" s="23" t="s">
        <v>935</v>
      </c>
      <c r="B960" s="24" t="s">
        <v>317</v>
      </c>
      <c r="C960" s="23" t="s">
        <v>933</v>
      </c>
      <c r="D960" s="23">
        <v>5.7889999999999997</v>
      </c>
      <c r="E960" s="23">
        <v>6.6420000000000003</v>
      </c>
      <c r="F960" s="23">
        <v>0.85300000000000065</v>
      </c>
      <c r="G960" s="42" t="str">
        <f t="shared" si="34"/>
        <v>RIO/MINAS - PAVIMENTAÇÃO - Decrescente - 5,789 - 6,642 - 0,853000000000001</v>
      </c>
      <c r="M960" s="23" t="s">
        <v>363</v>
      </c>
    </row>
    <row r="961" spans="1:14" x14ac:dyDescent="0.25">
      <c r="A961" s="23" t="s">
        <v>935</v>
      </c>
      <c r="B961" s="24" t="s">
        <v>317</v>
      </c>
      <c r="C961" s="23" t="s">
        <v>934</v>
      </c>
      <c r="D961" s="23">
        <v>17.667999999999999</v>
      </c>
      <c r="E961" s="23">
        <v>19.209</v>
      </c>
      <c r="F961" s="23">
        <v>1.5410000000000004</v>
      </c>
      <c r="G961" s="42" t="str">
        <f t="shared" si="34"/>
        <v>RIO/MINAS - PAVIMENTAÇÃO - Crescente - 17,668 - 19,209 - 1,541</v>
      </c>
      <c r="M961" s="23" t="s">
        <v>363</v>
      </c>
    </row>
    <row r="962" spans="1:14" x14ac:dyDescent="0.25">
      <c r="A962" s="23" t="s">
        <v>935</v>
      </c>
      <c r="B962" s="24" t="s">
        <v>317</v>
      </c>
      <c r="C962" s="23" t="s">
        <v>933</v>
      </c>
      <c r="D962" s="23">
        <v>17.841000000000001</v>
      </c>
      <c r="E962" s="23">
        <v>18.8</v>
      </c>
      <c r="F962" s="23">
        <v>0.95899999999999963</v>
      </c>
      <c r="G962" s="42" t="str">
        <f t="shared" si="34"/>
        <v>RIO/MINAS - PAVIMENTAÇÃO - Decrescente - 17,841 - 18,8 - 0,959</v>
      </c>
      <c r="M962" s="23" t="s">
        <v>363</v>
      </c>
    </row>
    <row r="963" spans="1:14" x14ac:dyDescent="0.25">
      <c r="A963" s="23" t="s">
        <v>935</v>
      </c>
      <c r="B963" s="24" t="s">
        <v>317</v>
      </c>
      <c r="C963" s="23" t="s">
        <v>933</v>
      </c>
      <c r="D963" s="23">
        <v>19.675999999999998</v>
      </c>
      <c r="E963" s="23">
        <v>21.478000000000002</v>
      </c>
      <c r="F963" s="23">
        <v>1.8020000000000032</v>
      </c>
      <c r="G963" s="42" t="str">
        <f t="shared" si="34"/>
        <v>RIO/MINAS - PAVIMENTAÇÃO - Decrescente - 19,676 - 21,478 - 1,802</v>
      </c>
      <c r="M963" s="23" t="s">
        <v>363</v>
      </c>
    </row>
    <row r="964" spans="1:14" x14ac:dyDescent="0.25">
      <c r="A964" s="23" t="s">
        <v>935</v>
      </c>
      <c r="B964" s="24" t="s">
        <v>317</v>
      </c>
      <c r="C964" s="23" t="s">
        <v>934</v>
      </c>
      <c r="D964" s="23">
        <v>19.681000000000001</v>
      </c>
      <c r="E964" s="23">
        <v>21.588000000000001</v>
      </c>
      <c r="F964" s="23">
        <v>1.907</v>
      </c>
      <c r="G964" s="42" t="str">
        <f t="shared" si="34"/>
        <v>RIO/MINAS - PAVIMENTAÇÃO - Crescente - 19,681 - 21,588 - 1,907</v>
      </c>
      <c r="M964" s="23" t="s">
        <v>363</v>
      </c>
    </row>
    <row r="965" spans="1:14" x14ac:dyDescent="0.25">
      <c r="A965" s="23" t="s">
        <v>935</v>
      </c>
      <c r="B965" s="24" t="s">
        <v>317</v>
      </c>
      <c r="C965" s="23" t="s">
        <v>933</v>
      </c>
      <c r="D965" s="23">
        <v>409.91500000000002</v>
      </c>
      <c r="E965" s="23">
        <v>410.65499999999997</v>
      </c>
      <c r="F965" s="23">
        <v>0.73999999999995225</v>
      </c>
      <c r="G965" s="42" t="str">
        <f t="shared" si="34"/>
        <v>RIO/MINAS - PAVIMENTAÇÃO - Decrescente - 409,915 - 410,655 - 0,739999999999952</v>
      </c>
      <c r="M965" s="23" t="s">
        <v>363</v>
      </c>
    </row>
    <row r="966" spans="1:14" x14ac:dyDescent="0.25">
      <c r="A966" s="23" t="s">
        <v>935</v>
      </c>
      <c r="B966" s="24" t="s">
        <v>317</v>
      </c>
      <c r="C966" s="23" t="s">
        <v>934</v>
      </c>
      <c r="D966" s="23">
        <v>409.935</v>
      </c>
      <c r="E966" s="23">
        <v>411.31</v>
      </c>
      <c r="F966" s="23">
        <v>1.375</v>
      </c>
      <c r="G966" s="42" t="str">
        <f t="shared" si="34"/>
        <v>RIO/MINAS - PAVIMENTAÇÃO - Crescente - 409,935 - 411,31 - 1,375</v>
      </c>
      <c r="M966" s="23" t="s">
        <v>363</v>
      </c>
    </row>
    <row r="967" spans="1:14" x14ac:dyDescent="0.25">
      <c r="A967" s="23" t="s">
        <v>935</v>
      </c>
      <c r="B967" s="24" t="s">
        <v>317</v>
      </c>
      <c r="C967" s="23" t="s">
        <v>933</v>
      </c>
      <c r="D967" s="23">
        <v>411.34500000000003</v>
      </c>
      <c r="E967" s="23">
        <v>411.85500000000002</v>
      </c>
      <c r="F967" s="23">
        <v>0.50999999999999091</v>
      </c>
      <c r="G967" s="42" t="str">
        <f t="shared" si="34"/>
        <v>RIO/MINAS - PAVIMENTAÇÃO - Decrescente - 411,345 - 411,855 - 0,509999999999991</v>
      </c>
      <c r="M967" s="23" t="s">
        <v>363</v>
      </c>
    </row>
    <row r="968" spans="1:14" x14ac:dyDescent="0.25">
      <c r="A968" s="23" t="s">
        <v>935</v>
      </c>
      <c r="B968" s="24" t="s">
        <v>317</v>
      </c>
      <c r="C968" s="23" t="s">
        <v>933</v>
      </c>
      <c r="D968" s="23">
        <v>412.01499999999999</v>
      </c>
      <c r="E968" s="23">
        <v>412.49</v>
      </c>
      <c r="F968" s="23">
        <v>0.47500000000002274</v>
      </c>
      <c r="G968" s="42" t="str">
        <f t="shared" si="34"/>
        <v>RIO/MINAS - PAVIMENTAÇÃO - Decrescente - 412,015 - 412,49 - 0,475000000000023</v>
      </c>
      <c r="M968" s="23" t="s">
        <v>363</v>
      </c>
    </row>
    <row r="969" spans="1:14" x14ac:dyDescent="0.25">
      <c r="A969" s="23" t="s">
        <v>935</v>
      </c>
      <c r="B969" s="24" t="s">
        <v>317</v>
      </c>
      <c r="C969" s="23" t="s">
        <v>933</v>
      </c>
      <c r="D969" s="23">
        <v>416.24</v>
      </c>
      <c r="E969" s="23">
        <v>417.10500000000002</v>
      </c>
      <c r="F969" s="23">
        <v>0.86500000000000909</v>
      </c>
      <c r="G969" s="42" t="str">
        <f t="shared" si="34"/>
        <v>RIO/MINAS - PAVIMENTAÇÃO - Decrescente - 416,24 - 417,105 - 0,865000000000009</v>
      </c>
      <c r="M969" s="23" t="s">
        <v>363</v>
      </c>
    </row>
    <row r="970" spans="1:14" x14ac:dyDescent="0.25">
      <c r="A970" s="23" t="s">
        <v>935</v>
      </c>
      <c r="B970" s="24" t="s">
        <v>317</v>
      </c>
      <c r="C970" s="23" t="s">
        <v>934</v>
      </c>
      <c r="D970" s="23">
        <v>416.34</v>
      </c>
      <c r="E970" s="23">
        <v>417.56</v>
      </c>
      <c r="F970" s="23">
        <v>1.2200000000000273</v>
      </c>
      <c r="G970" s="42" t="str">
        <f t="shared" si="34"/>
        <v>RIO/MINAS - PAVIMENTAÇÃO - Crescente - 416,34 - 417,56 - 1,22000000000003</v>
      </c>
      <c r="M970" s="23" t="s">
        <v>363</v>
      </c>
    </row>
    <row r="971" spans="1:14" x14ac:dyDescent="0.25">
      <c r="A971" s="23" t="s">
        <v>349</v>
      </c>
      <c r="B971" s="24" t="s">
        <v>317</v>
      </c>
      <c r="C971" s="23" t="s">
        <v>381</v>
      </c>
      <c r="D971" s="23">
        <v>300</v>
      </c>
      <c r="E971" s="23">
        <v>303.89999999999998</v>
      </c>
      <c r="F971" s="23">
        <v>3.8999999999999773</v>
      </c>
      <c r="G971" s="42" t="str">
        <f t="shared" si="34"/>
        <v>RIO/SP - PAVIMENTAÇÃO - Esquerdo - 300 - 303,9 - 3,89999999999998</v>
      </c>
      <c r="M971" s="23" t="s">
        <v>363</v>
      </c>
    </row>
    <row r="972" spans="1:14" x14ac:dyDescent="0.25">
      <c r="A972" s="23" t="s">
        <v>349</v>
      </c>
      <c r="B972" s="24" t="s">
        <v>317</v>
      </c>
      <c r="C972" s="23" t="s">
        <v>380</v>
      </c>
      <c r="D972" s="23">
        <v>300.33</v>
      </c>
      <c r="E972" s="23">
        <v>301.60000000000002</v>
      </c>
      <c r="F972" s="23">
        <v>1.2700000000000387</v>
      </c>
      <c r="G972" s="42" t="str">
        <f t="shared" si="34"/>
        <v>RIO/SP - PAVIMENTAÇÃO - Direito - 300,33 - 301,6 - 1,27000000000004</v>
      </c>
      <c r="M972" s="23" t="s">
        <v>363</v>
      </c>
    </row>
    <row r="973" spans="1:14" x14ac:dyDescent="0.25">
      <c r="A973" s="23" t="s">
        <v>349</v>
      </c>
      <c r="B973" s="24" t="s">
        <v>317</v>
      </c>
      <c r="C973" s="23" t="s">
        <v>380</v>
      </c>
      <c r="D973" s="23">
        <v>303</v>
      </c>
      <c r="E973" s="23">
        <v>304</v>
      </c>
      <c r="F973" s="23">
        <v>1</v>
      </c>
      <c r="G973" s="42" t="str">
        <f t="shared" si="34"/>
        <v>RIO/SP - PAVIMENTAÇÃO - Direito - 303 - 304 - 1</v>
      </c>
      <c r="M973" s="23" t="s">
        <v>363</v>
      </c>
    </row>
    <row r="974" spans="1:14" x14ac:dyDescent="0.25">
      <c r="A974" s="23" t="s">
        <v>382</v>
      </c>
      <c r="B974" s="24" t="s">
        <v>317</v>
      </c>
      <c r="C974" s="23" t="s">
        <v>936</v>
      </c>
      <c r="D974" s="23">
        <v>279.60000000000002</v>
      </c>
      <c r="E974" s="23">
        <v>280.5</v>
      </c>
      <c r="F974" s="23">
        <v>0.89999999999997726</v>
      </c>
      <c r="G974" s="42" t="str">
        <f t="shared" si="34"/>
        <v>CONCESSÃO VIA SUL - PAVIMENTAÇÃO - São José do Herval (Direita) - 279,6 - 280,5 - 0,899999999999977</v>
      </c>
      <c r="N974" s="23" t="s">
        <v>363</v>
      </c>
    </row>
    <row r="975" spans="1:14" x14ac:dyDescent="0.25">
      <c r="A975" s="23" t="s">
        <v>382</v>
      </c>
      <c r="B975" s="24" t="s">
        <v>317</v>
      </c>
      <c r="C975" s="23" t="s">
        <v>937</v>
      </c>
      <c r="D975" s="23">
        <v>349.6</v>
      </c>
      <c r="E975" s="23">
        <v>360.3</v>
      </c>
      <c r="F975" s="23">
        <v>10.699999999999989</v>
      </c>
      <c r="G975" s="42" t="str">
        <f t="shared" si="34"/>
        <v>CONCESSÃO VIA SUL - PAVIMENTAÇÃO - Estrela (esquerda) - 349,6 - 360,3 - 10,7</v>
      </c>
      <c r="N975" s="23" t="s">
        <v>363</v>
      </c>
    </row>
    <row r="976" spans="1:14" x14ac:dyDescent="0.25">
      <c r="A976" s="23" t="s">
        <v>382</v>
      </c>
      <c r="B976" s="24" t="s">
        <v>317</v>
      </c>
      <c r="C976" s="23" t="s">
        <v>938</v>
      </c>
      <c r="D976" s="23">
        <v>349.6</v>
      </c>
      <c r="E976" s="23">
        <v>360.3</v>
      </c>
      <c r="F976" s="23">
        <v>10.699999999999989</v>
      </c>
      <c r="G976" s="42" t="str">
        <f t="shared" si="34"/>
        <v>CONCESSÃO VIA SUL - PAVIMENTAÇÃO - Estrela (Direita) - 349,6 - 360,3 - 10,7</v>
      </c>
      <c r="N976" s="23" t="s">
        <v>363</v>
      </c>
    </row>
    <row r="977" spans="1:14" x14ac:dyDescent="0.25">
      <c r="A977" s="23" t="s">
        <v>382</v>
      </c>
      <c r="B977" s="24" t="s">
        <v>317</v>
      </c>
      <c r="C977" s="23" t="s">
        <v>939</v>
      </c>
      <c r="D977" s="23">
        <v>383.9</v>
      </c>
      <c r="E977" s="23">
        <v>385.3</v>
      </c>
      <c r="F977" s="23">
        <v>1.4000000000000341</v>
      </c>
      <c r="G977" s="42" t="str">
        <f t="shared" si="34"/>
        <v>CONCESSÃO VIA SUL - PAVIMENTAÇÃO - Tabaí ( (esquerda) - 383,9 - 385,3 - 1,40000000000003</v>
      </c>
      <c r="N977" s="23" t="s">
        <v>363</v>
      </c>
    </row>
    <row r="978" spans="1:14" x14ac:dyDescent="0.25">
      <c r="A978" s="23" t="s">
        <v>382</v>
      </c>
      <c r="B978" s="24" t="s">
        <v>317</v>
      </c>
      <c r="C978" s="23" t="s">
        <v>940</v>
      </c>
      <c r="D978" s="23">
        <v>385.9</v>
      </c>
      <c r="E978" s="23">
        <v>386.4</v>
      </c>
      <c r="F978" s="23">
        <v>0.5</v>
      </c>
      <c r="G978" s="42" t="str">
        <f t="shared" si="34"/>
        <v>CONCESSÃO VIA SUL - PAVIMENTAÇÃO - Triunfo (esquerdo) - 385,9 - 386,4 - 0,5</v>
      </c>
      <c r="N978" s="23" t="s">
        <v>363</v>
      </c>
    </row>
    <row r="979" spans="1:14" x14ac:dyDescent="0.25">
      <c r="A979" s="23" t="s">
        <v>382</v>
      </c>
      <c r="B979" s="24" t="s">
        <v>317</v>
      </c>
      <c r="C979" s="23" t="s">
        <v>941</v>
      </c>
      <c r="D979" s="23">
        <v>385.9</v>
      </c>
      <c r="E979" s="23">
        <v>386.4</v>
      </c>
      <c r="F979" s="23">
        <v>0.5</v>
      </c>
      <c r="G979" s="42" t="str">
        <f t="shared" si="34"/>
        <v>CONCESSÃO VIA SUL - PAVIMENTAÇÃO - Triunfo (direita) - 385,9 - 386,4 - 0,5</v>
      </c>
      <c r="N979" s="23" t="s">
        <v>363</v>
      </c>
    </row>
    <row r="980" spans="1:14" x14ac:dyDescent="0.25">
      <c r="A980" s="23" t="s">
        <v>382</v>
      </c>
      <c r="B980" s="24" t="s">
        <v>317</v>
      </c>
      <c r="C980" s="23" t="s">
        <v>940</v>
      </c>
      <c r="D980" s="23">
        <v>386.4</v>
      </c>
      <c r="E980" s="23">
        <v>388.4</v>
      </c>
      <c r="F980" s="23">
        <v>2</v>
      </c>
      <c r="G980" s="42" t="str">
        <f t="shared" si="34"/>
        <v>CONCESSÃO VIA SUL - PAVIMENTAÇÃO - Triunfo (esquerdo) - 386,4 - 388,4 - 2</v>
      </c>
      <c r="N980" s="23" t="s">
        <v>363</v>
      </c>
    </row>
    <row r="981" spans="1:14" x14ac:dyDescent="0.25">
      <c r="A981" s="23" t="s">
        <v>382</v>
      </c>
      <c r="B981" s="24" t="s">
        <v>317</v>
      </c>
      <c r="C981" s="23" t="s">
        <v>941</v>
      </c>
      <c r="D981" s="23">
        <v>386.4</v>
      </c>
      <c r="E981" s="23">
        <v>388.4</v>
      </c>
      <c r="F981" s="23">
        <v>2</v>
      </c>
      <c r="G981" s="42" t="str">
        <f t="shared" si="34"/>
        <v>CONCESSÃO VIA SUL - PAVIMENTAÇÃO - Triunfo (direita) - 386,4 - 388,4 - 2</v>
      </c>
      <c r="N981" s="23" t="s">
        <v>363</v>
      </c>
    </row>
    <row r="982" spans="1:14" x14ac:dyDescent="0.25">
      <c r="A982" s="23" t="s">
        <v>382</v>
      </c>
      <c r="B982" s="24" t="s">
        <v>317</v>
      </c>
      <c r="C982" s="23" t="s">
        <v>942</v>
      </c>
      <c r="D982" s="23">
        <v>409.5</v>
      </c>
      <c r="E982" s="23">
        <v>411.5</v>
      </c>
      <c r="F982" s="23">
        <v>2</v>
      </c>
      <c r="G982" s="42" t="str">
        <f t="shared" si="34"/>
        <v>CONCESSÃO VIA SUL - PAVIMENTAÇÃO - Triunfo/Montenegro  (Esquerdo) - 409,5 - 411,5 - 2</v>
      </c>
      <c r="N982" s="23" t="s">
        <v>363</v>
      </c>
    </row>
    <row r="983" spans="1:14" x14ac:dyDescent="0.25">
      <c r="A983" s="23" t="s">
        <v>382</v>
      </c>
      <c r="B983" s="24" t="s">
        <v>317</v>
      </c>
      <c r="C983" s="23" t="s">
        <v>943</v>
      </c>
      <c r="D983" s="23">
        <v>409.5</v>
      </c>
      <c r="E983" s="23">
        <v>411.5</v>
      </c>
      <c r="F983" s="23">
        <v>2</v>
      </c>
      <c r="G983" s="42" t="str">
        <f t="shared" si="34"/>
        <v>CONCESSÃO VIA SUL - PAVIMENTAÇÃO - Triunfo/Montenegro  (Direito) - 409,5 - 411,5 - 2</v>
      </c>
      <c r="N983" s="23" t="s">
        <v>363</v>
      </c>
    </row>
    <row r="984" spans="1:14" x14ac:dyDescent="0.25">
      <c r="A984" s="23" t="s">
        <v>382</v>
      </c>
      <c r="B984" s="24" t="s">
        <v>317</v>
      </c>
      <c r="C984" s="23" t="s">
        <v>944</v>
      </c>
      <c r="D984" s="23">
        <v>430.5</v>
      </c>
      <c r="E984" s="23">
        <v>437</v>
      </c>
      <c r="F984" s="23">
        <v>6.5</v>
      </c>
      <c r="G984" s="42" t="str">
        <f t="shared" si="34"/>
        <v>CONCESSÃO VIA SUL - PAVIMENTAÇÃO - Nova Santa Rita (Esquerda) - 430,5 - 437 - 6,5</v>
      </c>
      <c r="N984" s="23" t="s">
        <v>363</v>
      </c>
    </row>
    <row r="985" spans="1:14" x14ac:dyDescent="0.25">
      <c r="A985" s="23" t="s">
        <v>382</v>
      </c>
      <c r="B985" s="24" t="s">
        <v>317</v>
      </c>
      <c r="C985" s="23" t="s">
        <v>945</v>
      </c>
      <c r="D985" s="23">
        <v>430.5</v>
      </c>
      <c r="E985" s="23">
        <v>437</v>
      </c>
      <c r="F985" s="23">
        <v>6.5</v>
      </c>
      <c r="G985" s="42" t="str">
        <f t="shared" si="34"/>
        <v>CONCESSÃO VIA SUL - PAVIMENTAÇÃO - Nova Santa Rita (Direita) - 430,5 - 437 - 6,5</v>
      </c>
      <c r="N985" s="23" t="s">
        <v>363</v>
      </c>
    </row>
    <row r="986" spans="1:14" x14ac:dyDescent="0.25">
      <c r="A986" s="23" t="s">
        <v>4</v>
      </c>
      <c r="B986" s="24" t="s">
        <v>317</v>
      </c>
      <c r="C986" s="23" t="s">
        <v>341</v>
      </c>
      <c r="D986" s="23">
        <v>288.92</v>
      </c>
      <c r="E986" s="23">
        <v>291.2</v>
      </c>
      <c r="F986" s="23">
        <v>2.2799999999999727</v>
      </c>
      <c r="G986" s="42" t="str">
        <f t="shared" si="34"/>
        <v>VIA COSTEIRA - PAVIMENTAÇÃO - Não Consta (pista Sul) - 288,92 - 291,2 - 2,27999999999997</v>
      </c>
      <c r="N986" s="23" t="s">
        <v>363</v>
      </c>
    </row>
    <row r="987" spans="1:14" x14ac:dyDescent="0.25">
      <c r="A987" s="23" t="s">
        <v>4</v>
      </c>
      <c r="B987" s="24" t="s">
        <v>317</v>
      </c>
      <c r="C987" s="23" t="s">
        <v>341</v>
      </c>
      <c r="D987" s="23">
        <v>291.89999999999998</v>
      </c>
      <c r="E987" s="23">
        <v>294.54000000000002</v>
      </c>
      <c r="F987" s="23">
        <v>2.6400000000000432</v>
      </c>
      <c r="G987" s="42" t="str">
        <f t="shared" si="34"/>
        <v>VIA COSTEIRA - PAVIMENTAÇÃO - Não Consta (pista Sul) - 291,9 - 294,54 - 2,64000000000004</v>
      </c>
      <c r="N987" s="23" t="s">
        <v>363</v>
      </c>
    </row>
    <row r="988" spans="1:14" x14ac:dyDescent="0.25">
      <c r="A988" s="23" t="s">
        <v>4</v>
      </c>
      <c r="B988" s="24" t="s">
        <v>317</v>
      </c>
      <c r="C988" s="23" t="s">
        <v>341</v>
      </c>
      <c r="D988" s="23">
        <v>295.95999999999998</v>
      </c>
      <c r="E988" s="23">
        <v>296.64</v>
      </c>
      <c r="F988" s="23">
        <v>0.68000000000000682</v>
      </c>
      <c r="G988" s="42" t="str">
        <f t="shared" si="34"/>
        <v>VIA COSTEIRA - PAVIMENTAÇÃO - Não Consta (pista Sul) - 295,96 - 296,64 - 0,680000000000007</v>
      </c>
      <c r="N988" s="23" t="s">
        <v>363</v>
      </c>
    </row>
    <row r="989" spans="1:14" x14ac:dyDescent="0.25">
      <c r="A989" s="23" t="s">
        <v>4</v>
      </c>
      <c r="B989" s="24" t="s">
        <v>317</v>
      </c>
      <c r="C989" s="23" t="s">
        <v>341</v>
      </c>
      <c r="D989" s="23">
        <v>297.36</v>
      </c>
      <c r="E989" s="23">
        <v>298.45999999999998</v>
      </c>
      <c r="F989" s="23">
        <v>1.0999999999999659</v>
      </c>
      <c r="G989" s="42" t="str">
        <f t="shared" si="34"/>
        <v>VIA COSTEIRA - PAVIMENTAÇÃO - Não Consta (pista Sul) - 297,36 - 298,46 - 1,09999999999997</v>
      </c>
      <c r="N989" s="23" t="s">
        <v>363</v>
      </c>
    </row>
    <row r="990" spans="1:14" x14ac:dyDescent="0.25">
      <c r="A990" s="23" t="s">
        <v>4</v>
      </c>
      <c r="B990" s="24" t="s">
        <v>317</v>
      </c>
      <c r="C990" s="23" t="s">
        <v>341</v>
      </c>
      <c r="D990" s="23">
        <v>298.45999999999998</v>
      </c>
      <c r="E990" s="23">
        <v>299.39999999999998</v>
      </c>
      <c r="F990" s="23">
        <v>0.93999999999999773</v>
      </c>
      <c r="G990" s="42" t="str">
        <f t="shared" si="34"/>
        <v>VIA COSTEIRA - PAVIMENTAÇÃO - Não Consta (pista Sul) - 298,46 - 299,4 - 0,939999999999998</v>
      </c>
      <c r="N990" s="23" t="s">
        <v>363</v>
      </c>
    </row>
    <row r="991" spans="1:14" x14ac:dyDescent="0.25">
      <c r="A991" s="23" t="s">
        <v>4</v>
      </c>
      <c r="B991" s="24" t="s">
        <v>317</v>
      </c>
      <c r="C991" s="23" t="s">
        <v>341</v>
      </c>
      <c r="D991" s="23">
        <v>385.2</v>
      </c>
      <c r="E991" s="23">
        <v>386</v>
      </c>
      <c r="F991" s="23">
        <v>0.80000000000001137</v>
      </c>
      <c r="G991" s="42" t="str">
        <f t="shared" si="34"/>
        <v>VIA COSTEIRA - PAVIMENTAÇÃO - Não Consta (pista Sul) - 385,2 - 386 - 0,800000000000011</v>
      </c>
      <c r="N991" s="23" t="s">
        <v>363</v>
      </c>
    </row>
    <row r="992" spans="1:14" x14ac:dyDescent="0.25">
      <c r="A992" s="23" t="s">
        <v>4</v>
      </c>
      <c r="B992" s="24" t="s">
        <v>317</v>
      </c>
      <c r="C992" s="23" t="s">
        <v>341</v>
      </c>
      <c r="D992" s="23">
        <v>386.3</v>
      </c>
      <c r="E992" s="23">
        <v>387.35</v>
      </c>
      <c r="F992" s="23">
        <v>1.0500000000000114</v>
      </c>
      <c r="G992" s="42" t="str">
        <f t="shared" si="34"/>
        <v>VIA COSTEIRA - PAVIMENTAÇÃO - Não Consta (pista Sul) - 386,3 - 387,35 - 1,05000000000001</v>
      </c>
      <c r="N992" s="23" t="s">
        <v>363</v>
      </c>
    </row>
    <row r="993" spans="1:14" x14ac:dyDescent="0.25">
      <c r="A993" s="23" t="s">
        <v>4</v>
      </c>
      <c r="B993" s="24" t="s">
        <v>317</v>
      </c>
      <c r="C993" s="23" t="s">
        <v>341</v>
      </c>
      <c r="D993" s="23">
        <v>391.35</v>
      </c>
      <c r="E993" s="23">
        <v>391.75</v>
      </c>
      <c r="F993" s="23">
        <v>0.39999999999997726</v>
      </c>
      <c r="G993" s="42" t="str">
        <f t="shared" si="34"/>
        <v>VIA COSTEIRA - PAVIMENTAÇÃO - Não Consta (pista Sul) - 391,35 - 391,75 - 0,399999999999977</v>
      </c>
      <c r="N993" s="23" t="s">
        <v>363</v>
      </c>
    </row>
    <row r="994" spans="1:14" x14ac:dyDescent="0.25">
      <c r="A994" s="23" t="s">
        <v>4</v>
      </c>
      <c r="B994" s="24" t="s">
        <v>317</v>
      </c>
      <c r="C994" s="23" t="s">
        <v>341</v>
      </c>
      <c r="D994" s="23">
        <v>392.44</v>
      </c>
      <c r="E994" s="23">
        <v>392.91</v>
      </c>
      <c r="F994" s="23">
        <v>0.47000000000002728</v>
      </c>
      <c r="G994" s="42" t="str">
        <f t="shared" si="34"/>
        <v>VIA COSTEIRA - PAVIMENTAÇÃO - Não Consta (pista Sul) - 392,44 - 392,91 - 0,470000000000027</v>
      </c>
      <c r="N994" s="23" t="s">
        <v>363</v>
      </c>
    </row>
    <row r="995" spans="1:14" x14ac:dyDescent="0.25">
      <c r="A995" s="23" t="s">
        <v>4</v>
      </c>
      <c r="B995" s="24" t="s">
        <v>317</v>
      </c>
      <c r="C995" s="23" t="s">
        <v>341</v>
      </c>
      <c r="D995" s="23">
        <v>395.2</v>
      </c>
      <c r="E995" s="23">
        <v>396.63</v>
      </c>
      <c r="F995" s="23">
        <v>1.4300000000000068</v>
      </c>
      <c r="G995" s="42" t="str">
        <f t="shared" si="34"/>
        <v>VIA COSTEIRA - PAVIMENTAÇÃO - Não Consta (pista Sul) - 395,2 - 396,63 - 1,43000000000001</v>
      </c>
      <c r="N995" s="23" t="s">
        <v>363</v>
      </c>
    </row>
    <row r="996" spans="1:14" x14ac:dyDescent="0.25">
      <c r="A996" s="23" t="s">
        <v>4</v>
      </c>
      <c r="B996" s="24" t="s">
        <v>317</v>
      </c>
      <c r="C996" s="23" t="s">
        <v>341</v>
      </c>
      <c r="D996" s="23">
        <v>438.1</v>
      </c>
      <c r="E996" s="23">
        <v>439.1</v>
      </c>
      <c r="F996" s="23">
        <v>1</v>
      </c>
      <c r="G996" s="42" t="str">
        <f t="shared" si="34"/>
        <v>VIA COSTEIRA - PAVIMENTAÇÃO - Não Consta (pista Sul) - 438,1 - 439,1 - 1</v>
      </c>
      <c r="N996" s="23" t="s">
        <v>363</v>
      </c>
    </row>
    <row r="997" spans="1:14" x14ac:dyDescent="0.25">
      <c r="A997" s="23" t="s">
        <v>4</v>
      </c>
      <c r="B997" s="24" t="s">
        <v>317</v>
      </c>
      <c r="C997" s="23" t="s">
        <v>341</v>
      </c>
      <c r="D997" s="23">
        <v>447.2</v>
      </c>
      <c r="E997" s="23">
        <v>448.2</v>
      </c>
      <c r="F997" s="23">
        <v>1</v>
      </c>
      <c r="G997" s="42" t="str">
        <f t="shared" si="34"/>
        <v>VIA COSTEIRA - PAVIMENTAÇÃO - Não Consta (pista Sul) - 447,2 - 448,2 - 1</v>
      </c>
      <c r="N997" s="23" t="s">
        <v>363</v>
      </c>
    </row>
    <row r="998" spans="1:14" x14ac:dyDescent="0.25">
      <c r="A998" s="23" t="s">
        <v>4</v>
      </c>
      <c r="B998" s="24" t="s">
        <v>317</v>
      </c>
      <c r="C998" s="23" t="s">
        <v>341</v>
      </c>
      <c r="D998" s="23">
        <v>459.7</v>
      </c>
      <c r="E998" s="23">
        <v>460.15</v>
      </c>
      <c r="F998" s="23">
        <v>0.44999999999998863</v>
      </c>
      <c r="G998" s="42" t="str">
        <f t="shared" si="34"/>
        <v>VIA COSTEIRA - PAVIMENTAÇÃO - Não Consta (pista Sul) - 459,7 - 460,15 - 0,449999999999989</v>
      </c>
      <c r="N998" s="23" t="s">
        <v>363</v>
      </c>
    </row>
    <row r="999" spans="1:14" x14ac:dyDescent="0.25">
      <c r="A999" s="23" t="s">
        <v>4</v>
      </c>
      <c r="B999" s="24" t="s">
        <v>317</v>
      </c>
      <c r="C999" s="23" t="s">
        <v>342</v>
      </c>
      <c r="D999" s="23">
        <v>458</v>
      </c>
      <c r="E999" s="23">
        <v>456</v>
      </c>
      <c r="F999" s="23">
        <v>2</v>
      </c>
      <c r="G999" s="42" t="str">
        <f t="shared" si="34"/>
        <v>VIA COSTEIRA - PAVIMENTAÇÃO - Não Consta (Pista Norte) - 458 - 456 - 2</v>
      </c>
      <c r="N999" s="23" t="s">
        <v>363</v>
      </c>
    </row>
    <row r="1000" spans="1:14" x14ac:dyDescent="0.25">
      <c r="A1000" s="23" t="s">
        <v>4</v>
      </c>
      <c r="B1000" s="24" t="s">
        <v>317</v>
      </c>
      <c r="C1000" s="23" t="s">
        <v>342</v>
      </c>
      <c r="D1000" s="23">
        <v>448.2</v>
      </c>
      <c r="E1000" s="23">
        <v>447.2</v>
      </c>
      <c r="F1000" s="23">
        <v>1</v>
      </c>
      <c r="G1000" s="42" t="str">
        <f t="shared" si="34"/>
        <v>VIA COSTEIRA - PAVIMENTAÇÃO - Não Consta (Pista Norte) - 448,2 - 447,2 - 1</v>
      </c>
      <c r="N1000" s="23" t="s">
        <v>363</v>
      </c>
    </row>
    <row r="1001" spans="1:14" x14ac:dyDescent="0.25">
      <c r="A1001" s="23" t="s">
        <v>4</v>
      </c>
      <c r="B1001" s="24" t="s">
        <v>317</v>
      </c>
      <c r="C1001" s="23" t="s">
        <v>342</v>
      </c>
      <c r="D1001" s="23">
        <v>443.05</v>
      </c>
      <c r="E1001" s="23">
        <v>441.75</v>
      </c>
      <c r="F1001" s="23">
        <v>1.3000000000000114</v>
      </c>
      <c r="G1001" s="42" t="str">
        <f t="shared" si="34"/>
        <v>VIA COSTEIRA - PAVIMENTAÇÃO - Não Consta (Pista Norte) - 443,05 - 441,75 - 1,30000000000001</v>
      </c>
      <c r="N1001" s="23" t="s">
        <v>363</v>
      </c>
    </row>
    <row r="1002" spans="1:14" x14ac:dyDescent="0.25">
      <c r="A1002" s="23" t="s">
        <v>4</v>
      </c>
      <c r="B1002" s="24" t="s">
        <v>317</v>
      </c>
      <c r="C1002" s="23" t="s">
        <v>342</v>
      </c>
      <c r="D1002" s="23">
        <v>388.85</v>
      </c>
      <c r="E1002" s="23">
        <v>386.2</v>
      </c>
      <c r="F1002" s="23">
        <v>2.6500000000000341</v>
      </c>
      <c r="G1002" s="42" t="str">
        <f t="shared" si="34"/>
        <v>VIA COSTEIRA - PAVIMENTAÇÃO - Não Consta (Pista Norte) - 388,85 - 386,2 - 2,65000000000003</v>
      </c>
      <c r="N1002" s="23" t="s">
        <v>363</v>
      </c>
    </row>
    <row r="1003" spans="1:14" x14ac:dyDescent="0.25">
      <c r="A1003" s="23" t="s">
        <v>4</v>
      </c>
      <c r="B1003" s="24" t="s">
        <v>317</v>
      </c>
      <c r="C1003" s="23" t="s">
        <v>342</v>
      </c>
      <c r="D1003" s="23">
        <v>385.9</v>
      </c>
      <c r="E1003" s="23">
        <v>384</v>
      </c>
      <c r="F1003" s="23">
        <v>1.8999999999999773</v>
      </c>
      <c r="G1003" s="42" t="str">
        <f t="shared" si="34"/>
        <v>VIA COSTEIRA - PAVIMENTAÇÃO - Não Consta (Pista Norte) - 385,9 - 384 - 1,89999999999998</v>
      </c>
      <c r="N1003" s="23" t="s">
        <v>363</v>
      </c>
    </row>
    <row r="1004" spans="1:14" x14ac:dyDescent="0.25">
      <c r="A1004" s="23" t="s">
        <v>4</v>
      </c>
      <c r="B1004" s="24" t="s">
        <v>317</v>
      </c>
      <c r="C1004" s="23" t="s">
        <v>342</v>
      </c>
      <c r="D1004" s="23">
        <v>383.3</v>
      </c>
      <c r="E1004" s="23">
        <v>382.63</v>
      </c>
      <c r="F1004" s="23">
        <v>0.67000000000001592</v>
      </c>
      <c r="G1004" s="42" t="str">
        <f t="shared" si="34"/>
        <v>VIA COSTEIRA - PAVIMENTAÇÃO - Não Consta (Pista Norte) - 383,3 - 382,63 - 0,670000000000016</v>
      </c>
      <c r="N1004" s="23" t="s">
        <v>363</v>
      </c>
    </row>
    <row r="1005" spans="1:14" x14ac:dyDescent="0.25">
      <c r="A1005" s="23" t="s">
        <v>4</v>
      </c>
      <c r="B1005" s="24" t="s">
        <v>317</v>
      </c>
      <c r="C1005" s="23" t="s">
        <v>342</v>
      </c>
      <c r="D1005" s="23">
        <v>298.67</v>
      </c>
      <c r="E1005" s="23">
        <v>297.85000000000002</v>
      </c>
      <c r="F1005" s="23">
        <v>0.81999999999999318</v>
      </c>
      <c r="G1005" s="42" t="str">
        <f t="shared" si="34"/>
        <v>VIA COSTEIRA - PAVIMENTAÇÃO - Não Consta (Pista Norte) - 298,67 - 297,85 - 0,819999999999993</v>
      </c>
      <c r="N1005" s="23" t="s">
        <v>363</v>
      </c>
    </row>
    <row r="1006" spans="1:14" x14ac:dyDescent="0.25">
      <c r="A1006" s="23" t="s">
        <v>4</v>
      </c>
      <c r="B1006" s="24" t="s">
        <v>317</v>
      </c>
      <c r="C1006" s="23" t="s">
        <v>342</v>
      </c>
      <c r="D1006" s="23">
        <v>297.85000000000002</v>
      </c>
      <c r="E1006" s="23">
        <v>297.14999999999998</v>
      </c>
      <c r="F1006" s="23">
        <v>0.70000000000004547</v>
      </c>
      <c r="G1006" s="42" t="str">
        <f t="shared" si="34"/>
        <v>VIA COSTEIRA - PAVIMENTAÇÃO - Não Consta (Pista Norte) - 297,85 - 297,15 - 0,700000000000045</v>
      </c>
      <c r="N1006" s="23" t="s">
        <v>363</v>
      </c>
    </row>
    <row r="1007" spans="1:14" x14ac:dyDescent="0.25">
      <c r="A1007" s="23" t="s">
        <v>4</v>
      </c>
      <c r="B1007" s="24" t="s">
        <v>317</v>
      </c>
      <c r="C1007" s="23" t="s">
        <v>342</v>
      </c>
      <c r="D1007" s="23">
        <v>296.39999999999998</v>
      </c>
      <c r="E1007" s="23">
        <v>295.67</v>
      </c>
      <c r="F1007" s="23">
        <v>0.72999999999996135</v>
      </c>
      <c r="G1007" s="42" t="str">
        <f t="shared" si="34"/>
        <v>VIA COSTEIRA - PAVIMENTAÇÃO - Não Consta (Pista Norte) - 296,4 - 295,67 - 0,729999999999961</v>
      </c>
      <c r="N1007" s="23" t="s">
        <v>363</v>
      </c>
    </row>
    <row r="1008" spans="1:14" x14ac:dyDescent="0.25">
      <c r="A1008" s="23" t="s">
        <v>4</v>
      </c>
      <c r="B1008" s="24" t="s">
        <v>317</v>
      </c>
      <c r="C1008" s="23" t="s">
        <v>342</v>
      </c>
      <c r="D1008" s="23">
        <v>264.38</v>
      </c>
      <c r="E1008" s="23">
        <v>263.55</v>
      </c>
      <c r="F1008" s="23">
        <v>0.82999999999998408</v>
      </c>
      <c r="G1008" s="42" t="str">
        <f t="shared" si="34"/>
        <v>VIA COSTEIRA - PAVIMENTAÇÃO - Não Consta (Pista Norte) - 264,38 - 263,55 - 0,829999999999984</v>
      </c>
      <c r="N1008" s="23" t="s">
        <v>363</v>
      </c>
    </row>
    <row r="1009" spans="1:14" x14ac:dyDescent="0.25">
      <c r="A1009" s="23" t="s">
        <v>4</v>
      </c>
      <c r="B1009" s="24" t="s">
        <v>317</v>
      </c>
      <c r="C1009" s="23" t="s">
        <v>342</v>
      </c>
      <c r="D1009" s="23">
        <v>263.10000000000002</v>
      </c>
      <c r="E1009" s="23">
        <v>262.5</v>
      </c>
      <c r="F1009" s="23">
        <v>0.60000000000002274</v>
      </c>
      <c r="G1009" s="42" t="str">
        <f t="shared" si="34"/>
        <v>VIA COSTEIRA - PAVIMENTAÇÃO - Não Consta (Pista Norte) - 263,1 - 262,5 - 0,600000000000023</v>
      </c>
      <c r="N1009" s="23" t="s">
        <v>363</v>
      </c>
    </row>
    <row r="1010" spans="1:14" x14ac:dyDescent="0.25">
      <c r="A1010" s="23" t="s">
        <v>4</v>
      </c>
      <c r="B1010" s="24" t="s">
        <v>317</v>
      </c>
      <c r="C1010" s="23" t="s">
        <v>342</v>
      </c>
      <c r="D1010" s="23">
        <v>255.5</v>
      </c>
      <c r="E1010" s="23">
        <v>254.75</v>
      </c>
      <c r="F1010" s="23">
        <v>0.75</v>
      </c>
      <c r="G1010" s="42" t="str">
        <f t="shared" si="34"/>
        <v>VIA COSTEIRA - PAVIMENTAÇÃO - Não Consta (Pista Norte) - 255,5 - 254,75 - 0,75</v>
      </c>
      <c r="N1010" s="23" t="s">
        <v>363</v>
      </c>
    </row>
    <row r="1011" spans="1:14" x14ac:dyDescent="0.25">
      <c r="A1011" s="23" t="s">
        <v>4</v>
      </c>
      <c r="B1011" s="24" t="s">
        <v>317</v>
      </c>
      <c r="C1011" s="23" t="s">
        <v>342</v>
      </c>
      <c r="D1011" s="23">
        <v>254.4</v>
      </c>
      <c r="E1011" s="23">
        <v>253.2</v>
      </c>
      <c r="F1011" s="23">
        <v>1.2000000000000171</v>
      </c>
      <c r="G1011" s="42" t="str">
        <f t="shared" si="34"/>
        <v>VIA COSTEIRA - PAVIMENTAÇÃO - Não Consta (Pista Norte) - 254,4 - 253,2 - 1,20000000000002</v>
      </c>
      <c r="N1011" s="23" t="s">
        <v>363</v>
      </c>
    </row>
    <row r="1012" spans="1:14" x14ac:dyDescent="0.25">
      <c r="A1012" s="23" t="s">
        <v>4</v>
      </c>
      <c r="B1012" s="24" t="s">
        <v>317</v>
      </c>
      <c r="C1012" s="23" t="s">
        <v>342</v>
      </c>
      <c r="D1012" s="23">
        <v>252.15</v>
      </c>
      <c r="E1012" s="23">
        <v>251.6</v>
      </c>
      <c r="F1012" s="23">
        <v>0.55000000000001137</v>
      </c>
      <c r="G1012" s="42" t="str">
        <f t="shared" si="34"/>
        <v>VIA COSTEIRA - PAVIMENTAÇÃO - Não Consta (Pista Norte) - 252,15 - 251,6 - 0,550000000000011</v>
      </c>
      <c r="N1012" s="23" t="s">
        <v>363</v>
      </c>
    </row>
    <row r="1013" spans="1:14" x14ac:dyDescent="0.25">
      <c r="A1013" s="23" t="s">
        <v>383</v>
      </c>
      <c r="B1013" s="24" t="s">
        <v>317</v>
      </c>
      <c r="C1013" s="23" t="s">
        <v>376</v>
      </c>
      <c r="D1013" s="23">
        <v>68.400000000000006</v>
      </c>
      <c r="E1013" s="23">
        <v>75.8</v>
      </c>
      <c r="F1013" s="23">
        <v>7.3999999999999915</v>
      </c>
      <c r="G1013" s="42" t="str">
        <f t="shared" si="34"/>
        <v>ARAGUAIA - PAVIMENTAÇÃO - Não Consta (Crescente) - 68,4 - 75,8 - 7,39999999999999</v>
      </c>
      <c r="N1013" s="23" t="s">
        <v>363</v>
      </c>
    </row>
    <row r="1014" spans="1:14" x14ac:dyDescent="0.25">
      <c r="A1014" s="23" t="s">
        <v>383</v>
      </c>
      <c r="B1014" s="24" t="s">
        <v>317</v>
      </c>
      <c r="C1014" s="23" t="s">
        <v>375</v>
      </c>
      <c r="D1014" s="23">
        <v>71.2</v>
      </c>
      <c r="E1014" s="23">
        <v>71.7</v>
      </c>
      <c r="F1014" s="23">
        <v>0.5</v>
      </c>
      <c r="G1014" s="42" t="str">
        <f t="shared" si="34"/>
        <v>ARAGUAIA - PAVIMENTAÇÃO - Não Consta (Decrescente) - 71,2 - 71,7 - 0,5</v>
      </c>
      <c r="N1014" s="23" t="s">
        <v>363</v>
      </c>
    </row>
    <row r="1015" spans="1:14" x14ac:dyDescent="0.25">
      <c r="A1015" s="23" t="s">
        <v>383</v>
      </c>
      <c r="B1015" s="24" t="s">
        <v>317</v>
      </c>
      <c r="C1015" s="23" t="s">
        <v>376</v>
      </c>
      <c r="D1015" s="23">
        <v>173.8</v>
      </c>
      <c r="E1015" s="23">
        <v>178.8</v>
      </c>
      <c r="F1015" s="23">
        <v>5</v>
      </c>
      <c r="G1015" s="42" t="str">
        <f t="shared" si="34"/>
        <v>ARAGUAIA - PAVIMENTAÇÃO - Não Consta (Crescente) - 173,8 - 178,8 - 5</v>
      </c>
      <c r="N1015" s="23" t="s">
        <v>363</v>
      </c>
    </row>
    <row r="1016" spans="1:14" x14ac:dyDescent="0.25">
      <c r="A1016" s="23" t="s">
        <v>383</v>
      </c>
      <c r="B1016" s="24" t="s">
        <v>317</v>
      </c>
      <c r="C1016" s="23" t="s">
        <v>375</v>
      </c>
      <c r="D1016" s="23">
        <v>175</v>
      </c>
      <c r="E1016" s="23">
        <v>175.8</v>
      </c>
      <c r="F1016" s="23">
        <v>0.80000000000001137</v>
      </c>
      <c r="G1016" s="42" t="str">
        <f t="shared" si="34"/>
        <v>ARAGUAIA - PAVIMENTAÇÃO - Não Consta (Decrescente) - 175 - 175,8 - 0,800000000000011</v>
      </c>
      <c r="N1016" s="23" t="s">
        <v>363</v>
      </c>
    </row>
    <row r="1017" spans="1:14" x14ac:dyDescent="0.25">
      <c r="A1017" s="23" t="s">
        <v>383</v>
      </c>
      <c r="B1017" s="24" t="s">
        <v>317</v>
      </c>
      <c r="C1017" s="23" t="s">
        <v>376</v>
      </c>
      <c r="D1017" s="23">
        <v>241.5</v>
      </c>
      <c r="E1017" s="23">
        <v>243.7</v>
      </c>
      <c r="F1017" s="23">
        <v>2.1999999999999886</v>
      </c>
      <c r="G1017" s="42" t="str">
        <f t="shared" si="34"/>
        <v>ARAGUAIA - PAVIMENTAÇÃO - Não Consta (Crescente) - 241,5 - 243,7 - 2,19999999999999</v>
      </c>
      <c r="N1017" s="23" t="s">
        <v>363</v>
      </c>
    </row>
    <row r="1018" spans="1:14" x14ac:dyDescent="0.25">
      <c r="A1018" s="23" t="s">
        <v>383</v>
      </c>
      <c r="B1018" s="24" t="s">
        <v>317</v>
      </c>
      <c r="C1018" s="23" t="s">
        <v>375</v>
      </c>
      <c r="D1018" s="23">
        <v>265</v>
      </c>
      <c r="E1018" s="23">
        <v>265.3</v>
      </c>
      <c r="F1018" s="23">
        <v>0.30000000000001137</v>
      </c>
      <c r="G1018" s="42" t="str">
        <f t="shared" si="34"/>
        <v>ARAGUAIA - PAVIMENTAÇÃO - Não Consta (Decrescente) - 265 - 265,3 - 0,300000000000011</v>
      </c>
      <c r="N1018" s="23" t="s">
        <v>363</v>
      </c>
    </row>
    <row r="1019" spans="1:14" x14ac:dyDescent="0.25">
      <c r="A1019" s="23" t="s">
        <v>383</v>
      </c>
      <c r="B1019" s="24" t="s">
        <v>317</v>
      </c>
      <c r="C1019" s="23" t="s">
        <v>376</v>
      </c>
      <c r="D1019" s="23">
        <v>265</v>
      </c>
      <c r="E1019" s="23">
        <v>265.89999999999998</v>
      </c>
      <c r="F1019" s="23">
        <v>0.89999999999997726</v>
      </c>
      <c r="G1019" s="42" t="str">
        <f t="shared" si="34"/>
        <v>ARAGUAIA - PAVIMENTAÇÃO - Não Consta (Crescente) - 265 - 265,9 - 0,899999999999977</v>
      </c>
      <c r="N1019" s="23" t="s">
        <v>363</v>
      </c>
    </row>
    <row r="1020" spans="1:14" x14ac:dyDescent="0.25">
      <c r="A1020" s="23" t="s">
        <v>383</v>
      </c>
      <c r="B1020" s="24" t="s">
        <v>317</v>
      </c>
      <c r="C1020" s="23" t="s">
        <v>376</v>
      </c>
      <c r="D1020" s="23">
        <v>356.1</v>
      </c>
      <c r="E1020" s="23">
        <v>360.1</v>
      </c>
      <c r="F1020" s="23">
        <v>4</v>
      </c>
      <c r="G1020" s="42" t="str">
        <f t="shared" si="34"/>
        <v>ARAGUAIA - PAVIMENTAÇÃO - Não Consta (Crescente) - 356,1 - 360,1 - 4</v>
      </c>
      <c r="N1020" s="23" t="s">
        <v>363</v>
      </c>
    </row>
    <row r="1021" spans="1:14" x14ac:dyDescent="0.25">
      <c r="A1021" s="23" t="s">
        <v>383</v>
      </c>
      <c r="B1021" s="24" t="s">
        <v>317</v>
      </c>
      <c r="C1021" s="23" t="s">
        <v>376</v>
      </c>
      <c r="D1021" s="23">
        <v>396.2</v>
      </c>
      <c r="E1021" s="23">
        <v>396.7</v>
      </c>
      <c r="F1021" s="23">
        <v>0.5</v>
      </c>
      <c r="G1021" s="42" t="str">
        <f t="shared" si="34"/>
        <v>ARAGUAIA - PAVIMENTAÇÃO - Não Consta (Crescente) - 396,2 - 396,7 - 0,5</v>
      </c>
      <c r="N1021" s="23" t="s">
        <v>363</v>
      </c>
    </row>
    <row r="1022" spans="1:14" x14ac:dyDescent="0.25">
      <c r="A1022" s="23" t="s">
        <v>383</v>
      </c>
      <c r="B1022" s="24" t="s">
        <v>317</v>
      </c>
      <c r="C1022" s="23" t="s">
        <v>376</v>
      </c>
      <c r="D1022" s="23">
        <v>429.72500000000002</v>
      </c>
      <c r="E1022" s="23">
        <v>431.5</v>
      </c>
      <c r="F1022" s="23">
        <v>1.7749999999999773</v>
      </c>
      <c r="G1022" s="42" t="str">
        <f t="shared" ref="G1022:G1085" si="35">_xlfn.TEXTJOIN(" - ",TRUE,A1022:F1022)</f>
        <v>ARAGUAIA - PAVIMENTAÇÃO - Não Consta (Crescente) - 429,725 - 431,5 - 1,77499999999998</v>
      </c>
      <c r="N1022" s="23" t="s">
        <v>363</v>
      </c>
    </row>
    <row r="1023" spans="1:14" x14ac:dyDescent="0.25">
      <c r="A1023" s="23" t="s">
        <v>383</v>
      </c>
      <c r="B1023" s="24" t="s">
        <v>317</v>
      </c>
      <c r="C1023" s="23" t="s">
        <v>376</v>
      </c>
      <c r="D1023" s="23">
        <v>432</v>
      </c>
      <c r="E1023" s="23">
        <v>436</v>
      </c>
      <c r="F1023" s="23">
        <v>4</v>
      </c>
      <c r="G1023" s="42" t="str">
        <f t="shared" si="35"/>
        <v>ARAGUAIA - PAVIMENTAÇÃO - Não Consta (Crescente) - 432 - 436 - 4</v>
      </c>
      <c r="N1023" s="23" t="s">
        <v>363</v>
      </c>
    </row>
    <row r="1024" spans="1:14" x14ac:dyDescent="0.25">
      <c r="A1024" s="23" t="s">
        <v>383</v>
      </c>
      <c r="B1024" s="24" t="s">
        <v>317</v>
      </c>
      <c r="C1024" s="23" t="s">
        <v>375</v>
      </c>
      <c r="D1024" s="23">
        <v>432</v>
      </c>
      <c r="E1024" s="23">
        <v>436.5</v>
      </c>
      <c r="F1024" s="23">
        <v>4.5</v>
      </c>
      <c r="G1024" s="42" t="str">
        <f t="shared" si="35"/>
        <v>ARAGUAIA - PAVIMENTAÇÃO - Não Consta (Decrescente) - 432 - 436,5 - 4,5</v>
      </c>
      <c r="N1024" s="23" t="s">
        <v>363</v>
      </c>
    </row>
    <row r="1025" spans="1:14" x14ac:dyDescent="0.25">
      <c r="A1025" s="23" t="s">
        <v>383</v>
      </c>
      <c r="B1025" s="24" t="s">
        <v>317</v>
      </c>
      <c r="C1025" s="23" t="s">
        <v>376</v>
      </c>
      <c r="D1025" s="23">
        <v>436.8</v>
      </c>
      <c r="E1025" s="23">
        <v>438.5</v>
      </c>
      <c r="F1025" s="23">
        <v>1.6999999999999886</v>
      </c>
      <c r="G1025" s="42" t="str">
        <f t="shared" si="35"/>
        <v>ARAGUAIA - PAVIMENTAÇÃO - Não Consta (Crescente) - 436,8 - 438,5 - 1,69999999999999</v>
      </c>
      <c r="N1025" s="23" t="s">
        <v>363</v>
      </c>
    </row>
    <row r="1026" spans="1:14" x14ac:dyDescent="0.25">
      <c r="A1026" s="23" t="s">
        <v>383</v>
      </c>
      <c r="B1026" s="24" t="s">
        <v>317</v>
      </c>
      <c r="C1026" s="23" t="s">
        <v>375</v>
      </c>
      <c r="D1026" s="23">
        <v>439.05</v>
      </c>
      <c r="E1026" s="23">
        <v>444.05</v>
      </c>
      <c r="F1026" s="23">
        <v>5</v>
      </c>
      <c r="G1026" s="42" t="str">
        <f t="shared" si="35"/>
        <v>ARAGUAIA - PAVIMENTAÇÃO - Não Consta (Decrescente) - 439,05 - 444,05 - 5</v>
      </c>
      <c r="N1026" s="23" t="s">
        <v>363</v>
      </c>
    </row>
    <row r="1027" spans="1:14" x14ac:dyDescent="0.25">
      <c r="A1027" s="23" t="s">
        <v>383</v>
      </c>
      <c r="B1027" s="24" t="s">
        <v>317</v>
      </c>
      <c r="C1027" s="23" t="s">
        <v>376</v>
      </c>
      <c r="D1027" s="23">
        <v>440</v>
      </c>
      <c r="E1027" s="23">
        <v>444.1</v>
      </c>
      <c r="F1027" s="23">
        <v>4.1000000000000227</v>
      </c>
      <c r="G1027" s="42" t="str">
        <f t="shared" si="35"/>
        <v>ARAGUAIA - PAVIMENTAÇÃO - Não Consta (Crescente) - 440 - 444,1 - 4,10000000000002</v>
      </c>
      <c r="N1027" s="23" t="s">
        <v>363</v>
      </c>
    </row>
    <row r="1028" spans="1:14" x14ac:dyDescent="0.25">
      <c r="A1028" s="23" t="s">
        <v>383</v>
      </c>
      <c r="B1028" s="24" t="s">
        <v>317</v>
      </c>
      <c r="C1028" s="23" t="s">
        <v>375</v>
      </c>
      <c r="D1028" s="23">
        <v>409.4</v>
      </c>
      <c r="E1028" s="23">
        <v>410.56</v>
      </c>
      <c r="F1028" s="23">
        <v>1.160000000000025</v>
      </c>
      <c r="G1028" s="42" t="str">
        <f t="shared" si="35"/>
        <v>ARAGUAIA - PAVIMENTAÇÃO - Não Consta (Decrescente) - 409,4 - 410,56 - 1,16000000000003</v>
      </c>
      <c r="N1028" s="23" t="s">
        <v>363</v>
      </c>
    </row>
    <row r="1029" spans="1:14" x14ac:dyDescent="0.25">
      <c r="A1029" s="23" t="s">
        <v>383</v>
      </c>
      <c r="B1029" s="24" t="s">
        <v>317</v>
      </c>
      <c r="C1029" s="23" t="s">
        <v>376</v>
      </c>
      <c r="D1029" s="23">
        <v>409.5</v>
      </c>
      <c r="E1029" s="23">
        <v>410.6</v>
      </c>
      <c r="F1029" s="23">
        <v>1.1000000000000227</v>
      </c>
      <c r="G1029" s="42" t="str">
        <f t="shared" si="35"/>
        <v>ARAGUAIA - PAVIMENTAÇÃO - Não Consta (Crescente) - 409,5 - 410,6 - 1,10000000000002</v>
      </c>
      <c r="N1029" s="23" t="s">
        <v>363</v>
      </c>
    </row>
    <row r="1030" spans="1:14" x14ac:dyDescent="0.25">
      <c r="A1030" s="23" t="s">
        <v>383</v>
      </c>
      <c r="B1030" s="24" t="s">
        <v>317</v>
      </c>
      <c r="C1030" s="23" t="s">
        <v>375</v>
      </c>
      <c r="D1030" s="23">
        <v>435.35500000000002</v>
      </c>
      <c r="E1030" s="23">
        <v>435.976</v>
      </c>
      <c r="F1030" s="23">
        <v>0.6209999999999809</v>
      </c>
      <c r="G1030" s="42" t="str">
        <f t="shared" si="35"/>
        <v>ARAGUAIA - PAVIMENTAÇÃO - Não Consta (Decrescente) - 435,355 - 435,976 - 0,620999999999981</v>
      </c>
      <c r="N1030" s="23" t="s">
        <v>363</v>
      </c>
    </row>
    <row r="1031" spans="1:14" x14ac:dyDescent="0.25">
      <c r="A1031" s="23" t="s">
        <v>383</v>
      </c>
      <c r="B1031" s="24" t="s">
        <v>317</v>
      </c>
      <c r="C1031" s="23" t="s">
        <v>376</v>
      </c>
      <c r="D1031" s="23">
        <v>435.35599999999999</v>
      </c>
      <c r="E1031" s="23">
        <v>435.476</v>
      </c>
      <c r="F1031" s="23">
        <v>0.12000000000000455</v>
      </c>
      <c r="G1031" s="42" t="str">
        <f t="shared" si="35"/>
        <v>ARAGUAIA - PAVIMENTAÇÃO - Não Consta (Crescente) - 435,356 - 435,476 - 0,120000000000005</v>
      </c>
      <c r="N1031" s="23" t="s">
        <v>363</v>
      </c>
    </row>
    <row r="1032" spans="1:14" x14ac:dyDescent="0.25">
      <c r="A1032" s="23" t="s">
        <v>383</v>
      </c>
      <c r="B1032" s="24" t="s">
        <v>317</v>
      </c>
      <c r="C1032" s="23" t="s">
        <v>376</v>
      </c>
      <c r="D1032" s="23">
        <v>438.3</v>
      </c>
      <c r="E1032" s="23">
        <v>438.8</v>
      </c>
      <c r="F1032" s="23">
        <v>0.5</v>
      </c>
      <c r="G1032" s="42" t="str">
        <f t="shared" si="35"/>
        <v>ARAGUAIA - PAVIMENTAÇÃO - Não Consta (Crescente) - 438,3 - 438,8 - 0,5</v>
      </c>
      <c r="N1032" s="23" t="s">
        <v>363</v>
      </c>
    </row>
    <row r="1033" spans="1:14" x14ac:dyDescent="0.25">
      <c r="A1033" s="23" t="s">
        <v>935</v>
      </c>
      <c r="B1033" s="24" t="s">
        <v>317</v>
      </c>
      <c r="C1033" s="23" t="s">
        <v>934</v>
      </c>
      <c r="D1033" s="23">
        <v>67.5</v>
      </c>
      <c r="E1033" s="23">
        <v>68</v>
      </c>
      <c r="F1033" s="23">
        <v>0.5</v>
      </c>
      <c r="G1033" s="42" t="str">
        <f t="shared" si="35"/>
        <v>RIO/MINAS - PAVIMENTAÇÃO - Crescente - 67,5 - 68 - 0,5</v>
      </c>
      <c r="N1033" s="23" t="s">
        <v>363</v>
      </c>
    </row>
    <row r="1034" spans="1:14" x14ac:dyDescent="0.25">
      <c r="A1034" s="23" t="s">
        <v>935</v>
      </c>
      <c r="B1034" s="24" t="s">
        <v>317</v>
      </c>
      <c r="C1034" s="23" t="s">
        <v>933</v>
      </c>
      <c r="D1034" s="23">
        <v>67.5</v>
      </c>
      <c r="E1034" s="23">
        <v>68</v>
      </c>
      <c r="F1034" s="23">
        <v>0.5</v>
      </c>
      <c r="G1034" s="42" t="str">
        <f t="shared" si="35"/>
        <v>RIO/MINAS - PAVIMENTAÇÃO - Decrescente - 67,5 - 68 - 0,5</v>
      </c>
      <c r="N1034" s="23" t="s">
        <v>363</v>
      </c>
    </row>
    <row r="1035" spans="1:14" x14ac:dyDescent="0.25">
      <c r="A1035" s="23" t="s">
        <v>935</v>
      </c>
      <c r="B1035" s="24" t="s">
        <v>317</v>
      </c>
      <c r="C1035" s="23" t="s">
        <v>934</v>
      </c>
      <c r="D1035" s="23">
        <v>105.5</v>
      </c>
      <c r="E1035" s="23">
        <v>105.9</v>
      </c>
      <c r="F1035" s="23">
        <v>0.40000000000000568</v>
      </c>
      <c r="G1035" s="42" t="str">
        <f t="shared" si="35"/>
        <v>RIO/MINAS - PAVIMENTAÇÃO - Crescente - 105,5 - 105,9 - 0,400000000000006</v>
      </c>
      <c r="N1035" s="23" t="s">
        <v>363</v>
      </c>
    </row>
    <row r="1036" spans="1:14" x14ac:dyDescent="0.25">
      <c r="A1036" s="23" t="s">
        <v>935</v>
      </c>
      <c r="B1036" s="24" t="s">
        <v>317</v>
      </c>
      <c r="C1036" s="23" t="s">
        <v>933</v>
      </c>
      <c r="D1036" s="23">
        <v>105.5</v>
      </c>
      <c r="E1036" s="23">
        <v>105.9</v>
      </c>
      <c r="F1036" s="23">
        <v>0.40000000000000568</v>
      </c>
      <c r="G1036" s="42" t="str">
        <f t="shared" si="35"/>
        <v>RIO/MINAS - PAVIMENTAÇÃO - Decrescente - 105,5 - 105,9 - 0,400000000000006</v>
      </c>
      <c r="N1036" s="23" t="s">
        <v>363</v>
      </c>
    </row>
    <row r="1037" spans="1:14" x14ac:dyDescent="0.25">
      <c r="A1037" s="23" t="s">
        <v>935</v>
      </c>
      <c r="B1037" s="24" t="s">
        <v>317</v>
      </c>
      <c r="C1037" s="23" t="s">
        <v>934</v>
      </c>
      <c r="D1037" s="23">
        <v>3.774</v>
      </c>
      <c r="E1037" s="23">
        <v>4.96</v>
      </c>
      <c r="F1037" s="23">
        <v>1.1859999999999999</v>
      </c>
      <c r="G1037" s="42" t="str">
        <f t="shared" si="35"/>
        <v>RIO/MINAS - PAVIMENTAÇÃO - Crescente - 3,774 - 4,96 - 1,186</v>
      </c>
      <c r="N1037" s="23" t="s">
        <v>363</v>
      </c>
    </row>
    <row r="1038" spans="1:14" x14ac:dyDescent="0.25">
      <c r="A1038" s="23" t="s">
        <v>935</v>
      </c>
      <c r="B1038" s="24" t="s">
        <v>317</v>
      </c>
      <c r="C1038" s="23" t="s">
        <v>934</v>
      </c>
      <c r="D1038" s="23">
        <v>12.15</v>
      </c>
      <c r="E1038" s="23">
        <v>12.525</v>
      </c>
      <c r="F1038" s="23">
        <v>0.375</v>
      </c>
      <c r="G1038" s="42" t="str">
        <f t="shared" si="35"/>
        <v>RIO/MINAS - PAVIMENTAÇÃO - Crescente - 12,15 - 12,525 - 0,375</v>
      </c>
      <c r="N1038" s="23" t="s">
        <v>363</v>
      </c>
    </row>
    <row r="1039" spans="1:14" x14ac:dyDescent="0.25">
      <c r="A1039" s="23" t="s">
        <v>935</v>
      </c>
      <c r="B1039" s="24" t="s">
        <v>317</v>
      </c>
      <c r="C1039" s="23" t="s">
        <v>934</v>
      </c>
      <c r="D1039" s="23">
        <v>12.7</v>
      </c>
      <c r="E1039" s="23">
        <v>14.58</v>
      </c>
      <c r="F1039" s="23">
        <v>1.8800000000000008</v>
      </c>
      <c r="G1039" s="42" t="str">
        <f t="shared" si="35"/>
        <v>RIO/MINAS - PAVIMENTAÇÃO - Crescente - 12,7 - 14,58 - 1,88</v>
      </c>
      <c r="N1039" s="23" t="s">
        <v>363</v>
      </c>
    </row>
    <row r="1040" spans="1:14" x14ac:dyDescent="0.25">
      <c r="A1040" s="23" t="s">
        <v>935</v>
      </c>
      <c r="B1040" s="24" t="s">
        <v>317</v>
      </c>
      <c r="C1040" s="23" t="s">
        <v>933</v>
      </c>
      <c r="D1040" s="23">
        <v>12.8</v>
      </c>
      <c r="E1040" s="23">
        <v>14.18</v>
      </c>
      <c r="F1040" s="23">
        <v>1.379999999999999</v>
      </c>
      <c r="G1040" s="42" t="str">
        <f t="shared" si="35"/>
        <v>RIO/MINAS - PAVIMENTAÇÃO - Decrescente - 12,8 - 14,18 - 1,38</v>
      </c>
      <c r="N1040" s="23" t="s">
        <v>363</v>
      </c>
    </row>
    <row r="1041" spans="1:14" x14ac:dyDescent="0.25">
      <c r="A1041" s="23" t="s">
        <v>935</v>
      </c>
      <c r="B1041" s="24" t="s">
        <v>317</v>
      </c>
      <c r="C1041" s="23" t="s">
        <v>934</v>
      </c>
      <c r="D1041" s="23">
        <v>16.832000000000001</v>
      </c>
      <c r="E1041" s="23">
        <v>17.062999999999999</v>
      </c>
      <c r="F1041" s="23">
        <v>0.2309999999999981</v>
      </c>
      <c r="G1041" s="42" t="str">
        <f t="shared" si="35"/>
        <v>RIO/MINAS - PAVIMENTAÇÃO - Crescente - 16,832 - 17,063 - 0,230999999999998</v>
      </c>
      <c r="N1041" s="23" t="s">
        <v>363</v>
      </c>
    </row>
    <row r="1042" spans="1:14" x14ac:dyDescent="0.25">
      <c r="A1042" s="23" t="s">
        <v>935</v>
      </c>
      <c r="B1042" s="24" t="s">
        <v>317</v>
      </c>
      <c r="C1042" s="23" t="s">
        <v>934</v>
      </c>
      <c r="D1042" s="23">
        <v>17.25</v>
      </c>
      <c r="E1042" s="23">
        <v>18.123999999999999</v>
      </c>
      <c r="F1042" s="23">
        <v>0.87399999999999878</v>
      </c>
      <c r="G1042" s="42" t="str">
        <f t="shared" si="35"/>
        <v>RIO/MINAS - PAVIMENTAÇÃO - Crescente - 17,25 - 18,124 - 0,873999999999999</v>
      </c>
      <c r="N1042" s="23" t="s">
        <v>363</v>
      </c>
    </row>
    <row r="1043" spans="1:14" x14ac:dyDescent="0.25">
      <c r="A1043" s="23" t="s">
        <v>935</v>
      </c>
      <c r="B1043" s="24" t="s">
        <v>317</v>
      </c>
      <c r="C1043" s="23" t="s">
        <v>933</v>
      </c>
      <c r="D1043" s="23">
        <v>17.25</v>
      </c>
      <c r="E1043" s="23">
        <v>18.123999999999999</v>
      </c>
      <c r="F1043" s="23">
        <v>0.87399999999999878</v>
      </c>
      <c r="G1043" s="42" t="str">
        <f t="shared" si="35"/>
        <v>RIO/MINAS - PAVIMENTAÇÃO - Decrescente - 17,25 - 18,124 - 0,873999999999999</v>
      </c>
      <c r="N1043" s="23" t="s">
        <v>363</v>
      </c>
    </row>
    <row r="1044" spans="1:14" x14ac:dyDescent="0.25">
      <c r="A1044" s="23" t="s">
        <v>935</v>
      </c>
      <c r="B1044" s="24" t="s">
        <v>317</v>
      </c>
      <c r="C1044" s="23" t="s">
        <v>934</v>
      </c>
      <c r="D1044" s="23">
        <v>18.440000000000001</v>
      </c>
      <c r="E1044" s="23">
        <v>19</v>
      </c>
      <c r="F1044" s="23">
        <v>0.55999999999999872</v>
      </c>
      <c r="G1044" s="42" t="str">
        <f t="shared" si="35"/>
        <v>RIO/MINAS - PAVIMENTAÇÃO - Crescente - 18,44 - 19 - 0,559999999999999</v>
      </c>
      <c r="N1044" s="23" t="s">
        <v>363</v>
      </c>
    </row>
    <row r="1045" spans="1:14" x14ac:dyDescent="0.25">
      <c r="A1045" s="23" t="s">
        <v>935</v>
      </c>
      <c r="B1045" s="24" t="s">
        <v>317</v>
      </c>
      <c r="C1045" s="23" t="s">
        <v>933</v>
      </c>
      <c r="D1045" s="23">
        <v>18.440000000000001</v>
      </c>
      <c r="E1045" s="23">
        <v>19</v>
      </c>
      <c r="F1045" s="23">
        <v>0.55999999999999872</v>
      </c>
      <c r="G1045" s="42" t="str">
        <f t="shared" si="35"/>
        <v>RIO/MINAS - PAVIMENTAÇÃO - Decrescente - 18,44 - 19 - 0,559999999999999</v>
      </c>
      <c r="N1045" s="23" t="s">
        <v>363</v>
      </c>
    </row>
    <row r="1046" spans="1:14" x14ac:dyDescent="0.25">
      <c r="A1046" s="23" t="s">
        <v>935</v>
      </c>
      <c r="B1046" s="24" t="s">
        <v>317</v>
      </c>
      <c r="C1046" s="23" t="s">
        <v>933</v>
      </c>
      <c r="D1046" s="23">
        <v>77.531999999999996</v>
      </c>
      <c r="E1046" s="23">
        <v>77.965000000000003</v>
      </c>
      <c r="F1046" s="23">
        <v>0.43300000000000693</v>
      </c>
      <c r="G1046" s="42" t="str">
        <f t="shared" si="35"/>
        <v>RIO/MINAS - PAVIMENTAÇÃO - Decrescente - 77,532 - 77,965 - 0,433000000000007</v>
      </c>
      <c r="N1046" s="23" t="s">
        <v>363</v>
      </c>
    </row>
    <row r="1047" spans="1:14" x14ac:dyDescent="0.25">
      <c r="A1047" s="23" t="s">
        <v>935</v>
      </c>
      <c r="B1047" s="24" t="s">
        <v>317</v>
      </c>
      <c r="C1047" s="23" t="s">
        <v>933</v>
      </c>
      <c r="D1047" s="23">
        <v>497.435</v>
      </c>
      <c r="E1047" s="23">
        <v>498.34</v>
      </c>
      <c r="F1047" s="23">
        <v>0.90499999999997272</v>
      </c>
      <c r="G1047" s="42" t="str">
        <f t="shared" si="35"/>
        <v>RIO/MINAS - PAVIMENTAÇÃO - Decrescente - 497,435 - 498,34 - 0,904999999999973</v>
      </c>
      <c r="N1047" s="23" t="s">
        <v>363</v>
      </c>
    </row>
    <row r="1048" spans="1:14" x14ac:dyDescent="0.25">
      <c r="A1048" s="23" t="s">
        <v>935</v>
      </c>
      <c r="B1048" s="24" t="s">
        <v>317</v>
      </c>
      <c r="C1048" s="23" t="s">
        <v>934</v>
      </c>
      <c r="D1048" s="23">
        <v>524.34500000000003</v>
      </c>
      <c r="E1048" s="23">
        <v>526.4</v>
      </c>
      <c r="F1048" s="23">
        <v>2.05499999999995</v>
      </c>
      <c r="G1048" s="42" t="str">
        <f t="shared" si="35"/>
        <v>RIO/MINAS - PAVIMENTAÇÃO - Crescente - 524,345 - 526,4 - 2,05499999999995</v>
      </c>
      <c r="N1048" s="23" t="s">
        <v>363</v>
      </c>
    </row>
    <row r="1049" spans="1:14" x14ac:dyDescent="0.25">
      <c r="A1049" s="23" t="s">
        <v>935</v>
      </c>
      <c r="B1049" s="24" t="s">
        <v>317</v>
      </c>
      <c r="C1049" s="23" t="s">
        <v>933</v>
      </c>
      <c r="D1049" s="23">
        <v>524.86500000000001</v>
      </c>
      <c r="E1049" s="23">
        <v>525.81500000000005</v>
      </c>
      <c r="F1049" s="23">
        <v>0.95000000000004547</v>
      </c>
      <c r="G1049" s="42" t="str">
        <f t="shared" si="35"/>
        <v>RIO/MINAS - PAVIMENTAÇÃO - Decrescente - 524,865 - 525,815 - 0,950000000000045</v>
      </c>
      <c r="N1049" s="23" t="s">
        <v>363</v>
      </c>
    </row>
    <row r="1050" spans="1:14" x14ac:dyDescent="0.25">
      <c r="A1050" s="23" t="s">
        <v>935</v>
      </c>
      <c r="B1050" s="24" t="s">
        <v>317</v>
      </c>
      <c r="C1050" s="23" t="s">
        <v>934</v>
      </c>
      <c r="D1050" s="23">
        <v>528.23500000000001</v>
      </c>
      <c r="E1050" s="23">
        <v>529.5</v>
      </c>
      <c r="F1050" s="23">
        <v>1.2649999999999864</v>
      </c>
      <c r="G1050" s="42" t="str">
        <f t="shared" si="35"/>
        <v>RIO/MINAS - PAVIMENTAÇÃO - Crescente - 528,235 - 529,5 - 1,26499999999999</v>
      </c>
      <c r="N1050" s="23" t="s">
        <v>363</v>
      </c>
    </row>
    <row r="1051" spans="1:14" x14ac:dyDescent="0.25">
      <c r="A1051" s="23" t="s">
        <v>935</v>
      </c>
      <c r="B1051" s="24" t="s">
        <v>317</v>
      </c>
      <c r="C1051" s="23" t="s">
        <v>933</v>
      </c>
      <c r="D1051" s="23">
        <v>528.23500000000001</v>
      </c>
      <c r="E1051" s="23">
        <v>529.5</v>
      </c>
      <c r="F1051" s="23">
        <v>1.2649999999999864</v>
      </c>
      <c r="G1051" s="42" t="str">
        <f t="shared" si="35"/>
        <v>RIO/MINAS - PAVIMENTAÇÃO - Decrescente - 528,235 - 529,5 - 1,26499999999999</v>
      </c>
      <c r="N1051" s="23" t="s">
        <v>363</v>
      </c>
    </row>
    <row r="1052" spans="1:14" x14ac:dyDescent="0.25">
      <c r="A1052" s="23" t="s">
        <v>935</v>
      </c>
      <c r="B1052" s="24" t="s">
        <v>317</v>
      </c>
      <c r="C1052" s="23" t="s">
        <v>933</v>
      </c>
      <c r="D1052" s="23">
        <v>529.5</v>
      </c>
      <c r="E1052" s="23">
        <v>530.04999999999995</v>
      </c>
      <c r="F1052" s="23">
        <v>0.54999999999995453</v>
      </c>
      <c r="G1052" s="42" t="str">
        <f t="shared" si="35"/>
        <v>RIO/MINAS - PAVIMENTAÇÃO - Decrescente - 529,5 - 530,05 - 0,549999999999955</v>
      </c>
      <c r="N1052" s="23" t="s">
        <v>363</v>
      </c>
    </row>
    <row r="1053" spans="1:14" x14ac:dyDescent="0.25">
      <c r="A1053" s="23" t="s">
        <v>935</v>
      </c>
      <c r="B1053" s="24" t="s">
        <v>317</v>
      </c>
      <c r="C1053" s="23" t="s">
        <v>934</v>
      </c>
      <c r="D1053" s="23">
        <v>529.5</v>
      </c>
      <c r="E1053" s="23">
        <v>530.15</v>
      </c>
      <c r="F1053" s="23">
        <v>0.64999999999997726</v>
      </c>
      <c r="G1053" s="42" t="str">
        <f t="shared" si="35"/>
        <v>RIO/MINAS - PAVIMENTAÇÃO - Crescente - 529,5 - 530,15 - 0,649999999999977</v>
      </c>
      <c r="N1053" s="23" t="s">
        <v>363</v>
      </c>
    </row>
    <row r="1054" spans="1:14" x14ac:dyDescent="0.25">
      <c r="A1054" s="23" t="s">
        <v>935</v>
      </c>
      <c r="B1054" s="24" t="s">
        <v>317</v>
      </c>
      <c r="C1054" s="23" t="s">
        <v>934</v>
      </c>
      <c r="D1054" s="23">
        <v>537</v>
      </c>
      <c r="E1054" s="23">
        <v>538.61500000000001</v>
      </c>
      <c r="F1054" s="23">
        <v>1.6150000000000091</v>
      </c>
      <c r="G1054" s="42" t="str">
        <f t="shared" si="35"/>
        <v>RIO/MINAS - PAVIMENTAÇÃO - Crescente - 537 - 538,615 - 1,61500000000001</v>
      </c>
      <c r="N1054" s="23" t="s">
        <v>363</v>
      </c>
    </row>
    <row r="1055" spans="1:14" x14ac:dyDescent="0.25">
      <c r="A1055" s="23" t="s">
        <v>935</v>
      </c>
      <c r="B1055" s="24" t="s">
        <v>317</v>
      </c>
      <c r="C1055" s="23" t="s">
        <v>933</v>
      </c>
      <c r="D1055" s="23">
        <v>537.46</v>
      </c>
      <c r="E1055" s="23">
        <v>538.61500000000001</v>
      </c>
      <c r="F1055" s="23">
        <v>1.1549999999999727</v>
      </c>
      <c r="G1055" s="42" t="str">
        <f t="shared" si="35"/>
        <v>RIO/MINAS - PAVIMENTAÇÃO - Decrescente - 537,46 - 538,615 - 1,15499999999997</v>
      </c>
      <c r="N1055" s="23" t="s">
        <v>363</v>
      </c>
    </row>
    <row r="1056" spans="1:14" x14ac:dyDescent="0.25">
      <c r="A1056" s="23" t="s">
        <v>935</v>
      </c>
      <c r="B1056" s="24" t="s">
        <v>317</v>
      </c>
      <c r="C1056" s="23" t="s">
        <v>933</v>
      </c>
      <c r="D1056" s="23">
        <v>650.64499999999998</v>
      </c>
      <c r="E1056" s="23">
        <v>652.5</v>
      </c>
      <c r="F1056" s="23">
        <v>1.8550000000000182</v>
      </c>
      <c r="G1056" s="42" t="str">
        <f t="shared" si="35"/>
        <v>RIO/MINAS - PAVIMENTAÇÃO - Decrescente - 650,645 - 652,5 - 1,85500000000002</v>
      </c>
      <c r="N1056" s="23" t="s">
        <v>363</v>
      </c>
    </row>
    <row r="1057" spans="1:14" x14ac:dyDescent="0.25">
      <c r="A1057" s="23" t="s">
        <v>935</v>
      </c>
      <c r="B1057" s="24" t="s">
        <v>317</v>
      </c>
      <c r="C1057" s="23" t="s">
        <v>934</v>
      </c>
      <c r="D1057" s="23">
        <v>650.96</v>
      </c>
      <c r="E1057" s="23">
        <v>652.20500000000004</v>
      </c>
      <c r="F1057" s="23">
        <v>1.2450000000000045</v>
      </c>
      <c r="G1057" s="42" t="str">
        <f t="shared" si="35"/>
        <v>RIO/MINAS - PAVIMENTAÇÃO - Crescente - 650,96 - 652,205 - 1,245</v>
      </c>
      <c r="N1057" s="23" t="s">
        <v>363</v>
      </c>
    </row>
    <row r="1058" spans="1:14" x14ac:dyDescent="0.25">
      <c r="A1058" s="23" t="s">
        <v>935</v>
      </c>
      <c r="B1058" s="24" t="s">
        <v>317</v>
      </c>
      <c r="C1058" s="23" t="s">
        <v>934</v>
      </c>
      <c r="D1058" s="23">
        <v>672.95500000000004</v>
      </c>
      <c r="E1058" s="23">
        <v>673.29</v>
      </c>
      <c r="F1058" s="23">
        <v>0.33499999999992269</v>
      </c>
      <c r="G1058" s="42" t="str">
        <f t="shared" si="35"/>
        <v>RIO/MINAS - PAVIMENTAÇÃO - Crescente - 672,955 - 673,29 - 0,334999999999923</v>
      </c>
      <c r="N1058" s="23" t="s">
        <v>363</v>
      </c>
    </row>
    <row r="1059" spans="1:14" x14ac:dyDescent="0.25">
      <c r="A1059" s="23" t="s">
        <v>935</v>
      </c>
      <c r="B1059" s="24" t="s">
        <v>317</v>
      </c>
      <c r="C1059" s="23" t="s">
        <v>934</v>
      </c>
      <c r="D1059" s="23">
        <v>766.4</v>
      </c>
      <c r="E1059" s="23">
        <v>767</v>
      </c>
      <c r="F1059" s="23">
        <v>0.60000000000002274</v>
      </c>
      <c r="G1059" s="42" t="str">
        <f t="shared" si="35"/>
        <v>RIO/MINAS - PAVIMENTAÇÃO - Crescente - 766,4 - 767 - 0,600000000000023</v>
      </c>
      <c r="N1059" s="23" t="s">
        <v>363</v>
      </c>
    </row>
    <row r="1060" spans="1:14" x14ac:dyDescent="0.25">
      <c r="A1060" s="23" t="s">
        <v>935</v>
      </c>
      <c r="B1060" s="24" t="s">
        <v>317</v>
      </c>
      <c r="C1060" s="23" t="s">
        <v>933</v>
      </c>
      <c r="D1060" s="23">
        <v>767.91</v>
      </c>
      <c r="E1060" s="23">
        <v>769.46500000000003</v>
      </c>
      <c r="F1060" s="23">
        <v>1.5550000000000637</v>
      </c>
      <c r="G1060" s="42" t="str">
        <f t="shared" si="35"/>
        <v>RIO/MINAS - PAVIMENTAÇÃO - Decrescente - 767,91 - 769,465 - 1,55500000000006</v>
      </c>
      <c r="N1060" s="23" t="s">
        <v>363</v>
      </c>
    </row>
    <row r="1061" spans="1:14" x14ac:dyDescent="0.25">
      <c r="A1061" s="23" t="s">
        <v>935</v>
      </c>
      <c r="B1061" s="24" t="s">
        <v>317</v>
      </c>
      <c r="C1061" s="23" t="s">
        <v>934</v>
      </c>
      <c r="D1061" s="23">
        <v>768.54</v>
      </c>
      <c r="E1061" s="23">
        <v>770.75</v>
      </c>
      <c r="F1061" s="23">
        <v>2.2100000000000364</v>
      </c>
      <c r="G1061" s="42" t="str">
        <f t="shared" si="35"/>
        <v>RIO/MINAS - PAVIMENTAÇÃO - Crescente - 768,54 - 770,75 - 2,21000000000004</v>
      </c>
      <c r="N1061" s="23" t="s">
        <v>363</v>
      </c>
    </row>
    <row r="1062" spans="1:14" x14ac:dyDescent="0.25">
      <c r="A1062" s="23" t="s">
        <v>349</v>
      </c>
      <c r="B1062" s="24" t="s">
        <v>317</v>
      </c>
      <c r="C1062" s="23" t="s">
        <v>380</v>
      </c>
      <c r="D1062" s="23">
        <v>56.29</v>
      </c>
      <c r="E1062" s="23">
        <v>60.24</v>
      </c>
      <c r="F1062" s="23">
        <v>3.9500000000000028</v>
      </c>
      <c r="G1062" s="42" t="str">
        <f t="shared" si="35"/>
        <v>RIO/SP - PAVIMENTAÇÃO - Direito - 56,29 - 60,24 - 3,95</v>
      </c>
      <c r="N1062" s="23" t="s">
        <v>363</v>
      </c>
    </row>
    <row r="1063" spans="1:14" x14ac:dyDescent="0.25">
      <c r="A1063" s="23" t="s">
        <v>349</v>
      </c>
      <c r="B1063" s="24" t="s">
        <v>317</v>
      </c>
      <c r="C1063" s="23" t="s">
        <v>381</v>
      </c>
      <c r="D1063" s="23">
        <v>57.92</v>
      </c>
      <c r="E1063" s="23">
        <v>60.12</v>
      </c>
      <c r="F1063" s="23">
        <v>2.1999999999999957</v>
      </c>
      <c r="G1063" s="42" t="str">
        <f t="shared" si="35"/>
        <v>RIO/SP - PAVIMENTAÇÃO - Esquerdo - 57,92 - 60,12 - 2,2</v>
      </c>
      <c r="N1063" s="23" t="s">
        <v>363</v>
      </c>
    </row>
    <row r="1064" spans="1:14" x14ac:dyDescent="0.25">
      <c r="A1064" s="23" t="s">
        <v>349</v>
      </c>
      <c r="B1064" s="24" t="s">
        <v>317</v>
      </c>
      <c r="C1064" s="23" t="s">
        <v>381</v>
      </c>
      <c r="D1064" s="23">
        <v>104.96</v>
      </c>
      <c r="E1064" s="23">
        <v>109.07</v>
      </c>
      <c r="F1064" s="23">
        <v>4.1099999999999994</v>
      </c>
      <c r="G1064" s="42" t="str">
        <f t="shared" si="35"/>
        <v>RIO/SP - PAVIMENTAÇÃO - Esquerdo - 104,96 - 109,07 - 4,11</v>
      </c>
      <c r="N1064" s="23" t="s">
        <v>363</v>
      </c>
    </row>
    <row r="1065" spans="1:14" x14ac:dyDescent="0.25">
      <c r="A1065" s="23" t="s">
        <v>349</v>
      </c>
      <c r="B1065" s="24" t="s">
        <v>317</v>
      </c>
      <c r="C1065" s="23" t="s">
        <v>380</v>
      </c>
      <c r="D1065" s="23">
        <v>105</v>
      </c>
      <c r="E1065" s="23">
        <v>109.12</v>
      </c>
      <c r="F1065" s="23">
        <v>4.1200000000000045</v>
      </c>
      <c r="G1065" s="42" t="str">
        <f t="shared" si="35"/>
        <v>RIO/SP - PAVIMENTAÇÃO - Direito - 105 - 109,12 - 4,12</v>
      </c>
      <c r="N1065" s="23" t="s">
        <v>363</v>
      </c>
    </row>
    <row r="1066" spans="1:14" x14ac:dyDescent="0.25">
      <c r="A1066" s="23" t="s">
        <v>349</v>
      </c>
      <c r="B1066" s="24" t="s">
        <v>317</v>
      </c>
      <c r="C1066" s="23" t="s">
        <v>381</v>
      </c>
      <c r="D1066" s="23">
        <v>109.49</v>
      </c>
      <c r="E1066" s="23">
        <v>117.49</v>
      </c>
      <c r="F1066" s="23">
        <v>8</v>
      </c>
      <c r="G1066" s="42" t="str">
        <f t="shared" si="35"/>
        <v>RIO/SP - PAVIMENTAÇÃO - Esquerdo - 109,49 - 117,49 - 8</v>
      </c>
      <c r="N1066" s="23" t="s">
        <v>363</v>
      </c>
    </row>
    <row r="1067" spans="1:14" x14ac:dyDescent="0.25">
      <c r="A1067" s="23" t="s">
        <v>349</v>
      </c>
      <c r="B1067" s="24" t="s">
        <v>317</v>
      </c>
      <c r="C1067" s="23" t="s">
        <v>380</v>
      </c>
      <c r="D1067" s="23">
        <v>109.6</v>
      </c>
      <c r="E1067" s="23">
        <v>117.33</v>
      </c>
      <c r="F1067" s="23">
        <v>7.730000000000004</v>
      </c>
      <c r="G1067" s="42" t="str">
        <f t="shared" si="35"/>
        <v>RIO/SP - PAVIMENTAÇÃO - Direito - 109,6 - 117,33 - 7,73</v>
      </c>
      <c r="N1067" s="23" t="s">
        <v>363</v>
      </c>
    </row>
    <row r="1068" spans="1:14" x14ac:dyDescent="0.25">
      <c r="A1068" s="23" t="s">
        <v>349</v>
      </c>
      <c r="B1068" s="24" t="s">
        <v>317</v>
      </c>
      <c r="C1068" s="23" t="s">
        <v>381</v>
      </c>
      <c r="D1068" s="23">
        <v>68.27</v>
      </c>
      <c r="E1068" s="23">
        <v>68.64</v>
      </c>
      <c r="F1068" s="23">
        <v>0.37000000000000455</v>
      </c>
      <c r="G1068" s="42" t="str">
        <f t="shared" si="35"/>
        <v>RIO/SP - PAVIMENTAÇÃO - Esquerdo - 68,27 - 68,64 - 0,370000000000005</v>
      </c>
      <c r="N1068" s="23" t="s">
        <v>363</v>
      </c>
    </row>
    <row r="1069" spans="1:14" x14ac:dyDescent="0.25">
      <c r="A1069" s="23" t="s">
        <v>349</v>
      </c>
      <c r="B1069" s="24" t="s">
        <v>317</v>
      </c>
      <c r="C1069" s="23" t="s">
        <v>381</v>
      </c>
      <c r="D1069" s="23">
        <v>198.95</v>
      </c>
      <c r="E1069" s="23">
        <v>204.03</v>
      </c>
      <c r="F1069" s="23">
        <v>5.0800000000000125</v>
      </c>
      <c r="G1069" s="42" t="str">
        <f t="shared" si="35"/>
        <v>RIO/SP - PAVIMENTAÇÃO - Esquerdo - 198,95 - 204,03 - 5,08000000000001</v>
      </c>
      <c r="N1069" s="23" t="s">
        <v>363</v>
      </c>
    </row>
    <row r="1070" spans="1:14" x14ac:dyDescent="0.25">
      <c r="A1070" s="23" t="s">
        <v>349</v>
      </c>
      <c r="B1070" s="24" t="s">
        <v>317</v>
      </c>
      <c r="C1070" s="23" t="s">
        <v>380</v>
      </c>
      <c r="D1070" s="23">
        <v>199.17</v>
      </c>
      <c r="E1070" s="23">
        <v>203.77</v>
      </c>
      <c r="F1070" s="23">
        <v>4.6000000000000227</v>
      </c>
      <c r="G1070" s="42" t="str">
        <f t="shared" si="35"/>
        <v>RIO/SP - PAVIMENTAÇÃO - Direito - 199,17 - 203,77 - 4,60000000000002</v>
      </c>
      <c r="N1070" s="23" t="s">
        <v>363</v>
      </c>
    </row>
    <row r="1071" spans="1:14" x14ac:dyDescent="0.25">
      <c r="A1071" s="23" t="s">
        <v>349</v>
      </c>
      <c r="B1071" s="24" t="s">
        <v>317</v>
      </c>
      <c r="C1071" s="23" t="s">
        <v>946</v>
      </c>
      <c r="D1071" s="23">
        <v>218</v>
      </c>
      <c r="E1071" s="23">
        <v>226</v>
      </c>
      <c r="F1071" s="23">
        <v>8</v>
      </c>
      <c r="G1071" s="42" t="str">
        <f t="shared" si="35"/>
        <v>RIO/SP - PAVIMENTAÇÃO - Serra das Araras (Nova Pista Subida) - 218 - 226 - 8</v>
      </c>
      <c r="N1071" s="23" t="s">
        <v>363</v>
      </c>
    </row>
    <row r="1072" spans="1:14" x14ac:dyDescent="0.25">
      <c r="A1072" s="23" t="s">
        <v>349</v>
      </c>
      <c r="B1072" s="24" t="s">
        <v>317</v>
      </c>
      <c r="C1072" s="23" t="s">
        <v>380</v>
      </c>
      <c r="D1072" s="23">
        <v>217.75</v>
      </c>
      <c r="E1072" s="23">
        <v>218.66</v>
      </c>
      <c r="F1072" s="23">
        <v>0.90999999999999659</v>
      </c>
      <c r="G1072" s="42" t="str">
        <f t="shared" si="35"/>
        <v>RIO/SP - PAVIMENTAÇÃO - Direito - 217,75 - 218,66 - 0,909999999999997</v>
      </c>
      <c r="N1072" s="23" t="s">
        <v>363</v>
      </c>
    </row>
    <row r="1073" spans="1:14" x14ac:dyDescent="0.25">
      <c r="A1073" s="23" t="s">
        <v>349</v>
      </c>
      <c r="B1073" s="24" t="s">
        <v>317</v>
      </c>
      <c r="C1073" s="23" t="s">
        <v>381</v>
      </c>
      <c r="D1073" s="23">
        <v>234.67</v>
      </c>
      <c r="E1073" s="23">
        <v>235.64</v>
      </c>
      <c r="F1073" s="23">
        <v>0.96999999999999886</v>
      </c>
      <c r="G1073" s="42" t="str">
        <f t="shared" si="35"/>
        <v>RIO/SP - PAVIMENTAÇÃO - Esquerdo - 234,67 - 235,64 - 0,969999999999999</v>
      </c>
      <c r="N1073" s="23" t="s">
        <v>363</v>
      </c>
    </row>
    <row r="1074" spans="1:14" x14ac:dyDescent="0.25">
      <c r="A1074" s="23" t="s">
        <v>349</v>
      </c>
      <c r="B1074" s="24" t="s">
        <v>317</v>
      </c>
      <c r="C1074" s="23" t="s">
        <v>380</v>
      </c>
      <c r="D1074" s="23">
        <v>255.85</v>
      </c>
      <c r="E1074" s="23">
        <v>257.05</v>
      </c>
      <c r="F1074" s="23">
        <v>1.2000000000000171</v>
      </c>
      <c r="G1074" s="42" t="str">
        <f t="shared" si="35"/>
        <v>RIO/SP - PAVIMENTAÇÃO - Direito - 255,85 - 257,05 - 1,20000000000002</v>
      </c>
      <c r="N1074" s="23" t="s">
        <v>363</v>
      </c>
    </row>
    <row r="1075" spans="1:14" x14ac:dyDescent="0.25">
      <c r="A1075" s="23" t="s">
        <v>349</v>
      </c>
      <c r="B1075" s="24" t="s">
        <v>317</v>
      </c>
      <c r="C1075" s="23" t="s">
        <v>380</v>
      </c>
      <c r="D1075" s="23">
        <v>266.7</v>
      </c>
      <c r="E1075" s="23">
        <v>269</v>
      </c>
      <c r="F1075" s="23">
        <v>2.3000000000000114</v>
      </c>
      <c r="G1075" s="42" t="str">
        <f t="shared" si="35"/>
        <v>RIO/SP - PAVIMENTAÇÃO - Direito - 266,7 - 269 - 2,30000000000001</v>
      </c>
      <c r="N1075" s="23" t="s">
        <v>363</v>
      </c>
    </row>
    <row r="1076" spans="1:14" x14ac:dyDescent="0.25">
      <c r="A1076" s="23" t="s">
        <v>349</v>
      </c>
      <c r="B1076" s="24" t="s">
        <v>317</v>
      </c>
      <c r="C1076" s="23" t="s">
        <v>380</v>
      </c>
      <c r="D1076" s="23">
        <v>269</v>
      </c>
      <c r="E1076" s="23">
        <v>270.19</v>
      </c>
      <c r="F1076" s="23">
        <v>1.1899999999999977</v>
      </c>
      <c r="G1076" s="42" t="str">
        <f t="shared" si="35"/>
        <v>RIO/SP - PAVIMENTAÇÃO - Direito - 269 - 270,19 - 1,19</v>
      </c>
      <c r="N1076" s="23" t="s">
        <v>363</v>
      </c>
    </row>
    <row r="1077" spans="1:14" x14ac:dyDescent="0.25">
      <c r="A1077" s="23" t="s">
        <v>349</v>
      </c>
      <c r="B1077" s="24" t="s">
        <v>317</v>
      </c>
      <c r="C1077" s="23" t="s">
        <v>381</v>
      </c>
      <c r="D1077" s="23">
        <v>267.45</v>
      </c>
      <c r="E1077" s="23">
        <v>269</v>
      </c>
      <c r="F1077" s="23">
        <v>1.5500000000000114</v>
      </c>
      <c r="G1077" s="42" t="str">
        <f t="shared" si="35"/>
        <v>RIO/SP - PAVIMENTAÇÃO - Esquerdo - 267,45 - 269 - 1,55000000000001</v>
      </c>
      <c r="N1077" s="23" t="s">
        <v>363</v>
      </c>
    </row>
    <row r="1078" spans="1:14" x14ac:dyDescent="0.25">
      <c r="A1078" s="23" t="s">
        <v>349</v>
      </c>
      <c r="B1078" s="24" t="s">
        <v>317</v>
      </c>
      <c r="C1078" s="23" t="s">
        <v>381</v>
      </c>
      <c r="D1078" s="23">
        <v>269</v>
      </c>
      <c r="E1078" s="23">
        <v>270.13</v>
      </c>
      <c r="F1078" s="23">
        <v>1.1299999999999955</v>
      </c>
      <c r="G1078" s="42" t="str">
        <f t="shared" si="35"/>
        <v>RIO/SP - PAVIMENTAÇÃO - Esquerdo - 269 - 270,13 - 1,13</v>
      </c>
      <c r="N1078" s="23" t="s">
        <v>363</v>
      </c>
    </row>
    <row r="1079" spans="1:14" x14ac:dyDescent="0.25">
      <c r="A1079" s="23" t="s">
        <v>349</v>
      </c>
      <c r="B1079" s="24" t="s">
        <v>317</v>
      </c>
      <c r="C1079" s="23" t="s">
        <v>381</v>
      </c>
      <c r="D1079" s="23">
        <v>270.13</v>
      </c>
      <c r="E1079" s="23">
        <v>270.79000000000002</v>
      </c>
      <c r="F1079" s="23">
        <v>0.66000000000002501</v>
      </c>
      <c r="G1079" s="42" t="str">
        <f t="shared" si="35"/>
        <v>RIO/SP - PAVIMENTAÇÃO - Esquerdo - 270,13 - 270,79 - 0,660000000000025</v>
      </c>
      <c r="N1079" s="23" t="s">
        <v>363</v>
      </c>
    </row>
    <row r="1080" spans="1:14" x14ac:dyDescent="0.25">
      <c r="A1080" s="23" t="s">
        <v>349</v>
      </c>
      <c r="B1080" s="24" t="s">
        <v>317</v>
      </c>
      <c r="C1080" s="23" t="s">
        <v>380</v>
      </c>
      <c r="D1080" s="23">
        <v>304.89999999999998</v>
      </c>
      <c r="E1080" s="23">
        <v>307.10000000000002</v>
      </c>
      <c r="F1080" s="23">
        <v>2.2000000000000455</v>
      </c>
      <c r="G1080" s="42" t="str">
        <f t="shared" si="35"/>
        <v>RIO/SP - PAVIMENTAÇÃO - Direito - 304,9 - 307,1 - 2,20000000000005</v>
      </c>
      <c r="N1080" s="23" t="s">
        <v>363</v>
      </c>
    </row>
    <row r="1081" spans="1:14" x14ac:dyDescent="0.25">
      <c r="A1081" s="23" t="s">
        <v>349</v>
      </c>
      <c r="B1081" s="24" t="s">
        <v>317</v>
      </c>
      <c r="C1081" s="23" t="s">
        <v>380</v>
      </c>
      <c r="D1081" s="23">
        <v>307.5</v>
      </c>
      <c r="E1081" s="23">
        <v>309.38</v>
      </c>
      <c r="F1081" s="23">
        <v>1.8799999999999955</v>
      </c>
      <c r="G1081" s="42" t="str">
        <f t="shared" si="35"/>
        <v>RIO/SP - PAVIMENTAÇÃO - Direito - 307,5 - 309,38 - 1,88</v>
      </c>
      <c r="N1081" s="23" t="s">
        <v>363</v>
      </c>
    </row>
    <row r="1082" spans="1:14" x14ac:dyDescent="0.25">
      <c r="A1082" s="23" t="s">
        <v>349</v>
      </c>
      <c r="B1082" s="24" t="s">
        <v>317</v>
      </c>
      <c r="C1082" s="23" t="s">
        <v>380</v>
      </c>
      <c r="D1082" s="23">
        <v>288.3</v>
      </c>
      <c r="E1082" s="23">
        <v>290</v>
      </c>
      <c r="F1082" s="23">
        <v>1.6999999999999886</v>
      </c>
      <c r="G1082" s="42" t="str">
        <f t="shared" si="35"/>
        <v>RIO/SP - PAVIMENTAÇÃO - Direito - 288,3 - 290 - 1,69999999999999</v>
      </c>
      <c r="N1082" s="23" t="s">
        <v>363</v>
      </c>
    </row>
    <row r="1083" spans="1:14" x14ac:dyDescent="0.25">
      <c r="A1083" s="23" t="s">
        <v>349</v>
      </c>
      <c r="B1083" s="24" t="s">
        <v>317</v>
      </c>
      <c r="C1083" s="23" t="s">
        <v>380</v>
      </c>
      <c r="D1083" s="23">
        <v>314.24</v>
      </c>
      <c r="E1083" s="23">
        <v>315.24</v>
      </c>
      <c r="F1083" s="23">
        <v>1</v>
      </c>
      <c r="G1083" s="42" t="str">
        <f t="shared" si="35"/>
        <v>RIO/SP - PAVIMENTAÇÃO - Direito - 314,24 - 315,24 - 1</v>
      </c>
      <c r="N1083" s="23" t="s">
        <v>363</v>
      </c>
    </row>
    <row r="1084" spans="1:14" x14ac:dyDescent="0.25">
      <c r="A1084" s="23" t="s">
        <v>349</v>
      </c>
      <c r="B1084" s="24" t="s">
        <v>317</v>
      </c>
      <c r="C1084" s="23" t="s">
        <v>381</v>
      </c>
      <c r="D1084" s="23">
        <v>314.29000000000002</v>
      </c>
      <c r="E1084" s="23">
        <v>315.17</v>
      </c>
      <c r="F1084" s="23">
        <v>0.87999999999999545</v>
      </c>
      <c r="G1084" s="42" t="str">
        <f t="shared" si="35"/>
        <v>RIO/SP - PAVIMENTAÇÃO - Esquerdo - 314,29 - 315,17 - 0,879999999999995</v>
      </c>
      <c r="N1084" s="23" t="s">
        <v>363</v>
      </c>
    </row>
    <row r="1085" spans="1:14" x14ac:dyDescent="0.25">
      <c r="A1085" s="23" t="s">
        <v>349</v>
      </c>
      <c r="B1085" s="24" t="s">
        <v>317</v>
      </c>
      <c r="C1085" s="23" t="s">
        <v>381</v>
      </c>
      <c r="D1085" s="23">
        <v>315.5</v>
      </c>
      <c r="E1085" s="23">
        <v>317.20999999999998</v>
      </c>
      <c r="F1085" s="23">
        <v>1.7099999999999795</v>
      </c>
      <c r="G1085" s="42" t="str">
        <f t="shared" si="35"/>
        <v>RIO/SP - PAVIMENTAÇÃO - Esquerdo - 315,5 - 317,21 - 1,70999999999998</v>
      </c>
      <c r="N1085" s="23" t="s">
        <v>363</v>
      </c>
    </row>
    <row r="1086" spans="1:14" x14ac:dyDescent="0.25">
      <c r="A1086" s="23" t="s">
        <v>349</v>
      </c>
      <c r="B1086" s="24" t="s">
        <v>317</v>
      </c>
      <c r="C1086" s="23" t="s">
        <v>380</v>
      </c>
      <c r="D1086" s="23">
        <v>315.64999999999998</v>
      </c>
      <c r="E1086" s="23">
        <v>317.20999999999998</v>
      </c>
      <c r="F1086" s="23">
        <v>1.5600000000000023</v>
      </c>
      <c r="G1086" s="42" t="str">
        <f t="shared" ref="G1086:G1149" si="36">_xlfn.TEXTJOIN(" - ",TRUE,A1086:F1086)</f>
        <v>RIO/SP - PAVIMENTAÇÃO - Direito - 315,65 - 317,21 - 1,56</v>
      </c>
      <c r="N1086" s="23" t="s">
        <v>363</v>
      </c>
    </row>
    <row r="1087" spans="1:14" x14ac:dyDescent="0.25">
      <c r="A1087" s="23" t="s">
        <v>349</v>
      </c>
      <c r="B1087" s="24" t="s">
        <v>317</v>
      </c>
      <c r="C1087" s="23" t="s">
        <v>380</v>
      </c>
      <c r="D1087" s="23">
        <v>322</v>
      </c>
      <c r="E1087" s="23">
        <v>322.75</v>
      </c>
      <c r="F1087" s="23">
        <v>0.75</v>
      </c>
      <c r="G1087" s="42" t="str">
        <f t="shared" si="36"/>
        <v>RIO/SP - PAVIMENTAÇÃO - Direito - 322 - 322,75 - 0,75</v>
      </c>
      <c r="N1087" s="23" t="s">
        <v>363</v>
      </c>
    </row>
    <row r="1088" spans="1:14" x14ac:dyDescent="0.25">
      <c r="A1088" s="23" t="s">
        <v>349</v>
      </c>
      <c r="B1088" s="24" t="s">
        <v>317</v>
      </c>
      <c r="C1088" s="23" t="s">
        <v>380</v>
      </c>
      <c r="D1088" s="23">
        <v>328.91</v>
      </c>
      <c r="E1088" s="23">
        <v>330.41</v>
      </c>
      <c r="F1088" s="23">
        <v>1.5</v>
      </c>
      <c r="G1088" s="42" t="str">
        <f t="shared" si="36"/>
        <v>RIO/SP - PAVIMENTAÇÃO - Direito - 328,91 - 330,41 - 1,5</v>
      </c>
      <c r="N1088" s="23" t="s">
        <v>363</v>
      </c>
    </row>
    <row r="1089" spans="1:14" x14ac:dyDescent="0.25">
      <c r="A1089" s="23" t="s">
        <v>349</v>
      </c>
      <c r="B1089" s="24" t="s">
        <v>317</v>
      </c>
      <c r="C1089" s="23" t="s">
        <v>381</v>
      </c>
      <c r="D1089" s="23">
        <v>410</v>
      </c>
      <c r="E1089" s="23">
        <v>411.8</v>
      </c>
      <c r="F1089" s="23">
        <v>1.8000000000000114</v>
      </c>
      <c r="G1089" s="42" t="str">
        <f t="shared" si="36"/>
        <v>RIO/SP - PAVIMENTAÇÃO - Esquerdo - 410 - 411,8 - 1,80000000000001</v>
      </c>
      <c r="N1089" s="23" t="s">
        <v>363</v>
      </c>
    </row>
    <row r="1090" spans="1:14" x14ac:dyDescent="0.25">
      <c r="A1090" s="23" t="s">
        <v>349</v>
      </c>
      <c r="B1090" s="24" t="s">
        <v>317</v>
      </c>
      <c r="C1090" s="23" t="s">
        <v>381</v>
      </c>
      <c r="D1090" s="23">
        <v>413.3</v>
      </c>
      <c r="E1090" s="23">
        <v>414.5</v>
      </c>
      <c r="F1090" s="23">
        <v>1.1999999999999886</v>
      </c>
      <c r="G1090" s="42" t="str">
        <f t="shared" si="36"/>
        <v>RIO/SP - PAVIMENTAÇÃO - Esquerdo - 413,3 - 414,5 - 1,19999999999999</v>
      </c>
      <c r="N1090" s="23" t="s">
        <v>363</v>
      </c>
    </row>
    <row r="1091" spans="1:14" x14ac:dyDescent="0.25">
      <c r="A1091" s="23" t="s">
        <v>349</v>
      </c>
      <c r="B1091" s="24" t="s">
        <v>317</v>
      </c>
      <c r="C1091" s="23" t="s">
        <v>381</v>
      </c>
      <c r="D1091" s="23">
        <v>407.75</v>
      </c>
      <c r="E1091" s="23">
        <v>407.57</v>
      </c>
      <c r="F1091" s="23">
        <v>0.18000000000000682</v>
      </c>
      <c r="G1091" s="42" t="str">
        <f t="shared" si="36"/>
        <v>RIO/SP - PAVIMENTAÇÃO - Esquerdo - 407,75 - 407,57 - 0,180000000000007</v>
      </c>
      <c r="N1091" s="23" t="s">
        <v>363</v>
      </c>
    </row>
    <row r="1092" spans="1:14" x14ac:dyDescent="0.25">
      <c r="A1092" s="23" t="s">
        <v>349</v>
      </c>
      <c r="B1092" s="24" t="s">
        <v>317</v>
      </c>
      <c r="C1092" s="23" t="s">
        <v>381</v>
      </c>
      <c r="D1092" s="23">
        <v>406.85</v>
      </c>
      <c r="E1092" s="23">
        <v>406.45</v>
      </c>
      <c r="F1092" s="23">
        <v>0.40000000000003411</v>
      </c>
      <c r="G1092" s="42" t="str">
        <f t="shared" si="36"/>
        <v>RIO/SP - PAVIMENTAÇÃO - Esquerdo - 406,85 - 406,45 - 0,400000000000034</v>
      </c>
      <c r="N1092" s="23" t="s">
        <v>363</v>
      </c>
    </row>
    <row r="1093" spans="1:14" x14ac:dyDescent="0.25">
      <c r="A1093" s="23" t="s">
        <v>349</v>
      </c>
      <c r="B1093" s="24" t="s">
        <v>317</v>
      </c>
      <c r="C1093" s="23" t="s">
        <v>381</v>
      </c>
      <c r="D1093" s="23">
        <v>405.7</v>
      </c>
      <c r="E1093" s="23">
        <v>403.02</v>
      </c>
      <c r="F1093" s="23">
        <v>2.6800000000000068</v>
      </c>
      <c r="G1093" s="42" t="str">
        <f t="shared" si="36"/>
        <v>RIO/SP - PAVIMENTAÇÃO - Esquerdo - 405,7 - 403,02 - 2,68000000000001</v>
      </c>
      <c r="N1093" s="23" t="s">
        <v>363</v>
      </c>
    </row>
    <row r="1094" spans="1:14" x14ac:dyDescent="0.25">
      <c r="A1094" s="23" t="s">
        <v>349</v>
      </c>
      <c r="B1094" s="24" t="s">
        <v>317</v>
      </c>
      <c r="C1094" s="23" t="s">
        <v>380</v>
      </c>
      <c r="D1094" s="23">
        <v>399.75</v>
      </c>
      <c r="E1094" s="23">
        <v>400.2</v>
      </c>
      <c r="F1094" s="23">
        <v>0.44999999999998863</v>
      </c>
      <c r="G1094" s="42" t="str">
        <f t="shared" si="36"/>
        <v>RIO/SP - PAVIMENTAÇÃO - Direito - 399,75 - 400,2 - 0,449999999999989</v>
      </c>
      <c r="N1094" s="23" t="s">
        <v>363</v>
      </c>
    </row>
    <row r="1095" spans="1:14" x14ac:dyDescent="0.25">
      <c r="A1095" s="23" t="s">
        <v>349</v>
      </c>
      <c r="B1095" s="24" t="s">
        <v>317</v>
      </c>
      <c r="C1095" s="23" t="s">
        <v>380</v>
      </c>
      <c r="D1095" s="23">
        <v>403.05</v>
      </c>
      <c r="E1095" s="23">
        <v>405.6</v>
      </c>
      <c r="F1095" s="23">
        <v>2.5500000000000114</v>
      </c>
      <c r="G1095" s="42" t="str">
        <f t="shared" si="36"/>
        <v>RIO/SP - PAVIMENTAÇÃO - Direito - 403,05 - 405,6 - 2,55000000000001</v>
      </c>
      <c r="N1095" s="23" t="s">
        <v>363</v>
      </c>
    </row>
    <row r="1096" spans="1:14" x14ac:dyDescent="0.25">
      <c r="A1096" s="23" t="s">
        <v>349</v>
      </c>
      <c r="B1096" s="24" t="s">
        <v>317</v>
      </c>
      <c r="C1096" s="23" t="s">
        <v>380</v>
      </c>
      <c r="D1096" s="23">
        <v>406.38</v>
      </c>
      <c r="E1096" s="23">
        <v>407.7</v>
      </c>
      <c r="F1096" s="23">
        <v>1.3199999999999932</v>
      </c>
      <c r="G1096" s="42" t="str">
        <f t="shared" si="36"/>
        <v>RIO/SP - PAVIMENTAÇÃO - Direito - 406,38 - 407,7 - 1,31999999999999</v>
      </c>
      <c r="N1096" s="23" t="s">
        <v>363</v>
      </c>
    </row>
    <row r="1097" spans="1:14" x14ac:dyDescent="0.25">
      <c r="A1097" s="23" t="s">
        <v>382</v>
      </c>
      <c r="B1097" s="24" t="s">
        <v>318</v>
      </c>
      <c r="C1097" s="23" t="s">
        <v>385</v>
      </c>
      <c r="D1097" s="23">
        <v>213.1</v>
      </c>
      <c r="E1097" s="23">
        <v>243.6</v>
      </c>
      <c r="F1097" s="23">
        <v>30.5</v>
      </c>
      <c r="G1097" s="42" t="str">
        <f t="shared" si="36"/>
        <v>CONCESSÃO VIA SUL - DUPLICAÇÃO - Tio Hugo - Soledade - 213,1 - 243,6 - 30,5</v>
      </c>
      <c r="L1097" s="23" t="s">
        <v>363</v>
      </c>
    </row>
    <row r="1098" spans="1:14" x14ac:dyDescent="0.25">
      <c r="A1098" s="23" t="s">
        <v>383</v>
      </c>
      <c r="B1098" s="24" t="s">
        <v>318</v>
      </c>
      <c r="C1098" s="23" t="s">
        <v>386</v>
      </c>
      <c r="D1098" s="23">
        <v>176.03</v>
      </c>
      <c r="E1098" s="23">
        <v>199.43</v>
      </c>
      <c r="F1098" s="23">
        <v>23.400000000000006</v>
      </c>
      <c r="G1098" s="42" t="str">
        <f t="shared" si="36"/>
        <v>ARAGUAIA - DUPLICAÇÃO - Nada Consta - 176,03 - 199,43 - 23,4</v>
      </c>
      <c r="L1098" s="23" t="s">
        <v>363</v>
      </c>
    </row>
    <row r="1099" spans="1:14" x14ac:dyDescent="0.25">
      <c r="A1099" s="23" t="s">
        <v>383</v>
      </c>
      <c r="B1099" s="24" t="s">
        <v>318</v>
      </c>
      <c r="C1099" s="23" t="s">
        <v>386</v>
      </c>
      <c r="D1099" s="23">
        <v>288.5</v>
      </c>
      <c r="E1099" s="23">
        <v>302.43</v>
      </c>
      <c r="F1099" s="23">
        <v>13.930000000000007</v>
      </c>
      <c r="G1099" s="42" t="str">
        <f t="shared" si="36"/>
        <v>ARAGUAIA - DUPLICAÇÃO - Nada Consta - 288,5 - 302,43 - 13,93</v>
      </c>
      <c r="L1099" s="23" t="s">
        <v>363</v>
      </c>
    </row>
    <row r="1100" spans="1:14" x14ac:dyDescent="0.25">
      <c r="A1100" s="23" t="s">
        <v>383</v>
      </c>
      <c r="B1100" s="24" t="s">
        <v>318</v>
      </c>
      <c r="C1100" s="23" t="s">
        <v>386</v>
      </c>
      <c r="D1100" s="23">
        <v>302.43</v>
      </c>
      <c r="E1100" s="23">
        <v>319.24</v>
      </c>
      <c r="F1100" s="23">
        <v>16.810000000000002</v>
      </c>
      <c r="G1100" s="42" t="str">
        <f t="shared" si="36"/>
        <v>ARAGUAIA - DUPLICAÇÃO - Nada Consta - 302,43 - 319,24 - 16,81</v>
      </c>
      <c r="L1100" s="23" t="s">
        <v>363</v>
      </c>
    </row>
    <row r="1101" spans="1:14" x14ac:dyDescent="0.25">
      <c r="A1101" s="23" t="s">
        <v>382</v>
      </c>
      <c r="B1101" s="24" t="s">
        <v>318</v>
      </c>
      <c r="C1101" s="23" t="s">
        <v>947</v>
      </c>
      <c r="D1101" s="23">
        <v>269.2</v>
      </c>
      <c r="E1101" s="23">
        <v>324.10000000000002</v>
      </c>
      <c r="F1101" s="23">
        <v>54.9</v>
      </c>
      <c r="G1101" s="42" t="str">
        <f t="shared" si="36"/>
        <v>CONCESSÃO VIA SUL - DUPLICAÇÃO - Fontoura Xavier / Marques de Souza - 269,2 - 324,1 - 54,9</v>
      </c>
      <c r="M1101" s="23" t="s">
        <v>363</v>
      </c>
    </row>
    <row r="1102" spans="1:14" x14ac:dyDescent="0.25">
      <c r="A1102" s="23" t="s">
        <v>383</v>
      </c>
      <c r="B1102" s="24" t="s">
        <v>318</v>
      </c>
      <c r="C1102" s="23" t="s">
        <v>386</v>
      </c>
      <c r="D1102" s="23">
        <v>677</v>
      </c>
      <c r="E1102" s="23">
        <v>701.9</v>
      </c>
      <c r="F1102" s="23">
        <v>24.899999999999977</v>
      </c>
      <c r="G1102" s="42" t="str">
        <f t="shared" si="36"/>
        <v>ARAGUAIA - DUPLICAÇÃO - Nada Consta - 677 - 701,9 - 24,9</v>
      </c>
      <c r="M1102" s="23" t="s">
        <v>363</v>
      </c>
    </row>
    <row r="1103" spans="1:14" x14ac:dyDescent="0.25">
      <c r="A1103" s="23" t="s">
        <v>383</v>
      </c>
      <c r="B1103" s="24" t="s">
        <v>318</v>
      </c>
      <c r="C1103" s="23" t="s">
        <v>386</v>
      </c>
      <c r="D1103" s="23">
        <v>274.94</v>
      </c>
      <c r="E1103" s="23">
        <v>284.5</v>
      </c>
      <c r="F1103" s="23">
        <v>9.5600000000000023</v>
      </c>
      <c r="G1103" s="42" t="str">
        <f t="shared" si="36"/>
        <v>ARAGUAIA - DUPLICAÇÃO - Nada Consta - 274,94 - 284,5 - 9,56</v>
      </c>
      <c r="M1103" s="23" t="s">
        <v>363</v>
      </c>
    </row>
    <row r="1104" spans="1:14" x14ac:dyDescent="0.25">
      <c r="A1104" s="23" t="s">
        <v>383</v>
      </c>
      <c r="B1104" s="24" t="s">
        <v>318</v>
      </c>
      <c r="C1104" s="23" t="s">
        <v>386</v>
      </c>
      <c r="D1104" s="23">
        <v>284.5</v>
      </c>
      <c r="E1104" s="23">
        <v>288.5</v>
      </c>
      <c r="F1104" s="23">
        <v>4</v>
      </c>
      <c r="G1104" s="42" t="str">
        <f t="shared" si="36"/>
        <v>ARAGUAIA - DUPLICAÇÃO - Nada Consta - 284,5 - 288,5 - 4</v>
      </c>
      <c r="M1104" s="23" t="s">
        <v>363</v>
      </c>
    </row>
    <row r="1105" spans="1:14" x14ac:dyDescent="0.25">
      <c r="A1105" s="23" t="s">
        <v>383</v>
      </c>
      <c r="B1105" s="24" t="s">
        <v>318</v>
      </c>
      <c r="C1105" s="23" t="s">
        <v>386</v>
      </c>
      <c r="D1105" s="23">
        <v>319.24</v>
      </c>
      <c r="E1105" s="23">
        <v>321.85000000000002</v>
      </c>
      <c r="F1105" s="23">
        <v>2.6100000000000136</v>
      </c>
      <c r="G1105" s="42" t="str">
        <f t="shared" si="36"/>
        <v>ARAGUAIA - DUPLICAÇÃO - Nada Consta - 319,24 - 321,85 - 2,61000000000001</v>
      </c>
      <c r="M1105" s="23" t="s">
        <v>363</v>
      </c>
    </row>
    <row r="1106" spans="1:14" x14ac:dyDescent="0.25">
      <c r="A1106" s="23" t="s">
        <v>935</v>
      </c>
      <c r="B1106" s="24" t="s">
        <v>318</v>
      </c>
      <c r="C1106" s="23" t="s">
        <v>386</v>
      </c>
      <c r="D1106" s="23">
        <v>0</v>
      </c>
      <c r="E1106" s="23">
        <v>0.8</v>
      </c>
      <c r="F1106" s="23">
        <v>0.8</v>
      </c>
      <c r="G1106" s="42" t="str">
        <f t="shared" si="36"/>
        <v>RIO/MINAS - DUPLICAÇÃO - Nada Consta - 0 - 0,8 - 0,8</v>
      </c>
      <c r="M1106" s="23" t="s">
        <v>363</v>
      </c>
    </row>
    <row r="1107" spans="1:14" x14ac:dyDescent="0.25">
      <c r="A1107" s="23" t="s">
        <v>935</v>
      </c>
      <c r="B1107" s="24" t="s">
        <v>318</v>
      </c>
      <c r="C1107" s="23" t="s">
        <v>386</v>
      </c>
      <c r="D1107" s="23">
        <v>5.3</v>
      </c>
      <c r="E1107" s="23">
        <v>15.6</v>
      </c>
      <c r="F1107" s="23">
        <v>10.3</v>
      </c>
      <c r="G1107" s="42" t="str">
        <f t="shared" si="36"/>
        <v>RIO/MINAS - DUPLICAÇÃO - Nada Consta - 5,3 - 15,6 - 10,3</v>
      </c>
      <c r="M1107" s="23" t="s">
        <v>363</v>
      </c>
    </row>
    <row r="1108" spans="1:14" x14ac:dyDescent="0.25">
      <c r="A1108" s="23" t="s">
        <v>935</v>
      </c>
      <c r="B1108" s="24" t="s">
        <v>318</v>
      </c>
      <c r="C1108" s="23" t="s">
        <v>386</v>
      </c>
      <c r="D1108" s="23">
        <v>15.6</v>
      </c>
      <c r="E1108" s="23">
        <v>17.600000000000001</v>
      </c>
      <c r="F1108" s="23">
        <v>2.0000000000000018</v>
      </c>
      <c r="G1108" s="42" t="str">
        <f t="shared" si="36"/>
        <v>RIO/MINAS - DUPLICAÇÃO - Nada Consta - 15,6 - 17,6 - 2</v>
      </c>
      <c r="M1108" s="23" t="s">
        <v>363</v>
      </c>
    </row>
    <row r="1109" spans="1:14" x14ac:dyDescent="0.25">
      <c r="A1109" s="23" t="s">
        <v>935</v>
      </c>
      <c r="B1109" s="24" t="s">
        <v>318</v>
      </c>
      <c r="C1109" s="23" t="s">
        <v>386</v>
      </c>
      <c r="D1109" s="23">
        <v>18.8</v>
      </c>
      <c r="E1109" s="23">
        <v>19.8</v>
      </c>
      <c r="F1109" s="23">
        <v>1</v>
      </c>
      <c r="G1109" s="42" t="str">
        <f t="shared" si="36"/>
        <v>RIO/MINAS - DUPLICAÇÃO - Nada Consta - 18,8 - 19,8 - 1</v>
      </c>
      <c r="M1109" s="23" t="s">
        <v>363</v>
      </c>
    </row>
    <row r="1110" spans="1:14" x14ac:dyDescent="0.25">
      <c r="A1110" s="23" t="s">
        <v>935</v>
      </c>
      <c r="B1110" s="24" t="s">
        <v>318</v>
      </c>
      <c r="C1110" s="23" t="s">
        <v>386</v>
      </c>
      <c r="D1110" s="23">
        <v>19.8</v>
      </c>
      <c r="E1110" s="23">
        <v>25.614000000000001</v>
      </c>
      <c r="F1110" s="23">
        <v>5.8140000000000001</v>
      </c>
      <c r="G1110" s="42" t="str">
        <f t="shared" si="36"/>
        <v>RIO/MINAS - DUPLICAÇÃO - Nada Consta - 19,8 - 25,614 - 5,814</v>
      </c>
      <c r="M1110" s="23" t="s">
        <v>363</v>
      </c>
    </row>
    <row r="1111" spans="1:14" x14ac:dyDescent="0.25">
      <c r="A1111" s="23" t="s">
        <v>935</v>
      </c>
      <c r="B1111" s="24" t="s">
        <v>318</v>
      </c>
      <c r="C1111" s="23" t="s">
        <v>386</v>
      </c>
      <c r="D1111" s="23">
        <v>412.57600000000002</v>
      </c>
      <c r="E1111" s="23">
        <v>413.315</v>
      </c>
      <c r="F1111" s="23">
        <v>0.7389999999999759</v>
      </c>
      <c r="G1111" s="42" t="str">
        <f t="shared" si="36"/>
        <v>RIO/MINAS - DUPLICAÇÃO - Nada Consta - 412,576 - 413,315 - 0,738999999999976</v>
      </c>
      <c r="M1111" s="23" t="s">
        <v>363</v>
      </c>
    </row>
    <row r="1112" spans="1:14" x14ac:dyDescent="0.25">
      <c r="A1112" s="23" t="s">
        <v>935</v>
      </c>
      <c r="B1112" s="24" t="s">
        <v>318</v>
      </c>
      <c r="C1112" s="23" t="s">
        <v>386</v>
      </c>
      <c r="D1112" s="23">
        <v>413.315</v>
      </c>
      <c r="E1112" s="23">
        <v>421.62700000000001</v>
      </c>
      <c r="F1112" s="23">
        <v>8.3120000000000118</v>
      </c>
      <c r="G1112" s="42" t="str">
        <f t="shared" si="36"/>
        <v>RIO/MINAS - DUPLICAÇÃO - Nada Consta - 413,315 - 421,627 - 8,31200000000001</v>
      </c>
      <c r="M1112" s="23" t="s">
        <v>363</v>
      </c>
    </row>
    <row r="1113" spans="1:14" x14ac:dyDescent="0.25">
      <c r="A1113" s="23" t="s">
        <v>382</v>
      </c>
      <c r="B1113" s="24" t="s">
        <v>318</v>
      </c>
      <c r="C1113" s="23" t="s">
        <v>948</v>
      </c>
      <c r="D1113" s="23">
        <v>178.5</v>
      </c>
      <c r="E1113" s="23">
        <v>213.1</v>
      </c>
      <c r="F1113" s="23">
        <v>34.6</v>
      </c>
      <c r="G1113" s="42" t="str">
        <f t="shared" si="36"/>
        <v>CONCESSÃO VIA SUL - DUPLICAÇÃO - Carazinho - Tio Hugo - 178,5 - 213,1 - 34,6</v>
      </c>
      <c r="N1113" s="23" t="s">
        <v>363</v>
      </c>
    </row>
    <row r="1114" spans="1:14" x14ac:dyDescent="0.25">
      <c r="A1114" s="23" t="s">
        <v>382</v>
      </c>
      <c r="B1114" s="24" t="s">
        <v>318</v>
      </c>
      <c r="C1114" s="23" t="s">
        <v>947</v>
      </c>
      <c r="D1114" s="23">
        <v>269.2</v>
      </c>
      <c r="E1114" s="23">
        <v>324.10000000000002</v>
      </c>
      <c r="F1114" s="23">
        <v>54.9</v>
      </c>
      <c r="G1114" s="42" t="str">
        <f t="shared" si="36"/>
        <v>CONCESSÃO VIA SUL - DUPLICAÇÃO - Fontoura Xavier / Marques de Souza - 269,2 - 324,1 - 54,9</v>
      </c>
      <c r="N1114" s="23" t="s">
        <v>363</v>
      </c>
    </row>
    <row r="1115" spans="1:14" x14ac:dyDescent="0.25">
      <c r="A1115" s="23" t="s">
        <v>382</v>
      </c>
      <c r="B1115" s="24" t="s">
        <v>318</v>
      </c>
      <c r="C1115" s="23" t="s">
        <v>949</v>
      </c>
      <c r="D1115" s="23">
        <v>385</v>
      </c>
      <c r="E1115" s="23">
        <v>444.3</v>
      </c>
      <c r="F1115" s="23">
        <v>59.3</v>
      </c>
      <c r="G1115" s="42" t="str">
        <f t="shared" si="36"/>
        <v>CONCESSÃO VIA SUL - DUPLICAÇÃO - Tabaí - Canoas - 385 - 444,3 - 59,3</v>
      </c>
      <c r="N1115" s="23" t="s">
        <v>363</v>
      </c>
    </row>
    <row r="1116" spans="1:14" x14ac:dyDescent="0.25">
      <c r="A1116" s="23" t="s">
        <v>365</v>
      </c>
      <c r="B1116" s="24" t="s">
        <v>318</v>
      </c>
      <c r="C1116" s="23" t="s">
        <v>950</v>
      </c>
      <c r="D1116" s="23">
        <v>709</v>
      </c>
      <c r="E1116" s="23">
        <v>735.6</v>
      </c>
      <c r="F1116" s="23">
        <v>26.600000000000023</v>
      </c>
      <c r="G1116" s="42" t="str">
        <f t="shared" si="36"/>
        <v>CERRADO - DUPLICAÇÃO - Trecho 13 - 709 - 735,6 - 26,6</v>
      </c>
      <c r="N1116" s="23" t="s">
        <v>363</v>
      </c>
    </row>
    <row r="1117" spans="1:14" x14ac:dyDescent="0.25">
      <c r="A1117" s="23" t="s">
        <v>365</v>
      </c>
      <c r="B1117" s="24" t="s">
        <v>318</v>
      </c>
      <c r="C1117" s="23" t="s">
        <v>951</v>
      </c>
      <c r="D1117" s="23">
        <v>735.6</v>
      </c>
      <c r="E1117" s="23">
        <v>751.6</v>
      </c>
      <c r="F1117" s="23">
        <v>16</v>
      </c>
      <c r="G1117" s="42" t="str">
        <f t="shared" si="36"/>
        <v>CERRADO - DUPLICAÇÃO - Trecho 14 - 735,6 - 751,6 - 16</v>
      </c>
      <c r="N1117" s="23" t="s">
        <v>363</v>
      </c>
    </row>
    <row r="1118" spans="1:14" x14ac:dyDescent="0.25">
      <c r="A1118" s="23" t="s">
        <v>383</v>
      </c>
      <c r="B1118" s="24" t="s">
        <v>318</v>
      </c>
      <c r="C1118" s="23" t="s">
        <v>386</v>
      </c>
      <c r="D1118" s="23">
        <v>624.29999999999995</v>
      </c>
      <c r="E1118" s="23">
        <v>663</v>
      </c>
      <c r="F1118" s="23">
        <v>38.700000000000045</v>
      </c>
      <c r="G1118" s="42" t="str">
        <f t="shared" si="36"/>
        <v>ARAGUAIA - DUPLICAÇÃO - Nada Consta - 624,3 - 663 - 38,7</v>
      </c>
      <c r="N1118" s="23" t="s">
        <v>363</v>
      </c>
    </row>
    <row r="1119" spans="1:14" x14ac:dyDescent="0.25">
      <c r="A1119" s="23" t="s">
        <v>383</v>
      </c>
      <c r="B1119" s="24" t="s">
        <v>318</v>
      </c>
      <c r="C1119" s="23" t="s">
        <v>386</v>
      </c>
      <c r="D1119" s="23">
        <v>701.9</v>
      </c>
      <c r="E1119" s="23">
        <v>720.8</v>
      </c>
      <c r="F1119" s="23">
        <v>18.899999999999977</v>
      </c>
      <c r="G1119" s="42" t="str">
        <f t="shared" si="36"/>
        <v>ARAGUAIA - DUPLICAÇÃO - Nada Consta - 701,9 - 720,8 - 18,9</v>
      </c>
      <c r="N1119" s="23" t="s">
        <v>363</v>
      </c>
    </row>
    <row r="1120" spans="1:14" x14ac:dyDescent="0.25">
      <c r="A1120" s="23" t="s">
        <v>383</v>
      </c>
      <c r="B1120" s="24" t="s">
        <v>318</v>
      </c>
      <c r="C1120" s="23" t="s">
        <v>386</v>
      </c>
      <c r="D1120" s="23">
        <v>724</v>
      </c>
      <c r="E1120" s="23">
        <v>759.5</v>
      </c>
      <c r="F1120" s="23">
        <v>35.5</v>
      </c>
      <c r="G1120" s="42" t="str">
        <f t="shared" si="36"/>
        <v>ARAGUAIA - DUPLICAÇÃO - Nada Consta - 724 - 759,5 - 35,5</v>
      </c>
      <c r="N1120" s="23" t="s">
        <v>363</v>
      </c>
    </row>
    <row r="1121" spans="1:14" x14ac:dyDescent="0.25">
      <c r="A1121" s="23" t="s">
        <v>383</v>
      </c>
      <c r="B1121" s="24" t="s">
        <v>318</v>
      </c>
      <c r="C1121" s="23" t="s">
        <v>386</v>
      </c>
      <c r="D1121" s="23">
        <v>760.64400000000001</v>
      </c>
      <c r="E1121" s="23">
        <v>797.3</v>
      </c>
      <c r="F1121" s="23">
        <v>36.655999999999949</v>
      </c>
      <c r="G1121" s="42" t="str">
        <f t="shared" si="36"/>
        <v>ARAGUAIA - DUPLICAÇÃO - Nada Consta - 760,644 - 797,3 - 36,6559999999999</v>
      </c>
      <c r="N1121" s="23" t="s">
        <v>363</v>
      </c>
    </row>
    <row r="1122" spans="1:14" x14ac:dyDescent="0.25">
      <c r="A1122" s="23" t="s">
        <v>383</v>
      </c>
      <c r="B1122" s="24" t="s">
        <v>318</v>
      </c>
      <c r="C1122" s="23" t="s">
        <v>386</v>
      </c>
      <c r="D1122" s="23">
        <v>800</v>
      </c>
      <c r="E1122" s="23">
        <v>802.53099999999995</v>
      </c>
      <c r="F1122" s="23">
        <v>2.5309999999999491</v>
      </c>
      <c r="G1122" s="42" t="str">
        <f t="shared" si="36"/>
        <v>ARAGUAIA - DUPLICAÇÃO - Nada Consta - 800 - 802,531 - 2,53099999999995</v>
      </c>
      <c r="N1122" s="23" t="s">
        <v>363</v>
      </c>
    </row>
    <row r="1123" spans="1:14" x14ac:dyDescent="0.25">
      <c r="A1123" s="23" t="s">
        <v>383</v>
      </c>
      <c r="B1123" s="24" t="s">
        <v>318</v>
      </c>
      <c r="C1123" s="23" t="s">
        <v>386</v>
      </c>
      <c r="D1123" s="23">
        <v>0</v>
      </c>
      <c r="E1123" s="23">
        <v>31.52</v>
      </c>
      <c r="F1123" s="23">
        <v>31.52</v>
      </c>
      <c r="G1123" s="42" t="str">
        <f t="shared" si="36"/>
        <v>ARAGUAIA - DUPLICAÇÃO - Nada Consta - 0 - 31,52 - 31,52</v>
      </c>
      <c r="N1123" s="23" t="s">
        <v>363</v>
      </c>
    </row>
    <row r="1124" spans="1:14" x14ac:dyDescent="0.25">
      <c r="A1124" s="23" t="s">
        <v>383</v>
      </c>
      <c r="B1124" s="24" t="s">
        <v>318</v>
      </c>
      <c r="C1124" s="23" t="s">
        <v>386</v>
      </c>
      <c r="D1124" s="23">
        <v>31.52</v>
      </c>
      <c r="E1124" s="23">
        <v>57.26</v>
      </c>
      <c r="F1124" s="23">
        <v>25.74</v>
      </c>
      <c r="G1124" s="42" t="str">
        <f t="shared" si="36"/>
        <v>ARAGUAIA - DUPLICAÇÃO - Nada Consta - 31,52 - 57,26 - 25,74</v>
      </c>
      <c r="N1124" s="23" t="s">
        <v>363</v>
      </c>
    </row>
    <row r="1125" spans="1:14" x14ac:dyDescent="0.25">
      <c r="A1125" s="23" t="s">
        <v>383</v>
      </c>
      <c r="B1125" s="24" t="s">
        <v>318</v>
      </c>
      <c r="C1125" s="23" t="s">
        <v>386</v>
      </c>
      <c r="D1125" s="23">
        <v>57.26</v>
      </c>
      <c r="E1125" s="23">
        <v>71.08</v>
      </c>
      <c r="F1125" s="23">
        <v>13.82</v>
      </c>
      <c r="G1125" s="42" t="str">
        <f t="shared" si="36"/>
        <v>ARAGUAIA - DUPLICAÇÃO - Nada Consta - 57,26 - 71,08 - 13,82</v>
      </c>
      <c r="N1125" s="23" t="s">
        <v>363</v>
      </c>
    </row>
    <row r="1126" spans="1:14" x14ac:dyDescent="0.25">
      <c r="A1126" s="23" t="s">
        <v>383</v>
      </c>
      <c r="B1126" s="24" t="s">
        <v>318</v>
      </c>
      <c r="C1126" s="23" t="s">
        <v>386</v>
      </c>
      <c r="D1126" s="23">
        <v>71.08</v>
      </c>
      <c r="E1126" s="23">
        <v>107.12</v>
      </c>
      <c r="F1126" s="23">
        <v>36.040000000000006</v>
      </c>
      <c r="G1126" s="42" t="str">
        <f t="shared" si="36"/>
        <v>ARAGUAIA - DUPLICAÇÃO - Nada Consta - 71,08 - 107,12 - 36,04</v>
      </c>
      <c r="N1126" s="23" t="s">
        <v>363</v>
      </c>
    </row>
    <row r="1127" spans="1:14" x14ac:dyDescent="0.25">
      <c r="A1127" s="23" t="s">
        <v>383</v>
      </c>
      <c r="B1127" s="24" t="s">
        <v>318</v>
      </c>
      <c r="C1127" s="23" t="s">
        <v>386</v>
      </c>
      <c r="D1127" s="23">
        <v>107.12</v>
      </c>
      <c r="E1127" s="23">
        <v>124.42</v>
      </c>
      <c r="F1127" s="23">
        <v>17.299999999999997</v>
      </c>
      <c r="G1127" s="42" t="str">
        <f t="shared" si="36"/>
        <v>ARAGUAIA - DUPLICAÇÃO - Nada Consta - 107,12 - 124,42 - 17,3</v>
      </c>
      <c r="N1127" s="23" t="s">
        <v>363</v>
      </c>
    </row>
    <row r="1128" spans="1:14" x14ac:dyDescent="0.25">
      <c r="A1128" s="23" t="s">
        <v>383</v>
      </c>
      <c r="B1128" s="24" t="s">
        <v>318</v>
      </c>
      <c r="C1128" s="23" t="s">
        <v>386</v>
      </c>
      <c r="D1128" s="23">
        <v>124.42</v>
      </c>
      <c r="E1128" s="23">
        <v>141.85</v>
      </c>
      <c r="F1128" s="23">
        <v>17.429999999999993</v>
      </c>
      <c r="G1128" s="42" t="str">
        <f t="shared" si="36"/>
        <v>ARAGUAIA - DUPLICAÇÃO - Nada Consta - 124,42 - 141,85 - 17,43</v>
      </c>
      <c r="N1128" s="23" t="s">
        <v>363</v>
      </c>
    </row>
    <row r="1129" spans="1:14" x14ac:dyDescent="0.25">
      <c r="A1129" s="23" t="s">
        <v>383</v>
      </c>
      <c r="B1129" s="24" t="s">
        <v>318</v>
      </c>
      <c r="C1129" s="23" t="s">
        <v>386</v>
      </c>
      <c r="D1129" s="23">
        <v>141.85</v>
      </c>
      <c r="E1129" s="23">
        <v>176.03</v>
      </c>
      <c r="F1129" s="23">
        <v>34.180000000000007</v>
      </c>
      <c r="G1129" s="42" t="str">
        <f t="shared" si="36"/>
        <v>ARAGUAIA - DUPLICAÇÃO - Nada Consta - 141,85 - 176,03 - 34,18</v>
      </c>
      <c r="N1129" s="23" t="s">
        <v>363</v>
      </c>
    </row>
    <row r="1130" spans="1:14" x14ac:dyDescent="0.25">
      <c r="A1130" s="23" t="s">
        <v>383</v>
      </c>
      <c r="B1130" s="24" t="s">
        <v>318</v>
      </c>
      <c r="C1130" s="23" t="s">
        <v>386</v>
      </c>
      <c r="D1130" s="23">
        <v>199.43</v>
      </c>
      <c r="E1130" s="23">
        <v>212.45</v>
      </c>
      <c r="F1130" s="23">
        <v>13.019999999999982</v>
      </c>
      <c r="G1130" s="42" t="str">
        <f t="shared" si="36"/>
        <v>ARAGUAIA - DUPLICAÇÃO - Nada Consta - 199,43 - 212,45 - 13,02</v>
      </c>
      <c r="N1130" s="23" t="s">
        <v>363</v>
      </c>
    </row>
    <row r="1131" spans="1:14" x14ac:dyDescent="0.25">
      <c r="A1131" s="23" t="s">
        <v>383</v>
      </c>
      <c r="B1131" s="24" t="s">
        <v>318</v>
      </c>
      <c r="C1131" s="23" t="s">
        <v>386</v>
      </c>
      <c r="D1131" s="23">
        <v>212.45</v>
      </c>
      <c r="E1131" s="23">
        <v>242.5</v>
      </c>
      <c r="F1131" s="23">
        <v>30.050000000000011</v>
      </c>
      <c r="G1131" s="42" t="str">
        <f t="shared" si="36"/>
        <v>ARAGUAIA - DUPLICAÇÃO - Nada Consta - 212,45 - 242,5 - 30,05</v>
      </c>
      <c r="N1131" s="23" t="s">
        <v>363</v>
      </c>
    </row>
    <row r="1132" spans="1:14" x14ac:dyDescent="0.25">
      <c r="A1132" s="23" t="s">
        <v>383</v>
      </c>
      <c r="B1132" s="24" t="s">
        <v>318</v>
      </c>
      <c r="C1132" s="23" t="s">
        <v>386</v>
      </c>
      <c r="D1132" s="23">
        <v>242.5</v>
      </c>
      <c r="E1132" s="23">
        <v>274.94</v>
      </c>
      <c r="F1132" s="23">
        <v>32.44</v>
      </c>
      <c r="G1132" s="42" t="str">
        <f t="shared" si="36"/>
        <v>ARAGUAIA - DUPLICAÇÃO - Nada Consta - 242,5 - 274,94 - 32,44</v>
      </c>
      <c r="N1132" s="23" t="s">
        <v>363</v>
      </c>
    </row>
    <row r="1133" spans="1:14" x14ac:dyDescent="0.25">
      <c r="A1133" s="23" t="s">
        <v>383</v>
      </c>
      <c r="B1133" s="24" t="s">
        <v>318</v>
      </c>
      <c r="C1133" s="23" t="s">
        <v>386</v>
      </c>
      <c r="D1133" s="23">
        <v>321.85000000000002</v>
      </c>
      <c r="E1133" s="23">
        <v>357.29</v>
      </c>
      <c r="F1133" s="23">
        <v>35.44</v>
      </c>
      <c r="G1133" s="42" t="str">
        <f t="shared" si="36"/>
        <v>ARAGUAIA - DUPLICAÇÃO - Nada Consta - 321,85 - 357,29 - 35,44</v>
      </c>
      <c r="N1133" s="23" t="s">
        <v>363</v>
      </c>
    </row>
    <row r="1134" spans="1:14" x14ac:dyDescent="0.25">
      <c r="A1134" s="23" t="s">
        <v>383</v>
      </c>
      <c r="B1134" s="24" t="s">
        <v>318</v>
      </c>
      <c r="C1134" s="23" t="s">
        <v>386</v>
      </c>
      <c r="D1134" s="23">
        <v>357.29</v>
      </c>
      <c r="E1134" s="23">
        <v>360.12</v>
      </c>
      <c r="F1134" s="23">
        <v>2.8299999999999841</v>
      </c>
      <c r="G1134" s="42" t="str">
        <f t="shared" si="36"/>
        <v>ARAGUAIA - DUPLICAÇÃO - Nada Consta - 357,29 - 360,12 - 2,82999999999998</v>
      </c>
      <c r="N1134" s="23" t="s">
        <v>363</v>
      </c>
    </row>
    <row r="1135" spans="1:14" x14ac:dyDescent="0.25">
      <c r="A1135" s="23" t="s">
        <v>383</v>
      </c>
      <c r="B1135" s="24" t="s">
        <v>318</v>
      </c>
      <c r="C1135" s="23" t="s">
        <v>386</v>
      </c>
      <c r="D1135" s="23">
        <v>360.12</v>
      </c>
      <c r="E1135" s="23">
        <v>369.65</v>
      </c>
      <c r="F1135" s="23">
        <v>9.5299999999999727</v>
      </c>
      <c r="G1135" s="42" t="str">
        <f t="shared" si="36"/>
        <v>ARAGUAIA - DUPLICAÇÃO - Nada Consta - 360,12 - 369,65 - 9,52999999999997</v>
      </c>
      <c r="N1135" s="23" t="s">
        <v>363</v>
      </c>
    </row>
    <row r="1136" spans="1:14" x14ac:dyDescent="0.25">
      <c r="A1136" s="23" t="s">
        <v>383</v>
      </c>
      <c r="B1136" s="24" t="s">
        <v>318</v>
      </c>
      <c r="C1136" s="23" t="s">
        <v>386</v>
      </c>
      <c r="D1136" s="23">
        <v>369.65</v>
      </c>
      <c r="E1136" s="23">
        <v>377.17</v>
      </c>
      <c r="F1136" s="23">
        <v>7.5200000000000387</v>
      </c>
      <c r="G1136" s="42" t="str">
        <f t="shared" si="36"/>
        <v>ARAGUAIA - DUPLICAÇÃO - Nada Consta - 369,65 - 377,17 - 7,52000000000004</v>
      </c>
      <c r="N1136" s="23" t="s">
        <v>363</v>
      </c>
    </row>
    <row r="1137" spans="1:14" x14ac:dyDescent="0.25">
      <c r="A1137" s="23" t="s">
        <v>383</v>
      </c>
      <c r="B1137" s="24" t="s">
        <v>318</v>
      </c>
      <c r="C1137" s="23" t="s">
        <v>386</v>
      </c>
      <c r="D1137" s="23">
        <v>377.17</v>
      </c>
      <c r="E1137" s="23">
        <v>401.97</v>
      </c>
      <c r="F1137" s="23">
        <v>24.800000000000011</v>
      </c>
      <c r="G1137" s="42" t="str">
        <f t="shared" si="36"/>
        <v>ARAGUAIA - DUPLICAÇÃO - Nada Consta - 377,17 - 401,97 - 24,8</v>
      </c>
      <c r="N1137" s="23" t="s">
        <v>363</v>
      </c>
    </row>
    <row r="1138" spans="1:14" x14ac:dyDescent="0.25">
      <c r="A1138" s="23" t="s">
        <v>383</v>
      </c>
      <c r="B1138" s="24" t="s">
        <v>318</v>
      </c>
      <c r="C1138" s="23" t="s">
        <v>386</v>
      </c>
      <c r="D1138" s="23">
        <v>401.97</v>
      </c>
      <c r="E1138" s="23">
        <v>420.53</v>
      </c>
      <c r="F1138" s="23">
        <v>18.559999999999945</v>
      </c>
      <c r="G1138" s="42" t="str">
        <f t="shared" si="36"/>
        <v>ARAGUAIA - DUPLICAÇÃO - Nada Consta - 401,97 - 420,53 - 18,5599999999999</v>
      </c>
      <c r="N1138" s="23" t="s">
        <v>363</v>
      </c>
    </row>
    <row r="1139" spans="1:14" x14ac:dyDescent="0.25">
      <c r="A1139" s="23" t="s">
        <v>383</v>
      </c>
      <c r="B1139" s="24" t="s">
        <v>318</v>
      </c>
      <c r="C1139" s="23" t="s">
        <v>386</v>
      </c>
      <c r="D1139" s="23">
        <v>409.3</v>
      </c>
      <c r="E1139" s="23">
        <v>439.51</v>
      </c>
      <c r="F1139" s="23">
        <v>30.20999999999998</v>
      </c>
      <c r="G1139" s="42" t="str">
        <f t="shared" si="36"/>
        <v>ARAGUAIA - DUPLICAÇÃO - Nada Consta - 409,3 - 439,51 - 30,21</v>
      </c>
      <c r="N1139" s="23" t="s">
        <v>363</v>
      </c>
    </row>
    <row r="1140" spans="1:14" x14ac:dyDescent="0.25">
      <c r="A1140" s="23" t="s">
        <v>935</v>
      </c>
      <c r="B1140" s="24" t="s">
        <v>318</v>
      </c>
      <c r="C1140" s="23" t="s">
        <v>386</v>
      </c>
      <c r="D1140" s="23">
        <v>0</v>
      </c>
      <c r="E1140" s="23">
        <v>22.2</v>
      </c>
      <c r="F1140" s="23">
        <v>22.2</v>
      </c>
      <c r="G1140" s="42" t="str">
        <f t="shared" si="36"/>
        <v>RIO/MINAS - DUPLICAÇÃO - Nada Consta - 0 - 22,2 - 22,2</v>
      </c>
      <c r="N1140" s="23" t="s">
        <v>363</v>
      </c>
    </row>
    <row r="1141" spans="1:14" x14ac:dyDescent="0.25">
      <c r="A1141" s="23" t="s">
        <v>935</v>
      </c>
      <c r="B1141" s="24" t="s">
        <v>318</v>
      </c>
      <c r="C1141" s="23" t="s">
        <v>386</v>
      </c>
      <c r="D1141" s="23">
        <v>22.2</v>
      </c>
      <c r="E1141" s="23">
        <v>22.5</v>
      </c>
      <c r="F1141" s="23">
        <v>0.30000000000000071</v>
      </c>
      <c r="G1141" s="42" t="str">
        <f t="shared" si="36"/>
        <v>RIO/MINAS - DUPLICAÇÃO - Nada Consta - 22,2 - 22,5 - 0,300000000000001</v>
      </c>
      <c r="N1141" s="23" t="s">
        <v>363</v>
      </c>
    </row>
    <row r="1142" spans="1:14" x14ac:dyDescent="0.25">
      <c r="A1142" s="23" t="s">
        <v>935</v>
      </c>
      <c r="B1142" s="24" t="s">
        <v>318</v>
      </c>
      <c r="C1142" s="23" t="s">
        <v>386</v>
      </c>
      <c r="D1142" s="23">
        <v>22.5</v>
      </c>
      <c r="E1142" s="23">
        <v>38</v>
      </c>
      <c r="F1142" s="23">
        <v>15.5</v>
      </c>
      <c r="G1142" s="42" t="str">
        <f t="shared" si="36"/>
        <v>RIO/MINAS - DUPLICAÇÃO - Nada Consta - 22,5 - 38 - 15,5</v>
      </c>
      <c r="N1142" s="23" t="s">
        <v>363</v>
      </c>
    </row>
    <row r="1143" spans="1:14" x14ac:dyDescent="0.25">
      <c r="A1143" s="23" t="s">
        <v>935</v>
      </c>
      <c r="B1143" s="24" t="s">
        <v>318</v>
      </c>
      <c r="C1143" s="23" t="s">
        <v>386</v>
      </c>
      <c r="D1143" s="23">
        <v>38</v>
      </c>
      <c r="E1143" s="23">
        <v>54.11</v>
      </c>
      <c r="F1143" s="23">
        <v>16.11</v>
      </c>
      <c r="G1143" s="42" t="str">
        <f t="shared" si="36"/>
        <v>RIO/MINAS - DUPLICAÇÃO - Nada Consta - 38 - 54,11 - 16,11</v>
      </c>
      <c r="N1143" s="23" t="s">
        <v>363</v>
      </c>
    </row>
    <row r="1144" spans="1:14" x14ac:dyDescent="0.25">
      <c r="A1144" s="23" t="s">
        <v>935</v>
      </c>
      <c r="B1144" s="24" t="s">
        <v>318</v>
      </c>
      <c r="C1144" s="23" t="s">
        <v>386</v>
      </c>
      <c r="D1144" s="23">
        <v>54.11</v>
      </c>
      <c r="E1144" s="23">
        <v>57</v>
      </c>
      <c r="F1144" s="23">
        <v>2.8900000000000006</v>
      </c>
      <c r="G1144" s="42" t="str">
        <f t="shared" si="36"/>
        <v>RIO/MINAS - DUPLICAÇÃO - Nada Consta - 54,11 - 57 - 2,89</v>
      </c>
      <c r="N1144" s="23" t="s">
        <v>363</v>
      </c>
    </row>
    <row r="1145" spans="1:14" x14ac:dyDescent="0.25">
      <c r="A1145" s="23" t="s">
        <v>935</v>
      </c>
      <c r="B1145" s="24" t="s">
        <v>318</v>
      </c>
      <c r="C1145" s="23" t="s">
        <v>386</v>
      </c>
      <c r="D1145" s="23">
        <v>57</v>
      </c>
      <c r="E1145" s="23">
        <v>77.900000000000006</v>
      </c>
      <c r="F1145" s="23">
        <v>20.900000000000006</v>
      </c>
      <c r="G1145" s="42" t="str">
        <f t="shared" si="36"/>
        <v>RIO/MINAS - DUPLICAÇÃO - Nada Consta - 57 - 77,9 - 20,9</v>
      </c>
      <c r="N1145" s="23" t="s">
        <v>363</v>
      </c>
    </row>
    <row r="1146" spans="1:14" x14ac:dyDescent="0.25">
      <c r="A1146" s="23" t="s">
        <v>935</v>
      </c>
      <c r="B1146" s="24" t="s">
        <v>318</v>
      </c>
      <c r="C1146" s="23" t="s">
        <v>386</v>
      </c>
      <c r="D1146" s="23">
        <v>77.900000000000006</v>
      </c>
      <c r="E1146" s="23">
        <v>90.5</v>
      </c>
      <c r="F1146" s="23">
        <v>12.599999999999994</v>
      </c>
      <c r="G1146" s="42" t="str">
        <f t="shared" si="36"/>
        <v>RIO/MINAS - DUPLICAÇÃO - Nada Consta - 77,9 - 90,5 - 12,6</v>
      </c>
      <c r="N1146" s="23" t="s">
        <v>363</v>
      </c>
    </row>
    <row r="1147" spans="1:14" x14ac:dyDescent="0.25">
      <c r="A1147" s="23" t="s">
        <v>935</v>
      </c>
      <c r="B1147" s="24" t="s">
        <v>318</v>
      </c>
      <c r="C1147" s="23" t="s">
        <v>386</v>
      </c>
      <c r="D1147" s="23">
        <v>105.185</v>
      </c>
      <c r="E1147" s="23">
        <v>105.9</v>
      </c>
      <c r="F1147" s="23">
        <v>0.71500000000000341</v>
      </c>
      <c r="G1147" s="42" t="str">
        <f t="shared" si="36"/>
        <v>RIO/MINAS - DUPLICAÇÃO - Nada Consta - 105,185 - 105,9 - 0,715000000000003</v>
      </c>
      <c r="N1147" s="23" t="s">
        <v>363</v>
      </c>
    </row>
    <row r="1148" spans="1:14" x14ac:dyDescent="0.25">
      <c r="A1148" s="23" t="s">
        <v>935</v>
      </c>
      <c r="B1148" s="24" t="s">
        <v>318</v>
      </c>
      <c r="C1148" s="23" t="s">
        <v>386</v>
      </c>
      <c r="D1148" s="23">
        <v>421.62700000000001</v>
      </c>
      <c r="E1148" s="23">
        <v>457.47</v>
      </c>
      <c r="F1148" s="23">
        <v>35.843000000000018</v>
      </c>
      <c r="G1148" s="42" t="str">
        <f t="shared" si="36"/>
        <v>RIO/MINAS - DUPLICAÇÃO - Nada Consta - 421,627 - 457,47 - 35,843</v>
      </c>
      <c r="N1148" s="23" t="s">
        <v>363</v>
      </c>
    </row>
    <row r="1149" spans="1:14" x14ac:dyDescent="0.25">
      <c r="A1149" s="23" t="s">
        <v>935</v>
      </c>
      <c r="B1149" s="24" t="s">
        <v>318</v>
      </c>
      <c r="C1149" s="23" t="s">
        <v>386</v>
      </c>
      <c r="D1149" s="23">
        <v>486.29599999999999</v>
      </c>
      <c r="E1149" s="23">
        <v>500.11099999999999</v>
      </c>
      <c r="F1149" s="23">
        <v>13.814999999999998</v>
      </c>
      <c r="G1149" s="42" t="str">
        <f t="shared" si="36"/>
        <v>RIO/MINAS - DUPLICAÇÃO - Nada Consta - 486,296 - 500,111 - 13,815</v>
      </c>
      <c r="N1149" s="23" t="s">
        <v>363</v>
      </c>
    </row>
    <row r="1150" spans="1:14" x14ac:dyDescent="0.25">
      <c r="A1150" s="23" t="s">
        <v>935</v>
      </c>
      <c r="B1150" s="24" t="s">
        <v>318</v>
      </c>
      <c r="C1150" s="23" t="s">
        <v>386</v>
      </c>
      <c r="D1150" s="23">
        <v>500.11099999999999</v>
      </c>
      <c r="E1150" s="23">
        <v>520.51700000000005</v>
      </c>
      <c r="F1150" s="23">
        <v>20.406000000000063</v>
      </c>
      <c r="G1150" s="42" t="str">
        <f t="shared" ref="G1150:G1213" si="37">_xlfn.TEXTJOIN(" - ",TRUE,A1150:F1150)</f>
        <v>RIO/MINAS - DUPLICAÇÃO - Nada Consta - 500,111 - 520,517 - 20,4060000000001</v>
      </c>
      <c r="N1150" s="23" t="s">
        <v>363</v>
      </c>
    </row>
    <row r="1151" spans="1:14" x14ac:dyDescent="0.25">
      <c r="A1151" s="23" t="s">
        <v>935</v>
      </c>
      <c r="B1151" s="24" t="s">
        <v>318</v>
      </c>
      <c r="C1151" s="23" t="s">
        <v>386</v>
      </c>
      <c r="D1151" s="23">
        <v>520.51700000000005</v>
      </c>
      <c r="E1151" s="23">
        <v>523.53099999999995</v>
      </c>
      <c r="F1151" s="23">
        <v>3.0139999999998963</v>
      </c>
      <c r="G1151" s="42" t="str">
        <f t="shared" si="37"/>
        <v>RIO/MINAS - DUPLICAÇÃO - Nada Consta - 520,517 - 523,531 - 3,0139999999999</v>
      </c>
      <c r="N1151" s="23" t="s">
        <v>363</v>
      </c>
    </row>
    <row r="1152" spans="1:14" x14ac:dyDescent="0.25">
      <c r="A1152" s="23" t="s">
        <v>935</v>
      </c>
      <c r="B1152" s="24" t="s">
        <v>318</v>
      </c>
      <c r="C1152" s="23" t="s">
        <v>386</v>
      </c>
      <c r="D1152" s="23">
        <v>523.53099999999995</v>
      </c>
      <c r="E1152" s="23">
        <v>526.62099999999998</v>
      </c>
      <c r="F1152" s="23">
        <v>3.0900000000000318</v>
      </c>
      <c r="G1152" s="42" t="str">
        <f t="shared" si="37"/>
        <v>RIO/MINAS - DUPLICAÇÃO - Nada Consta - 523,531 - 526,621 - 3,09000000000003</v>
      </c>
      <c r="N1152" s="23" t="s">
        <v>363</v>
      </c>
    </row>
    <row r="1153" spans="1:14" x14ac:dyDescent="0.25">
      <c r="A1153" s="23" t="s">
        <v>935</v>
      </c>
      <c r="B1153" s="24" t="s">
        <v>318</v>
      </c>
      <c r="C1153" s="23" t="s">
        <v>386</v>
      </c>
      <c r="D1153" s="23">
        <v>528.20000000000005</v>
      </c>
      <c r="E1153" s="23">
        <v>528.34500000000003</v>
      </c>
      <c r="F1153" s="23">
        <v>0.14499999999998181</v>
      </c>
      <c r="G1153" s="42" t="str">
        <f t="shared" si="37"/>
        <v>RIO/MINAS - DUPLICAÇÃO - Nada Consta - 528,2 - 528,345 - 0,144999999999982</v>
      </c>
      <c r="N1153" s="23" t="s">
        <v>363</v>
      </c>
    </row>
    <row r="1154" spans="1:14" x14ac:dyDescent="0.25">
      <c r="A1154" s="23" t="s">
        <v>935</v>
      </c>
      <c r="B1154" s="24" t="s">
        <v>318</v>
      </c>
      <c r="C1154" s="23" t="s">
        <v>386</v>
      </c>
      <c r="D1154" s="23">
        <v>528.34500000000003</v>
      </c>
      <c r="E1154" s="23">
        <v>562.29999999999995</v>
      </c>
      <c r="F1154" s="23">
        <v>33.954999999999927</v>
      </c>
      <c r="G1154" s="42" t="str">
        <f t="shared" si="37"/>
        <v>RIO/MINAS - DUPLICAÇÃO - Nada Consta - 528,345 - 562,3 - 33,9549999999999</v>
      </c>
      <c r="N1154" s="23" t="s">
        <v>363</v>
      </c>
    </row>
    <row r="1155" spans="1:14" x14ac:dyDescent="0.25">
      <c r="A1155" s="23" t="s">
        <v>935</v>
      </c>
      <c r="B1155" s="24" t="s">
        <v>318</v>
      </c>
      <c r="C1155" s="23" t="s">
        <v>386</v>
      </c>
      <c r="D1155" s="23">
        <v>702.8</v>
      </c>
      <c r="E1155" s="23">
        <v>703.13599999999997</v>
      </c>
      <c r="F1155" s="23">
        <v>0.33600000000001273</v>
      </c>
      <c r="G1155" s="42" t="str">
        <f t="shared" si="37"/>
        <v>RIO/MINAS - DUPLICAÇÃO - Nada Consta - 702,8 - 703,136 - 0,336000000000013</v>
      </c>
      <c r="N1155" s="23" t="s">
        <v>363</v>
      </c>
    </row>
    <row r="1156" spans="1:14" x14ac:dyDescent="0.25">
      <c r="A1156" s="23" t="s">
        <v>935</v>
      </c>
      <c r="B1156" s="24" t="s">
        <v>318</v>
      </c>
      <c r="C1156" s="23" t="s">
        <v>386</v>
      </c>
      <c r="D1156" s="23">
        <v>703.13599999999997</v>
      </c>
      <c r="E1156" s="23">
        <v>704.31</v>
      </c>
      <c r="F1156" s="23">
        <v>1.1739999999999782</v>
      </c>
      <c r="G1156" s="42" t="str">
        <f t="shared" si="37"/>
        <v>RIO/MINAS - DUPLICAÇÃO - Nada Consta - 703,136 - 704,31 - 1,17399999999998</v>
      </c>
      <c r="N1156" s="23" t="s">
        <v>363</v>
      </c>
    </row>
    <row r="1157" spans="1:14" x14ac:dyDescent="0.25">
      <c r="A1157" s="23" t="s">
        <v>935</v>
      </c>
      <c r="B1157" s="24" t="s">
        <v>318</v>
      </c>
      <c r="C1157" s="23" t="s">
        <v>386</v>
      </c>
      <c r="D1157" s="23">
        <v>704.31</v>
      </c>
      <c r="E1157" s="23">
        <v>737.25699999999995</v>
      </c>
      <c r="F1157" s="23">
        <v>32.947000000000003</v>
      </c>
      <c r="G1157" s="42" t="str">
        <f t="shared" si="37"/>
        <v>RIO/MINAS - DUPLICAÇÃO - Nada Consta - 704,31 - 737,257 - 32,947</v>
      </c>
      <c r="N1157" s="23" t="s">
        <v>363</v>
      </c>
    </row>
    <row r="1158" spans="1:14" x14ac:dyDescent="0.25">
      <c r="A1158" s="23" t="s">
        <v>935</v>
      </c>
      <c r="B1158" s="24" t="s">
        <v>318</v>
      </c>
      <c r="C1158" s="23" t="s">
        <v>386</v>
      </c>
      <c r="D1158" s="23">
        <v>737.25699999999995</v>
      </c>
      <c r="E1158" s="23">
        <v>745.45699999999999</v>
      </c>
      <c r="F1158" s="23">
        <v>8.2000000000000455</v>
      </c>
      <c r="G1158" s="42" t="str">
        <f t="shared" si="37"/>
        <v>RIO/MINAS - DUPLICAÇÃO - Nada Consta - 737,257 - 745,457 - 8,20000000000005</v>
      </c>
      <c r="N1158" s="23" t="s">
        <v>363</v>
      </c>
    </row>
    <row r="1159" spans="1:14" x14ac:dyDescent="0.25">
      <c r="A1159" s="23" t="s">
        <v>935</v>
      </c>
      <c r="B1159" s="24" t="s">
        <v>318</v>
      </c>
      <c r="C1159" s="23" t="s">
        <v>386</v>
      </c>
      <c r="D1159" s="23">
        <v>745.45699999999999</v>
      </c>
      <c r="E1159" s="23">
        <v>765.76</v>
      </c>
      <c r="F1159" s="23">
        <v>20.302999999999997</v>
      </c>
      <c r="G1159" s="42" t="str">
        <f t="shared" si="37"/>
        <v>RIO/MINAS - DUPLICAÇÃO - Nada Consta - 745,457 - 765,76 - 20,303</v>
      </c>
      <c r="N1159" s="23" t="s">
        <v>363</v>
      </c>
    </row>
    <row r="1160" spans="1:14" x14ac:dyDescent="0.25">
      <c r="A1160" s="23" t="s">
        <v>935</v>
      </c>
      <c r="B1160" s="24" t="s">
        <v>318</v>
      </c>
      <c r="C1160" s="23" t="s">
        <v>386</v>
      </c>
      <c r="D1160" s="23">
        <v>765.76</v>
      </c>
      <c r="E1160" s="23">
        <v>773</v>
      </c>
      <c r="F1160" s="23">
        <v>7.2400000000000091</v>
      </c>
      <c r="G1160" s="42" t="str">
        <f t="shared" si="37"/>
        <v>RIO/MINAS - DUPLICAÇÃO - Nada Consta - 765,76 - 773 - 7,24000000000001</v>
      </c>
      <c r="N1160" s="23" t="s">
        <v>363</v>
      </c>
    </row>
    <row r="1161" spans="1:14" x14ac:dyDescent="0.25">
      <c r="A1161" s="23" t="s">
        <v>935</v>
      </c>
      <c r="B1161" s="24" t="s">
        <v>318</v>
      </c>
      <c r="C1161" s="23" t="s">
        <v>386</v>
      </c>
      <c r="D1161" s="23">
        <v>814.36400000000003</v>
      </c>
      <c r="E1161" s="23">
        <v>815.05</v>
      </c>
      <c r="F1161" s="23">
        <v>0.68599999999992178</v>
      </c>
      <c r="G1161" s="42" t="str">
        <f t="shared" si="37"/>
        <v>RIO/MINAS - DUPLICAÇÃO - Nada Consta - 814,364 - 815,05 - 0,685999999999922</v>
      </c>
      <c r="N1161" s="23" t="s">
        <v>363</v>
      </c>
    </row>
    <row r="1162" spans="1:14" x14ac:dyDescent="0.25">
      <c r="A1162" s="23" t="s">
        <v>935</v>
      </c>
      <c r="B1162" s="24" t="s">
        <v>318</v>
      </c>
      <c r="C1162" s="23" t="s">
        <v>386</v>
      </c>
      <c r="D1162" s="23">
        <v>815.05</v>
      </c>
      <c r="E1162" s="23">
        <v>816.94399999999996</v>
      </c>
      <c r="F1162" s="23">
        <v>1.8940000000000055</v>
      </c>
      <c r="G1162" s="42" t="str">
        <f t="shared" si="37"/>
        <v>RIO/MINAS - DUPLICAÇÃO - Nada Consta - 815,05 - 816,944 - 1,89400000000001</v>
      </c>
      <c r="N1162" s="23" t="s">
        <v>363</v>
      </c>
    </row>
    <row r="1163" spans="1:14" x14ac:dyDescent="0.25">
      <c r="A1163" s="23" t="s">
        <v>349</v>
      </c>
      <c r="B1163" s="24" t="s">
        <v>318</v>
      </c>
      <c r="C1163" s="23" t="s">
        <v>386</v>
      </c>
      <c r="D1163" s="23">
        <v>416</v>
      </c>
      <c r="E1163" s="23">
        <v>428.3</v>
      </c>
      <c r="F1163" s="23">
        <v>12.300000000000011</v>
      </c>
      <c r="G1163" s="42" t="str">
        <f t="shared" si="37"/>
        <v>RIO/SP - DUPLICAÇÃO - Nada Consta - 416 - 428,3 - 12,3</v>
      </c>
      <c r="N1163" s="23" t="s">
        <v>363</v>
      </c>
    </row>
    <row r="1164" spans="1:14" x14ac:dyDescent="0.25">
      <c r="A1164" s="23" t="s">
        <v>349</v>
      </c>
      <c r="B1164" s="24" t="s">
        <v>318</v>
      </c>
      <c r="C1164" s="23" t="s">
        <v>386</v>
      </c>
      <c r="D1164" s="23">
        <v>428.3</v>
      </c>
      <c r="E1164" s="23">
        <v>433.1</v>
      </c>
      <c r="F1164" s="23">
        <v>4.8000000000000114</v>
      </c>
      <c r="G1164" s="42" t="str">
        <f t="shared" si="37"/>
        <v>RIO/SP - DUPLICAÇÃO - Nada Consta - 428,3 - 433,1 - 4,80000000000001</v>
      </c>
      <c r="N1164" s="23" t="s">
        <v>363</v>
      </c>
    </row>
    <row r="1165" spans="1:14" x14ac:dyDescent="0.25">
      <c r="A1165" s="23" t="s">
        <v>349</v>
      </c>
      <c r="B1165" s="24" t="s">
        <v>318</v>
      </c>
      <c r="C1165" s="23" t="s">
        <v>386</v>
      </c>
      <c r="D1165" s="23">
        <v>433.1</v>
      </c>
      <c r="E1165" s="23">
        <v>481.8</v>
      </c>
      <c r="F1165" s="23">
        <v>48.699999999999989</v>
      </c>
      <c r="G1165" s="42" t="str">
        <f t="shared" si="37"/>
        <v>RIO/SP - DUPLICAÇÃO - Nada Consta - 433,1 - 481,8 - 48,7</v>
      </c>
      <c r="N1165" s="23" t="s">
        <v>363</v>
      </c>
    </row>
    <row r="1166" spans="1:14" x14ac:dyDescent="0.25">
      <c r="A1166" s="23" t="s">
        <v>349</v>
      </c>
      <c r="B1166" s="24" t="s">
        <v>318</v>
      </c>
      <c r="C1166" s="23" t="s">
        <v>386</v>
      </c>
      <c r="D1166" s="23">
        <v>481.8</v>
      </c>
      <c r="E1166" s="23">
        <v>496.1</v>
      </c>
      <c r="F1166" s="23">
        <v>14.300000000000011</v>
      </c>
      <c r="G1166" s="42" t="str">
        <f t="shared" si="37"/>
        <v>RIO/SP - DUPLICAÇÃO - Nada Consta - 481,8 - 496,1 - 14,3</v>
      </c>
      <c r="N1166" s="23" t="s">
        <v>363</v>
      </c>
    </row>
    <row r="1167" spans="1:14" x14ac:dyDescent="0.25">
      <c r="A1167" s="23" t="s">
        <v>382</v>
      </c>
      <c r="B1167" s="24" t="s">
        <v>319</v>
      </c>
      <c r="C1167" s="23" t="s">
        <v>388</v>
      </c>
      <c r="D1167" s="23">
        <v>213.1</v>
      </c>
      <c r="E1167" s="23">
        <v>213.1</v>
      </c>
      <c r="F1167" s="23">
        <v>1</v>
      </c>
      <c r="G1167" s="42" t="str">
        <f t="shared" si="37"/>
        <v>CONCESSÃO VIA SUL - OAE - Interconexão Tipo Trevo Completo - Tio Hugo - Reformulação - 213,1 - 213,1 - 1</v>
      </c>
      <c r="L1167" s="23" t="s">
        <v>363</v>
      </c>
    </row>
    <row r="1168" spans="1:14" x14ac:dyDescent="0.25">
      <c r="A1168" s="23" t="s">
        <v>382</v>
      </c>
      <c r="B1168" s="24" t="s">
        <v>319</v>
      </c>
      <c r="C1168" s="33" t="s">
        <v>389</v>
      </c>
      <c r="D1168" s="23">
        <v>218.7</v>
      </c>
      <c r="E1168" s="23">
        <v>218.7</v>
      </c>
      <c r="F1168" s="23">
        <v>1</v>
      </c>
      <c r="G1168" s="42" t="str">
        <f t="shared" si="37"/>
        <v>CONCESSÃO VIA SUL - OAE - Interconexão Tipo Diamante - Tio Hugo - 218,7 - 218,7 - 1</v>
      </c>
      <c r="L1168" s="23" t="s">
        <v>363</v>
      </c>
    </row>
    <row r="1169" spans="1:12" x14ac:dyDescent="0.25">
      <c r="A1169" s="23" t="s">
        <v>382</v>
      </c>
      <c r="B1169" s="24" t="s">
        <v>319</v>
      </c>
      <c r="C1169" s="23" t="s">
        <v>390</v>
      </c>
      <c r="D1169" s="23">
        <v>225.32</v>
      </c>
      <c r="E1169" s="23">
        <v>225.32</v>
      </c>
      <c r="F1169" s="23">
        <v>1</v>
      </c>
      <c r="G1169" s="42" t="str">
        <f t="shared" si="37"/>
        <v>CONCESSÃO VIA SUL - OAE - Interconexão Tipo Trombeta - Mormaço - 225,32 - 225,32 - 1</v>
      </c>
      <c r="L1169" s="23" t="s">
        <v>363</v>
      </c>
    </row>
    <row r="1170" spans="1:12" x14ac:dyDescent="0.25">
      <c r="A1170" s="23" t="s">
        <v>382</v>
      </c>
      <c r="B1170" s="24" t="s">
        <v>319</v>
      </c>
      <c r="C1170" s="23" t="s">
        <v>391</v>
      </c>
      <c r="D1170" s="23">
        <v>243.6</v>
      </c>
      <c r="E1170" s="23">
        <v>243.6</v>
      </c>
      <c r="F1170" s="23">
        <v>1</v>
      </c>
      <c r="G1170" s="42" t="str">
        <f t="shared" si="37"/>
        <v>CONCESSÃO VIA SUL - OAE - Interconexão Tipo Diamante - Soledade - 243,6 - 243,6 - 1</v>
      </c>
      <c r="L1170" s="23" t="s">
        <v>363</v>
      </c>
    </row>
    <row r="1171" spans="1:12" x14ac:dyDescent="0.25">
      <c r="A1171" s="23" t="s">
        <v>4</v>
      </c>
      <c r="B1171" s="24" t="s">
        <v>319</v>
      </c>
      <c r="C1171" s="23" t="s">
        <v>392</v>
      </c>
      <c r="D1171" s="23">
        <v>247</v>
      </c>
      <c r="E1171" s="23">
        <v>247</v>
      </c>
      <c r="F1171" s="23">
        <v>1</v>
      </c>
      <c r="G1171" s="42" t="str">
        <f t="shared" si="37"/>
        <v>VIA COSTEIRA - OAE - Dispositivo em Desnível - 247 - 247 - 1</v>
      </c>
      <c r="L1171" s="23" t="s">
        <v>363</v>
      </c>
    </row>
    <row r="1172" spans="1:12" x14ac:dyDescent="0.25">
      <c r="A1172" s="23" t="s">
        <v>4</v>
      </c>
      <c r="B1172" s="24" t="s">
        <v>319</v>
      </c>
      <c r="C1172" s="23" t="s">
        <v>392</v>
      </c>
      <c r="D1172" s="23">
        <v>252.27</v>
      </c>
      <c r="E1172" s="23">
        <v>252.27</v>
      </c>
      <c r="F1172" s="23">
        <v>1</v>
      </c>
      <c r="G1172" s="42" t="str">
        <f t="shared" si="37"/>
        <v>VIA COSTEIRA - OAE - Dispositivo em Desnível - 252,27 - 252,27 - 1</v>
      </c>
      <c r="L1172" s="23" t="s">
        <v>363</v>
      </c>
    </row>
    <row r="1173" spans="1:12" x14ac:dyDescent="0.25">
      <c r="A1173" s="23" t="s">
        <v>383</v>
      </c>
      <c r="B1173" s="24" t="s">
        <v>319</v>
      </c>
      <c r="C1173" s="23" t="s">
        <v>393</v>
      </c>
      <c r="D1173" s="23">
        <v>721.9</v>
      </c>
      <c r="E1173" s="23">
        <v>721.9</v>
      </c>
      <c r="F1173" s="23">
        <v>1</v>
      </c>
      <c r="G1173" s="42" t="str">
        <f t="shared" si="37"/>
        <v>ARAGUAIA - OAE - Passagem Inferior - 721,9 - 721,9 - 1</v>
      </c>
      <c r="L1173" s="23" t="s">
        <v>363</v>
      </c>
    </row>
    <row r="1174" spans="1:12" x14ac:dyDescent="0.25">
      <c r="A1174" s="23" t="s">
        <v>383</v>
      </c>
      <c r="B1174" s="24" t="s">
        <v>319</v>
      </c>
      <c r="C1174" s="23" t="s">
        <v>393</v>
      </c>
      <c r="D1174" s="23">
        <v>723.5</v>
      </c>
      <c r="E1174" s="23">
        <v>723.5</v>
      </c>
      <c r="F1174" s="23">
        <v>1</v>
      </c>
      <c r="G1174" s="42" t="str">
        <f t="shared" si="37"/>
        <v>ARAGUAIA - OAE - Passagem Inferior - 723,5 - 723,5 - 1</v>
      </c>
      <c r="L1174" s="23" t="s">
        <v>363</v>
      </c>
    </row>
    <row r="1175" spans="1:12" x14ac:dyDescent="0.25">
      <c r="A1175" s="23" t="s">
        <v>383</v>
      </c>
      <c r="B1175" s="24" t="s">
        <v>319</v>
      </c>
      <c r="C1175" s="23" t="s">
        <v>393</v>
      </c>
      <c r="D1175" s="23">
        <v>176</v>
      </c>
      <c r="E1175" s="23">
        <v>176</v>
      </c>
      <c r="F1175" s="23">
        <v>1</v>
      </c>
      <c r="G1175" s="42" t="str">
        <f t="shared" si="37"/>
        <v>ARAGUAIA - OAE - Passagem Inferior - 176 - 176 - 1</v>
      </c>
      <c r="L1175" s="23" t="s">
        <v>363</v>
      </c>
    </row>
    <row r="1176" spans="1:12" x14ac:dyDescent="0.25">
      <c r="A1176" s="23" t="s">
        <v>383</v>
      </c>
      <c r="B1176" s="24" t="s">
        <v>319</v>
      </c>
      <c r="C1176" s="23" t="s">
        <v>394</v>
      </c>
      <c r="D1176" s="23">
        <v>797.3</v>
      </c>
      <c r="E1176" s="23">
        <v>797.3</v>
      </c>
      <c r="F1176" s="23">
        <v>1</v>
      </c>
      <c r="G1176" s="42" t="str">
        <f t="shared" si="37"/>
        <v>ARAGUAIA - OAE - Trombeta - 797,3 - 797,3 - 1</v>
      </c>
      <c r="L1176" s="23" t="s">
        <v>363</v>
      </c>
    </row>
    <row r="1177" spans="1:12" x14ac:dyDescent="0.25">
      <c r="A1177" s="23" t="s">
        <v>383</v>
      </c>
      <c r="B1177" s="24" t="s">
        <v>319</v>
      </c>
      <c r="C1177" s="23" t="s">
        <v>1</v>
      </c>
      <c r="D1177" s="23">
        <v>759.5</v>
      </c>
      <c r="E1177" s="23">
        <v>759.5</v>
      </c>
      <c r="F1177" s="23">
        <v>1</v>
      </c>
      <c r="G1177" s="42" t="str">
        <f t="shared" si="37"/>
        <v>ARAGUAIA - OAE - Diamante - 759,5 - 759,5 - 1</v>
      </c>
      <c r="L1177" s="23" t="s">
        <v>363</v>
      </c>
    </row>
    <row r="1178" spans="1:12" x14ac:dyDescent="0.25">
      <c r="A1178" s="23" t="s">
        <v>383</v>
      </c>
      <c r="B1178" s="24" t="s">
        <v>319</v>
      </c>
      <c r="C1178" s="23" t="s">
        <v>1</v>
      </c>
      <c r="D1178" s="23">
        <v>761.8</v>
      </c>
      <c r="E1178" s="23">
        <v>761.8</v>
      </c>
      <c r="F1178" s="23">
        <v>1</v>
      </c>
      <c r="G1178" s="42" t="str">
        <f t="shared" si="37"/>
        <v>ARAGUAIA - OAE - Diamante - 761,8 - 761,8 - 1</v>
      </c>
      <c r="L1178" s="23" t="s">
        <v>363</v>
      </c>
    </row>
    <row r="1179" spans="1:12" x14ac:dyDescent="0.25">
      <c r="A1179" s="23" t="s">
        <v>383</v>
      </c>
      <c r="B1179" s="24" t="s">
        <v>319</v>
      </c>
      <c r="C1179" s="23" t="s">
        <v>1</v>
      </c>
      <c r="D1179" s="23">
        <v>301.3</v>
      </c>
      <c r="E1179" s="23">
        <v>284.5</v>
      </c>
      <c r="F1179" s="23">
        <v>1</v>
      </c>
      <c r="G1179" s="42" t="str">
        <f t="shared" si="37"/>
        <v>ARAGUAIA - OAE - Diamante - 301,3 - 284,5 - 1</v>
      </c>
      <c r="L1179" s="23" t="s">
        <v>363</v>
      </c>
    </row>
    <row r="1180" spans="1:12" x14ac:dyDescent="0.25">
      <c r="A1180" s="23" t="s">
        <v>383</v>
      </c>
      <c r="B1180" s="24" t="s">
        <v>319</v>
      </c>
      <c r="C1180" s="23" t="s">
        <v>1</v>
      </c>
      <c r="D1180" s="23">
        <v>302.43</v>
      </c>
      <c r="E1180" s="23">
        <v>302.43</v>
      </c>
      <c r="F1180" s="23">
        <v>1</v>
      </c>
      <c r="G1180" s="42" t="str">
        <f t="shared" si="37"/>
        <v>ARAGUAIA - OAE - Diamante - 302,43 - 302,43 - 1</v>
      </c>
      <c r="L1180" s="23" t="s">
        <v>363</v>
      </c>
    </row>
    <row r="1181" spans="1:12" x14ac:dyDescent="0.25">
      <c r="A1181" s="23" t="s">
        <v>8</v>
      </c>
      <c r="B1181" s="24" t="s">
        <v>319</v>
      </c>
      <c r="C1181" s="23" t="s">
        <v>346</v>
      </c>
      <c r="D1181" s="23">
        <v>625.20000000000005</v>
      </c>
      <c r="E1181" s="23">
        <v>625.20000000000005</v>
      </c>
      <c r="F1181" s="23">
        <v>1</v>
      </c>
      <c r="G1181" s="42" t="str">
        <f t="shared" si="37"/>
        <v>VIA BRASIL - OAE - OAE - Vias Marginais - 625,2 - 625,2 - 1</v>
      </c>
      <c r="L1181" s="23" t="s">
        <v>363</v>
      </c>
    </row>
    <row r="1182" spans="1:12" x14ac:dyDescent="0.25">
      <c r="A1182" s="23" t="s">
        <v>8</v>
      </c>
      <c r="B1182" s="24" t="s">
        <v>319</v>
      </c>
      <c r="C1182" s="23" t="s">
        <v>346</v>
      </c>
      <c r="D1182" s="23">
        <v>625.20000000000005</v>
      </c>
      <c r="E1182" s="23">
        <v>625.20000000000005</v>
      </c>
      <c r="F1182" s="23">
        <v>1</v>
      </c>
      <c r="G1182" s="42" t="str">
        <f t="shared" si="37"/>
        <v>VIA BRASIL - OAE - OAE - Vias Marginais - 625,2 - 625,2 - 1</v>
      </c>
      <c r="L1182" s="23" t="s">
        <v>363</v>
      </c>
    </row>
    <row r="1183" spans="1:12" x14ac:dyDescent="0.25">
      <c r="A1183" s="23" t="s">
        <v>349</v>
      </c>
      <c r="B1183" s="24" t="s">
        <v>319</v>
      </c>
      <c r="C1183" s="23" t="s">
        <v>952</v>
      </c>
      <c r="D1183" s="23">
        <v>127.4</v>
      </c>
      <c r="E1183" s="23">
        <v>127.4</v>
      </c>
      <c r="F1183" s="23">
        <v>1</v>
      </c>
      <c r="G1183" s="42" t="str">
        <f t="shared" si="37"/>
        <v>RIO/SP - OAE - Intersecção Diamante - 127,4 - 127,4 - 1</v>
      </c>
      <c r="L1183" s="23" t="s">
        <v>363</v>
      </c>
    </row>
    <row r="1184" spans="1:12" x14ac:dyDescent="0.25">
      <c r="A1184" s="23" t="s">
        <v>349</v>
      </c>
      <c r="B1184" s="24" t="s">
        <v>319</v>
      </c>
      <c r="C1184" s="23" t="s">
        <v>953</v>
      </c>
      <c r="D1184" s="23">
        <v>139.30000000000001</v>
      </c>
      <c r="E1184" s="23">
        <v>139.30000000000001</v>
      </c>
      <c r="F1184" s="23">
        <v>1</v>
      </c>
      <c r="G1184" s="42" t="str">
        <f t="shared" si="37"/>
        <v>RIO/SP - OAE - Intersecção Tipo Parclo - 139,3 - 139,3 - 1</v>
      </c>
      <c r="L1184" s="23" t="s">
        <v>363</v>
      </c>
    </row>
    <row r="1185" spans="1:13" x14ac:dyDescent="0.25">
      <c r="A1185" s="23" t="s">
        <v>349</v>
      </c>
      <c r="B1185" s="24" t="s">
        <v>319</v>
      </c>
      <c r="C1185" s="23" t="s">
        <v>398</v>
      </c>
      <c r="D1185" s="23">
        <v>127.43899999999999</v>
      </c>
      <c r="E1185" s="23">
        <v>127.43899999999999</v>
      </c>
      <c r="F1185" s="23">
        <v>1</v>
      </c>
      <c r="G1185" s="42" t="str">
        <f t="shared" si="37"/>
        <v>RIO/SP - OAE - Ponte - 127,439 - 127,439 - 1</v>
      </c>
      <c r="L1185" s="23" t="s">
        <v>363</v>
      </c>
    </row>
    <row r="1186" spans="1:13" x14ac:dyDescent="0.25">
      <c r="A1186" s="23" t="s">
        <v>349</v>
      </c>
      <c r="B1186" s="24" t="s">
        <v>319</v>
      </c>
      <c r="C1186" s="23" t="s">
        <v>398</v>
      </c>
      <c r="D1186" s="23">
        <v>127.52</v>
      </c>
      <c r="E1186" s="23">
        <v>127.52</v>
      </c>
      <c r="F1186" s="23">
        <v>1</v>
      </c>
      <c r="G1186" s="42" t="str">
        <f t="shared" si="37"/>
        <v>RIO/SP - OAE - Ponte - 127,52 - 127,52 - 1</v>
      </c>
      <c r="L1186" s="23" t="s">
        <v>363</v>
      </c>
    </row>
    <row r="1187" spans="1:13" x14ac:dyDescent="0.25">
      <c r="A1187" s="23" t="s">
        <v>349</v>
      </c>
      <c r="B1187" s="24" t="s">
        <v>319</v>
      </c>
      <c r="C1187" s="23" t="s">
        <v>398</v>
      </c>
      <c r="D1187" s="23">
        <v>127.98</v>
      </c>
      <c r="E1187" s="23">
        <v>127.98</v>
      </c>
      <c r="F1187" s="23">
        <v>2</v>
      </c>
      <c r="G1187" s="42" t="str">
        <f t="shared" si="37"/>
        <v>RIO/SP - OAE - Ponte - 127,98 - 127,98 - 2</v>
      </c>
      <c r="L1187" s="23" t="s">
        <v>363</v>
      </c>
    </row>
    <row r="1188" spans="1:13" x14ac:dyDescent="0.25">
      <c r="A1188" s="23" t="s">
        <v>349</v>
      </c>
      <c r="B1188" s="24" t="s">
        <v>319</v>
      </c>
      <c r="C1188" s="23" t="s">
        <v>398</v>
      </c>
      <c r="D1188" s="23">
        <v>128.06</v>
      </c>
      <c r="E1188" s="23">
        <v>128.06</v>
      </c>
      <c r="F1188" s="23">
        <v>2</v>
      </c>
      <c r="G1188" s="42" t="str">
        <f t="shared" si="37"/>
        <v>RIO/SP - OAE - Ponte - 128,06 - 128,06 - 2</v>
      </c>
      <c r="L1188" s="23" t="s">
        <v>363</v>
      </c>
    </row>
    <row r="1189" spans="1:13" x14ac:dyDescent="0.25">
      <c r="A1189" s="23" t="s">
        <v>349</v>
      </c>
      <c r="B1189" s="24" t="s">
        <v>319</v>
      </c>
      <c r="C1189" s="23" t="s">
        <v>398</v>
      </c>
      <c r="D1189" s="23">
        <v>132.09</v>
      </c>
      <c r="E1189" s="23">
        <v>132.09</v>
      </c>
      <c r="F1189" s="23">
        <v>1</v>
      </c>
      <c r="G1189" s="42" t="str">
        <f t="shared" si="37"/>
        <v>RIO/SP - OAE - Ponte - 132,09 - 132,09 - 1</v>
      </c>
      <c r="L1189" s="23" t="s">
        <v>363</v>
      </c>
    </row>
    <row r="1190" spans="1:13" x14ac:dyDescent="0.25">
      <c r="A1190" s="23" t="s">
        <v>349</v>
      </c>
      <c r="B1190" s="24" t="s">
        <v>319</v>
      </c>
      <c r="C1190" s="23" t="s">
        <v>398</v>
      </c>
      <c r="D1190" s="23">
        <v>136.33000000000001</v>
      </c>
      <c r="E1190" s="23">
        <v>136.33000000000001</v>
      </c>
      <c r="F1190" s="23">
        <v>1</v>
      </c>
      <c r="G1190" s="42" t="str">
        <f t="shared" si="37"/>
        <v>RIO/SP - OAE - Ponte - 136,33 - 136,33 - 1</v>
      </c>
      <c r="L1190" s="23" t="s">
        <v>363</v>
      </c>
    </row>
    <row r="1191" spans="1:13" x14ac:dyDescent="0.25">
      <c r="A1191" s="23" t="s">
        <v>349</v>
      </c>
      <c r="B1191" s="24" t="s">
        <v>319</v>
      </c>
      <c r="C1191" s="23" t="s">
        <v>398</v>
      </c>
      <c r="D1191" s="23">
        <v>137.44999999999999</v>
      </c>
      <c r="E1191" s="23">
        <v>137.44999999999999</v>
      </c>
      <c r="F1191" s="23">
        <v>2</v>
      </c>
      <c r="G1191" s="42" t="str">
        <f t="shared" si="37"/>
        <v>RIO/SP - OAE - Ponte - 137,45 - 137,45 - 2</v>
      </c>
      <c r="L1191" s="23" t="s">
        <v>363</v>
      </c>
    </row>
    <row r="1192" spans="1:13" x14ac:dyDescent="0.25">
      <c r="A1192" s="23" t="s">
        <v>349</v>
      </c>
      <c r="B1192" s="24" t="s">
        <v>319</v>
      </c>
      <c r="C1192" s="23" t="s">
        <v>398</v>
      </c>
      <c r="D1192" s="23">
        <v>137.44999999999999</v>
      </c>
      <c r="E1192" s="23">
        <v>137.44999999999999</v>
      </c>
      <c r="F1192" s="23">
        <v>1</v>
      </c>
      <c r="G1192" s="42" t="str">
        <f t="shared" si="37"/>
        <v>RIO/SP - OAE - Ponte - 137,45 - 137,45 - 1</v>
      </c>
      <c r="L1192" s="23" t="s">
        <v>363</v>
      </c>
    </row>
    <row r="1193" spans="1:13" x14ac:dyDescent="0.25">
      <c r="A1193" s="23" t="s">
        <v>349</v>
      </c>
      <c r="B1193" s="24" t="s">
        <v>319</v>
      </c>
      <c r="C1193" s="23" t="s">
        <v>398</v>
      </c>
      <c r="D1193" s="23">
        <v>139.30000000000001</v>
      </c>
      <c r="E1193" s="23">
        <v>139.30000000000001</v>
      </c>
      <c r="F1193" s="23">
        <v>1</v>
      </c>
      <c r="G1193" s="42" t="str">
        <f t="shared" si="37"/>
        <v>RIO/SP - OAE - Ponte - 139,3 - 139,3 - 1</v>
      </c>
      <c r="L1193" s="23" t="s">
        <v>363</v>
      </c>
    </row>
    <row r="1194" spans="1:13" x14ac:dyDescent="0.25">
      <c r="A1194" s="23" t="s">
        <v>349</v>
      </c>
      <c r="B1194" s="24" t="s">
        <v>319</v>
      </c>
      <c r="C1194" s="23" t="s">
        <v>398</v>
      </c>
      <c r="D1194" s="23">
        <v>139.74</v>
      </c>
      <c r="E1194" s="23">
        <v>139.74</v>
      </c>
      <c r="F1194" s="23">
        <v>2</v>
      </c>
      <c r="G1194" s="42" t="str">
        <f t="shared" si="37"/>
        <v>RIO/SP - OAE - Ponte - 139,74 - 139,74 - 2</v>
      </c>
      <c r="L1194" s="23" t="s">
        <v>363</v>
      </c>
    </row>
    <row r="1195" spans="1:13" x14ac:dyDescent="0.25">
      <c r="A1195" s="23" t="s">
        <v>349</v>
      </c>
      <c r="B1195" s="24" t="s">
        <v>319</v>
      </c>
      <c r="C1195" s="23" t="s">
        <v>398</v>
      </c>
      <c r="D1195" s="23">
        <v>146.06</v>
      </c>
      <c r="E1195" s="23">
        <v>146.06</v>
      </c>
      <c r="F1195" s="23">
        <v>2</v>
      </c>
      <c r="G1195" s="42" t="str">
        <f t="shared" si="37"/>
        <v>RIO/SP - OAE - Ponte - 146,06 - 146,06 - 2</v>
      </c>
      <c r="L1195" s="23" t="s">
        <v>363</v>
      </c>
    </row>
    <row r="1196" spans="1:13" x14ac:dyDescent="0.25">
      <c r="A1196" s="23" t="s">
        <v>349</v>
      </c>
      <c r="B1196" s="24" t="s">
        <v>319</v>
      </c>
      <c r="C1196" s="23" t="s">
        <v>398</v>
      </c>
      <c r="D1196" s="23">
        <v>146.08000000000001</v>
      </c>
      <c r="E1196" s="23">
        <v>146.08000000000001</v>
      </c>
      <c r="F1196" s="23">
        <v>1</v>
      </c>
      <c r="G1196" s="42" t="str">
        <f t="shared" si="37"/>
        <v>RIO/SP - OAE - Ponte - 146,08 - 146,08 - 1</v>
      </c>
      <c r="L1196" s="23" t="s">
        <v>363</v>
      </c>
    </row>
    <row r="1197" spans="1:13" x14ac:dyDescent="0.25">
      <c r="A1197" s="23" t="s">
        <v>349</v>
      </c>
      <c r="B1197" s="24" t="s">
        <v>319</v>
      </c>
      <c r="C1197" s="23" t="s">
        <v>398</v>
      </c>
      <c r="D1197" s="23">
        <v>146.09</v>
      </c>
      <c r="E1197" s="23">
        <v>146.09</v>
      </c>
      <c r="F1197" s="23">
        <v>1</v>
      </c>
      <c r="G1197" s="42" t="str">
        <f t="shared" si="37"/>
        <v>RIO/SP - OAE - Ponte - 146,09 - 146,09 - 1</v>
      </c>
      <c r="L1197" s="23" t="s">
        <v>363</v>
      </c>
    </row>
    <row r="1198" spans="1:13" x14ac:dyDescent="0.25">
      <c r="A1198" s="23" t="s">
        <v>349</v>
      </c>
      <c r="B1198" s="24" t="s">
        <v>319</v>
      </c>
      <c r="C1198" s="23" t="s">
        <v>398</v>
      </c>
      <c r="D1198" s="23">
        <v>146.72</v>
      </c>
      <c r="E1198" s="23">
        <v>146.72</v>
      </c>
      <c r="F1198" s="23">
        <v>1</v>
      </c>
      <c r="G1198" s="42" t="str">
        <f t="shared" si="37"/>
        <v>RIO/SP - OAE - Ponte - 146,72 - 146,72 - 1</v>
      </c>
      <c r="L1198" s="23" t="s">
        <v>363</v>
      </c>
    </row>
    <row r="1199" spans="1:13" x14ac:dyDescent="0.25">
      <c r="A1199" s="23" t="s">
        <v>349</v>
      </c>
      <c r="B1199" s="24" t="s">
        <v>319</v>
      </c>
      <c r="C1199" s="23" t="s">
        <v>398</v>
      </c>
      <c r="D1199" s="23">
        <v>146.76</v>
      </c>
      <c r="E1199" s="23">
        <v>146.76</v>
      </c>
      <c r="F1199" s="23">
        <v>1</v>
      </c>
      <c r="G1199" s="42" t="str">
        <f t="shared" si="37"/>
        <v>RIO/SP - OAE - Ponte - 146,76 - 146,76 - 1</v>
      </c>
      <c r="L1199" s="23" t="s">
        <v>363</v>
      </c>
    </row>
    <row r="1200" spans="1:13" x14ac:dyDescent="0.25">
      <c r="A1200" s="23" t="s">
        <v>382</v>
      </c>
      <c r="B1200" s="24" t="s">
        <v>319</v>
      </c>
      <c r="C1200" s="23" t="s">
        <v>954</v>
      </c>
      <c r="D1200" s="23">
        <v>279.5</v>
      </c>
      <c r="E1200" s="23">
        <v>279.5</v>
      </c>
      <c r="F1200" s="23">
        <v>1</v>
      </c>
      <c r="G1200" s="42" t="str">
        <f t="shared" si="37"/>
        <v>CONCESSÃO VIA SUL - OAE - Interconexão Tipo Diamante - São José do Herval - 279,5 - 279,5 - 1</v>
      </c>
      <c r="M1200" s="23" t="s">
        <v>363</v>
      </c>
    </row>
    <row r="1201" spans="1:13" x14ac:dyDescent="0.25">
      <c r="A1201" s="23" t="s">
        <v>382</v>
      </c>
      <c r="B1201" s="24" t="s">
        <v>319</v>
      </c>
      <c r="C1201" s="23" t="s">
        <v>955</v>
      </c>
      <c r="D1201" s="23">
        <v>300.2</v>
      </c>
      <c r="E1201" s="23">
        <v>300.2</v>
      </c>
      <c r="F1201" s="23">
        <v>1</v>
      </c>
      <c r="G1201" s="42" t="str">
        <f t="shared" si="37"/>
        <v>CONCESSÃO VIA SUL - OAE - Interconexão Tipo Diamante - Pouso Novo - 300,2 - 300,2 - 1</v>
      </c>
      <c r="M1201" s="23" t="s">
        <v>363</v>
      </c>
    </row>
    <row r="1202" spans="1:13" x14ac:dyDescent="0.25">
      <c r="A1202" s="23" t="s">
        <v>4</v>
      </c>
      <c r="B1202" s="24" t="s">
        <v>319</v>
      </c>
      <c r="C1202" s="23" t="s">
        <v>392</v>
      </c>
      <c r="D1202" s="23">
        <v>261.5</v>
      </c>
      <c r="E1202" s="23">
        <v>261.5</v>
      </c>
      <c r="F1202" s="23">
        <v>1</v>
      </c>
      <c r="G1202" s="42" t="str">
        <f t="shared" si="37"/>
        <v>VIA COSTEIRA - OAE - Dispositivo em Desnível - 261,5 - 261,5 - 1</v>
      </c>
      <c r="M1202" s="23" t="s">
        <v>363</v>
      </c>
    </row>
    <row r="1203" spans="1:13" x14ac:dyDescent="0.25">
      <c r="A1203" s="23" t="s">
        <v>383</v>
      </c>
      <c r="B1203" s="24" t="s">
        <v>319</v>
      </c>
      <c r="C1203" s="23" t="s">
        <v>394</v>
      </c>
      <c r="D1203" s="23">
        <v>701.9</v>
      </c>
      <c r="E1203" s="23">
        <v>701.9</v>
      </c>
      <c r="F1203" s="23">
        <v>1</v>
      </c>
      <c r="G1203" s="42" t="str">
        <f t="shared" si="37"/>
        <v>ARAGUAIA - OAE - Trombeta - 701,9 - 701,9 - 1</v>
      </c>
      <c r="M1203" s="23" t="s">
        <v>363</v>
      </c>
    </row>
    <row r="1204" spans="1:13" x14ac:dyDescent="0.25">
      <c r="A1204" s="23" t="s">
        <v>383</v>
      </c>
      <c r="B1204" s="24" t="s">
        <v>319</v>
      </c>
      <c r="C1204" s="23" t="s">
        <v>1</v>
      </c>
      <c r="D1204" s="23">
        <v>284.5</v>
      </c>
      <c r="E1204" s="23">
        <v>284.5</v>
      </c>
      <c r="F1204" s="23">
        <v>1</v>
      </c>
      <c r="G1204" s="42" t="str">
        <f t="shared" si="37"/>
        <v>ARAGUAIA - OAE - Diamante - 284,5 - 284,5 - 1</v>
      </c>
      <c r="M1204" s="23" t="s">
        <v>363</v>
      </c>
    </row>
    <row r="1205" spans="1:13" x14ac:dyDescent="0.25">
      <c r="A1205" s="23" t="s">
        <v>383</v>
      </c>
      <c r="B1205" s="24" t="s">
        <v>319</v>
      </c>
      <c r="C1205" s="23" t="s">
        <v>1</v>
      </c>
      <c r="D1205" s="23">
        <v>319.2</v>
      </c>
      <c r="E1205" s="23">
        <v>319.2</v>
      </c>
      <c r="F1205" s="23">
        <v>1</v>
      </c>
      <c r="G1205" s="42" t="str">
        <f t="shared" si="37"/>
        <v>ARAGUAIA - OAE - Diamante - 319,2 - 319,2 - 1</v>
      </c>
      <c r="M1205" s="23" t="s">
        <v>363</v>
      </c>
    </row>
    <row r="1206" spans="1:13" x14ac:dyDescent="0.25">
      <c r="A1206" s="23" t="s">
        <v>935</v>
      </c>
      <c r="B1206" s="24" t="s">
        <v>319</v>
      </c>
      <c r="C1206" s="23" t="s">
        <v>952</v>
      </c>
      <c r="D1206" s="23">
        <v>195.5</v>
      </c>
      <c r="E1206" s="23">
        <v>195.5</v>
      </c>
      <c r="F1206" s="23">
        <v>1</v>
      </c>
      <c r="G1206" s="42" t="str">
        <f t="shared" si="37"/>
        <v>RIO/MINAS - OAE - Intersecção Diamante - 195,5 - 195,5 - 1</v>
      </c>
      <c r="M1206" s="23" t="s">
        <v>363</v>
      </c>
    </row>
    <row r="1207" spans="1:13" x14ac:dyDescent="0.25">
      <c r="A1207" s="23" t="s">
        <v>935</v>
      </c>
      <c r="B1207" s="24" t="s">
        <v>319</v>
      </c>
      <c r="C1207" s="23" t="s">
        <v>393</v>
      </c>
      <c r="D1207" s="23">
        <v>6.1</v>
      </c>
      <c r="E1207" s="23">
        <v>673.26599999999996</v>
      </c>
      <c r="F1207" s="23">
        <v>1</v>
      </c>
      <c r="G1207" s="42" t="str">
        <f t="shared" si="37"/>
        <v>RIO/MINAS - OAE - Passagem Inferior - 6,1 - 673,266 - 1</v>
      </c>
      <c r="M1207" s="23" t="s">
        <v>363</v>
      </c>
    </row>
    <row r="1208" spans="1:13" x14ac:dyDescent="0.25">
      <c r="A1208" s="23" t="s">
        <v>935</v>
      </c>
      <c r="B1208" s="24" t="s">
        <v>319</v>
      </c>
      <c r="C1208" s="23" t="s">
        <v>393</v>
      </c>
      <c r="D1208" s="23">
        <v>6.7</v>
      </c>
      <c r="E1208" s="23">
        <v>6.7</v>
      </c>
      <c r="F1208" s="23">
        <v>1</v>
      </c>
      <c r="G1208" s="42" t="str">
        <f t="shared" si="37"/>
        <v>RIO/MINAS - OAE - Passagem Inferior - 6,7 - 6,7 - 1</v>
      </c>
      <c r="M1208" s="23" t="s">
        <v>363</v>
      </c>
    </row>
    <row r="1209" spans="1:13" x14ac:dyDescent="0.25">
      <c r="A1209" s="23" t="s">
        <v>935</v>
      </c>
      <c r="B1209" s="24" t="s">
        <v>319</v>
      </c>
      <c r="C1209" s="23" t="s">
        <v>393</v>
      </c>
      <c r="D1209" s="23">
        <v>15.585000000000001</v>
      </c>
      <c r="E1209" s="23">
        <v>15.585000000000001</v>
      </c>
      <c r="F1209" s="23">
        <v>1</v>
      </c>
      <c r="G1209" s="42" t="str">
        <f t="shared" si="37"/>
        <v>RIO/MINAS - OAE - Passagem Inferior - 15,585 - 15,585 - 1</v>
      </c>
      <c r="M1209" s="23" t="s">
        <v>363</v>
      </c>
    </row>
    <row r="1210" spans="1:13" x14ac:dyDescent="0.25">
      <c r="A1210" s="23" t="s">
        <v>935</v>
      </c>
      <c r="B1210" s="24" t="s">
        <v>319</v>
      </c>
      <c r="C1210" s="23" t="s">
        <v>393</v>
      </c>
      <c r="D1210" s="23">
        <v>19.757000000000001</v>
      </c>
      <c r="E1210" s="23">
        <v>19.757000000000001</v>
      </c>
      <c r="F1210" s="23">
        <v>1</v>
      </c>
      <c r="G1210" s="42" t="str">
        <f t="shared" si="37"/>
        <v>RIO/MINAS - OAE - Passagem Inferior - 19,757 - 19,757 - 1</v>
      </c>
      <c r="M1210" s="23" t="s">
        <v>363</v>
      </c>
    </row>
    <row r="1211" spans="1:13" x14ac:dyDescent="0.25">
      <c r="A1211" s="23" t="s">
        <v>935</v>
      </c>
      <c r="B1211" s="24" t="s">
        <v>319</v>
      </c>
      <c r="C1211" s="23" t="s">
        <v>393</v>
      </c>
      <c r="D1211" s="23">
        <v>21.276</v>
      </c>
      <c r="E1211" s="23">
        <v>21.276</v>
      </c>
      <c r="F1211" s="23">
        <v>1</v>
      </c>
      <c r="G1211" s="42" t="str">
        <f t="shared" si="37"/>
        <v>RIO/MINAS - OAE - Passagem Inferior - 21,276 - 21,276 - 1</v>
      </c>
      <c r="M1211" s="23" t="s">
        <v>363</v>
      </c>
    </row>
    <row r="1212" spans="1:13" x14ac:dyDescent="0.25">
      <c r="A1212" s="23" t="s">
        <v>935</v>
      </c>
      <c r="B1212" s="24" t="s">
        <v>319</v>
      </c>
      <c r="C1212" s="23" t="s">
        <v>393</v>
      </c>
      <c r="D1212" s="23">
        <v>23.39</v>
      </c>
      <c r="E1212" s="23">
        <v>23.39</v>
      </c>
      <c r="F1212" s="23">
        <v>1</v>
      </c>
      <c r="G1212" s="42" t="str">
        <f t="shared" si="37"/>
        <v>RIO/MINAS - OAE - Passagem Inferior - 23,39 - 23,39 - 1</v>
      </c>
      <c r="M1212" s="23" t="s">
        <v>363</v>
      </c>
    </row>
    <row r="1213" spans="1:13" x14ac:dyDescent="0.25">
      <c r="A1213" s="23" t="s">
        <v>935</v>
      </c>
      <c r="B1213" s="24" t="s">
        <v>319</v>
      </c>
      <c r="C1213" s="23" t="s">
        <v>956</v>
      </c>
      <c r="D1213" s="23">
        <v>7.4</v>
      </c>
      <c r="E1213" s="23">
        <v>7.4</v>
      </c>
      <c r="F1213" s="23">
        <v>1</v>
      </c>
      <c r="G1213" s="42" t="str">
        <f t="shared" si="37"/>
        <v>RIO/MINAS - OAE - Trevo Completo - 7,4 - 7,4 - 1</v>
      </c>
      <c r="M1213" s="23" t="s">
        <v>363</v>
      </c>
    </row>
    <row r="1214" spans="1:13" x14ac:dyDescent="0.25">
      <c r="A1214" s="23" t="s">
        <v>8</v>
      </c>
      <c r="B1214" s="24" t="s">
        <v>319</v>
      </c>
      <c r="C1214" s="23" t="s">
        <v>394</v>
      </c>
      <c r="D1214" s="23">
        <v>997.3</v>
      </c>
      <c r="E1214" s="23">
        <v>997.3</v>
      </c>
      <c r="F1214" s="23">
        <v>1</v>
      </c>
      <c r="G1214" s="42" t="str">
        <f t="shared" ref="G1214:G1277" si="38">_xlfn.TEXTJOIN(" - ",TRUE,A1214:F1214)</f>
        <v>VIA BRASIL - OAE - Trombeta - 997,3 - 997,3 - 1</v>
      </c>
      <c r="M1214" s="23" t="s">
        <v>363</v>
      </c>
    </row>
    <row r="1215" spans="1:13" x14ac:dyDescent="0.25">
      <c r="A1215" s="23" t="s">
        <v>8</v>
      </c>
      <c r="B1215" s="24" t="s">
        <v>319</v>
      </c>
      <c r="C1215" s="23" t="s">
        <v>1</v>
      </c>
      <c r="D1215" s="23">
        <v>1053</v>
      </c>
      <c r="E1215" s="23">
        <v>1001.5</v>
      </c>
      <c r="F1215" s="23">
        <v>1</v>
      </c>
      <c r="G1215" s="42" t="str">
        <f t="shared" si="38"/>
        <v>VIA BRASIL - OAE - Diamante - 1053 - 1001,5 - 1</v>
      </c>
      <c r="M1215" s="23" t="s">
        <v>363</v>
      </c>
    </row>
    <row r="1216" spans="1:13" x14ac:dyDescent="0.25">
      <c r="A1216" s="23" t="s">
        <v>8</v>
      </c>
      <c r="B1216" s="24" t="s">
        <v>319</v>
      </c>
      <c r="C1216" s="23" t="s">
        <v>1</v>
      </c>
      <c r="D1216" s="23">
        <v>1080.8</v>
      </c>
      <c r="E1216" s="23">
        <v>1080.8</v>
      </c>
      <c r="F1216" s="23">
        <v>1</v>
      </c>
      <c r="G1216" s="42" t="str">
        <f t="shared" si="38"/>
        <v>VIA BRASIL - OAE - Diamante - 1080,8 - 1080,8 - 1</v>
      </c>
      <c r="M1216" s="23" t="s">
        <v>363</v>
      </c>
    </row>
    <row r="1217" spans="1:14" x14ac:dyDescent="0.25">
      <c r="A1217" s="23" t="s">
        <v>8</v>
      </c>
      <c r="B1217" s="24" t="s">
        <v>319</v>
      </c>
      <c r="C1217" s="23" t="s">
        <v>394</v>
      </c>
      <c r="D1217" s="23">
        <v>674.4</v>
      </c>
      <c r="E1217" s="23">
        <v>674.4</v>
      </c>
      <c r="F1217" s="23">
        <v>1</v>
      </c>
      <c r="G1217" s="42" t="str">
        <f t="shared" si="38"/>
        <v>VIA BRASIL - OAE - Trombeta - 674,4 - 674,4 - 1</v>
      </c>
      <c r="M1217" s="23" t="s">
        <v>363</v>
      </c>
    </row>
    <row r="1218" spans="1:14" x14ac:dyDescent="0.25">
      <c r="A1218" s="23" t="s">
        <v>349</v>
      </c>
      <c r="B1218" s="24" t="s">
        <v>319</v>
      </c>
      <c r="C1218" s="23" t="s">
        <v>952</v>
      </c>
      <c r="D1218" s="23">
        <v>124.8</v>
      </c>
      <c r="E1218" s="23">
        <v>124.8</v>
      </c>
      <c r="F1218" s="23">
        <v>1</v>
      </c>
      <c r="G1218" s="42" t="str">
        <f t="shared" si="38"/>
        <v>RIO/SP - OAE - Intersecção Diamante - 124,8 - 124,8 - 1</v>
      </c>
      <c r="M1218" s="23" t="s">
        <v>363</v>
      </c>
    </row>
    <row r="1219" spans="1:14" x14ac:dyDescent="0.25">
      <c r="A1219" s="23" t="s">
        <v>349</v>
      </c>
      <c r="B1219" s="24" t="s">
        <v>319</v>
      </c>
      <c r="C1219" s="23" t="s">
        <v>398</v>
      </c>
      <c r="D1219" s="23">
        <v>111.13</v>
      </c>
      <c r="E1219" s="23">
        <v>111.13</v>
      </c>
      <c r="F1219" s="23">
        <v>2</v>
      </c>
      <c r="G1219" s="42" t="str">
        <f t="shared" si="38"/>
        <v>RIO/SP - OAE - Ponte - 111,13 - 111,13 - 2</v>
      </c>
      <c r="M1219" s="23" t="s">
        <v>363</v>
      </c>
    </row>
    <row r="1220" spans="1:14" x14ac:dyDescent="0.25">
      <c r="A1220" s="23" t="s">
        <v>349</v>
      </c>
      <c r="B1220" s="24" t="s">
        <v>319</v>
      </c>
      <c r="C1220" s="23" t="s">
        <v>398</v>
      </c>
      <c r="D1220" s="23">
        <v>111.35</v>
      </c>
      <c r="E1220" s="23">
        <v>111.35</v>
      </c>
      <c r="F1220" s="23">
        <v>2</v>
      </c>
      <c r="G1220" s="42" t="str">
        <f t="shared" si="38"/>
        <v>RIO/SP - OAE - Ponte - 111,35 - 111,35 - 2</v>
      </c>
      <c r="M1220" s="23" t="s">
        <v>363</v>
      </c>
    </row>
    <row r="1221" spans="1:14" x14ac:dyDescent="0.25">
      <c r="A1221" s="23" t="s">
        <v>349</v>
      </c>
      <c r="B1221" s="24" t="s">
        <v>319</v>
      </c>
      <c r="C1221" s="23" t="s">
        <v>398</v>
      </c>
      <c r="D1221" s="23">
        <v>113.03</v>
      </c>
      <c r="E1221" s="23">
        <v>113.03</v>
      </c>
      <c r="F1221" s="23">
        <v>1</v>
      </c>
      <c r="G1221" s="42" t="str">
        <f t="shared" si="38"/>
        <v>RIO/SP - OAE - Ponte - 113,03 - 113,03 - 1</v>
      </c>
      <c r="M1221" s="23" t="s">
        <v>363</v>
      </c>
    </row>
    <row r="1222" spans="1:14" x14ac:dyDescent="0.25">
      <c r="A1222" s="23" t="s">
        <v>349</v>
      </c>
      <c r="B1222" s="24" t="s">
        <v>319</v>
      </c>
      <c r="C1222" s="23" t="s">
        <v>398</v>
      </c>
      <c r="D1222" s="23">
        <v>114.85</v>
      </c>
      <c r="E1222" s="23">
        <v>114.85</v>
      </c>
      <c r="F1222" s="23">
        <v>2</v>
      </c>
      <c r="G1222" s="42" t="str">
        <f t="shared" si="38"/>
        <v>RIO/SP - OAE - Ponte - 114,85 - 114,85 - 2</v>
      </c>
      <c r="M1222" s="23" t="s">
        <v>363</v>
      </c>
    </row>
    <row r="1223" spans="1:14" x14ac:dyDescent="0.25">
      <c r="A1223" s="23" t="s">
        <v>349</v>
      </c>
      <c r="B1223" s="24" t="s">
        <v>319</v>
      </c>
      <c r="C1223" s="23" t="s">
        <v>398</v>
      </c>
      <c r="D1223" s="23">
        <v>116.07</v>
      </c>
      <c r="E1223" s="23">
        <v>116.07</v>
      </c>
      <c r="F1223" s="23">
        <v>2</v>
      </c>
      <c r="G1223" s="42" t="str">
        <f t="shared" si="38"/>
        <v>RIO/SP - OAE - Ponte - 116,07 - 116,07 - 2</v>
      </c>
      <c r="M1223" s="23" t="s">
        <v>363</v>
      </c>
    </row>
    <row r="1224" spans="1:14" x14ac:dyDescent="0.25">
      <c r="A1224" s="23" t="s">
        <v>349</v>
      </c>
      <c r="B1224" s="24" t="s">
        <v>319</v>
      </c>
      <c r="C1224" s="23" t="s">
        <v>952</v>
      </c>
      <c r="D1224" s="23">
        <v>303.27999999999997</v>
      </c>
      <c r="E1224" s="23">
        <v>303.27999999999997</v>
      </c>
      <c r="F1224" s="23">
        <v>1</v>
      </c>
      <c r="G1224" s="42" t="str">
        <f t="shared" si="38"/>
        <v>RIO/SP - OAE - Intersecção Diamante - 303,28 - 303,28 - 1</v>
      </c>
      <c r="M1224" s="23" t="s">
        <v>363</v>
      </c>
    </row>
    <row r="1225" spans="1:14" x14ac:dyDescent="0.25">
      <c r="A1225" s="23" t="s">
        <v>349</v>
      </c>
      <c r="B1225" s="24" t="s">
        <v>319</v>
      </c>
      <c r="C1225" s="23" t="s">
        <v>398</v>
      </c>
      <c r="D1225" s="23">
        <v>294.39</v>
      </c>
      <c r="E1225" s="23">
        <v>294.39</v>
      </c>
      <c r="F1225" s="23">
        <v>1</v>
      </c>
      <c r="G1225" s="42" t="str">
        <f t="shared" si="38"/>
        <v>RIO/SP - OAE - Ponte - 294,39 - 294,39 - 1</v>
      </c>
      <c r="M1225" s="23" t="s">
        <v>363</v>
      </c>
    </row>
    <row r="1226" spans="1:14" x14ac:dyDescent="0.25">
      <c r="A1226" s="23" t="s">
        <v>349</v>
      </c>
      <c r="B1226" s="24" t="s">
        <v>319</v>
      </c>
      <c r="C1226" s="23" t="s">
        <v>398</v>
      </c>
      <c r="D1226" s="23">
        <v>303.27</v>
      </c>
      <c r="E1226" s="23">
        <v>303.27</v>
      </c>
      <c r="F1226" s="23">
        <v>2</v>
      </c>
      <c r="G1226" s="42" t="str">
        <f t="shared" si="38"/>
        <v>RIO/SP - OAE - Ponte - 303,27 - 303,27 - 2</v>
      </c>
      <c r="M1226" s="23" t="s">
        <v>363</v>
      </c>
    </row>
    <row r="1227" spans="1:14" x14ac:dyDescent="0.25">
      <c r="A1227" s="23" t="s">
        <v>382</v>
      </c>
      <c r="B1227" s="24" t="s">
        <v>319</v>
      </c>
      <c r="C1227" s="23" t="s">
        <v>957</v>
      </c>
      <c r="D1227" s="23">
        <v>0.68500000000000005</v>
      </c>
      <c r="E1227" s="23">
        <v>0.68500000000000005</v>
      </c>
      <c r="F1227" s="23">
        <v>1</v>
      </c>
      <c r="G1227" s="42" t="str">
        <f t="shared" si="38"/>
        <v>CONCESSÃO VIA SUL - OAE - Passagem Inferior -  - 0,685 - 0,685 - 1</v>
      </c>
      <c r="N1227" s="23" t="s">
        <v>363</v>
      </c>
    </row>
    <row r="1228" spans="1:14" x14ac:dyDescent="0.25">
      <c r="A1228" s="23" t="s">
        <v>382</v>
      </c>
      <c r="B1228" s="24" t="s">
        <v>319</v>
      </c>
      <c r="C1228" s="23" t="s">
        <v>958</v>
      </c>
      <c r="D1228" s="23">
        <v>22.5</v>
      </c>
      <c r="E1228" s="23">
        <v>22.5</v>
      </c>
      <c r="F1228" s="23">
        <v>1</v>
      </c>
      <c r="G1228" s="42" t="str">
        <f t="shared" si="38"/>
        <v>CONCESSÃO VIA SUL - OAE - Passagem Inferior Norte - 22,5 - 22,5 - 1</v>
      </c>
      <c r="N1228" s="23" t="s">
        <v>363</v>
      </c>
    </row>
    <row r="1229" spans="1:14" x14ac:dyDescent="0.25">
      <c r="A1229" s="23" t="s">
        <v>382</v>
      </c>
      <c r="B1229" s="24" t="s">
        <v>319</v>
      </c>
      <c r="C1229" s="23" t="s">
        <v>959</v>
      </c>
      <c r="D1229" s="23">
        <v>22.5</v>
      </c>
      <c r="E1229" s="23">
        <v>22.5</v>
      </c>
      <c r="F1229" s="23">
        <v>1</v>
      </c>
      <c r="G1229" s="42" t="str">
        <f t="shared" si="38"/>
        <v>CONCESSÃO VIA SUL - OAE - Passagem Inferior Sul - 22,5 - 22,5 - 1</v>
      </c>
      <c r="N1229" s="23" t="s">
        <v>363</v>
      </c>
    </row>
    <row r="1230" spans="1:14" x14ac:dyDescent="0.25">
      <c r="A1230" s="23" t="s">
        <v>382</v>
      </c>
      <c r="B1230" s="24" t="s">
        <v>319</v>
      </c>
      <c r="C1230" s="23" t="s">
        <v>958</v>
      </c>
      <c r="D1230" s="23">
        <v>67.900000000000006</v>
      </c>
      <c r="E1230" s="23">
        <v>67.900000000000006</v>
      </c>
      <c r="F1230" s="23">
        <v>1</v>
      </c>
      <c r="G1230" s="42" t="str">
        <f t="shared" si="38"/>
        <v>CONCESSÃO VIA SUL - OAE - Passagem Inferior Norte - 67,9 - 67,9 - 1</v>
      </c>
      <c r="N1230" s="23" t="s">
        <v>363</v>
      </c>
    </row>
    <row r="1231" spans="1:14" x14ac:dyDescent="0.25">
      <c r="A1231" s="23" t="s">
        <v>382</v>
      </c>
      <c r="B1231" s="24" t="s">
        <v>319</v>
      </c>
      <c r="C1231" s="23" t="s">
        <v>959</v>
      </c>
      <c r="D1231" s="23">
        <v>67.900000000000006</v>
      </c>
      <c r="E1231" s="23">
        <v>67.900000000000006</v>
      </c>
      <c r="F1231" s="23">
        <v>1</v>
      </c>
      <c r="G1231" s="42" t="str">
        <f t="shared" si="38"/>
        <v>CONCESSÃO VIA SUL - OAE - Passagem Inferior Sul - 67,9 - 67,9 - 1</v>
      </c>
      <c r="N1231" s="23" t="s">
        <v>363</v>
      </c>
    </row>
    <row r="1232" spans="1:14" x14ac:dyDescent="0.25">
      <c r="A1232" s="23" t="s">
        <v>382</v>
      </c>
      <c r="B1232" s="24" t="s">
        <v>319</v>
      </c>
      <c r="C1232" s="23" t="s">
        <v>958</v>
      </c>
      <c r="D1232" s="23">
        <v>71.900000000000006</v>
      </c>
      <c r="E1232" s="23">
        <v>71.900000000000006</v>
      </c>
      <c r="F1232" s="23">
        <v>1</v>
      </c>
      <c r="G1232" s="42" t="str">
        <f t="shared" si="38"/>
        <v>CONCESSÃO VIA SUL - OAE - Passagem Inferior Norte - 71,9 - 71,9 - 1</v>
      </c>
      <c r="N1232" s="23" t="s">
        <v>363</v>
      </c>
    </row>
    <row r="1233" spans="1:14" x14ac:dyDescent="0.25">
      <c r="A1233" s="23" t="s">
        <v>382</v>
      </c>
      <c r="B1233" s="24" t="s">
        <v>319</v>
      </c>
      <c r="C1233" s="23" t="s">
        <v>959</v>
      </c>
      <c r="D1233" s="23">
        <v>71.900000000000006</v>
      </c>
      <c r="E1233" s="23">
        <v>71.900000000000006</v>
      </c>
      <c r="F1233" s="23">
        <v>1</v>
      </c>
      <c r="G1233" s="42" t="str">
        <f t="shared" si="38"/>
        <v>CONCESSÃO VIA SUL - OAE - Passagem Inferior Sul - 71,9 - 71,9 - 1</v>
      </c>
      <c r="N1233" s="23" t="s">
        <v>363</v>
      </c>
    </row>
    <row r="1234" spans="1:14" x14ac:dyDescent="0.25">
      <c r="A1234" s="23" t="s">
        <v>382</v>
      </c>
      <c r="B1234" s="24" t="s">
        <v>319</v>
      </c>
      <c r="C1234" s="23" t="s">
        <v>954</v>
      </c>
      <c r="D1234" s="23">
        <v>279.5</v>
      </c>
      <c r="E1234" s="23">
        <v>279.5</v>
      </c>
      <c r="F1234" s="23">
        <v>1</v>
      </c>
      <c r="G1234" s="42" t="str">
        <f t="shared" si="38"/>
        <v>CONCESSÃO VIA SUL - OAE - Interconexão Tipo Diamante - São José do Herval - 279,5 - 279,5 - 1</v>
      </c>
      <c r="N1234" s="23" t="s">
        <v>363</v>
      </c>
    </row>
    <row r="1235" spans="1:14" x14ac:dyDescent="0.25">
      <c r="A1235" s="23" t="s">
        <v>382</v>
      </c>
      <c r="B1235" s="24" t="s">
        <v>319</v>
      </c>
      <c r="C1235" s="23" t="s">
        <v>955</v>
      </c>
      <c r="D1235" s="23">
        <v>300.2</v>
      </c>
      <c r="E1235" s="23">
        <v>300.2</v>
      </c>
      <c r="F1235" s="23">
        <v>1</v>
      </c>
      <c r="G1235" s="42" t="str">
        <f t="shared" si="38"/>
        <v>CONCESSÃO VIA SUL - OAE - Interconexão Tipo Diamante - Pouso Novo - 300,2 - 300,2 - 1</v>
      </c>
      <c r="N1235" s="23" t="s">
        <v>363</v>
      </c>
    </row>
    <row r="1236" spans="1:14" x14ac:dyDescent="0.25">
      <c r="A1236" s="23" t="s">
        <v>382</v>
      </c>
      <c r="B1236" s="24" t="s">
        <v>319</v>
      </c>
      <c r="C1236" s="23" t="s">
        <v>960</v>
      </c>
      <c r="D1236" s="23">
        <v>354.8</v>
      </c>
      <c r="E1236" s="23">
        <v>354.8</v>
      </c>
      <c r="F1236" s="23">
        <v>1</v>
      </c>
      <c r="G1236" s="42" t="str">
        <f t="shared" si="38"/>
        <v>CONCESSÃO VIA SUL - OAE - Interconexão Tipo Trombeta- Estrela - 354,8 - 354,8 - 1</v>
      </c>
      <c r="N1236" s="23" t="s">
        <v>363</v>
      </c>
    </row>
    <row r="1237" spans="1:14" x14ac:dyDescent="0.25">
      <c r="A1237" s="23" t="s">
        <v>382</v>
      </c>
      <c r="B1237" s="24" t="s">
        <v>319</v>
      </c>
      <c r="C1237" s="23" t="s">
        <v>961</v>
      </c>
      <c r="D1237" s="23">
        <v>360.3</v>
      </c>
      <c r="E1237" s="23">
        <v>360.3</v>
      </c>
      <c r="F1237" s="23">
        <v>1</v>
      </c>
      <c r="G1237" s="42" t="str">
        <f t="shared" si="38"/>
        <v>CONCESSÃO VIA SUL - OAE - Interconexão Tipo Diamante - Estrela - 360,3 - 360,3 - 1</v>
      </c>
      <c r="N1237" s="23" t="s">
        <v>363</v>
      </c>
    </row>
    <row r="1238" spans="1:14" x14ac:dyDescent="0.25">
      <c r="A1238" s="23" t="s">
        <v>382</v>
      </c>
      <c r="B1238" s="24" t="s">
        <v>319</v>
      </c>
      <c r="C1238" s="23" t="s">
        <v>962</v>
      </c>
      <c r="D1238" s="23">
        <v>365.9</v>
      </c>
      <c r="E1238" s="23">
        <v>365.9</v>
      </c>
      <c r="F1238" s="23">
        <v>1</v>
      </c>
      <c r="G1238" s="42" t="str">
        <f t="shared" si="38"/>
        <v>CONCESSÃO VIA SUL - OAE - Interconexão Tipo Diamante - Fazenda Vila Nova - 365,9 - 365,9 - 1</v>
      </c>
      <c r="N1238" s="23" t="s">
        <v>363</v>
      </c>
    </row>
    <row r="1239" spans="1:14" x14ac:dyDescent="0.25">
      <c r="A1239" s="23" t="s">
        <v>382</v>
      </c>
      <c r="B1239" s="24" t="s">
        <v>319</v>
      </c>
      <c r="C1239" s="23" t="s">
        <v>963</v>
      </c>
      <c r="D1239" s="23">
        <v>385.9</v>
      </c>
      <c r="E1239" s="23">
        <v>385.9</v>
      </c>
      <c r="F1239" s="23">
        <v>1</v>
      </c>
      <c r="G1239" s="42" t="str">
        <f t="shared" si="38"/>
        <v>CONCESSÃO VIA SUL - OAE - Interconexão Tipo Diamante - Triunfo - 385,9 - 385,9 - 1</v>
      </c>
      <c r="N1239" s="23" t="s">
        <v>363</v>
      </c>
    </row>
    <row r="1240" spans="1:14" x14ac:dyDescent="0.25">
      <c r="A1240" s="23" t="s">
        <v>4</v>
      </c>
      <c r="B1240" s="24" t="s">
        <v>319</v>
      </c>
      <c r="C1240" s="23" t="s">
        <v>392</v>
      </c>
      <c r="D1240" s="23">
        <v>460.65</v>
      </c>
      <c r="E1240" s="23">
        <v>460.65</v>
      </c>
      <c r="F1240" s="23">
        <v>1</v>
      </c>
      <c r="G1240" s="42" t="str">
        <f t="shared" si="38"/>
        <v>VIA COSTEIRA - OAE - Dispositivo em Desnível - 460,65 - 460,65 - 1</v>
      </c>
      <c r="N1240" s="23" t="s">
        <v>363</v>
      </c>
    </row>
    <row r="1241" spans="1:14" x14ac:dyDescent="0.25">
      <c r="A1241" s="23" t="s">
        <v>383</v>
      </c>
      <c r="B1241" s="24" t="s">
        <v>319</v>
      </c>
      <c r="C1241" s="23" t="s">
        <v>393</v>
      </c>
      <c r="D1241" s="23">
        <v>107.1</v>
      </c>
      <c r="E1241" s="23">
        <v>107.1</v>
      </c>
      <c r="F1241" s="23">
        <v>1</v>
      </c>
      <c r="G1241" s="42" t="str">
        <f t="shared" si="38"/>
        <v>ARAGUAIA - OAE - Passagem Inferior - 107,1 - 107,1 - 1</v>
      </c>
      <c r="N1241" s="23" t="s">
        <v>363</v>
      </c>
    </row>
    <row r="1242" spans="1:14" x14ac:dyDescent="0.25">
      <c r="A1242" s="23" t="s">
        <v>383</v>
      </c>
      <c r="B1242" s="24" t="s">
        <v>319</v>
      </c>
      <c r="C1242" s="23" t="s">
        <v>393</v>
      </c>
      <c r="D1242" s="23">
        <v>199.5</v>
      </c>
      <c r="E1242" s="23">
        <v>199.5</v>
      </c>
      <c r="F1242" s="23">
        <v>1</v>
      </c>
      <c r="G1242" s="42" t="str">
        <f t="shared" si="38"/>
        <v>ARAGUAIA - OAE - Passagem Inferior - 199,5 - 199,5 - 1</v>
      </c>
      <c r="N1242" s="23" t="s">
        <v>363</v>
      </c>
    </row>
    <row r="1243" spans="1:14" x14ac:dyDescent="0.25">
      <c r="A1243" s="23" t="s">
        <v>383</v>
      </c>
      <c r="B1243" s="24" t="s">
        <v>319</v>
      </c>
      <c r="C1243" s="23" t="s">
        <v>394</v>
      </c>
      <c r="D1243" s="23">
        <v>109</v>
      </c>
      <c r="E1243" s="23">
        <v>109</v>
      </c>
      <c r="F1243" s="23">
        <v>1</v>
      </c>
      <c r="G1243" s="42" t="str">
        <f t="shared" si="38"/>
        <v>ARAGUAIA - OAE - Trombeta - 109 - 109 - 1</v>
      </c>
      <c r="N1243" s="23" t="s">
        <v>363</v>
      </c>
    </row>
    <row r="1244" spans="1:14" x14ac:dyDescent="0.25">
      <c r="A1244" s="23" t="s">
        <v>383</v>
      </c>
      <c r="B1244" s="24" t="s">
        <v>319</v>
      </c>
      <c r="C1244" s="23" t="s">
        <v>394</v>
      </c>
      <c r="D1244" s="23">
        <v>212.55</v>
      </c>
      <c r="E1244" s="23">
        <v>212.55</v>
      </c>
      <c r="F1244" s="23">
        <v>1</v>
      </c>
      <c r="G1244" s="42" t="str">
        <f t="shared" si="38"/>
        <v>ARAGUAIA - OAE - Trombeta - 212,55 - 212,55 - 1</v>
      </c>
      <c r="N1244" s="23" t="s">
        <v>363</v>
      </c>
    </row>
    <row r="1245" spans="1:14" x14ac:dyDescent="0.25">
      <c r="A1245" s="23" t="s">
        <v>383</v>
      </c>
      <c r="B1245" s="24" t="s">
        <v>319</v>
      </c>
      <c r="C1245" s="23" t="s">
        <v>394</v>
      </c>
      <c r="D1245" s="23">
        <v>242.5</v>
      </c>
      <c r="E1245" s="23">
        <v>242.5</v>
      </c>
      <c r="F1245" s="23">
        <v>1</v>
      </c>
      <c r="G1245" s="42" t="str">
        <f t="shared" si="38"/>
        <v>ARAGUAIA - OAE - Trombeta - 242,5 - 242,5 - 1</v>
      </c>
      <c r="N1245" s="23" t="s">
        <v>363</v>
      </c>
    </row>
    <row r="1246" spans="1:14" x14ac:dyDescent="0.25">
      <c r="A1246" s="23" t="s">
        <v>383</v>
      </c>
      <c r="B1246" s="24" t="s">
        <v>319</v>
      </c>
      <c r="C1246" s="23" t="s">
        <v>394</v>
      </c>
      <c r="D1246" s="23">
        <v>402</v>
      </c>
      <c r="E1246" s="23">
        <v>402</v>
      </c>
      <c r="F1246" s="23">
        <v>1</v>
      </c>
      <c r="G1246" s="42" t="str">
        <f t="shared" si="38"/>
        <v>ARAGUAIA - OAE - Trombeta - 402 - 402 - 1</v>
      </c>
      <c r="N1246" s="23" t="s">
        <v>363</v>
      </c>
    </row>
    <row r="1247" spans="1:14" x14ac:dyDescent="0.25">
      <c r="A1247" s="23" t="s">
        <v>383</v>
      </c>
      <c r="B1247" s="24" t="s">
        <v>319</v>
      </c>
      <c r="C1247" s="23" t="s">
        <v>1</v>
      </c>
      <c r="D1247" s="23">
        <v>68.25</v>
      </c>
      <c r="E1247" s="23">
        <v>68.25</v>
      </c>
      <c r="F1247" s="23">
        <v>1</v>
      </c>
      <c r="G1247" s="42" t="str">
        <f t="shared" si="38"/>
        <v>ARAGUAIA - OAE - Diamante - 68,25 - 68,25 - 1</v>
      </c>
      <c r="N1247" s="23" t="s">
        <v>363</v>
      </c>
    </row>
    <row r="1248" spans="1:14" x14ac:dyDescent="0.25">
      <c r="A1248" s="23" t="s">
        <v>383</v>
      </c>
      <c r="B1248" s="24" t="s">
        <v>319</v>
      </c>
      <c r="C1248" s="23" t="s">
        <v>1</v>
      </c>
      <c r="D1248" s="23">
        <v>71.099999999999994</v>
      </c>
      <c r="E1248" s="23">
        <v>71.099999999999994</v>
      </c>
      <c r="F1248" s="23">
        <v>1</v>
      </c>
      <c r="G1248" s="42" t="str">
        <f t="shared" si="38"/>
        <v>ARAGUAIA - OAE - Diamante - 71,1 - 71,1 - 1</v>
      </c>
      <c r="N1248" s="23" t="s">
        <v>363</v>
      </c>
    </row>
    <row r="1249" spans="1:14" x14ac:dyDescent="0.25">
      <c r="A1249" s="23" t="s">
        <v>383</v>
      </c>
      <c r="B1249" s="24" t="s">
        <v>319</v>
      </c>
      <c r="C1249" s="23" t="s">
        <v>1</v>
      </c>
      <c r="D1249" s="23">
        <v>75.7</v>
      </c>
      <c r="E1249" s="23">
        <v>75.7</v>
      </c>
      <c r="F1249" s="23">
        <v>1</v>
      </c>
      <c r="G1249" s="42" t="str">
        <f t="shared" si="38"/>
        <v>ARAGUAIA - OAE - Diamante - 75,7 - 75,7 - 1</v>
      </c>
      <c r="N1249" s="23" t="s">
        <v>363</v>
      </c>
    </row>
    <row r="1250" spans="1:14" x14ac:dyDescent="0.25">
      <c r="A1250" s="23" t="s">
        <v>383</v>
      </c>
      <c r="B1250" s="24" t="s">
        <v>319</v>
      </c>
      <c r="C1250" s="23" t="s">
        <v>1</v>
      </c>
      <c r="D1250" s="23">
        <v>200.8</v>
      </c>
      <c r="E1250" s="23">
        <v>200.8</v>
      </c>
      <c r="F1250" s="23">
        <v>1</v>
      </c>
      <c r="G1250" s="42" t="str">
        <f t="shared" si="38"/>
        <v>ARAGUAIA - OAE - Diamante - 200,8 - 200,8 - 1</v>
      </c>
      <c r="N1250" s="23" t="s">
        <v>363</v>
      </c>
    </row>
    <row r="1251" spans="1:14" x14ac:dyDescent="0.25">
      <c r="A1251" s="23" t="s">
        <v>383</v>
      </c>
      <c r="B1251" s="24" t="s">
        <v>319</v>
      </c>
      <c r="C1251" s="23" t="s">
        <v>1</v>
      </c>
      <c r="D1251" s="23">
        <v>202.5</v>
      </c>
      <c r="E1251" s="23">
        <v>202.5</v>
      </c>
      <c r="F1251" s="23">
        <v>1</v>
      </c>
      <c r="G1251" s="42" t="str">
        <f t="shared" si="38"/>
        <v>ARAGUAIA - OAE - Diamante - 202,5 - 202,5 - 1</v>
      </c>
      <c r="N1251" s="23" t="s">
        <v>363</v>
      </c>
    </row>
    <row r="1252" spans="1:14" x14ac:dyDescent="0.25">
      <c r="A1252" s="23" t="s">
        <v>383</v>
      </c>
      <c r="B1252" s="24" t="s">
        <v>319</v>
      </c>
      <c r="C1252" s="23" t="s">
        <v>1</v>
      </c>
      <c r="D1252" s="23">
        <v>357.3</v>
      </c>
      <c r="E1252" s="23">
        <v>357.3</v>
      </c>
      <c r="F1252" s="23">
        <v>1</v>
      </c>
      <c r="G1252" s="42" t="str">
        <f t="shared" si="38"/>
        <v>ARAGUAIA - OAE - Diamante - 357,3 - 357,3 - 1</v>
      </c>
      <c r="N1252" s="23" t="s">
        <v>363</v>
      </c>
    </row>
    <row r="1253" spans="1:14" x14ac:dyDescent="0.25">
      <c r="A1253" s="23" t="s">
        <v>383</v>
      </c>
      <c r="B1253" s="24" t="s">
        <v>319</v>
      </c>
      <c r="C1253" s="23" t="s">
        <v>1</v>
      </c>
      <c r="D1253" s="23">
        <v>360.1</v>
      </c>
      <c r="E1253" s="23">
        <v>360.1</v>
      </c>
      <c r="F1253" s="23">
        <v>1</v>
      </c>
      <c r="G1253" s="42" t="str">
        <f t="shared" si="38"/>
        <v>ARAGUAIA - OAE - Diamante - 360,1 - 360,1 - 1</v>
      </c>
      <c r="N1253" s="23" t="s">
        <v>363</v>
      </c>
    </row>
    <row r="1254" spans="1:14" x14ac:dyDescent="0.25">
      <c r="A1254" s="23" t="s">
        <v>383</v>
      </c>
      <c r="B1254" s="24" t="s">
        <v>319</v>
      </c>
      <c r="C1254" s="23" t="s">
        <v>1</v>
      </c>
      <c r="D1254" s="23">
        <v>444.12200000000001</v>
      </c>
      <c r="E1254" s="23">
        <v>444.12200000000001</v>
      </c>
      <c r="F1254" s="23">
        <v>1</v>
      </c>
      <c r="G1254" s="42" t="str">
        <f t="shared" si="38"/>
        <v>ARAGUAIA - OAE - Diamante - 444,122 - 444,122 - 1</v>
      </c>
      <c r="N1254" s="23" t="s">
        <v>363</v>
      </c>
    </row>
    <row r="1255" spans="1:14" x14ac:dyDescent="0.25">
      <c r="A1255" s="23" t="s">
        <v>383</v>
      </c>
      <c r="B1255" s="24" t="s">
        <v>319</v>
      </c>
      <c r="C1255" s="23" t="s">
        <v>394</v>
      </c>
      <c r="D1255" s="23">
        <v>389.4</v>
      </c>
      <c r="E1255" s="23">
        <v>389.4</v>
      </c>
      <c r="F1255" s="23">
        <v>1</v>
      </c>
      <c r="G1255" s="42" t="str">
        <f t="shared" si="38"/>
        <v>ARAGUAIA - OAE - Trombeta - 389,4 - 389,4 - 1</v>
      </c>
      <c r="N1255" s="23" t="s">
        <v>363</v>
      </c>
    </row>
    <row r="1256" spans="1:14" x14ac:dyDescent="0.25">
      <c r="A1256" s="23" t="s">
        <v>383</v>
      </c>
      <c r="B1256" s="24" t="s">
        <v>319</v>
      </c>
      <c r="C1256" s="23" t="s">
        <v>394</v>
      </c>
      <c r="D1256" s="23">
        <v>395.88</v>
      </c>
      <c r="E1256" s="23">
        <v>395.88</v>
      </c>
      <c r="F1256" s="23">
        <v>1</v>
      </c>
      <c r="G1256" s="42" t="str">
        <f t="shared" si="38"/>
        <v>ARAGUAIA - OAE - Trombeta - 395,88 - 395,88 - 1</v>
      </c>
      <c r="N1256" s="23" t="s">
        <v>363</v>
      </c>
    </row>
    <row r="1257" spans="1:14" x14ac:dyDescent="0.25">
      <c r="A1257" s="23" t="s">
        <v>383</v>
      </c>
      <c r="B1257" s="24" t="s">
        <v>319</v>
      </c>
      <c r="C1257" s="23" t="s">
        <v>394</v>
      </c>
      <c r="D1257" s="23">
        <v>410.56</v>
      </c>
      <c r="E1257" s="23">
        <v>410.56</v>
      </c>
      <c r="F1257" s="23">
        <v>1</v>
      </c>
      <c r="G1257" s="42" t="str">
        <f t="shared" si="38"/>
        <v>ARAGUAIA - OAE - Trombeta - 410,56 - 410,56 - 1</v>
      </c>
      <c r="N1257" s="23" t="s">
        <v>363</v>
      </c>
    </row>
    <row r="1258" spans="1:14" x14ac:dyDescent="0.25">
      <c r="A1258" s="23" t="s">
        <v>383</v>
      </c>
      <c r="B1258" s="24" t="s">
        <v>319</v>
      </c>
      <c r="C1258" s="23" t="s">
        <v>394</v>
      </c>
      <c r="D1258" s="23">
        <v>436.6</v>
      </c>
      <c r="E1258" s="23">
        <v>436.6</v>
      </c>
      <c r="F1258" s="23">
        <v>1</v>
      </c>
      <c r="G1258" s="42" t="str">
        <f t="shared" si="38"/>
        <v>ARAGUAIA - OAE - Trombeta - 436,6 - 436,6 - 1</v>
      </c>
      <c r="N1258" s="23" t="s">
        <v>363</v>
      </c>
    </row>
    <row r="1259" spans="1:14" x14ac:dyDescent="0.25">
      <c r="A1259" s="23" t="s">
        <v>383</v>
      </c>
      <c r="B1259" s="24" t="s">
        <v>319</v>
      </c>
      <c r="C1259" s="23" t="s">
        <v>1</v>
      </c>
      <c r="D1259" s="23">
        <v>392.44</v>
      </c>
      <c r="E1259" s="23">
        <v>392.44</v>
      </c>
      <c r="F1259" s="23">
        <v>1</v>
      </c>
      <c r="G1259" s="42" t="str">
        <f t="shared" si="38"/>
        <v>ARAGUAIA - OAE - Diamante - 392,44 - 392,44 - 1</v>
      </c>
      <c r="N1259" s="23" t="s">
        <v>363</v>
      </c>
    </row>
    <row r="1260" spans="1:14" x14ac:dyDescent="0.25">
      <c r="A1260" s="23" t="s">
        <v>383</v>
      </c>
      <c r="B1260" s="24" t="s">
        <v>319</v>
      </c>
      <c r="C1260" s="23" t="s">
        <v>1</v>
      </c>
      <c r="D1260" s="23">
        <v>409.34</v>
      </c>
      <c r="E1260" s="23">
        <v>409.34</v>
      </c>
      <c r="F1260" s="23">
        <v>1</v>
      </c>
      <c r="G1260" s="42" t="str">
        <f t="shared" si="38"/>
        <v>ARAGUAIA - OAE - Diamante - 409,34 - 409,34 - 1</v>
      </c>
      <c r="N1260" s="23" t="s">
        <v>363</v>
      </c>
    </row>
    <row r="1261" spans="1:14" x14ac:dyDescent="0.25">
      <c r="A1261" s="23" t="s">
        <v>383</v>
      </c>
      <c r="B1261" s="24" t="s">
        <v>319</v>
      </c>
      <c r="C1261" s="23" t="s">
        <v>1</v>
      </c>
      <c r="D1261" s="23">
        <v>414.72</v>
      </c>
      <c r="E1261" s="23">
        <v>414.72</v>
      </c>
      <c r="F1261" s="23">
        <v>1</v>
      </c>
      <c r="G1261" s="42" t="str">
        <f t="shared" si="38"/>
        <v>ARAGUAIA - OAE - Diamante - 414,72 - 414,72 - 1</v>
      </c>
      <c r="N1261" s="23" t="s">
        <v>363</v>
      </c>
    </row>
    <row r="1262" spans="1:14" x14ac:dyDescent="0.25">
      <c r="A1262" s="23" t="s">
        <v>935</v>
      </c>
      <c r="B1262" s="24" t="s">
        <v>319</v>
      </c>
      <c r="C1262" s="23" t="s">
        <v>952</v>
      </c>
      <c r="D1262" s="23">
        <v>47.45</v>
      </c>
      <c r="E1262" s="23">
        <v>47.45</v>
      </c>
      <c r="F1262" s="23">
        <v>1</v>
      </c>
      <c r="G1262" s="42" t="str">
        <f t="shared" si="38"/>
        <v>RIO/MINAS - OAE - Intersecção Diamante - 47,45 - 47,45 - 1</v>
      </c>
      <c r="N1262" s="23" t="s">
        <v>363</v>
      </c>
    </row>
    <row r="1263" spans="1:14" x14ac:dyDescent="0.25">
      <c r="A1263" s="23" t="s">
        <v>935</v>
      </c>
      <c r="B1263" s="24" t="s">
        <v>319</v>
      </c>
      <c r="C1263" s="23" t="s">
        <v>952</v>
      </c>
      <c r="D1263" s="23">
        <v>54.164999999999999</v>
      </c>
      <c r="E1263" s="23">
        <v>54.164999999999999</v>
      </c>
      <c r="F1263" s="23">
        <v>1</v>
      </c>
      <c r="G1263" s="42" t="str">
        <f t="shared" si="38"/>
        <v>RIO/MINAS - OAE - Intersecção Diamante - 54,165 - 54,165 - 1</v>
      </c>
      <c r="N1263" s="23" t="s">
        <v>363</v>
      </c>
    </row>
    <row r="1264" spans="1:14" x14ac:dyDescent="0.25">
      <c r="A1264" s="23" t="s">
        <v>935</v>
      </c>
      <c r="B1264" s="24" t="s">
        <v>319</v>
      </c>
      <c r="C1264" s="23" t="s">
        <v>952</v>
      </c>
      <c r="D1264" s="23">
        <v>80.900000000000006</v>
      </c>
      <c r="E1264" s="23">
        <v>80.900000000000006</v>
      </c>
      <c r="F1264" s="23">
        <v>1</v>
      </c>
      <c r="G1264" s="42" t="str">
        <f t="shared" si="38"/>
        <v>RIO/MINAS - OAE - Intersecção Diamante - 80,9 - 80,9 - 1</v>
      </c>
      <c r="N1264" s="23" t="s">
        <v>363</v>
      </c>
    </row>
    <row r="1265" spans="1:14" x14ac:dyDescent="0.25">
      <c r="A1265" s="23" t="s">
        <v>935</v>
      </c>
      <c r="B1265" s="24" t="s">
        <v>319</v>
      </c>
      <c r="C1265" s="23" t="s">
        <v>952</v>
      </c>
      <c r="D1265" s="23">
        <v>113.265</v>
      </c>
      <c r="E1265" s="23">
        <v>113.265</v>
      </c>
      <c r="F1265" s="23">
        <v>1</v>
      </c>
      <c r="G1265" s="42" t="str">
        <f t="shared" si="38"/>
        <v>RIO/MINAS - OAE - Intersecção Diamante - 113,265 - 113,265 - 1</v>
      </c>
      <c r="N1265" s="23" t="s">
        <v>363</v>
      </c>
    </row>
    <row r="1266" spans="1:14" x14ac:dyDescent="0.25">
      <c r="A1266" s="23" t="s">
        <v>935</v>
      </c>
      <c r="B1266" s="24" t="s">
        <v>319</v>
      </c>
      <c r="C1266" s="23" t="s">
        <v>393</v>
      </c>
      <c r="D1266" s="23">
        <v>83.44</v>
      </c>
      <c r="E1266" s="23">
        <v>83.44</v>
      </c>
      <c r="F1266" s="23">
        <v>1</v>
      </c>
      <c r="G1266" s="42" t="str">
        <f t="shared" si="38"/>
        <v>RIO/MINAS - OAE - Passagem Inferior - 83,44 - 83,44 - 1</v>
      </c>
      <c r="N1266" s="23" t="s">
        <v>363</v>
      </c>
    </row>
    <row r="1267" spans="1:14" x14ac:dyDescent="0.25">
      <c r="A1267" s="23" t="s">
        <v>935</v>
      </c>
      <c r="B1267" s="24" t="s">
        <v>319</v>
      </c>
      <c r="C1267" s="23" t="s">
        <v>393</v>
      </c>
      <c r="D1267" s="23">
        <v>90.4</v>
      </c>
      <c r="E1267" s="23">
        <v>90.4</v>
      </c>
      <c r="F1267" s="23">
        <v>1</v>
      </c>
      <c r="G1267" s="42" t="str">
        <f t="shared" si="38"/>
        <v>RIO/MINAS - OAE - Passagem Inferior - 90,4 - 90,4 - 1</v>
      </c>
      <c r="N1267" s="23" t="s">
        <v>363</v>
      </c>
    </row>
    <row r="1268" spans="1:14" x14ac:dyDescent="0.25">
      <c r="A1268" s="23" t="s">
        <v>935</v>
      </c>
      <c r="B1268" s="24" t="s">
        <v>319</v>
      </c>
      <c r="C1268" s="23" t="s">
        <v>393</v>
      </c>
      <c r="D1268" s="23">
        <v>105.65</v>
      </c>
      <c r="E1268" s="23">
        <v>105.65</v>
      </c>
      <c r="F1268" s="23">
        <v>1</v>
      </c>
      <c r="G1268" s="42" t="str">
        <f t="shared" si="38"/>
        <v>RIO/MINAS - OAE - Passagem Inferior - 105,65 - 105,65 - 1</v>
      </c>
      <c r="N1268" s="23" t="s">
        <v>363</v>
      </c>
    </row>
    <row r="1269" spans="1:14" x14ac:dyDescent="0.25">
      <c r="A1269" s="23" t="s">
        <v>935</v>
      </c>
      <c r="B1269" s="24" t="s">
        <v>319</v>
      </c>
      <c r="C1269" s="23" t="s">
        <v>393</v>
      </c>
      <c r="D1269" s="23">
        <v>142.65</v>
      </c>
      <c r="E1269" s="23">
        <v>142.65</v>
      </c>
      <c r="F1269" s="23">
        <v>1</v>
      </c>
      <c r="G1269" s="42" t="str">
        <f t="shared" si="38"/>
        <v>RIO/MINAS - OAE - Passagem Inferior - 142,65 - 142,65 - 1</v>
      </c>
      <c r="N1269" s="23" t="s">
        <v>363</v>
      </c>
    </row>
    <row r="1270" spans="1:14" x14ac:dyDescent="0.25">
      <c r="A1270" s="23" t="s">
        <v>935</v>
      </c>
      <c r="B1270" s="24" t="s">
        <v>319</v>
      </c>
      <c r="C1270" s="23" t="s">
        <v>964</v>
      </c>
      <c r="D1270" s="23">
        <v>77.984999999999999</v>
      </c>
      <c r="E1270" s="23">
        <v>77.984999999999999</v>
      </c>
      <c r="F1270" s="23">
        <v>1</v>
      </c>
      <c r="G1270" s="42" t="str">
        <f t="shared" si="38"/>
        <v>RIO/MINAS - OAE - Intersecção Trombeta - 77,985 - 77,985 - 1</v>
      </c>
      <c r="N1270" s="23" t="s">
        <v>363</v>
      </c>
    </row>
    <row r="1271" spans="1:14" x14ac:dyDescent="0.25">
      <c r="A1271" s="23" t="s">
        <v>935</v>
      </c>
      <c r="B1271" s="24" t="s">
        <v>319</v>
      </c>
      <c r="C1271" s="23" t="s">
        <v>952</v>
      </c>
      <c r="D1271" s="23">
        <v>422.41</v>
      </c>
      <c r="E1271" s="23">
        <v>195.5</v>
      </c>
      <c r="F1271" s="23">
        <v>1</v>
      </c>
      <c r="G1271" s="42" t="str">
        <f t="shared" si="38"/>
        <v>RIO/MINAS - OAE - Intersecção Diamante - 422,41 - 195,5 - 1</v>
      </c>
      <c r="N1271" s="23" t="s">
        <v>363</v>
      </c>
    </row>
    <row r="1272" spans="1:14" x14ac:dyDescent="0.25">
      <c r="A1272" s="23" t="s">
        <v>935</v>
      </c>
      <c r="B1272" s="24" t="s">
        <v>319</v>
      </c>
      <c r="C1272" s="23" t="s">
        <v>952</v>
      </c>
      <c r="D1272" s="23">
        <v>523.53800000000001</v>
      </c>
      <c r="E1272" s="23">
        <v>523.53800000000001</v>
      </c>
      <c r="F1272" s="23">
        <v>1</v>
      </c>
      <c r="G1272" s="42" t="str">
        <f t="shared" si="38"/>
        <v>RIO/MINAS - OAE - Intersecção Diamante - 523,538 - 523,538 - 1</v>
      </c>
      <c r="N1272" s="23" t="s">
        <v>363</v>
      </c>
    </row>
    <row r="1273" spans="1:14" x14ac:dyDescent="0.25">
      <c r="A1273" s="23" t="s">
        <v>935</v>
      </c>
      <c r="B1273" s="24" t="s">
        <v>319</v>
      </c>
      <c r="C1273" s="23" t="s">
        <v>952</v>
      </c>
      <c r="D1273" s="23">
        <v>703.32</v>
      </c>
      <c r="E1273" s="23">
        <v>703.32</v>
      </c>
      <c r="F1273" s="23">
        <v>1</v>
      </c>
      <c r="G1273" s="42" t="str">
        <f t="shared" si="38"/>
        <v>RIO/MINAS - OAE - Intersecção Diamante - 703,32 - 703,32 - 1</v>
      </c>
      <c r="N1273" s="23" t="s">
        <v>363</v>
      </c>
    </row>
    <row r="1274" spans="1:14" x14ac:dyDescent="0.25">
      <c r="A1274" s="23" t="s">
        <v>935</v>
      </c>
      <c r="B1274" s="24" t="s">
        <v>319</v>
      </c>
      <c r="C1274" s="23" t="s">
        <v>952</v>
      </c>
      <c r="D1274" s="23">
        <v>763.58</v>
      </c>
      <c r="E1274" s="23">
        <v>763.58</v>
      </c>
      <c r="F1274" s="23">
        <v>1</v>
      </c>
      <c r="G1274" s="42" t="str">
        <f t="shared" si="38"/>
        <v>RIO/MINAS - OAE - Intersecção Diamante - 763,58 - 763,58 - 1</v>
      </c>
      <c r="N1274" s="23" t="s">
        <v>363</v>
      </c>
    </row>
    <row r="1275" spans="1:14" x14ac:dyDescent="0.25">
      <c r="A1275" s="23" t="s">
        <v>935</v>
      </c>
      <c r="B1275" s="24" t="s">
        <v>319</v>
      </c>
      <c r="C1275" s="23" t="s">
        <v>952</v>
      </c>
      <c r="D1275" s="23">
        <v>765.75</v>
      </c>
      <c r="E1275" s="23">
        <v>765.75</v>
      </c>
      <c r="F1275" s="23">
        <v>1</v>
      </c>
      <c r="G1275" s="42" t="str">
        <f t="shared" si="38"/>
        <v>RIO/MINAS - OAE - Intersecção Diamante - 765,75 - 765,75 - 1</v>
      </c>
      <c r="N1275" s="23" t="s">
        <v>363</v>
      </c>
    </row>
    <row r="1276" spans="1:14" x14ac:dyDescent="0.25">
      <c r="A1276" s="23" t="s">
        <v>935</v>
      </c>
      <c r="B1276" s="24" t="s">
        <v>319</v>
      </c>
      <c r="C1276" s="23" t="s">
        <v>393</v>
      </c>
      <c r="D1276" s="23">
        <v>673.26599999999996</v>
      </c>
      <c r="E1276" s="23">
        <v>673.26599999999996</v>
      </c>
      <c r="F1276" s="23">
        <v>1</v>
      </c>
      <c r="G1276" s="42" t="str">
        <f t="shared" si="38"/>
        <v>RIO/MINAS - OAE - Passagem Inferior - 673,266 - 673,266 - 1</v>
      </c>
      <c r="N1276" s="23" t="s">
        <v>363</v>
      </c>
    </row>
    <row r="1277" spans="1:14" x14ac:dyDescent="0.25">
      <c r="A1277" s="23" t="s">
        <v>935</v>
      </c>
      <c r="B1277" s="24" t="s">
        <v>319</v>
      </c>
      <c r="C1277" s="23" t="s">
        <v>393</v>
      </c>
      <c r="D1277" s="23">
        <v>704.08399999999995</v>
      </c>
      <c r="E1277" s="23">
        <v>704.08399999999995</v>
      </c>
      <c r="F1277" s="23">
        <v>1</v>
      </c>
      <c r="G1277" s="42" t="str">
        <f t="shared" si="38"/>
        <v>RIO/MINAS - OAE - Passagem Inferior - 704,084 - 704,084 - 1</v>
      </c>
      <c r="N1277" s="23" t="s">
        <v>363</v>
      </c>
    </row>
    <row r="1278" spans="1:14" x14ac:dyDescent="0.25">
      <c r="A1278" s="23" t="s">
        <v>935</v>
      </c>
      <c r="B1278" s="24" t="s">
        <v>319</v>
      </c>
      <c r="C1278" s="23" t="s">
        <v>393</v>
      </c>
      <c r="D1278" s="23">
        <v>737.1</v>
      </c>
      <c r="E1278" s="23">
        <v>737.1</v>
      </c>
      <c r="F1278" s="23">
        <v>1</v>
      </c>
      <c r="G1278" s="42" t="str">
        <f t="shared" ref="G1278:G1341" si="39">_xlfn.TEXTJOIN(" - ",TRUE,A1278:F1278)</f>
        <v>RIO/MINAS - OAE - Passagem Inferior - 737,1 - 737,1 - 1</v>
      </c>
      <c r="N1278" s="23" t="s">
        <v>363</v>
      </c>
    </row>
    <row r="1279" spans="1:14" x14ac:dyDescent="0.25">
      <c r="A1279" s="23" t="s">
        <v>935</v>
      </c>
      <c r="B1279" s="24" t="s">
        <v>319</v>
      </c>
      <c r="C1279" s="23" t="s">
        <v>964</v>
      </c>
      <c r="D1279" s="23">
        <v>470.375</v>
      </c>
      <c r="E1279" s="23">
        <v>470.375</v>
      </c>
      <c r="F1279" s="23">
        <v>1</v>
      </c>
      <c r="G1279" s="42" t="str">
        <f t="shared" si="39"/>
        <v>RIO/MINAS - OAE - Intersecção Trombeta - 470,375 - 470,375 - 1</v>
      </c>
      <c r="N1279" s="23" t="s">
        <v>363</v>
      </c>
    </row>
    <row r="1280" spans="1:14" x14ac:dyDescent="0.25">
      <c r="A1280" s="23" t="s">
        <v>935</v>
      </c>
      <c r="B1280" s="24" t="s">
        <v>319</v>
      </c>
      <c r="C1280" s="23" t="s">
        <v>964</v>
      </c>
      <c r="D1280" s="23">
        <v>607.44399999999996</v>
      </c>
      <c r="E1280" s="23">
        <v>607.44399999999996</v>
      </c>
      <c r="F1280" s="23">
        <v>1</v>
      </c>
      <c r="G1280" s="42" t="str">
        <f t="shared" si="39"/>
        <v>RIO/MINAS - OAE - Intersecção Trombeta - 607,444 - 607,444 - 1</v>
      </c>
      <c r="N1280" s="23" t="s">
        <v>363</v>
      </c>
    </row>
    <row r="1281" spans="1:14" x14ac:dyDescent="0.25">
      <c r="A1281" s="23" t="s">
        <v>935</v>
      </c>
      <c r="B1281" s="24" t="s">
        <v>319</v>
      </c>
      <c r="C1281" s="23" t="s">
        <v>964</v>
      </c>
      <c r="D1281" s="23">
        <v>815</v>
      </c>
      <c r="E1281" s="23">
        <v>815</v>
      </c>
      <c r="F1281" s="23">
        <v>1</v>
      </c>
      <c r="G1281" s="42" t="str">
        <f t="shared" si="39"/>
        <v>RIO/MINAS - OAE - Intersecção Trombeta - 815 - 815 - 1</v>
      </c>
      <c r="N1281" s="23" t="s">
        <v>363</v>
      </c>
    </row>
    <row r="1282" spans="1:14" x14ac:dyDescent="0.25">
      <c r="A1282" s="23" t="s">
        <v>349</v>
      </c>
      <c r="B1282" s="24" t="s">
        <v>319</v>
      </c>
      <c r="C1282" s="23" t="s">
        <v>952</v>
      </c>
      <c r="D1282" s="23">
        <v>37.9</v>
      </c>
      <c r="E1282" s="23">
        <v>37.9</v>
      </c>
      <c r="F1282" s="23">
        <v>1</v>
      </c>
      <c r="G1282" s="42" t="str">
        <f t="shared" si="39"/>
        <v>RIO/SP - OAE - Intersecção Diamante - 37,9 - 37,9 - 1</v>
      </c>
      <c r="N1282" s="23" t="s">
        <v>363</v>
      </c>
    </row>
    <row r="1283" spans="1:14" x14ac:dyDescent="0.25">
      <c r="A1283" s="23" t="s">
        <v>349</v>
      </c>
      <c r="B1283" s="24" t="s">
        <v>319</v>
      </c>
      <c r="C1283" s="23" t="s">
        <v>952</v>
      </c>
      <c r="D1283" s="23">
        <v>48.3</v>
      </c>
      <c r="E1283" s="23">
        <v>48.3</v>
      </c>
      <c r="F1283" s="23">
        <v>1</v>
      </c>
      <c r="G1283" s="42" t="str">
        <f t="shared" si="39"/>
        <v>RIO/SP - OAE - Intersecção Diamante - 48,3 - 48,3 - 1</v>
      </c>
      <c r="N1283" s="23" t="s">
        <v>363</v>
      </c>
    </row>
    <row r="1284" spans="1:14" x14ac:dyDescent="0.25">
      <c r="A1284" s="23" t="s">
        <v>349</v>
      </c>
      <c r="B1284" s="24" t="s">
        <v>319</v>
      </c>
      <c r="C1284" s="23" t="s">
        <v>952</v>
      </c>
      <c r="D1284" s="23">
        <v>52.7</v>
      </c>
      <c r="E1284" s="23">
        <v>52.7</v>
      </c>
      <c r="F1284" s="23">
        <v>1</v>
      </c>
      <c r="G1284" s="42" t="str">
        <f t="shared" si="39"/>
        <v>RIO/SP - OAE - Intersecção Diamante - 52,7 - 52,7 - 1</v>
      </c>
      <c r="N1284" s="23" t="s">
        <v>363</v>
      </c>
    </row>
    <row r="1285" spans="1:14" x14ac:dyDescent="0.25">
      <c r="A1285" s="23" t="s">
        <v>349</v>
      </c>
      <c r="B1285" s="24" t="s">
        <v>319</v>
      </c>
      <c r="C1285" s="23" t="s">
        <v>952</v>
      </c>
      <c r="D1285" s="23">
        <v>58.2</v>
      </c>
      <c r="E1285" s="23">
        <v>58.2</v>
      </c>
      <c r="F1285" s="23">
        <v>1</v>
      </c>
      <c r="G1285" s="42" t="str">
        <f t="shared" si="39"/>
        <v>RIO/SP - OAE - Intersecção Diamante - 58,2 - 58,2 - 1</v>
      </c>
      <c r="N1285" s="23" t="s">
        <v>363</v>
      </c>
    </row>
    <row r="1286" spans="1:14" x14ac:dyDescent="0.25">
      <c r="A1286" s="23" t="s">
        <v>349</v>
      </c>
      <c r="B1286" s="24" t="s">
        <v>319</v>
      </c>
      <c r="C1286" s="23" t="s">
        <v>952</v>
      </c>
      <c r="D1286" s="23">
        <v>64.900000000000006</v>
      </c>
      <c r="E1286" s="23">
        <v>64.900000000000006</v>
      </c>
      <c r="F1286" s="23">
        <v>1</v>
      </c>
      <c r="G1286" s="42" t="str">
        <f t="shared" si="39"/>
        <v>RIO/SP - OAE - Intersecção Diamante - 64,9 - 64,9 - 1</v>
      </c>
      <c r="N1286" s="23" t="s">
        <v>363</v>
      </c>
    </row>
    <row r="1287" spans="1:14" x14ac:dyDescent="0.25">
      <c r="A1287" s="23" t="s">
        <v>349</v>
      </c>
      <c r="B1287" s="24" t="s">
        <v>319</v>
      </c>
      <c r="C1287" s="23" t="s">
        <v>952</v>
      </c>
      <c r="D1287" s="23">
        <v>67.2</v>
      </c>
      <c r="E1287" s="23">
        <v>67.2</v>
      </c>
      <c r="F1287" s="23">
        <v>1</v>
      </c>
      <c r="G1287" s="42" t="str">
        <f t="shared" si="39"/>
        <v>RIO/SP - OAE - Intersecção Diamante - 67,2 - 67,2 - 1</v>
      </c>
      <c r="N1287" s="23" t="s">
        <v>363</v>
      </c>
    </row>
    <row r="1288" spans="1:14" x14ac:dyDescent="0.25">
      <c r="A1288" s="23" t="s">
        <v>349</v>
      </c>
      <c r="B1288" s="24" t="s">
        <v>319</v>
      </c>
      <c r="C1288" s="23" t="s">
        <v>952</v>
      </c>
      <c r="D1288" s="23">
        <v>71.400000000000006</v>
      </c>
      <c r="E1288" s="23">
        <v>71.400000000000006</v>
      </c>
      <c r="F1288" s="23">
        <v>1</v>
      </c>
      <c r="G1288" s="42" t="str">
        <f t="shared" si="39"/>
        <v>RIO/SP - OAE - Intersecção Diamante - 71,4 - 71,4 - 1</v>
      </c>
      <c r="N1288" s="23" t="s">
        <v>363</v>
      </c>
    </row>
    <row r="1289" spans="1:14" x14ac:dyDescent="0.25">
      <c r="A1289" s="23" t="s">
        <v>349</v>
      </c>
      <c r="B1289" s="24" t="s">
        <v>319</v>
      </c>
      <c r="C1289" s="23" t="s">
        <v>952</v>
      </c>
      <c r="D1289" s="23">
        <v>80.900000000000006</v>
      </c>
      <c r="E1289" s="23">
        <v>80.900000000000006</v>
      </c>
      <c r="F1289" s="23">
        <v>1</v>
      </c>
      <c r="G1289" s="42" t="str">
        <f t="shared" si="39"/>
        <v>RIO/SP - OAE - Intersecção Diamante - 80,9 - 80,9 - 1</v>
      </c>
      <c r="N1289" s="23" t="s">
        <v>363</v>
      </c>
    </row>
    <row r="1290" spans="1:14" x14ac:dyDescent="0.25">
      <c r="A1290" s="23" t="s">
        <v>349</v>
      </c>
      <c r="B1290" s="24" t="s">
        <v>319</v>
      </c>
      <c r="C1290" s="23" t="s">
        <v>952</v>
      </c>
      <c r="D1290" s="23">
        <v>105.6</v>
      </c>
      <c r="E1290" s="23">
        <v>105.6</v>
      </c>
      <c r="F1290" s="23">
        <v>1</v>
      </c>
      <c r="G1290" s="42" t="str">
        <f t="shared" si="39"/>
        <v>RIO/SP - OAE - Intersecção Diamante - 105,6 - 105,6 - 1</v>
      </c>
      <c r="N1290" s="23" t="s">
        <v>363</v>
      </c>
    </row>
    <row r="1291" spans="1:14" x14ac:dyDescent="0.25">
      <c r="A1291" s="23" t="s">
        <v>349</v>
      </c>
      <c r="B1291" s="24" t="s">
        <v>319</v>
      </c>
      <c r="C1291" s="23" t="s">
        <v>964</v>
      </c>
      <c r="D1291" s="23">
        <v>21.5</v>
      </c>
      <c r="E1291" s="23">
        <v>21.5</v>
      </c>
      <c r="F1291" s="23">
        <v>1</v>
      </c>
      <c r="G1291" s="42" t="str">
        <f t="shared" si="39"/>
        <v>RIO/SP - OAE - Intersecção Trombeta - 21,5 - 21,5 - 1</v>
      </c>
      <c r="N1291" s="23" t="s">
        <v>363</v>
      </c>
    </row>
    <row r="1292" spans="1:14" x14ac:dyDescent="0.25">
      <c r="A1292" s="23" t="s">
        <v>349</v>
      </c>
      <c r="B1292" s="24" t="s">
        <v>319</v>
      </c>
      <c r="C1292" s="23" t="s">
        <v>964</v>
      </c>
      <c r="D1292" s="23">
        <v>60.3</v>
      </c>
      <c r="E1292" s="23">
        <v>60.3</v>
      </c>
      <c r="F1292" s="23">
        <v>1</v>
      </c>
      <c r="G1292" s="42" t="str">
        <f t="shared" si="39"/>
        <v>RIO/SP - OAE - Intersecção Trombeta - 60,3 - 60,3 - 1</v>
      </c>
      <c r="N1292" s="23" t="s">
        <v>363</v>
      </c>
    </row>
    <row r="1293" spans="1:14" x14ac:dyDescent="0.25">
      <c r="A1293" s="23" t="s">
        <v>349</v>
      </c>
      <c r="B1293" s="24" t="s">
        <v>319</v>
      </c>
      <c r="C1293" s="23" t="s">
        <v>964</v>
      </c>
      <c r="D1293" s="23">
        <v>199.1</v>
      </c>
      <c r="E1293" s="23">
        <v>199.1</v>
      </c>
      <c r="F1293" s="23">
        <v>1</v>
      </c>
      <c r="G1293" s="42" t="str">
        <f t="shared" si="39"/>
        <v>RIO/SP - OAE - Intersecção Trombeta - 199,1 - 199,1 - 1</v>
      </c>
      <c r="N1293" s="23" t="s">
        <v>363</v>
      </c>
    </row>
    <row r="1294" spans="1:14" x14ac:dyDescent="0.25">
      <c r="A1294" s="23" t="s">
        <v>349</v>
      </c>
      <c r="B1294" s="24" t="s">
        <v>319</v>
      </c>
      <c r="C1294" s="23" t="s">
        <v>965</v>
      </c>
      <c r="D1294" s="23">
        <v>39.1</v>
      </c>
      <c r="E1294" s="23">
        <v>39.1</v>
      </c>
      <c r="F1294" s="23">
        <v>1</v>
      </c>
      <c r="G1294" s="42" t="str">
        <f t="shared" si="39"/>
        <v>RIO/SP - OAE - Intersecção Trevo Completo - 39,1 - 39,1 - 1</v>
      </c>
      <c r="N1294" s="23" t="s">
        <v>363</v>
      </c>
    </row>
    <row r="1295" spans="1:14" x14ac:dyDescent="0.25">
      <c r="A1295" s="23" t="s">
        <v>349</v>
      </c>
      <c r="B1295" s="24" t="s">
        <v>319</v>
      </c>
      <c r="C1295" s="23" t="s">
        <v>965</v>
      </c>
      <c r="D1295" s="23">
        <v>51.1</v>
      </c>
      <c r="E1295" s="23">
        <v>51.1</v>
      </c>
      <c r="F1295" s="23">
        <v>1</v>
      </c>
      <c r="G1295" s="42" t="str">
        <f t="shared" si="39"/>
        <v>RIO/SP - OAE - Intersecção Trevo Completo - 51,1 - 51,1 - 1</v>
      </c>
      <c r="N1295" s="23" t="s">
        <v>363</v>
      </c>
    </row>
    <row r="1296" spans="1:14" x14ac:dyDescent="0.25">
      <c r="A1296" s="23" t="s">
        <v>349</v>
      </c>
      <c r="B1296" s="24" t="s">
        <v>319</v>
      </c>
      <c r="C1296" s="23" t="s">
        <v>965</v>
      </c>
      <c r="D1296" s="23">
        <v>74.400000000000006</v>
      </c>
      <c r="E1296" s="23">
        <v>74.400000000000006</v>
      </c>
      <c r="F1296" s="23">
        <v>1</v>
      </c>
      <c r="G1296" s="42" t="str">
        <f t="shared" si="39"/>
        <v>RIO/SP - OAE - Intersecção Trevo Completo - 74,4 - 74,4 - 1</v>
      </c>
      <c r="N1296" s="23" t="s">
        <v>363</v>
      </c>
    </row>
    <row r="1297" spans="1:14" x14ac:dyDescent="0.25">
      <c r="A1297" s="23" t="s">
        <v>349</v>
      </c>
      <c r="B1297" s="24" t="s">
        <v>319</v>
      </c>
      <c r="C1297" s="23" t="s">
        <v>965</v>
      </c>
      <c r="D1297" s="23">
        <v>98.9</v>
      </c>
      <c r="E1297" s="23">
        <v>98.9</v>
      </c>
      <c r="F1297" s="23">
        <v>1</v>
      </c>
      <c r="G1297" s="42" t="str">
        <f t="shared" si="39"/>
        <v>RIO/SP - OAE - Intersecção Trevo Completo - 98,9 - 98,9 - 1</v>
      </c>
      <c r="N1297" s="23" t="s">
        <v>363</v>
      </c>
    </row>
    <row r="1298" spans="1:14" x14ac:dyDescent="0.25">
      <c r="A1298" s="23" t="s">
        <v>349</v>
      </c>
      <c r="B1298" s="24" t="s">
        <v>319</v>
      </c>
      <c r="C1298" s="23" t="s">
        <v>965</v>
      </c>
      <c r="D1298" s="23">
        <v>178.84</v>
      </c>
      <c r="E1298" s="23">
        <v>178.84</v>
      </c>
      <c r="F1298" s="23">
        <v>1</v>
      </c>
      <c r="G1298" s="42" t="str">
        <f t="shared" si="39"/>
        <v>RIO/SP - OAE - Intersecção Trevo Completo - 178,84 - 178,84 - 1</v>
      </c>
      <c r="N1298" s="23" t="s">
        <v>363</v>
      </c>
    </row>
    <row r="1299" spans="1:14" x14ac:dyDescent="0.25">
      <c r="A1299" s="23" t="s">
        <v>349</v>
      </c>
      <c r="B1299" s="24" t="s">
        <v>319</v>
      </c>
      <c r="C1299" s="23" t="s">
        <v>398</v>
      </c>
      <c r="D1299" s="23">
        <v>14.851000000000001</v>
      </c>
      <c r="E1299" s="23">
        <v>14.851000000000001</v>
      </c>
      <c r="F1299" s="23">
        <v>1</v>
      </c>
      <c r="G1299" s="42" t="str">
        <f t="shared" si="39"/>
        <v>RIO/SP - OAE - Ponte - 14,851 - 14,851 - 1</v>
      </c>
      <c r="N1299" s="23" t="s">
        <v>363</v>
      </c>
    </row>
    <row r="1300" spans="1:14" x14ac:dyDescent="0.25">
      <c r="A1300" s="23" t="s">
        <v>349</v>
      </c>
      <c r="B1300" s="24" t="s">
        <v>319</v>
      </c>
      <c r="C1300" s="23" t="s">
        <v>398</v>
      </c>
      <c r="D1300" s="23">
        <v>21.47</v>
      </c>
      <c r="E1300" s="23">
        <v>21.47</v>
      </c>
      <c r="F1300" s="23">
        <v>1</v>
      </c>
      <c r="G1300" s="42" t="str">
        <f t="shared" si="39"/>
        <v>RIO/SP - OAE - Ponte - 21,47 - 21,47 - 1</v>
      </c>
      <c r="N1300" s="23" t="s">
        <v>363</v>
      </c>
    </row>
    <row r="1301" spans="1:14" x14ac:dyDescent="0.25">
      <c r="A1301" s="23" t="s">
        <v>349</v>
      </c>
      <c r="B1301" s="24" t="s">
        <v>319</v>
      </c>
      <c r="C1301" s="23" t="s">
        <v>398</v>
      </c>
      <c r="D1301" s="23">
        <v>26.411000000000001</v>
      </c>
      <c r="E1301" s="23">
        <v>26.411000000000001</v>
      </c>
      <c r="F1301" s="23">
        <v>1</v>
      </c>
      <c r="G1301" s="42" t="str">
        <f t="shared" si="39"/>
        <v>RIO/SP - OAE - Ponte - 26,411 - 26,411 - 1</v>
      </c>
      <c r="N1301" s="23" t="s">
        <v>363</v>
      </c>
    </row>
    <row r="1302" spans="1:14" x14ac:dyDescent="0.25">
      <c r="A1302" s="23" t="s">
        <v>349</v>
      </c>
      <c r="B1302" s="24" t="s">
        <v>319</v>
      </c>
      <c r="C1302" s="23" t="s">
        <v>398</v>
      </c>
      <c r="D1302" s="23">
        <v>39.090000000000003</v>
      </c>
      <c r="E1302" s="23">
        <v>39.090000000000003</v>
      </c>
      <c r="F1302" s="23">
        <v>1</v>
      </c>
      <c r="G1302" s="42" t="str">
        <f t="shared" si="39"/>
        <v>RIO/SP - OAE - Ponte - 39,09 - 39,09 - 1</v>
      </c>
      <c r="N1302" s="23" t="s">
        <v>363</v>
      </c>
    </row>
    <row r="1303" spans="1:14" x14ac:dyDescent="0.25">
      <c r="A1303" s="23" t="s">
        <v>349</v>
      </c>
      <c r="B1303" s="24" t="s">
        <v>319</v>
      </c>
      <c r="C1303" s="23" t="s">
        <v>398</v>
      </c>
      <c r="D1303" s="23">
        <v>44.26</v>
      </c>
      <c r="E1303" s="23">
        <v>44.26</v>
      </c>
      <c r="F1303" s="23">
        <v>1</v>
      </c>
      <c r="G1303" s="42" t="str">
        <f t="shared" si="39"/>
        <v>RIO/SP - OAE - Ponte - 44,26 - 44,26 - 1</v>
      </c>
      <c r="N1303" s="23" t="s">
        <v>363</v>
      </c>
    </row>
    <row r="1304" spans="1:14" x14ac:dyDescent="0.25">
      <c r="A1304" s="23" t="s">
        <v>349</v>
      </c>
      <c r="B1304" s="24" t="s">
        <v>319</v>
      </c>
      <c r="C1304" s="23" t="s">
        <v>398</v>
      </c>
      <c r="D1304" s="23">
        <v>48.35</v>
      </c>
      <c r="E1304" s="23">
        <v>48.35</v>
      </c>
      <c r="F1304" s="23">
        <v>1</v>
      </c>
      <c r="G1304" s="42" t="str">
        <f t="shared" si="39"/>
        <v>RIO/SP - OAE - Ponte - 48,35 - 48,35 - 1</v>
      </c>
      <c r="N1304" s="23" t="s">
        <v>363</v>
      </c>
    </row>
    <row r="1305" spans="1:14" x14ac:dyDescent="0.25">
      <c r="A1305" s="23" t="s">
        <v>349</v>
      </c>
      <c r="B1305" s="24" t="s">
        <v>319</v>
      </c>
      <c r="C1305" s="23" t="s">
        <v>398</v>
      </c>
      <c r="D1305" s="23">
        <v>48.35</v>
      </c>
      <c r="E1305" s="23">
        <v>48.35</v>
      </c>
      <c r="F1305" s="23">
        <v>1</v>
      </c>
      <c r="G1305" s="42" t="str">
        <f t="shared" si="39"/>
        <v>RIO/SP - OAE - Ponte - 48,35 - 48,35 - 1</v>
      </c>
      <c r="N1305" s="23" t="s">
        <v>363</v>
      </c>
    </row>
    <row r="1306" spans="1:14" x14ac:dyDescent="0.25">
      <c r="A1306" s="23" t="s">
        <v>349</v>
      </c>
      <c r="B1306" s="24" t="s">
        <v>319</v>
      </c>
      <c r="C1306" s="23" t="s">
        <v>398</v>
      </c>
      <c r="D1306" s="23">
        <v>51.13</v>
      </c>
      <c r="E1306" s="23">
        <v>51.13</v>
      </c>
      <c r="F1306" s="23">
        <v>1</v>
      </c>
      <c r="G1306" s="42" t="str">
        <f t="shared" si="39"/>
        <v>RIO/SP - OAE - Ponte - 51,13 - 51,13 - 1</v>
      </c>
      <c r="N1306" s="23" t="s">
        <v>363</v>
      </c>
    </row>
    <row r="1307" spans="1:14" x14ac:dyDescent="0.25">
      <c r="A1307" s="23" t="s">
        <v>349</v>
      </c>
      <c r="B1307" s="24" t="s">
        <v>319</v>
      </c>
      <c r="C1307" s="23" t="s">
        <v>398</v>
      </c>
      <c r="D1307" s="23">
        <v>56.56</v>
      </c>
      <c r="E1307" s="23">
        <v>56.56</v>
      </c>
      <c r="F1307" s="23">
        <v>1</v>
      </c>
      <c r="G1307" s="42" t="str">
        <f t="shared" si="39"/>
        <v>RIO/SP - OAE - Ponte - 56,56 - 56,56 - 1</v>
      </c>
      <c r="N1307" s="23" t="s">
        <v>363</v>
      </c>
    </row>
    <row r="1308" spans="1:14" x14ac:dyDescent="0.25">
      <c r="A1308" s="23" t="s">
        <v>349</v>
      </c>
      <c r="B1308" s="24" t="s">
        <v>319</v>
      </c>
      <c r="C1308" s="23" t="s">
        <v>398</v>
      </c>
      <c r="D1308" s="23">
        <v>57.1</v>
      </c>
      <c r="E1308" s="23">
        <v>57.1</v>
      </c>
      <c r="F1308" s="23">
        <v>1</v>
      </c>
      <c r="G1308" s="42" t="str">
        <f t="shared" si="39"/>
        <v>RIO/SP - OAE - Ponte - 57,1 - 57,1 - 1</v>
      </c>
      <c r="N1308" s="23" t="s">
        <v>363</v>
      </c>
    </row>
    <row r="1309" spans="1:14" x14ac:dyDescent="0.25">
      <c r="A1309" s="23" t="s">
        <v>349</v>
      </c>
      <c r="B1309" s="24" t="s">
        <v>319</v>
      </c>
      <c r="C1309" s="23" t="s">
        <v>398</v>
      </c>
      <c r="D1309" s="23">
        <v>58.16</v>
      </c>
      <c r="E1309" s="23">
        <v>58.16</v>
      </c>
      <c r="F1309" s="23">
        <v>1</v>
      </c>
      <c r="G1309" s="42" t="str">
        <f t="shared" si="39"/>
        <v>RIO/SP - OAE - Ponte - 58,16 - 58,16 - 1</v>
      </c>
      <c r="N1309" s="23" t="s">
        <v>363</v>
      </c>
    </row>
    <row r="1310" spans="1:14" x14ac:dyDescent="0.25">
      <c r="A1310" s="23" t="s">
        <v>349</v>
      </c>
      <c r="B1310" s="24" t="s">
        <v>319</v>
      </c>
      <c r="C1310" s="23" t="s">
        <v>398</v>
      </c>
      <c r="D1310" s="23">
        <v>60.33</v>
      </c>
      <c r="E1310" s="23">
        <v>60.33</v>
      </c>
      <c r="F1310" s="23">
        <v>1</v>
      </c>
      <c r="G1310" s="42" t="str">
        <f t="shared" si="39"/>
        <v>RIO/SP - OAE - Ponte - 60,33 - 60,33 - 1</v>
      </c>
      <c r="N1310" s="23" t="s">
        <v>363</v>
      </c>
    </row>
    <row r="1311" spans="1:14" x14ac:dyDescent="0.25">
      <c r="A1311" s="23" t="s">
        <v>349</v>
      </c>
      <c r="B1311" s="24" t="s">
        <v>319</v>
      </c>
      <c r="C1311" s="23" t="s">
        <v>398</v>
      </c>
      <c r="D1311" s="23">
        <v>63.66</v>
      </c>
      <c r="E1311" s="23">
        <v>63.66</v>
      </c>
      <c r="F1311" s="23">
        <v>1</v>
      </c>
      <c r="G1311" s="42" t="str">
        <f t="shared" si="39"/>
        <v>RIO/SP - OAE - Ponte - 63,66 - 63,66 - 1</v>
      </c>
      <c r="N1311" s="23" t="s">
        <v>363</v>
      </c>
    </row>
    <row r="1312" spans="1:14" x14ac:dyDescent="0.25">
      <c r="A1312" s="23" t="s">
        <v>349</v>
      </c>
      <c r="B1312" s="24" t="s">
        <v>319</v>
      </c>
      <c r="C1312" s="23" t="s">
        <v>398</v>
      </c>
      <c r="D1312" s="23">
        <v>64.3</v>
      </c>
      <c r="E1312" s="23">
        <v>64.3</v>
      </c>
      <c r="F1312" s="23">
        <v>1</v>
      </c>
      <c r="G1312" s="42" t="str">
        <f t="shared" si="39"/>
        <v>RIO/SP - OAE - Ponte - 64,3 - 64,3 - 1</v>
      </c>
      <c r="N1312" s="23" t="s">
        <v>363</v>
      </c>
    </row>
    <row r="1313" spans="1:14" x14ac:dyDescent="0.25">
      <c r="A1313" s="23" t="s">
        <v>349</v>
      </c>
      <c r="B1313" s="24" t="s">
        <v>319</v>
      </c>
      <c r="C1313" s="23" t="s">
        <v>398</v>
      </c>
      <c r="D1313" s="23">
        <v>64.903000000000006</v>
      </c>
      <c r="E1313" s="23">
        <v>64.903000000000006</v>
      </c>
      <c r="F1313" s="23">
        <v>1</v>
      </c>
      <c r="G1313" s="42" t="str">
        <f t="shared" si="39"/>
        <v>RIO/SP - OAE - Ponte - 64,903 - 64,903 - 1</v>
      </c>
      <c r="N1313" s="23" t="s">
        <v>363</v>
      </c>
    </row>
    <row r="1314" spans="1:14" x14ac:dyDescent="0.25">
      <c r="A1314" s="23" t="s">
        <v>349</v>
      </c>
      <c r="B1314" s="24" t="s">
        <v>319</v>
      </c>
      <c r="C1314" s="23" t="s">
        <v>398</v>
      </c>
      <c r="D1314" s="23">
        <v>65.25</v>
      </c>
      <c r="E1314" s="23">
        <v>65.25</v>
      </c>
      <c r="F1314" s="23">
        <v>1</v>
      </c>
      <c r="G1314" s="42" t="str">
        <f t="shared" si="39"/>
        <v>RIO/SP - OAE - Ponte - 65,25 - 65,25 - 1</v>
      </c>
      <c r="N1314" s="23" t="s">
        <v>363</v>
      </c>
    </row>
    <row r="1315" spans="1:14" x14ac:dyDescent="0.25">
      <c r="A1315" s="23" t="s">
        <v>349</v>
      </c>
      <c r="B1315" s="24" t="s">
        <v>319</v>
      </c>
      <c r="C1315" s="23" t="s">
        <v>398</v>
      </c>
      <c r="D1315" s="23">
        <v>67.150000000000006</v>
      </c>
      <c r="E1315" s="23">
        <v>67.150000000000006</v>
      </c>
      <c r="F1315" s="23">
        <v>1</v>
      </c>
      <c r="G1315" s="42" t="str">
        <f t="shared" si="39"/>
        <v>RIO/SP - OAE - Ponte - 67,15 - 67,15 - 1</v>
      </c>
      <c r="N1315" s="23" t="s">
        <v>363</v>
      </c>
    </row>
    <row r="1316" spans="1:14" x14ac:dyDescent="0.25">
      <c r="A1316" s="23" t="s">
        <v>349</v>
      </c>
      <c r="B1316" s="24" t="s">
        <v>319</v>
      </c>
      <c r="C1316" s="23" t="s">
        <v>398</v>
      </c>
      <c r="D1316" s="23">
        <v>70.180000000000007</v>
      </c>
      <c r="E1316" s="23">
        <v>70.180000000000007</v>
      </c>
      <c r="F1316" s="23">
        <v>1</v>
      </c>
      <c r="G1316" s="42" t="str">
        <f t="shared" si="39"/>
        <v>RIO/SP - OAE - Ponte - 70,18 - 70,18 - 1</v>
      </c>
      <c r="N1316" s="23" t="s">
        <v>363</v>
      </c>
    </row>
    <row r="1317" spans="1:14" x14ac:dyDescent="0.25">
      <c r="A1317" s="23" t="s">
        <v>349</v>
      </c>
      <c r="B1317" s="24" t="s">
        <v>319</v>
      </c>
      <c r="C1317" s="23" t="s">
        <v>398</v>
      </c>
      <c r="D1317" s="23">
        <v>70.56</v>
      </c>
      <c r="E1317" s="23">
        <v>70.56</v>
      </c>
      <c r="F1317" s="23">
        <v>1</v>
      </c>
      <c r="G1317" s="42" t="str">
        <f t="shared" si="39"/>
        <v>RIO/SP - OAE - Ponte - 70,56 - 70,56 - 1</v>
      </c>
      <c r="N1317" s="23" t="s">
        <v>363</v>
      </c>
    </row>
    <row r="1318" spans="1:14" x14ac:dyDescent="0.25">
      <c r="A1318" s="23" t="s">
        <v>349</v>
      </c>
      <c r="B1318" s="24" t="s">
        <v>319</v>
      </c>
      <c r="C1318" s="23" t="s">
        <v>398</v>
      </c>
      <c r="D1318" s="23">
        <v>71.36</v>
      </c>
      <c r="E1318" s="23">
        <v>71.36</v>
      </c>
      <c r="F1318" s="23">
        <v>1</v>
      </c>
      <c r="G1318" s="42" t="str">
        <f t="shared" si="39"/>
        <v>RIO/SP - OAE - Ponte - 71,36 - 71,36 - 1</v>
      </c>
      <c r="N1318" s="23" t="s">
        <v>363</v>
      </c>
    </row>
    <row r="1319" spans="1:14" x14ac:dyDescent="0.25">
      <c r="A1319" s="23" t="s">
        <v>349</v>
      </c>
      <c r="B1319" s="24" t="s">
        <v>319</v>
      </c>
      <c r="C1319" s="23" t="s">
        <v>398</v>
      </c>
      <c r="D1319" s="23">
        <v>71.430000000000007</v>
      </c>
      <c r="E1319" s="23">
        <v>71.430000000000007</v>
      </c>
      <c r="F1319" s="23">
        <v>1</v>
      </c>
      <c r="G1319" s="42" t="str">
        <f t="shared" si="39"/>
        <v>RIO/SP - OAE - Ponte - 71,43 - 71,43 - 1</v>
      </c>
      <c r="N1319" s="23" t="s">
        <v>363</v>
      </c>
    </row>
    <row r="1320" spans="1:14" x14ac:dyDescent="0.25">
      <c r="A1320" s="23" t="s">
        <v>349</v>
      </c>
      <c r="B1320" s="24" t="s">
        <v>319</v>
      </c>
      <c r="C1320" s="23" t="s">
        <v>398</v>
      </c>
      <c r="D1320" s="23">
        <v>74.45</v>
      </c>
      <c r="E1320" s="23">
        <v>74.45</v>
      </c>
      <c r="F1320" s="23">
        <v>1</v>
      </c>
      <c r="G1320" s="42" t="str">
        <f t="shared" si="39"/>
        <v>RIO/SP - OAE - Ponte - 74,45 - 74,45 - 1</v>
      </c>
      <c r="N1320" s="23" t="s">
        <v>363</v>
      </c>
    </row>
    <row r="1321" spans="1:14" x14ac:dyDescent="0.25">
      <c r="A1321" s="23" t="s">
        <v>349</v>
      </c>
      <c r="B1321" s="24" t="s">
        <v>319</v>
      </c>
      <c r="C1321" s="23" t="s">
        <v>398</v>
      </c>
      <c r="D1321" s="23">
        <v>74.459999999999994</v>
      </c>
      <c r="E1321" s="23">
        <v>74.459999999999994</v>
      </c>
      <c r="F1321" s="23">
        <v>1</v>
      </c>
      <c r="G1321" s="42" t="str">
        <f t="shared" si="39"/>
        <v>RIO/SP - OAE - Ponte - 74,46 - 74,46 - 1</v>
      </c>
      <c r="N1321" s="23" t="s">
        <v>363</v>
      </c>
    </row>
    <row r="1322" spans="1:14" x14ac:dyDescent="0.25">
      <c r="A1322" s="23" t="s">
        <v>349</v>
      </c>
      <c r="B1322" s="24" t="s">
        <v>319</v>
      </c>
      <c r="C1322" s="23" t="s">
        <v>398</v>
      </c>
      <c r="D1322" s="23">
        <v>80.91</v>
      </c>
      <c r="E1322" s="23">
        <v>80.91</v>
      </c>
      <c r="F1322" s="23">
        <v>1</v>
      </c>
      <c r="G1322" s="42" t="str">
        <f t="shared" si="39"/>
        <v>RIO/SP - OAE - Ponte - 80,91 - 80,91 - 1</v>
      </c>
      <c r="N1322" s="23" t="s">
        <v>363</v>
      </c>
    </row>
    <row r="1323" spans="1:14" x14ac:dyDescent="0.25">
      <c r="A1323" s="23" t="s">
        <v>349</v>
      </c>
      <c r="B1323" s="24" t="s">
        <v>319</v>
      </c>
      <c r="C1323" s="23" t="s">
        <v>398</v>
      </c>
      <c r="D1323" s="23">
        <v>88.94</v>
      </c>
      <c r="E1323" s="23">
        <v>88.94</v>
      </c>
      <c r="F1323" s="23">
        <v>1</v>
      </c>
      <c r="G1323" s="42" t="str">
        <f t="shared" si="39"/>
        <v>RIO/SP - OAE - Ponte - 88,94 - 88,94 - 1</v>
      </c>
      <c r="N1323" s="23" t="s">
        <v>363</v>
      </c>
    </row>
    <row r="1324" spans="1:14" x14ac:dyDescent="0.25">
      <c r="A1324" s="23" t="s">
        <v>349</v>
      </c>
      <c r="B1324" s="24" t="s">
        <v>319</v>
      </c>
      <c r="C1324" s="23" t="s">
        <v>398</v>
      </c>
      <c r="D1324" s="23">
        <v>98.87</v>
      </c>
      <c r="E1324" s="23">
        <v>98.87</v>
      </c>
      <c r="F1324" s="23">
        <v>1</v>
      </c>
      <c r="G1324" s="42" t="str">
        <f t="shared" si="39"/>
        <v>RIO/SP - OAE - Ponte - 98,87 - 98,87 - 1</v>
      </c>
      <c r="N1324" s="23" t="s">
        <v>363</v>
      </c>
    </row>
    <row r="1325" spans="1:14" x14ac:dyDescent="0.25">
      <c r="A1325" s="23" t="s">
        <v>349</v>
      </c>
      <c r="B1325" s="24" t="s">
        <v>319</v>
      </c>
      <c r="C1325" s="23" t="s">
        <v>398</v>
      </c>
      <c r="D1325" s="23">
        <v>105.62</v>
      </c>
      <c r="E1325" s="23">
        <v>105.62</v>
      </c>
      <c r="F1325" s="23">
        <v>2</v>
      </c>
      <c r="G1325" s="42" t="str">
        <f t="shared" si="39"/>
        <v>RIO/SP - OAE - Ponte - 105,62 - 105,62 - 2</v>
      </c>
      <c r="N1325" s="23" t="s">
        <v>363</v>
      </c>
    </row>
    <row r="1326" spans="1:14" x14ac:dyDescent="0.25">
      <c r="A1326" s="23" t="s">
        <v>349</v>
      </c>
      <c r="B1326" s="24" t="s">
        <v>319</v>
      </c>
      <c r="C1326" s="23" t="s">
        <v>398</v>
      </c>
      <c r="D1326" s="23">
        <v>107.48</v>
      </c>
      <c r="E1326" s="23">
        <v>107.48</v>
      </c>
      <c r="F1326" s="23">
        <v>2</v>
      </c>
      <c r="G1326" s="42" t="str">
        <f t="shared" si="39"/>
        <v>RIO/SP - OAE - Ponte - 107,48 - 107,48 - 2</v>
      </c>
      <c r="N1326" s="23" t="s">
        <v>363</v>
      </c>
    </row>
    <row r="1327" spans="1:14" x14ac:dyDescent="0.25">
      <c r="A1327" s="23" t="s">
        <v>349</v>
      </c>
      <c r="B1327" s="24" t="s">
        <v>319</v>
      </c>
      <c r="C1327" s="23" t="s">
        <v>398</v>
      </c>
      <c r="D1327" s="23">
        <v>107.5</v>
      </c>
      <c r="E1327" s="23">
        <v>107.5</v>
      </c>
      <c r="F1327" s="23">
        <v>2</v>
      </c>
      <c r="G1327" s="42" t="str">
        <f t="shared" si="39"/>
        <v>RIO/SP - OAE - Ponte - 107,5 - 107,5 - 2</v>
      </c>
      <c r="N1327" s="23" t="s">
        <v>363</v>
      </c>
    </row>
    <row r="1328" spans="1:14" x14ac:dyDescent="0.25">
      <c r="A1328" s="23" t="s">
        <v>349</v>
      </c>
      <c r="B1328" s="24" t="s">
        <v>319</v>
      </c>
      <c r="C1328" s="23" t="s">
        <v>398</v>
      </c>
      <c r="D1328" s="23">
        <v>110.57</v>
      </c>
      <c r="E1328" s="23">
        <v>110.57</v>
      </c>
      <c r="F1328" s="23">
        <v>1</v>
      </c>
      <c r="G1328" s="42" t="str">
        <f t="shared" si="39"/>
        <v>RIO/SP - OAE - Ponte - 110,57 - 110,57 - 1</v>
      </c>
      <c r="N1328" s="23" t="s">
        <v>363</v>
      </c>
    </row>
    <row r="1329" spans="1:14" x14ac:dyDescent="0.25">
      <c r="A1329" s="23" t="s">
        <v>349</v>
      </c>
      <c r="B1329" s="24" t="s">
        <v>319</v>
      </c>
      <c r="C1329" s="23" t="s">
        <v>398</v>
      </c>
      <c r="D1329" s="23">
        <v>166.81</v>
      </c>
      <c r="E1329" s="23">
        <v>166.81</v>
      </c>
      <c r="F1329" s="23">
        <v>1</v>
      </c>
      <c r="G1329" s="42" t="str">
        <f t="shared" si="39"/>
        <v>RIO/SP - OAE - Ponte - 166,81 - 166,81 - 1</v>
      </c>
      <c r="N1329" s="23" t="s">
        <v>363</v>
      </c>
    </row>
    <row r="1330" spans="1:14" x14ac:dyDescent="0.25">
      <c r="A1330" s="23" t="s">
        <v>349</v>
      </c>
      <c r="B1330" s="24" t="s">
        <v>319</v>
      </c>
      <c r="C1330" s="23" t="s">
        <v>398</v>
      </c>
      <c r="D1330" s="23">
        <v>178.84</v>
      </c>
      <c r="E1330" s="23">
        <v>178.84</v>
      </c>
      <c r="F1330" s="23">
        <v>1</v>
      </c>
      <c r="G1330" s="42" t="str">
        <f t="shared" si="39"/>
        <v>RIO/SP - OAE - Ponte - 178,84 - 178,84 - 1</v>
      </c>
      <c r="N1330" s="23" t="s">
        <v>363</v>
      </c>
    </row>
    <row r="1331" spans="1:14" x14ac:dyDescent="0.25">
      <c r="A1331" s="23" t="s">
        <v>349</v>
      </c>
      <c r="B1331" s="24" t="s">
        <v>319</v>
      </c>
      <c r="C1331" s="23" t="s">
        <v>398</v>
      </c>
      <c r="D1331" s="23">
        <v>185.62</v>
      </c>
      <c r="E1331" s="23">
        <v>185.62</v>
      </c>
      <c r="F1331" s="23">
        <v>1</v>
      </c>
      <c r="G1331" s="42" t="str">
        <f t="shared" si="39"/>
        <v>RIO/SP - OAE - Ponte - 185,62 - 185,62 - 1</v>
      </c>
      <c r="N1331" s="23" t="s">
        <v>363</v>
      </c>
    </row>
    <row r="1332" spans="1:14" x14ac:dyDescent="0.25">
      <c r="A1332" s="23" t="s">
        <v>349</v>
      </c>
      <c r="B1332" s="24" t="s">
        <v>319</v>
      </c>
      <c r="C1332" s="23" t="s">
        <v>398</v>
      </c>
      <c r="D1332" s="23">
        <v>186.11</v>
      </c>
      <c r="E1332" s="23">
        <v>186.11</v>
      </c>
      <c r="F1332" s="23">
        <v>1</v>
      </c>
      <c r="G1332" s="42" t="str">
        <f t="shared" si="39"/>
        <v>RIO/SP - OAE - Ponte - 186,11 - 186,11 - 1</v>
      </c>
      <c r="N1332" s="23" t="s">
        <v>363</v>
      </c>
    </row>
    <row r="1333" spans="1:14" x14ac:dyDescent="0.25">
      <c r="A1333" s="23" t="s">
        <v>349</v>
      </c>
      <c r="B1333" s="24" t="s">
        <v>319</v>
      </c>
      <c r="C1333" s="23" t="s">
        <v>398</v>
      </c>
      <c r="D1333" s="23">
        <v>188.22499999999999</v>
      </c>
      <c r="E1333" s="23">
        <v>188.22499999999999</v>
      </c>
      <c r="F1333" s="23">
        <v>1</v>
      </c>
      <c r="G1333" s="42" t="str">
        <f t="shared" si="39"/>
        <v>RIO/SP - OAE - Ponte - 188,225 - 188,225 - 1</v>
      </c>
      <c r="N1333" s="23" t="s">
        <v>363</v>
      </c>
    </row>
    <row r="1334" spans="1:14" x14ac:dyDescent="0.25">
      <c r="A1334" s="23" t="s">
        <v>349</v>
      </c>
      <c r="B1334" s="24" t="s">
        <v>319</v>
      </c>
      <c r="C1334" s="23" t="s">
        <v>398</v>
      </c>
      <c r="D1334" s="23">
        <v>193.87</v>
      </c>
      <c r="E1334" s="23">
        <v>193.87</v>
      </c>
      <c r="F1334" s="23">
        <v>1</v>
      </c>
      <c r="G1334" s="42" t="str">
        <f t="shared" si="39"/>
        <v>RIO/SP - OAE - Ponte - 193,87 - 193,87 - 1</v>
      </c>
      <c r="N1334" s="23" t="s">
        <v>363</v>
      </c>
    </row>
    <row r="1335" spans="1:14" x14ac:dyDescent="0.25">
      <c r="A1335" s="23" t="s">
        <v>349</v>
      </c>
      <c r="B1335" s="24" t="s">
        <v>319</v>
      </c>
      <c r="C1335" s="23" t="s">
        <v>398</v>
      </c>
      <c r="D1335" s="23">
        <v>199.07</v>
      </c>
      <c r="E1335" s="23">
        <v>199.07</v>
      </c>
      <c r="F1335" s="23">
        <v>1</v>
      </c>
      <c r="G1335" s="42" t="str">
        <f t="shared" si="39"/>
        <v>RIO/SP - OAE - Ponte - 199,07 - 199,07 - 1</v>
      </c>
      <c r="N1335" s="23" t="s">
        <v>363</v>
      </c>
    </row>
    <row r="1336" spans="1:14" x14ac:dyDescent="0.25">
      <c r="A1336" s="23" t="s">
        <v>349</v>
      </c>
      <c r="B1336" s="24" t="s">
        <v>319</v>
      </c>
      <c r="C1336" s="23" t="s">
        <v>398</v>
      </c>
      <c r="D1336" s="23">
        <v>199.07</v>
      </c>
      <c r="E1336" s="23">
        <v>199.07</v>
      </c>
      <c r="F1336" s="23">
        <v>1</v>
      </c>
      <c r="G1336" s="42" t="str">
        <f t="shared" si="39"/>
        <v>RIO/SP - OAE - Ponte - 199,07 - 199,07 - 1</v>
      </c>
      <c r="N1336" s="23" t="s">
        <v>363</v>
      </c>
    </row>
    <row r="1337" spans="1:14" x14ac:dyDescent="0.25">
      <c r="A1337" s="23" t="s">
        <v>349</v>
      </c>
      <c r="B1337" s="24" t="s">
        <v>319</v>
      </c>
      <c r="C1337" s="23" t="s">
        <v>398</v>
      </c>
      <c r="D1337" s="23">
        <v>199.55</v>
      </c>
      <c r="E1337" s="23">
        <v>199.55</v>
      </c>
      <c r="F1337" s="23">
        <v>1</v>
      </c>
      <c r="G1337" s="42" t="str">
        <f t="shared" si="39"/>
        <v>RIO/SP - OAE - Ponte - 199,55 - 199,55 - 1</v>
      </c>
      <c r="N1337" s="23" t="s">
        <v>363</v>
      </c>
    </row>
    <row r="1338" spans="1:14" x14ac:dyDescent="0.25">
      <c r="A1338" s="23" t="s">
        <v>349</v>
      </c>
      <c r="B1338" s="24" t="s">
        <v>319</v>
      </c>
      <c r="C1338" s="23" t="s">
        <v>398</v>
      </c>
      <c r="D1338" s="23">
        <v>199.59</v>
      </c>
      <c r="E1338" s="23">
        <v>199.59</v>
      </c>
      <c r="F1338" s="23">
        <v>1</v>
      </c>
      <c r="G1338" s="42" t="str">
        <f t="shared" si="39"/>
        <v>RIO/SP - OAE - Ponte - 199,59 - 199,59 - 1</v>
      </c>
      <c r="N1338" s="23" t="s">
        <v>363</v>
      </c>
    </row>
    <row r="1339" spans="1:14" x14ac:dyDescent="0.25">
      <c r="A1339" s="23" t="s">
        <v>349</v>
      </c>
      <c r="B1339" s="24" t="s">
        <v>319</v>
      </c>
      <c r="C1339" s="23" t="s">
        <v>398</v>
      </c>
      <c r="D1339" s="23">
        <v>200.94</v>
      </c>
      <c r="E1339" s="23">
        <v>200.94</v>
      </c>
      <c r="F1339" s="23">
        <v>1</v>
      </c>
      <c r="G1339" s="42" t="str">
        <f t="shared" si="39"/>
        <v>RIO/SP - OAE - Ponte - 200,94 - 200,94 - 1</v>
      </c>
      <c r="N1339" s="23" t="s">
        <v>363</v>
      </c>
    </row>
    <row r="1340" spans="1:14" x14ac:dyDescent="0.25">
      <c r="A1340" s="23" t="s">
        <v>349</v>
      </c>
      <c r="B1340" s="24" t="s">
        <v>319</v>
      </c>
      <c r="C1340" s="23" t="s">
        <v>398</v>
      </c>
      <c r="D1340" s="23">
        <v>200.94</v>
      </c>
      <c r="E1340" s="23">
        <v>200.94</v>
      </c>
      <c r="F1340" s="23">
        <v>1</v>
      </c>
      <c r="G1340" s="42" t="str">
        <f t="shared" si="39"/>
        <v>RIO/SP - OAE - Ponte - 200,94 - 200,94 - 1</v>
      </c>
      <c r="N1340" s="23" t="s">
        <v>363</v>
      </c>
    </row>
    <row r="1341" spans="1:14" x14ac:dyDescent="0.25">
      <c r="A1341" s="23" t="s">
        <v>349</v>
      </c>
      <c r="B1341" s="24" t="s">
        <v>319</v>
      </c>
      <c r="C1341" s="23" t="s">
        <v>952</v>
      </c>
      <c r="D1341" s="23">
        <v>43.6</v>
      </c>
      <c r="E1341" s="23">
        <v>43.6</v>
      </c>
      <c r="F1341" s="23">
        <v>1</v>
      </c>
      <c r="G1341" s="42" t="str">
        <f t="shared" si="39"/>
        <v>RIO/SP - OAE - Intersecção Diamante - 43,6 - 43,6 - 1</v>
      </c>
      <c r="N1341" s="23" t="s">
        <v>363</v>
      </c>
    </row>
    <row r="1342" spans="1:14" x14ac:dyDescent="0.25">
      <c r="A1342" s="23" t="s">
        <v>349</v>
      </c>
      <c r="B1342" s="24" t="s">
        <v>319</v>
      </c>
      <c r="C1342" s="23" t="s">
        <v>952</v>
      </c>
      <c r="D1342" s="23">
        <v>47.9</v>
      </c>
      <c r="E1342" s="23">
        <v>47.9</v>
      </c>
      <c r="F1342" s="23">
        <v>1</v>
      </c>
      <c r="G1342" s="42" t="str">
        <f t="shared" ref="G1342:G1405" si="40">_xlfn.TEXTJOIN(" - ",TRUE,A1342:F1342)</f>
        <v>RIO/SP - OAE - Intersecção Diamante - 47,9 - 47,9 - 1</v>
      </c>
      <c r="N1342" s="23" t="s">
        <v>363</v>
      </c>
    </row>
    <row r="1343" spans="1:14" x14ac:dyDescent="0.25">
      <c r="A1343" s="23" t="s">
        <v>349</v>
      </c>
      <c r="B1343" s="24" t="s">
        <v>319</v>
      </c>
      <c r="C1343" s="23" t="s">
        <v>952</v>
      </c>
      <c r="D1343" s="23">
        <v>50.2</v>
      </c>
      <c r="E1343" s="23">
        <v>50.2</v>
      </c>
      <c r="F1343" s="23">
        <v>1</v>
      </c>
      <c r="G1343" s="42" t="str">
        <f t="shared" si="40"/>
        <v>RIO/SP - OAE - Intersecção Diamante - 50,2 - 50,2 - 1</v>
      </c>
      <c r="N1343" s="23" t="s">
        <v>363</v>
      </c>
    </row>
    <row r="1344" spans="1:14" x14ac:dyDescent="0.25">
      <c r="A1344" s="23" t="s">
        <v>349</v>
      </c>
      <c r="B1344" s="24" t="s">
        <v>319</v>
      </c>
      <c r="C1344" s="23" t="s">
        <v>398</v>
      </c>
      <c r="D1344" s="23">
        <v>43.6</v>
      </c>
      <c r="E1344" s="23">
        <v>43.6</v>
      </c>
      <c r="F1344" s="23">
        <v>1</v>
      </c>
      <c r="G1344" s="42" t="str">
        <f t="shared" si="40"/>
        <v>RIO/SP - OAE - Ponte - 43,6 - 43,6 - 1</v>
      </c>
      <c r="N1344" s="23" t="s">
        <v>363</v>
      </c>
    </row>
    <row r="1345" spans="1:14" x14ac:dyDescent="0.25">
      <c r="A1345" s="23" t="s">
        <v>349</v>
      </c>
      <c r="B1345" s="24" t="s">
        <v>319</v>
      </c>
      <c r="C1345" s="23" t="s">
        <v>398</v>
      </c>
      <c r="D1345" s="23">
        <v>47.9</v>
      </c>
      <c r="E1345" s="23">
        <v>47.9</v>
      </c>
      <c r="F1345" s="23">
        <v>1</v>
      </c>
      <c r="G1345" s="42" t="str">
        <f t="shared" si="40"/>
        <v>RIO/SP - OAE - Ponte - 47,9 - 47,9 - 1</v>
      </c>
      <c r="N1345" s="23" t="s">
        <v>363</v>
      </c>
    </row>
    <row r="1346" spans="1:14" x14ac:dyDescent="0.25">
      <c r="A1346" s="23" t="s">
        <v>349</v>
      </c>
      <c r="B1346" s="24" t="s">
        <v>319</v>
      </c>
      <c r="C1346" s="23" t="s">
        <v>398</v>
      </c>
      <c r="D1346" s="23">
        <v>50.2</v>
      </c>
      <c r="E1346" s="23">
        <v>50.2</v>
      </c>
      <c r="F1346" s="23">
        <v>1</v>
      </c>
      <c r="G1346" s="42" t="str">
        <f t="shared" si="40"/>
        <v>RIO/SP - OAE - Ponte - 50,2 - 50,2 - 1</v>
      </c>
      <c r="N1346" s="23" t="s">
        <v>363</v>
      </c>
    </row>
    <row r="1347" spans="1:14" x14ac:dyDescent="0.25">
      <c r="A1347" s="23" t="s">
        <v>349</v>
      </c>
      <c r="B1347" s="24" t="s">
        <v>319</v>
      </c>
      <c r="C1347" s="23" t="s">
        <v>952</v>
      </c>
      <c r="D1347" s="23">
        <v>237.48</v>
      </c>
      <c r="E1347" s="23">
        <v>237.48</v>
      </c>
      <c r="F1347" s="23">
        <v>1</v>
      </c>
      <c r="G1347" s="42" t="str">
        <f t="shared" si="40"/>
        <v>RIO/SP - OAE - Intersecção Diamante - 237,48 - 237,48 - 1</v>
      </c>
      <c r="N1347" s="23" t="s">
        <v>363</v>
      </c>
    </row>
    <row r="1348" spans="1:14" x14ac:dyDescent="0.25">
      <c r="A1348" s="23" t="s">
        <v>349</v>
      </c>
      <c r="B1348" s="24" t="s">
        <v>319</v>
      </c>
      <c r="C1348" s="23" t="s">
        <v>952</v>
      </c>
      <c r="D1348" s="23">
        <v>241.05</v>
      </c>
      <c r="E1348" s="23">
        <v>241.05</v>
      </c>
      <c r="F1348" s="23">
        <v>1</v>
      </c>
      <c r="G1348" s="42" t="str">
        <f t="shared" si="40"/>
        <v>RIO/SP - OAE - Intersecção Diamante - 241,05 - 241,05 - 1</v>
      </c>
      <c r="N1348" s="23" t="s">
        <v>363</v>
      </c>
    </row>
    <row r="1349" spans="1:14" x14ac:dyDescent="0.25">
      <c r="A1349" s="23" t="s">
        <v>349</v>
      </c>
      <c r="B1349" s="24" t="s">
        <v>319</v>
      </c>
      <c r="C1349" s="23" t="s">
        <v>952</v>
      </c>
      <c r="D1349" s="23">
        <v>245.11</v>
      </c>
      <c r="E1349" s="23">
        <v>245.11</v>
      </c>
      <c r="F1349" s="23">
        <v>1</v>
      </c>
      <c r="G1349" s="42" t="str">
        <f t="shared" si="40"/>
        <v>RIO/SP - OAE - Intersecção Diamante - 245,11 - 245,11 - 1</v>
      </c>
      <c r="N1349" s="23" t="s">
        <v>363</v>
      </c>
    </row>
    <row r="1350" spans="1:14" x14ac:dyDescent="0.25">
      <c r="A1350" s="23" t="s">
        <v>349</v>
      </c>
      <c r="B1350" s="24" t="s">
        <v>319</v>
      </c>
      <c r="C1350" s="23" t="s">
        <v>964</v>
      </c>
      <c r="D1350" s="23">
        <v>210.34</v>
      </c>
      <c r="E1350" s="23">
        <v>210.34</v>
      </c>
      <c r="F1350" s="23">
        <v>1</v>
      </c>
      <c r="G1350" s="42" t="str">
        <f t="shared" si="40"/>
        <v>RIO/SP - OAE - Intersecção Trombeta - 210,34 - 210,34 - 1</v>
      </c>
      <c r="N1350" s="23" t="s">
        <v>363</v>
      </c>
    </row>
    <row r="1351" spans="1:14" x14ac:dyDescent="0.25">
      <c r="A1351" s="23" t="s">
        <v>349</v>
      </c>
      <c r="B1351" s="24" t="s">
        <v>319</v>
      </c>
      <c r="C1351" s="23" t="s">
        <v>964</v>
      </c>
      <c r="D1351" s="23">
        <v>257.14999999999998</v>
      </c>
      <c r="E1351" s="23">
        <v>257.14999999999998</v>
      </c>
      <c r="F1351" s="23">
        <v>1</v>
      </c>
      <c r="G1351" s="42" t="str">
        <f t="shared" si="40"/>
        <v>RIO/SP - OAE - Intersecção Trombeta - 257,15 - 257,15 - 1</v>
      </c>
      <c r="N1351" s="23" t="s">
        <v>363</v>
      </c>
    </row>
    <row r="1352" spans="1:14" x14ac:dyDescent="0.25">
      <c r="A1352" s="23" t="s">
        <v>349</v>
      </c>
      <c r="B1352" s="24" t="s">
        <v>319</v>
      </c>
      <c r="C1352" s="23" t="s">
        <v>964</v>
      </c>
      <c r="D1352" s="23">
        <v>163.58000000000001</v>
      </c>
      <c r="E1352" s="23">
        <v>163.58000000000001</v>
      </c>
      <c r="F1352" s="23">
        <v>1</v>
      </c>
      <c r="G1352" s="42" t="str">
        <f t="shared" si="40"/>
        <v>RIO/SP - OAE - Intersecção Trombeta - 163,58 - 163,58 - 1</v>
      </c>
      <c r="N1352" s="23" t="s">
        <v>363</v>
      </c>
    </row>
    <row r="1353" spans="1:14" x14ac:dyDescent="0.25">
      <c r="A1353" s="23" t="s">
        <v>349</v>
      </c>
      <c r="B1353" s="24" t="s">
        <v>319</v>
      </c>
      <c r="C1353" s="23" t="s">
        <v>964</v>
      </c>
      <c r="D1353" s="23">
        <v>268.93</v>
      </c>
      <c r="E1353" s="23">
        <v>268.93</v>
      </c>
      <c r="F1353" s="23">
        <v>1</v>
      </c>
      <c r="G1353" s="42" t="str">
        <f t="shared" si="40"/>
        <v>RIO/SP - OAE - Intersecção Trombeta - 268,93 - 268,93 - 1</v>
      </c>
      <c r="N1353" s="23" t="s">
        <v>363</v>
      </c>
    </row>
    <row r="1354" spans="1:14" x14ac:dyDescent="0.25">
      <c r="A1354" s="23" t="s">
        <v>349</v>
      </c>
      <c r="B1354" s="24" t="s">
        <v>319</v>
      </c>
      <c r="C1354" s="23" t="s">
        <v>964</v>
      </c>
      <c r="D1354" s="23">
        <v>309.45</v>
      </c>
      <c r="E1354" s="23">
        <v>309.45</v>
      </c>
      <c r="F1354" s="23">
        <v>1</v>
      </c>
      <c r="G1354" s="42" t="str">
        <f t="shared" si="40"/>
        <v>RIO/SP - OAE - Intersecção Trombeta - 309,45 - 309,45 - 1</v>
      </c>
      <c r="N1354" s="23" t="s">
        <v>363</v>
      </c>
    </row>
    <row r="1355" spans="1:14" x14ac:dyDescent="0.25">
      <c r="A1355" s="23" t="s">
        <v>349</v>
      </c>
      <c r="B1355" s="24" t="s">
        <v>319</v>
      </c>
      <c r="C1355" s="23" t="s">
        <v>964</v>
      </c>
      <c r="D1355" s="23">
        <v>310.67</v>
      </c>
      <c r="E1355" s="23">
        <v>310.67</v>
      </c>
      <c r="F1355" s="23">
        <v>1</v>
      </c>
      <c r="G1355" s="42" t="str">
        <f t="shared" si="40"/>
        <v>RIO/SP - OAE - Intersecção Trombeta - 310,67 - 310,67 - 1</v>
      </c>
      <c r="N1355" s="23" t="s">
        <v>363</v>
      </c>
    </row>
    <row r="1356" spans="1:14" x14ac:dyDescent="0.25">
      <c r="A1356" s="23" t="s">
        <v>349</v>
      </c>
      <c r="B1356" s="24" t="s">
        <v>319</v>
      </c>
      <c r="C1356" s="23" t="s">
        <v>398</v>
      </c>
      <c r="D1356" s="23">
        <v>263.58</v>
      </c>
      <c r="E1356" s="23">
        <v>263.58</v>
      </c>
      <c r="F1356" s="23">
        <v>1</v>
      </c>
      <c r="G1356" s="42" t="str">
        <f t="shared" si="40"/>
        <v>RIO/SP - OAE - Ponte - 263,58 - 263,58 - 1</v>
      </c>
      <c r="N1356" s="23" t="s">
        <v>363</v>
      </c>
    </row>
    <row r="1357" spans="1:14" x14ac:dyDescent="0.25">
      <c r="A1357" s="23" t="s">
        <v>349</v>
      </c>
      <c r="B1357" s="24" t="s">
        <v>319</v>
      </c>
      <c r="C1357" s="23" t="s">
        <v>398</v>
      </c>
      <c r="D1357" s="23">
        <v>268.08999999999997</v>
      </c>
      <c r="E1357" s="23">
        <v>268.08999999999997</v>
      </c>
      <c r="F1357" s="23">
        <v>1</v>
      </c>
      <c r="G1357" s="42" t="str">
        <f t="shared" si="40"/>
        <v>RIO/SP - OAE - Ponte - 268,09 - 268,09 - 1</v>
      </c>
      <c r="N1357" s="23" t="s">
        <v>363</v>
      </c>
    </row>
    <row r="1358" spans="1:14" x14ac:dyDescent="0.25">
      <c r="A1358" s="23" t="s">
        <v>349</v>
      </c>
      <c r="B1358" s="24" t="s">
        <v>319</v>
      </c>
      <c r="C1358" s="23" t="s">
        <v>398</v>
      </c>
      <c r="D1358" s="23">
        <v>268.89999999999998</v>
      </c>
      <c r="E1358" s="23">
        <v>268.89999999999998</v>
      </c>
      <c r="F1358" s="23">
        <v>1</v>
      </c>
      <c r="G1358" s="42" t="str">
        <f t="shared" si="40"/>
        <v>RIO/SP - OAE - Ponte - 268,9 - 268,9 - 1</v>
      </c>
      <c r="N1358" s="23" t="s">
        <v>363</v>
      </c>
    </row>
    <row r="1359" spans="1:14" x14ac:dyDescent="0.25">
      <c r="A1359" s="23" t="s">
        <v>349</v>
      </c>
      <c r="B1359" s="24" t="s">
        <v>319</v>
      </c>
      <c r="C1359" s="23" t="s">
        <v>398</v>
      </c>
      <c r="D1359" s="23">
        <v>308.27999999999997</v>
      </c>
      <c r="E1359" s="23">
        <v>308.27999999999997</v>
      </c>
      <c r="F1359" s="23">
        <v>1</v>
      </c>
      <c r="G1359" s="42" t="str">
        <f t="shared" si="40"/>
        <v>RIO/SP - OAE - Ponte - 308,28 - 308,28 - 1</v>
      </c>
      <c r="N1359" s="23" t="s">
        <v>363</v>
      </c>
    </row>
    <row r="1360" spans="1:14" x14ac:dyDescent="0.25">
      <c r="A1360" s="23" t="s">
        <v>349</v>
      </c>
      <c r="B1360" s="24" t="s">
        <v>319</v>
      </c>
      <c r="C1360" s="23" t="s">
        <v>398</v>
      </c>
      <c r="D1360" s="23">
        <v>283.64</v>
      </c>
      <c r="E1360" s="23">
        <v>283.64</v>
      </c>
      <c r="F1360" s="23">
        <v>1</v>
      </c>
      <c r="G1360" s="42" t="str">
        <f t="shared" si="40"/>
        <v>RIO/SP - OAE - Ponte - 283,64 - 283,64 - 1</v>
      </c>
      <c r="N1360" s="23" t="s">
        <v>363</v>
      </c>
    </row>
    <row r="1361" spans="1:14" x14ac:dyDescent="0.25">
      <c r="A1361" s="23" t="s">
        <v>349</v>
      </c>
      <c r="B1361" s="24" t="s">
        <v>319</v>
      </c>
      <c r="C1361" s="23" t="s">
        <v>398</v>
      </c>
      <c r="D1361" s="23">
        <v>310.67</v>
      </c>
      <c r="E1361" s="23">
        <v>310.67</v>
      </c>
      <c r="F1361" s="23">
        <v>1</v>
      </c>
      <c r="G1361" s="42" t="str">
        <f t="shared" si="40"/>
        <v>RIO/SP - OAE - Ponte - 310,67 - 310,67 - 1</v>
      </c>
      <c r="N1361" s="23" t="s">
        <v>363</v>
      </c>
    </row>
    <row r="1362" spans="1:14" x14ac:dyDescent="0.25">
      <c r="A1362" s="23" t="s">
        <v>349</v>
      </c>
      <c r="B1362" s="24" t="s">
        <v>319</v>
      </c>
      <c r="C1362" s="23" t="s">
        <v>398</v>
      </c>
      <c r="D1362" s="23">
        <v>241.05</v>
      </c>
      <c r="E1362" s="23">
        <v>241.05</v>
      </c>
      <c r="F1362" s="23">
        <v>2</v>
      </c>
      <c r="G1362" s="42" t="str">
        <f t="shared" si="40"/>
        <v>RIO/SP - OAE - Ponte - 241,05 - 241,05 - 2</v>
      </c>
      <c r="N1362" s="23" t="s">
        <v>363</v>
      </c>
    </row>
    <row r="1363" spans="1:14" x14ac:dyDescent="0.25">
      <c r="A1363" s="23" t="s">
        <v>349</v>
      </c>
      <c r="B1363" s="24" t="s">
        <v>319</v>
      </c>
      <c r="C1363" s="23" t="s">
        <v>398</v>
      </c>
      <c r="D1363" s="23">
        <v>245.11</v>
      </c>
      <c r="E1363" s="23">
        <v>245.11</v>
      </c>
      <c r="F1363" s="23">
        <v>1</v>
      </c>
      <c r="G1363" s="42" t="str">
        <f t="shared" si="40"/>
        <v>RIO/SP - OAE - Ponte - 245,11 - 245,11 - 1</v>
      </c>
      <c r="N1363" s="23" t="s">
        <v>363</v>
      </c>
    </row>
    <row r="1364" spans="1:14" x14ac:dyDescent="0.25">
      <c r="A1364" s="23" t="s">
        <v>349</v>
      </c>
      <c r="B1364" s="24" t="s">
        <v>319</v>
      </c>
      <c r="C1364" s="23" t="s">
        <v>398</v>
      </c>
      <c r="D1364" s="23">
        <v>226.47</v>
      </c>
      <c r="E1364" s="23">
        <v>226.47</v>
      </c>
      <c r="F1364" s="23">
        <v>1</v>
      </c>
      <c r="G1364" s="42" t="str">
        <f t="shared" si="40"/>
        <v>RIO/SP - OAE - Ponte - 226,47 - 226,47 - 1</v>
      </c>
      <c r="N1364" s="23" t="s">
        <v>363</v>
      </c>
    </row>
    <row r="1365" spans="1:14" x14ac:dyDescent="0.25">
      <c r="A1365" s="23" t="s">
        <v>349</v>
      </c>
      <c r="B1365" s="24" t="s">
        <v>319</v>
      </c>
      <c r="C1365" s="23" t="s">
        <v>398</v>
      </c>
      <c r="D1365" s="23">
        <v>231.85</v>
      </c>
      <c r="E1365" s="23">
        <v>231.85</v>
      </c>
      <c r="F1365" s="23">
        <v>1</v>
      </c>
      <c r="G1365" s="42" t="str">
        <f t="shared" si="40"/>
        <v>RIO/SP - OAE - Ponte - 231,85 - 231,85 - 1</v>
      </c>
      <c r="N1365" s="23" t="s">
        <v>363</v>
      </c>
    </row>
    <row r="1366" spans="1:14" x14ac:dyDescent="0.25">
      <c r="A1366" s="23" t="s">
        <v>349</v>
      </c>
      <c r="B1366" s="24" t="s">
        <v>319</v>
      </c>
      <c r="C1366" s="23" t="s">
        <v>398</v>
      </c>
      <c r="D1366" s="23">
        <v>234.4</v>
      </c>
      <c r="E1366" s="23">
        <v>234.4</v>
      </c>
      <c r="F1366" s="23">
        <v>1</v>
      </c>
      <c r="G1366" s="42" t="str">
        <f t="shared" si="40"/>
        <v>RIO/SP - OAE - Ponte - 234,4 - 234,4 - 1</v>
      </c>
      <c r="N1366" s="23" t="s">
        <v>363</v>
      </c>
    </row>
    <row r="1367" spans="1:14" x14ac:dyDescent="0.25">
      <c r="A1367" s="23" t="s">
        <v>349</v>
      </c>
      <c r="B1367" s="24" t="s">
        <v>319</v>
      </c>
      <c r="C1367" s="23" t="s">
        <v>398</v>
      </c>
      <c r="D1367" s="23">
        <v>316.51</v>
      </c>
      <c r="E1367" s="23">
        <v>316.51</v>
      </c>
      <c r="F1367" s="23">
        <v>1</v>
      </c>
      <c r="G1367" s="42" t="str">
        <f t="shared" si="40"/>
        <v>RIO/SP - OAE - Ponte - 316,51 - 316,51 - 1</v>
      </c>
      <c r="N1367" s="23" t="s">
        <v>363</v>
      </c>
    </row>
    <row r="1368" spans="1:14" x14ac:dyDescent="0.25">
      <c r="A1368" s="23" t="s">
        <v>349</v>
      </c>
      <c r="B1368" s="24" t="s">
        <v>319</v>
      </c>
      <c r="C1368" s="23" t="s">
        <v>398</v>
      </c>
      <c r="D1368" s="23">
        <v>323.58999999999997</v>
      </c>
      <c r="E1368" s="23">
        <v>323.58999999999997</v>
      </c>
      <c r="F1368" s="23">
        <v>1</v>
      </c>
      <c r="G1368" s="42" t="str">
        <f t="shared" si="40"/>
        <v>RIO/SP - OAE - Ponte - 323,59 - 323,59 - 1</v>
      </c>
      <c r="N1368" s="23" t="s">
        <v>363</v>
      </c>
    </row>
    <row r="1369" spans="1:14" x14ac:dyDescent="0.25">
      <c r="A1369" s="23" t="s">
        <v>349</v>
      </c>
      <c r="B1369" s="24" t="s">
        <v>319</v>
      </c>
      <c r="C1369" s="23" t="s">
        <v>398</v>
      </c>
      <c r="D1369" s="23">
        <v>328.65</v>
      </c>
      <c r="E1369" s="23">
        <v>328.65</v>
      </c>
      <c r="F1369" s="23">
        <v>1</v>
      </c>
      <c r="G1369" s="42" t="str">
        <f t="shared" si="40"/>
        <v>RIO/SP - OAE - Ponte - 328,65 - 328,65 - 1</v>
      </c>
      <c r="N1369" s="23" t="s">
        <v>363</v>
      </c>
    </row>
    <row r="1370" spans="1:14" x14ac:dyDescent="0.25">
      <c r="A1370" s="23" t="s">
        <v>349</v>
      </c>
      <c r="B1370" s="24" t="s">
        <v>319</v>
      </c>
      <c r="C1370" s="23" t="s">
        <v>398</v>
      </c>
      <c r="D1370" s="23">
        <v>329.00799999999998</v>
      </c>
      <c r="E1370" s="23">
        <v>329.00799999999998</v>
      </c>
      <c r="F1370" s="23">
        <v>1</v>
      </c>
      <c r="G1370" s="42" t="str">
        <f t="shared" si="40"/>
        <v>RIO/SP - OAE - Ponte - 329,008 - 329,008 - 1</v>
      </c>
      <c r="N1370" s="23" t="s">
        <v>363</v>
      </c>
    </row>
    <row r="1371" spans="1:14" x14ac:dyDescent="0.25">
      <c r="A1371" s="23" t="s">
        <v>349</v>
      </c>
      <c r="B1371" s="24" t="s">
        <v>319</v>
      </c>
      <c r="C1371" s="23" t="s">
        <v>398</v>
      </c>
      <c r="D1371" s="23">
        <v>329.85</v>
      </c>
      <c r="E1371" s="23">
        <v>329.85</v>
      </c>
      <c r="F1371" s="23">
        <v>1</v>
      </c>
      <c r="G1371" s="42" t="str">
        <f t="shared" si="40"/>
        <v>RIO/SP - OAE - Ponte - 329,85 - 329,85 - 1</v>
      </c>
      <c r="N1371" s="23" t="s">
        <v>363</v>
      </c>
    </row>
    <row r="1372" spans="1:14" x14ac:dyDescent="0.25">
      <c r="A1372" s="23" t="s">
        <v>349</v>
      </c>
      <c r="B1372" s="24" t="s">
        <v>319</v>
      </c>
      <c r="C1372" s="23" t="s">
        <v>966</v>
      </c>
      <c r="D1372" s="23">
        <v>218.35</v>
      </c>
      <c r="E1372" s="23">
        <v>218.35</v>
      </c>
      <c r="F1372" s="23">
        <v>1</v>
      </c>
      <c r="G1372" s="42" t="str">
        <f t="shared" si="40"/>
        <v>RIO/SP - OAE - Ponte Pista Norte (Serra das Araras) - 218,35 - 218,35 - 1</v>
      </c>
      <c r="N1372" s="23" t="s">
        <v>363</v>
      </c>
    </row>
    <row r="1373" spans="1:14" x14ac:dyDescent="0.25">
      <c r="A1373" s="23" t="s">
        <v>349</v>
      </c>
      <c r="B1373" s="24" t="s">
        <v>319</v>
      </c>
      <c r="C1373" s="23" t="s">
        <v>966</v>
      </c>
      <c r="D1373" s="23">
        <v>219.25</v>
      </c>
      <c r="E1373" s="23">
        <v>219.25</v>
      </c>
      <c r="F1373" s="23">
        <v>1</v>
      </c>
      <c r="G1373" s="42" t="str">
        <f t="shared" si="40"/>
        <v>RIO/SP - OAE - Ponte Pista Norte (Serra das Araras) - 219,25 - 219,25 - 1</v>
      </c>
      <c r="N1373" s="23" t="s">
        <v>363</v>
      </c>
    </row>
    <row r="1374" spans="1:14" x14ac:dyDescent="0.25">
      <c r="A1374" s="23" t="s">
        <v>349</v>
      </c>
      <c r="B1374" s="24" t="s">
        <v>319</v>
      </c>
      <c r="C1374" s="23" t="s">
        <v>966</v>
      </c>
      <c r="D1374" s="23">
        <v>219.7</v>
      </c>
      <c r="E1374" s="23">
        <v>219.7</v>
      </c>
      <c r="F1374" s="23">
        <v>1</v>
      </c>
      <c r="G1374" s="42" t="str">
        <f t="shared" si="40"/>
        <v>RIO/SP - OAE - Ponte Pista Norte (Serra das Araras) - 219,7 - 219,7 - 1</v>
      </c>
      <c r="N1374" s="23" t="s">
        <v>363</v>
      </c>
    </row>
    <row r="1375" spans="1:14" x14ac:dyDescent="0.25">
      <c r="A1375" s="23" t="s">
        <v>349</v>
      </c>
      <c r="B1375" s="24" t="s">
        <v>319</v>
      </c>
      <c r="C1375" s="23" t="s">
        <v>966</v>
      </c>
      <c r="D1375" s="23">
        <v>220.1</v>
      </c>
      <c r="E1375" s="23">
        <v>220.1</v>
      </c>
      <c r="F1375" s="23">
        <v>1</v>
      </c>
      <c r="G1375" s="42" t="str">
        <f t="shared" si="40"/>
        <v>RIO/SP - OAE - Ponte Pista Norte (Serra das Araras) - 220,1 - 220,1 - 1</v>
      </c>
      <c r="N1375" s="23" t="s">
        <v>363</v>
      </c>
    </row>
    <row r="1376" spans="1:14" x14ac:dyDescent="0.25">
      <c r="A1376" s="23" t="s">
        <v>349</v>
      </c>
      <c r="B1376" s="24" t="s">
        <v>319</v>
      </c>
      <c r="C1376" s="23" t="s">
        <v>966</v>
      </c>
      <c r="D1376" s="23">
        <v>220.84</v>
      </c>
      <c r="E1376" s="23">
        <v>220.84</v>
      </c>
      <c r="F1376" s="23">
        <v>1</v>
      </c>
      <c r="G1376" s="42" t="str">
        <f t="shared" si="40"/>
        <v>RIO/SP - OAE - Ponte Pista Norte (Serra das Araras) - 220,84 - 220,84 - 1</v>
      </c>
      <c r="N1376" s="23" t="s">
        <v>363</v>
      </c>
    </row>
    <row r="1377" spans="1:14" x14ac:dyDescent="0.25">
      <c r="A1377" s="23" t="s">
        <v>349</v>
      </c>
      <c r="B1377" s="24" t="s">
        <v>319</v>
      </c>
      <c r="C1377" s="23" t="s">
        <v>966</v>
      </c>
      <c r="D1377" s="23">
        <v>220.85</v>
      </c>
      <c r="E1377" s="23">
        <v>220.85</v>
      </c>
      <c r="F1377" s="23">
        <v>2</v>
      </c>
      <c r="G1377" s="42" t="str">
        <f t="shared" si="40"/>
        <v>RIO/SP - OAE - Ponte Pista Norte (Serra das Araras) - 220,85 - 220,85 - 2</v>
      </c>
      <c r="N1377" s="23" t="s">
        <v>363</v>
      </c>
    </row>
    <row r="1378" spans="1:14" x14ac:dyDescent="0.25">
      <c r="A1378" s="23" t="s">
        <v>349</v>
      </c>
      <c r="B1378" s="24" t="s">
        <v>319</v>
      </c>
      <c r="C1378" s="23" t="s">
        <v>966</v>
      </c>
      <c r="D1378" s="23">
        <v>221.43</v>
      </c>
      <c r="E1378" s="23">
        <v>221.43</v>
      </c>
      <c r="F1378" s="23">
        <v>1</v>
      </c>
      <c r="G1378" s="42" t="str">
        <f t="shared" si="40"/>
        <v>RIO/SP - OAE - Ponte Pista Norte (Serra das Araras) - 221,43 - 221,43 - 1</v>
      </c>
      <c r="N1378" s="23" t="s">
        <v>363</v>
      </c>
    </row>
    <row r="1379" spans="1:14" x14ac:dyDescent="0.25">
      <c r="A1379" s="23" t="s">
        <v>349</v>
      </c>
      <c r="B1379" s="24" t="s">
        <v>319</v>
      </c>
      <c r="C1379" s="23" t="s">
        <v>966</v>
      </c>
      <c r="D1379" s="23">
        <v>222</v>
      </c>
      <c r="E1379" s="23">
        <v>222</v>
      </c>
      <c r="F1379" s="23">
        <v>1</v>
      </c>
      <c r="G1379" s="42" t="str">
        <f t="shared" si="40"/>
        <v>RIO/SP - OAE - Ponte Pista Norte (Serra das Araras) - 222 - 222 - 1</v>
      </c>
      <c r="N1379" s="23" t="s">
        <v>363</v>
      </c>
    </row>
    <row r="1380" spans="1:14" x14ac:dyDescent="0.25">
      <c r="A1380" s="23" t="s">
        <v>349</v>
      </c>
      <c r="B1380" s="24" t="s">
        <v>319</v>
      </c>
      <c r="C1380" s="23" t="s">
        <v>966</v>
      </c>
      <c r="D1380" s="23">
        <v>222.49</v>
      </c>
      <c r="E1380" s="23">
        <v>222.49</v>
      </c>
      <c r="F1380" s="23">
        <v>1</v>
      </c>
      <c r="G1380" s="42" t="str">
        <f t="shared" si="40"/>
        <v>RIO/SP - OAE - Ponte Pista Norte (Serra das Araras) - 222,49 - 222,49 - 1</v>
      </c>
      <c r="N1380" s="23" t="s">
        <v>363</v>
      </c>
    </row>
    <row r="1381" spans="1:14" x14ac:dyDescent="0.25">
      <c r="A1381" s="23" t="s">
        <v>349</v>
      </c>
      <c r="B1381" s="24" t="s">
        <v>319</v>
      </c>
      <c r="C1381" s="23" t="s">
        <v>966</v>
      </c>
      <c r="D1381" s="23">
        <v>223.14</v>
      </c>
      <c r="E1381" s="23">
        <v>223.14</v>
      </c>
      <c r="F1381" s="23">
        <v>1</v>
      </c>
      <c r="G1381" s="42" t="str">
        <f t="shared" si="40"/>
        <v>RIO/SP - OAE - Ponte Pista Norte (Serra das Araras) - 223,14 - 223,14 - 1</v>
      </c>
      <c r="N1381" s="23" t="s">
        <v>363</v>
      </c>
    </row>
    <row r="1382" spans="1:14" x14ac:dyDescent="0.25">
      <c r="A1382" s="23" t="s">
        <v>349</v>
      </c>
      <c r="B1382" s="24" t="s">
        <v>319</v>
      </c>
      <c r="C1382" s="23" t="s">
        <v>966</v>
      </c>
      <c r="D1382" s="23">
        <v>224.09</v>
      </c>
      <c r="E1382" s="23">
        <v>224.09</v>
      </c>
      <c r="F1382" s="23">
        <v>1</v>
      </c>
      <c r="G1382" s="42" t="str">
        <f t="shared" si="40"/>
        <v>RIO/SP - OAE - Ponte Pista Norte (Serra das Araras) - 224,09 - 224,09 - 1</v>
      </c>
      <c r="N1382" s="23" t="s">
        <v>363</v>
      </c>
    </row>
    <row r="1383" spans="1:14" x14ac:dyDescent="0.25">
      <c r="A1383" s="23" t="s">
        <v>349</v>
      </c>
      <c r="B1383" s="24" t="s">
        <v>319</v>
      </c>
      <c r="C1383" s="23" t="s">
        <v>966</v>
      </c>
      <c r="D1383" s="23">
        <v>224.88</v>
      </c>
      <c r="E1383" s="23">
        <v>224.88</v>
      </c>
      <c r="F1383" s="23">
        <v>1</v>
      </c>
      <c r="G1383" s="42" t="str">
        <f t="shared" si="40"/>
        <v>RIO/SP - OAE - Ponte Pista Norte (Serra das Araras) - 224,88 - 224,88 - 1</v>
      </c>
      <c r="N1383" s="23" t="s">
        <v>363</v>
      </c>
    </row>
    <row r="1384" spans="1:14" x14ac:dyDescent="0.25">
      <c r="A1384" s="23" t="s">
        <v>349</v>
      </c>
      <c r="B1384" s="24" t="s">
        <v>319</v>
      </c>
      <c r="C1384" s="23" t="s">
        <v>966</v>
      </c>
      <c r="D1384" s="23">
        <v>225.35</v>
      </c>
      <c r="E1384" s="23">
        <v>225.35</v>
      </c>
      <c r="F1384" s="23">
        <v>1</v>
      </c>
      <c r="G1384" s="42" t="str">
        <f t="shared" si="40"/>
        <v>RIO/SP - OAE - Ponte Pista Norte (Serra das Araras) - 225,35 - 225,35 - 1</v>
      </c>
      <c r="N1384" s="23" t="s">
        <v>363</v>
      </c>
    </row>
    <row r="1385" spans="1:14" x14ac:dyDescent="0.25">
      <c r="A1385" s="23" t="s">
        <v>349</v>
      </c>
      <c r="B1385" s="24" t="s">
        <v>319</v>
      </c>
      <c r="C1385" s="23" t="s">
        <v>966</v>
      </c>
      <c r="D1385" s="23">
        <v>225.64</v>
      </c>
      <c r="E1385" s="23">
        <v>225.64</v>
      </c>
      <c r="F1385" s="23">
        <v>1</v>
      </c>
      <c r="G1385" s="42" t="str">
        <f t="shared" si="40"/>
        <v>RIO/SP - OAE - Ponte Pista Norte (Serra das Araras) - 225,64 - 225,64 - 1</v>
      </c>
      <c r="N1385" s="23" t="s">
        <v>363</v>
      </c>
    </row>
    <row r="1386" spans="1:14" x14ac:dyDescent="0.25">
      <c r="A1386" s="23" t="s">
        <v>349</v>
      </c>
      <c r="B1386" s="24" t="s">
        <v>319</v>
      </c>
      <c r="C1386" s="23" t="s">
        <v>967</v>
      </c>
      <c r="D1386" s="23">
        <v>219.25</v>
      </c>
      <c r="E1386" s="23">
        <v>219.25</v>
      </c>
      <c r="F1386" s="23">
        <v>1</v>
      </c>
      <c r="G1386" s="42" t="str">
        <f t="shared" si="40"/>
        <v>RIO/SP - OAE - Ponte Pista Sul (Serra das Araras) - 219,25 - 219,25 - 1</v>
      </c>
      <c r="N1386" s="23" t="s">
        <v>363</v>
      </c>
    </row>
    <row r="1387" spans="1:14" x14ac:dyDescent="0.25">
      <c r="A1387" s="23" t="s">
        <v>349</v>
      </c>
      <c r="B1387" s="24" t="s">
        <v>319</v>
      </c>
      <c r="C1387" s="23" t="s">
        <v>967</v>
      </c>
      <c r="D1387" s="23">
        <v>220.85</v>
      </c>
      <c r="E1387" s="23">
        <v>220.85</v>
      </c>
      <c r="F1387" s="23">
        <v>1</v>
      </c>
      <c r="G1387" s="42" t="str">
        <f t="shared" si="40"/>
        <v>RIO/SP - OAE - Ponte Pista Sul (Serra das Araras) - 220,85 - 220,85 - 1</v>
      </c>
      <c r="N1387" s="23" t="s">
        <v>363</v>
      </c>
    </row>
    <row r="1388" spans="1:14" x14ac:dyDescent="0.25">
      <c r="A1388" s="23" t="s">
        <v>349</v>
      </c>
      <c r="B1388" s="24" t="s">
        <v>319</v>
      </c>
      <c r="C1388" s="23" t="s">
        <v>967</v>
      </c>
      <c r="D1388" s="23">
        <v>220.85</v>
      </c>
      <c r="E1388" s="23">
        <v>220.85</v>
      </c>
      <c r="F1388" s="23">
        <v>1</v>
      </c>
      <c r="G1388" s="42" t="str">
        <f t="shared" si="40"/>
        <v>RIO/SP - OAE - Ponte Pista Sul (Serra das Araras) - 220,85 - 220,85 - 1</v>
      </c>
      <c r="N1388" s="23" t="s">
        <v>363</v>
      </c>
    </row>
    <row r="1389" spans="1:14" x14ac:dyDescent="0.25">
      <c r="A1389" s="23" t="s">
        <v>349</v>
      </c>
      <c r="B1389" s="24" t="s">
        <v>319</v>
      </c>
      <c r="C1389" s="23" t="s">
        <v>967</v>
      </c>
      <c r="D1389" s="23">
        <v>222.14</v>
      </c>
      <c r="E1389" s="23">
        <v>222.14</v>
      </c>
      <c r="F1389" s="23">
        <v>1</v>
      </c>
      <c r="G1389" s="42" t="str">
        <f t="shared" si="40"/>
        <v>RIO/SP - OAE - Ponte Pista Sul (Serra das Araras) - 222,14 - 222,14 - 1</v>
      </c>
      <c r="N1389" s="23" t="s">
        <v>363</v>
      </c>
    </row>
    <row r="1390" spans="1:14" x14ac:dyDescent="0.25">
      <c r="A1390" s="23" t="s">
        <v>349</v>
      </c>
      <c r="B1390" s="24" t="s">
        <v>319</v>
      </c>
      <c r="C1390" s="23" t="s">
        <v>967</v>
      </c>
      <c r="D1390" s="23">
        <v>222.37</v>
      </c>
      <c r="E1390" s="23">
        <v>222.37</v>
      </c>
      <c r="F1390" s="23">
        <v>1</v>
      </c>
      <c r="G1390" s="42" t="str">
        <f t="shared" si="40"/>
        <v>RIO/SP - OAE - Ponte Pista Sul (Serra das Araras) - 222,37 - 222,37 - 1</v>
      </c>
      <c r="N1390" s="23" t="s">
        <v>363</v>
      </c>
    </row>
    <row r="1391" spans="1:14" x14ac:dyDescent="0.25">
      <c r="A1391" s="23" t="s">
        <v>349</v>
      </c>
      <c r="B1391" s="24" t="s">
        <v>319</v>
      </c>
      <c r="C1391" s="23" t="s">
        <v>967</v>
      </c>
      <c r="D1391" s="23">
        <v>222.5</v>
      </c>
      <c r="E1391" s="23">
        <v>222.5</v>
      </c>
      <c r="F1391" s="23">
        <v>1</v>
      </c>
      <c r="G1391" s="42" t="str">
        <f t="shared" si="40"/>
        <v>RIO/SP - OAE - Ponte Pista Sul (Serra das Araras) - 222,5 - 222,5 - 1</v>
      </c>
      <c r="N1391" s="23" t="s">
        <v>363</v>
      </c>
    </row>
    <row r="1392" spans="1:14" x14ac:dyDescent="0.25">
      <c r="A1392" s="23" t="s">
        <v>349</v>
      </c>
      <c r="B1392" s="24" t="s">
        <v>319</v>
      </c>
      <c r="C1392" s="23" t="s">
        <v>967</v>
      </c>
      <c r="D1392" s="23">
        <v>223.285</v>
      </c>
      <c r="E1392" s="23">
        <v>223.285</v>
      </c>
      <c r="F1392" s="23">
        <v>1</v>
      </c>
      <c r="G1392" s="42" t="str">
        <f t="shared" si="40"/>
        <v>RIO/SP - OAE - Ponte Pista Sul (Serra das Araras) - 223,285 - 223,285 - 1</v>
      </c>
      <c r="N1392" s="23" t="s">
        <v>363</v>
      </c>
    </row>
    <row r="1393" spans="1:14" x14ac:dyDescent="0.25">
      <c r="A1393" s="23" t="s">
        <v>349</v>
      </c>
      <c r="B1393" s="24" t="s">
        <v>319</v>
      </c>
      <c r="C1393" s="23" t="s">
        <v>967</v>
      </c>
      <c r="D1393" s="23">
        <v>223.98</v>
      </c>
      <c r="E1393" s="23">
        <v>223.98</v>
      </c>
      <c r="F1393" s="23">
        <v>1</v>
      </c>
      <c r="G1393" s="42" t="str">
        <f t="shared" si="40"/>
        <v>RIO/SP - OAE - Ponte Pista Sul (Serra das Araras) - 223,98 - 223,98 - 1</v>
      </c>
      <c r="N1393" s="23" t="s">
        <v>363</v>
      </c>
    </row>
    <row r="1394" spans="1:14" x14ac:dyDescent="0.25">
      <c r="A1394" s="23" t="s">
        <v>349</v>
      </c>
      <c r="B1394" s="24" t="s">
        <v>319</v>
      </c>
      <c r="C1394" s="23" t="s">
        <v>967</v>
      </c>
      <c r="D1394" s="23">
        <v>224.09</v>
      </c>
      <c r="E1394" s="23">
        <v>224.09</v>
      </c>
      <c r="F1394" s="23">
        <v>1</v>
      </c>
      <c r="G1394" s="42" t="str">
        <f t="shared" si="40"/>
        <v>RIO/SP - OAE - Ponte Pista Sul (Serra das Araras) - 224,09 - 224,09 - 1</v>
      </c>
      <c r="N1394" s="23" t="s">
        <v>363</v>
      </c>
    </row>
    <row r="1395" spans="1:14" x14ac:dyDescent="0.25">
      <c r="A1395" s="23" t="s">
        <v>349</v>
      </c>
      <c r="B1395" s="24" t="s">
        <v>319</v>
      </c>
      <c r="C1395" s="23" t="s">
        <v>967</v>
      </c>
      <c r="D1395" s="23">
        <v>224.32</v>
      </c>
      <c r="E1395" s="23">
        <v>224.32</v>
      </c>
      <c r="F1395" s="23">
        <v>1</v>
      </c>
      <c r="G1395" s="42" t="str">
        <f t="shared" si="40"/>
        <v>RIO/SP - OAE - Ponte Pista Sul (Serra das Araras) - 224,32 - 224,32 - 1</v>
      </c>
      <c r="N1395" s="23" t="s">
        <v>363</v>
      </c>
    </row>
    <row r="1396" spans="1:14" x14ac:dyDescent="0.25">
      <c r="A1396" s="23" t="s">
        <v>349</v>
      </c>
      <c r="B1396" s="24" t="s">
        <v>319</v>
      </c>
      <c r="C1396" s="23" t="s">
        <v>967</v>
      </c>
      <c r="D1396" s="23">
        <v>225.02</v>
      </c>
      <c r="E1396" s="23">
        <v>225.02</v>
      </c>
      <c r="F1396" s="23">
        <v>1</v>
      </c>
      <c r="G1396" s="42" t="str">
        <f t="shared" si="40"/>
        <v>RIO/SP - OAE - Ponte Pista Sul (Serra das Araras) - 225,02 - 225,02 - 1</v>
      </c>
      <c r="N1396" s="23" t="s">
        <v>363</v>
      </c>
    </row>
    <row r="1397" spans="1:14" x14ac:dyDescent="0.25">
      <c r="A1397" s="23" t="s">
        <v>349</v>
      </c>
      <c r="B1397" s="24" t="s">
        <v>319</v>
      </c>
      <c r="C1397" s="23" t="s">
        <v>967</v>
      </c>
      <c r="D1397" s="23">
        <v>225.66</v>
      </c>
      <c r="E1397" s="23">
        <v>225.66</v>
      </c>
      <c r="F1397" s="23">
        <v>1</v>
      </c>
      <c r="G1397" s="42" t="str">
        <f t="shared" si="40"/>
        <v>RIO/SP - OAE - Ponte Pista Sul (Serra das Araras) - 225,66 - 225,66 - 1</v>
      </c>
      <c r="N1397" s="23" t="s">
        <v>363</v>
      </c>
    </row>
    <row r="1398" spans="1:14" x14ac:dyDescent="0.25">
      <c r="A1398" s="23" t="s">
        <v>349</v>
      </c>
      <c r="B1398" s="24" t="s">
        <v>319</v>
      </c>
      <c r="C1398" s="23" t="s">
        <v>968</v>
      </c>
      <c r="D1398" s="23">
        <v>222.6</v>
      </c>
      <c r="E1398" s="23">
        <v>223</v>
      </c>
      <c r="F1398" s="23">
        <v>0.40000000000000568</v>
      </c>
      <c r="G1398" s="42" t="str">
        <f t="shared" si="40"/>
        <v>RIO/SP - OAE - Túnel BR 116 RJ (Serra das Araras) - 222,6 - 223 - 0,400000000000006</v>
      </c>
      <c r="N1398" s="23" t="s">
        <v>363</v>
      </c>
    </row>
    <row r="1399" spans="1:14" x14ac:dyDescent="0.25">
      <c r="A1399" s="23" t="s">
        <v>349</v>
      </c>
      <c r="B1399" s="24" t="s">
        <v>319</v>
      </c>
      <c r="C1399" s="23" t="s">
        <v>952</v>
      </c>
      <c r="D1399" s="23">
        <v>420.7</v>
      </c>
      <c r="E1399" s="23">
        <v>420.7</v>
      </c>
      <c r="F1399" s="23">
        <v>1</v>
      </c>
      <c r="G1399" s="42" t="str">
        <f t="shared" si="40"/>
        <v>RIO/SP - OAE - Intersecção Diamante - 420,7 - 420,7 - 1</v>
      </c>
      <c r="N1399" s="23" t="s">
        <v>363</v>
      </c>
    </row>
    <row r="1400" spans="1:14" x14ac:dyDescent="0.25">
      <c r="A1400" s="23" t="s">
        <v>349</v>
      </c>
      <c r="B1400" s="24" t="s">
        <v>319</v>
      </c>
      <c r="C1400" s="23" t="s">
        <v>952</v>
      </c>
      <c r="D1400" s="23">
        <v>423.2</v>
      </c>
      <c r="E1400" s="23">
        <v>423.2</v>
      </c>
      <c r="F1400" s="23">
        <v>1</v>
      </c>
      <c r="G1400" s="42" t="str">
        <f t="shared" si="40"/>
        <v>RIO/SP - OAE - Intersecção Diamante - 423,2 - 423,2 - 1</v>
      </c>
      <c r="N1400" s="23" t="s">
        <v>363</v>
      </c>
    </row>
    <row r="1401" spans="1:14" x14ac:dyDescent="0.25">
      <c r="A1401" s="23" t="s">
        <v>349</v>
      </c>
      <c r="B1401" s="24" t="s">
        <v>319</v>
      </c>
      <c r="C1401" s="23" t="s">
        <v>952</v>
      </c>
      <c r="D1401" s="23">
        <v>428.5</v>
      </c>
      <c r="E1401" s="23">
        <v>428.5</v>
      </c>
      <c r="F1401" s="23">
        <v>1</v>
      </c>
      <c r="G1401" s="42" t="str">
        <f t="shared" si="40"/>
        <v>RIO/SP - OAE - Intersecção Diamante - 428,5 - 428,5 - 1</v>
      </c>
      <c r="N1401" s="23" t="s">
        <v>363</v>
      </c>
    </row>
    <row r="1402" spans="1:14" x14ac:dyDescent="0.25">
      <c r="A1402" s="23" t="s">
        <v>349</v>
      </c>
      <c r="B1402" s="24" t="s">
        <v>319</v>
      </c>
      <c r="C1402" s="23" t="s">
        <v>952</v>
      </c>
      <c r="D1402" s="23">
        <v>433.5</v>
      </c>
      <c r="E1402" s="23">
        <v>433.5</v>
      </c>
      <c r="F1402" s="23">
        <v>1</v>
      </c>
      <c r="G1402" s="42" t="str">
        <f t="shared" si="40"/>
        <v>RIO/SP - OAE - Intersecção Diamante - 433,5 - 433,5 - 1</v>
      </c>
      <c r="N1402" s="23" t="s">
        <v>363</v>
      </c>
    </row>
    <row r="1403" spans="1:14" x14ac:dyDescent="0.25">
      <c r="A1403" s="23" t="s">
        <v>349</v>
      </c>
      <c r="B1403" s="24" t="s">
        <v>319</v>
      </c>
      <c r="C1403" s="23" t="s">
        <v>952</v>
      </c>
      <c r="D1403" s="23">
        <v>456</v>
      </c>
      <c r="E1403" s="23">
        <v>456</v>
      </c>
      <c r="F1403" s="23">
        <v>1</v>
      </c>
      <c r="G1403" s="42" t="str">
        <f t="shared" si="40"/>
        <v>RIO/SP - OAE - Intersecção Diamante - 456 - 456 - 1</v>
      </c>
      <c r="N1403" s="23" t="s">
        <v>363</v>
      </c>
    </row>
    <row r="1404" spans="1:14" x14ac:dyDescent="0.25">
      <c r="A1404" s="23" t="s">
        <v>349</v>
      </c>
      <c r="B1404" s="24" t="s">
        <v>319</v>
      </c>
      <c r="C1404" s="23" t="s">
        <v>952</v>
      </c>
      <c r="D1404" s="23">
        <v>456.8</v>
      </c>
      <c r="E1404" s="23">
        <v>456.8</v>
      </c>
      <c r="F1404" s="23">
        <v>1</v>
      </c>
      <c r="G1404" s="42" t="str">
        <f t="shared" si="40"/>
        <v>RIO/SP - OAE - Intersecção Diamante - 456,8 - 456,8 - 1</v>
      </c>
      <c r="N1404" s="23" t="s">
        <v>363</v>
      </c>
    </row>
    <row r="1405" spans="1:14" x14ac:dyDescent="0.25">
      <c r="A1405" s="23" t="s">
        <v>349</v>
      </c>
      <c r="B1405" s="24" t="s">
        <v>319</v>
      </c>
      <c r="C1405" s="23" t="s">
        <v>952</v>
      </c>
      <c r="D1405" s="23">
        <v>471.1</v>
      </c>
      <c r="E1405" s="23">
        <v>471.1</v>
      </c>
      <c r="F1405" s="23">
        <v>1</v>
      </c>
      <c r="G1405" s="42" t="str">
        <f t="shared" si="40"/>
        <v>RIO/SP - OAE - Intersecção Diamante - 471,1 - 471,1 - 1</v>
      </c>
      <c r="N1405" s="23" t="s">
        <v>363</v>
      </c>
    </row>
    <row r="1406" spans="1:14" x14ac:dyDescent="0.25">
      <c r="A1406" s="23" t="s">
        <v>349</v>
      </c>
      <c r="B1406" s="24" t="s">
        <v>319</v>
      </c>
      <c r="C1406" s="23" t="s">
        <v>952</v>
      </c>
      <c r="D1406" s="23">
        <v>473.5</v>
      </c>
      <c r="E1406" s="23">
        <v>473.5</v>
      </c>
      <c r="F1406" s="23">
        <v>1</v>
      </c>
      <c r="G1406" s="42" t="str">
        <f t="shared" ref="G1406:G1469" si="41">_xlfn.TEXTJOIN(" - ",TRUE,A1406:F1406)</f>
        <v>RIO/SP - OAE - Intersecção Diamante - 473,5 - 473,5 - 1</v>
      </c>
      <c r="N1406" s="23" t="s">
        <v>363</v>
      </c>
    </row>
    <row r="1407" spans="1:14" x14ac:dyDescent="0.25">
      <c r="A1407" s="23" t="s">
        <v>349</v>
      </c>
      <c r="B1407" s="24" t="s">
        <v>319</v>
      </c>
      <c r="C1407" s="23" t="s">
        <v>952</v>
      </c>
      <c r="D1407" s="23">
        <v>477.3</v>
      </c>
      <c r="E1407" s="23">
        <v>477.3</v>
      </c>
      <c r="F1407" s="23">
        <v>1</v>
      </c>
      <c r="G1407" s="42" t="str">
        <f t="shared" si="41"/>
        <v>RIO/SP - OAE - Intersecção Diamante - 477,3 - 477,3 - 1</v>
      </c>
      <c r="N1407" s="23" t="s">
        <v>363</v>
      </c>
    </row>
    <row r="1408" spans="1:14" x14ac:dyDescent="0.25">
      <c r="A1408" s="23" t="s">
        <v>349</v>
      </c>
      <c r="B1408" s="24" t="s">
        <v>319</v>
      </c>
      <c r="C1408" s="23" t="s">
        <v>952</v>
      </c>
      <c r="D1408" s="23">
        <v>482.5</v>
      </c>
      <c r="E1408" s="23">
        <v>482.5</v>
      </c>
      <c r="F1408" s="23">
        <v>1</v>
      </c>
      <c r="G1408" s="42" t="str">
        <f t="shared" si="41"/>
        <v>RIO/SP - OAE - Intersecção Diamante - 482,5 - 482,5 - 1</v>
      </c>
      <c r="N1408" s="23" t="s">
        <v>363</v>
      </c>
    </row>
    <row r="1409" spans="1:14" x14ac:dyDescent="0.25">
      <c r="A1409" s="23" t="s">
        <v>349</v>
      </c>
      <c r="B1409" s="24" t="s">
        <v>319</v>
      </c>
      <c r="C1409" s="23" t="s">
        <v>952</v>
      </c>
      <c r="D1409" s="23">
        <v>485.7</v>
      </c>
      <c r="E1409" s="23">
        <v>485.7</v>
      </c>
      <c r="F1409" s="23">
        <v>1</v>
      </c>
      <c r="G1409" s="42" t="str">
        <f t="shared" si="41"/>
        <v>RIO/SP - OAE - Intersecção Diamante - 485,7 - 485,7 - 1</v>
      </c>
      <c r="N1409" s="23" t="s">
        <v>363</v>
      </c>
    </row>
    <row r="1410" spans="1:14" x14ac:dyDescent="0.25">
      <c r="A1410" s="23" t="s">
        <v>349</v>
      </c>
      <c r="B1410" s="24" t="s">
        <v>319</v>
      </c>
      <c r="C1410" s="23" t="s">
        <v>952</v>
      </c>
      <c r="D1410" s="23">
        <v>488.3</v>
      </c>
      <c r="E1410" s="23">
        <v>488.3</v>
      </c>
      <c r="F1410" s="23">
        <v>1</v>
      </c>
      <c r="G1410" s="42" t="str">
        <f t="shared" si="41"/>
        <v>RIO/SP - OAE - Intersecção Diamante - 488,3 - 488,3 - 1</v>
      </c>
      <c r="N1410" s="23" t="s">
        <v>363</v>
      </c>
    </row>
    <row r="1411" spans="1:14" x14ac:dyDescent="0.25">
      <c r="A1411" s="23" t="s">
        <v>349</v>
      </c>
      <c r="B1411" s="24" t="s">
        <v>319</v>
      </c>
      <c r="C1411" s="23" t="s">
        <v>952</v>
      </c>
      <c r="D1411" s="23">
        <v>505.1</v>
      </c>
      <c r="E1411" s="23">
        <v>505.1</v>
      </c>
      <c r="F1411" s="23">
        <v>1</v>
      </c>
      <c r="G1411" s="42" t="str">
        <f t="shared" si="41"/>
        <v>RIO/SP - OAE - Intersecção Diamante - 505,1 - 505,1 - 1</v>
      </c>
      <c r="N1411" s="23" t="s">
        <v>363</v>
      </c>
    </row>
    <row r="1412" spans="1:14" x14ac:dyDescent="0.25">
      <c r="A1412" s="23" t="s">
        <v>349</v>
      </c>
      <c r="B1412" s="24" t="s">
        <v>319</v>
      </c>
      <c r="C1412" s="23" t="s">
        <v>952</v>
      </c>
      <c r="D1412" s="23">
        <v>506.2</v>
      </c>
      <c r="E1412" s="23">
        <v>506.2</v>
      </c>
      <c r="F1412" s="23">
        <v>1</v>
      </c>
      <c r="G1412" s="42" t="str">
        <f t="shared" si="41"/>
        <v>RIO/SP - OAE - Intersecção Diamante - 506,2 - 506,2 - 1</v>
      </c>
      <c r="N1412" s="23" t="s">
        <v>363</v>
      </c>
    </row>
    <row r="1413" spans="1:14" x14ac:dyDescent="0.25">
      <c r="A1413" s="23" t="s">
        <v>349</v>
      </c>
      <c r="B1413" s="24" t="s">
        <v>319</v>
      </c>
      <c r="C1413" s="23" t="s">
        <v>952</v>
      </c>
      <c r="D1413" s="23">
        <v>511.6</v>
      </c>
      <c r="E1413" s="23">
        <v>511.6</v>
      </c>
      <c r="F1413" s="23">
        <v>1</v>
      </c>
      <c r="G1413" s="42" t="str">
        <f t="shared" si="41"/>
        <v>RIO/SP - OAE - Intersecção Diamante - 511,6 - 511,6 - 1</v>
      </c>
      <c r="N1413" s="23" t="s">
        <v>363</v>
      </c>
    </row>
    <row r="1414" spans="1:14" x14ac:dyDescent="0.25">
      <c r="A1414" s="23" t="s">
        <v>349</v>
      </c>
      <c r="B1414" s="24" t="s">
        <v>319</v>
      </c>
      <c r="C1414" s="23" t="s">
        <v>952</v>
      </c>
      <c r="D1414" s="23">
        <v>521.6</v>
      </c>
      <c r="E1414" s="23">
        <v>521.6</v>
      </c>
      <c r="F1414" s="23">
        <v>1</v>
      </c>
      <c r="G1414" s="42" t="str">
        <f t="shared" si="41"/>
        <v>RIO/SP - OAE - Intersecção Diamante - 521,6 - 521,6 - 1</v>
      </c>
      <c r="N1414" s="23" t="s">
        <v>363</v>
      </c>
    </row>
    <row r="1415" spans="1:14" x14ac:dyDescent="0.25">
      <c r="A1415" s="23" t="s">
        <v>349</v>
      </c>
      <c r="B1415" s="24" t="s">
        <v>319</v>
      </c>
      <c r="C1415" s="23" t="s">
        <v>952</v>
      </c>
      <c r="D1415" s="23">
        <v>524.9</v>
      </c>
      <c r="E1415" s="23">
        <v>524.9</v>
      </c>
      <c r="F1415" s="23">
        <v>1</v>
      </c>
      <c r="G1415" s="42" t="str">
        <f t="shared" si="41"/>
        <v>RIO/SP - OAE - Intersecção Diamante - 524,9 - 524,9 - 1</v>
      </c>
      <c r="N1415" s="23" t="s">
        <v>363</v>
      </c>
    </row>
    <row r="1416" spans="1:14" x14ac:dyDescent="0.25">
      <c r="A1416" s="23" t="s">
        <v>349</v>
      </c>
      <c r="B1416" s="24" t="s">
        <v>319</v>
      </c>
      <c r="C1416" s="23" t="s">
        <v>952</v>
      </c>
      <c r="D1416" s="23">
        <v>532.70000000000005</v>
      </c>
      <c r="E1416" s="23">
        <v>532.70000000000005</v>
      </c>
      <c r="F1416" s="23">
        <v>1</v>
      </c>
      <c r="G1416" s="42" t="str">
        <f t="shared" si="41"/>
        <v>RIO/SP - OAE - Intersecção Diamante - 532,7 - 532,7 - 1</v>
      </c>
      <c r="N1416" s="23" t="s">
        <v>363</v>
      </c>
    </row>
    <row r="1417" spans="1:14" x14ac:dyDescent="0.25">
      <c r="A1417" s="23" t="s">
        <v>349</v>
      </c>
      <c r="B1417" s="24" t="s">
        <v>319</v>
      </c>
      <c r="C1417" s="23" t="s">
        <v>952</v>
      </c>
      <c r="D1417" s="23">
        <v>534.5</v>
      </c>
      <c r="E1417" s="23">
        <v>534.5</v>
      </c>
      <c r="F1417" s="23">
        <v>1</v>
      </c>
      <c r="G1417" s="42" t="str">
        <f t="shared" si="41"/>
        <v>RIO/SP - OAE - Intersecção Diamante - 534,5 - 534,5 - 1</v>
      </c>
      <c r="N1417" s="23" t="s">
        <v>363</v>
      </c>
    </row>
    <row r="1418" spans="1:14" x14ac:dyDescent="0.25">
      <c r="A1418" s="23" t="s">
        <v>349</v>
      </c>
      <c r="B1418" s="24" t="s">
        <v>319</v>
      </c>
      <c r="C1418" s="23" t="s">
        <v>952</v>
      </c>
      <c r="D1418" s="23">
        <v>575.9</v>
      </c>
      <c r="E1418" s="23">
        <v>575.9</v>
      </c>
      <c r="F1418" s="23">
        <v>1</v>
      </c>
      <c r="G1418" s="42" t="str">
        <f t="shared" si="41"/>
        <v>RIO/SP - OAE - Intersecção Diamante - 575,9 - 575,9 - 1</v>
      </c>
      <c r="N1418" s="23" t="s">
        <v>363</v>
      </c>
    </row>
    <row r="1419" spans="1:14" x14ac:dyDescent="0.25">
      <c r="A1419" s="23" t="s">
        <v>349</v>
      </c>
      <c r="B1419" s="24" t="s">
        <v>319</v>
      </c>
      <c r="C1419" s="23" t="s">
        <v>964</v>
      </c>
      <c r="D1419" s="23">
        <v>416.2</v>
      </c>
      <c r="E1419" s="23">
        <v>416.2</v>
      </c>
      <c r="F1419" s="23">
        <v>1</v>
      </c>
      <c r="G1419" s="42" t="str">
        <f t="shared" si="41"/>
        <v>RIO/SP - OAE - Intersecção Trombeta - 416,2 - 416,2 - 1</v>
      </c>
      <c r="N1419" s="23" t="s">
        <v>363</v>
      </c>
    </row>
    <row r="1420" spans="1:14" x14ac:dyDescent="0.25">
      <c r="A1420" s="23" t="s">
        <v>349</v>
      </c>
      <c r="B1420" s="24" t="s">
        <v>319</v>
      </c>
      <c r="C1420" s="23" t="s">
        <v>964</v>
      </c>
      <c r="D1420" s="23">
        <v>425.85</v>
      </c>
      <c r="E1420" s="23">
        <v>425.85</v>
      </c>
      <c r="F1420" s="23">
        <v>1</v>
      </c>
      <c r="G1420" s="42" t="str">
        <f t="shared" si="41"/>
        <v>RIO/SP - OAE - Intersecção Trombeta - 425,85 - 425,85 - 1</v>
      </c>
      <c r="N1420" s="23" t="s">
        <v>363</v>
      </c>
    </row>
    <row r="1421" spans="1:14" x14ac:dyDescent="0.25">
      <c r="A1421" s="23" t="s">
        <v>349</v>
      </c>
      <c r="B1421" s="24" t="s">
        <v>319</v>
      </c>
      <c r="C1421" s="23" t="s">
        <v>964</v>
      </c>
      <c r="D1421" s="23">
        <v>496.2</v>
      </c>
      <c r="E1421" s="23">
        <v>496.2</v>
      </c>
      <c r="F1421" s="23">
        <v>1</v>
      </c>
      <c r="G1421" s="42" t="str">
        <f t="shared" si="41"/>
        <v>RIO/SP - OAE - Intersecção Trombeta - 496,2 - 496,2 - 1</v>
      </c>
      <c r="N1421" s="23" t="s">
        <v>363</v>
      </c>
    </row>
    <row r="1422" spans="1:14" x14ac:dyDescent="0.25">
      <c r="A1422" s="23" t="s">
        <v>349</v>
      </c>
      <c r="B1422" s="24" t="s">
        <v>319</v>
      </c>
      <c r="C1422" s="23" t="s">
        <v>953</v>
      </c>
      <c r="D1422" s="23">
        <v>408.08</v>
      </c>
      <c r="E1422" s="23">
        <v>408.08</v>
      </c>
      <c r="F1422" s="23">
        <v>1</v>
      </c>
      <c r="G1422" s="42" t="str">
        <f t="shared" si="41"/>
        <v>RIO/SP - OAE - Intersecção Tipo Parclo - 408,08 - 408,08 - 1</v>
      </c>
      <c r="N1422" s="23" t="s">
        <v>363</v>
      </c>
    </row>
    <row r="1423" spans="1:14" x14ac:dyDescent="0.25">
      <c r="A1423" s="23" t="s">
        <v>349</v>
      </c>
      <c r="B1423" s="24" t="s">
        <v>319</v>
      </c>
      <c r="C1423" s="23" t="s">
        <v>969</v>
      </c>
      <c r="D1423" s="23">
        <v>408.15</v>
      </c>
      <c r="E1423" s="23">
        <v>408.15</v>
      </c>
      <c r="F1423" s="23">
        <v>1</v>
      </c>
      <c r="G1423" s="42" t="str">
        <f t="shared" si="41"/>
        <v>RIO/SP - OAE - Novas OAEs - 408,15 - 408,15 - 1</v>
      </c>
      <c r="N1423" s="23" t="s">
        <v>363</v>
      </c>
    </row>
    <row r="1424" spans="1:14" x14ac:dyDescent="0.25">
      <c r="A1424" s="23" t="s">
        <v>349</v>
      </c>
      <c r="B1424" s="24" t="s">
        <v>319</v>
      </c>
      <c r="C1424" s="23" t="s">
        <v>969</v>
      </c>
      <c r="D1424" s="23">
        <v>416.20600000000002</v>
      </c>
      <c r="E1424" s="23">
        <v>416.20600000000002</v>
      </c>
      <c r="F1424" s="23">
        <v>1</v>
      </c>
      <c r="G1424" s="42" t="str">
        <f t="shared" si="41"/>
        <v>RIO/SP - OAE - Novas OAEs - 416,206 - 416,206 - 1</v>
      </c>
      <c r="N1424" s="23" t="s">
        <v>363</v>
      </c>
    </row>
    <row r="1425" spans="1:14" x14ac:dyDescent="0.25">
      <c r="A1425" s="23" t="s">
        <v>349</v>
      </c>
      <c r="B1425" s="24" t="s">
        <v>319</v>
      </c>
      <c r="C1425" s="23" t="s">
        <v>969</v>
      </c>
      <c r="D1425" s="23">
        <v>416.20600000000002</v>
      </c>
      <c r="E1425" s="23">
        <v>416.20600000000002</v>
      </c>
      <c r="F1425" s="23">
        <v>1</v>
      </c>
      <c r="G1425" s="42" t="str">
        <f t="shared" si="41"/>
        <v>RIO/SP - OAE - Novas OAEs - 416,206 - 416,206 - 1</v>
      </c>
      <c r="N1425" s="23" t="s">
        <v>363</v>
      </c>
    </row>
    <row r="1426" spans="1:14" x14ac:dyDescent="0.25">
      <c r="A1426" s="23" t="s">
        <v>349</v>
      </c>
      <c r="B1426" s="24" t="s">
        <v>319</v>
      </c>
      <c r="C1426" s="23" t="s">
        <v>969</v>
      </c>
      <c r="D1426" s="23">
        <v>420.74</v>
      </c>
      <c r="E1426" s="23">
        <v>420.74</v>
      </c>
      <c r="F1426" s="23">
        <v>1</v>
      </c>
      <c r="G1426" s="42" t="str">
        <f t="shared" si="41"/>
        <v>RIO/SP - OAE - Novas OAEs - 420,74 - 420,74 - 1</v>
      </c>
      <c r="N1426" s="23" t="s">
        <v>363</v>
      </c>
    </row>
    <row r="1427" spans="1:14" x14ac:dyDescent="0.25">
      <c r="A1427" s="23" t="s">
        <v>349</v>
      </c>
      <c r="B1427" s="24" t="s">
        <v>319</v>
      </c>
      <c r="C1427" s="23" t="s">
        <v>969</v>
      </c>
      <c r="D1427" s="23">
        <v>422.97699999999998</v>
      </c>
      <c r="E1427" s="23">
        <v>422.97699999999998</v>
      </c>
      <c r="F1427" s="23">
        <v>1</v>
      </c>
      <c r="G1427" s="42" t="str">
        <f t="shared" si="41"/>
        <v>RIO/SP - OAE - Novas OAEs - 422,977 - 422,977 - 1</v>
      </c>
      <c r="N1427" s="23" t="s">
        <v>363</v>
      </c>
    </row>
    <row r="1428" spans="1:14" x14ac:dyDescent="0.25">
      <c r="A1428" s="23" t="s">
        <v>349</v>
      </c>
      <c r="B1428" s="24" t="s">
        <v>319</v>
      </c>
      <c r="C1428" s="23" t="s">
        <v>969</v>
      </c>
      <c r="D1428" s="23">
        <v>423.17899999999997</v>
      </c>
      <c r="E1428" s="23">
        <v>423.17899999999997</v>
      </c>
      <c r="F1428" s="23">
        <v>1</v>
      </c>
      <c r="G1428" s="42" t="str">
        <f t="shared" si="41"/>
        <v>RIO/SP - OAE - Novas OAEs - 423,179 - 423,179 - 1</v>
      </c>
      <c r="N1428" s="23" t="s">
        <v>363</v>
      </c>
    </row>
    <row r="1429" spans="1:14" x14ac:dyDescent="0.25">
      <c r="A1429" s="23" t="s">
        <v>349</v>
      </c>
      <c r="B1429" s="24" t="s">
        <v>319</v>
      </c>
      <c r="C1429" s="23" t="s">
        <v>969</v>
      </c>
      <c r="D1429" s="23">
        <v>425.85</v>
      </c>
      <c r="E1429" s="23">
        <v>425.85</v>
      </c>
      <c r="F1429" s="23">
        <v>1</v>
      </c>
      <c r="G1429" s="42" t="str">
        <f t="shared" si="41"/>
        <v>RIO/SP - OAE - Novas OAEs - 425,85 - 425,85 - 1</v>
      </c>
      <c r="N1429" s="23" t="s">
        <v>363</v>
      </c>
    </row>
    <row r="1430" spans="1:14" x14ac:dyDescent="0.25">
      <c r="A1430" s="23" t="s">
        <v>349</v>
      </c>
      <c r="B1430" s="24" t="s">
        <v>319</v>
      </c>
      <c r="C1430" s="23" t="s">
        <v>969</v>
      </c>
      <c r="D1430" s="23">
        <v>428.5</v>
      </c>
      <c r="E1430" s="23">
        <v>428.5</v>
      </c>
      <c r="F1430" s="23">
        <v>1</v>
      </c>
      <c r="G1430" s="42" t="str">
        <f t="shared" si="41"/>
        <v>RIO/SP - OAE - Novas OAEs - 428,5 - 428,5 - 1</v>
      </c>
      <c r="N1430" s="23" t="s">
        <v>363</v>
      </c>
    </row>
    <row r="1431" spans="1:14" x14ac:dyDescent="0.25">
      <c r="A1431" s="23" t="s">
        <v>349</v>
      </c>
      <c r="B1431" s="24" t="s">
        <v>319</v>
      </c>
      <c r="C1431" s="23" t="s">
        <v>969</v>
      </c>
      <c r="D1431" s="23">
        <v>429</v>
      </c>
      <c r="E1431" s="23">
        <v>429</v>
      </c>
      <c r="F1431" s="23">
        <v>1</v>
      </c>
      <c r="G1431" s="42" t="str">
        <f t="shared" si="41"/>
        <v>RIO/SP - OAE - Novas OAEs - 429 - 429 - 1</v>
      </c>
      <c r="N1431" s="23" t="s">
        <v>363</v>
      </c>
    </row>
    <row r="1432" spans="1:14" x14ac:dyDescent="0.25">
      <c r="A1432" s="23" t="s">
        <v>349</v>
      </c>
      <c r="B1432" s="24" t="s">
        <v>319</v>
      </c>
      <c r="C1432" s="23" t="s">
        <v>969</v>
      </c>
      <c r="D1432" s="23">
        <v>430.15</v>
      </c>
      <c r="E1432" s="23">
        <v>430.15</v>
      </c>
      <c r="F1432" s="23">
        <v>2</v>
      </c>
      <c r="G1432" s="42" t="str">
        <f t="shared" si="41"/>
        <v>RIO/SP - OAE - Novas OAEs - 430,15 - 430,15 - 2</v>
      </c>
      <c r="N1432" s="23" t="s">
        <v>363</v>
      </c>
    </row>
    <row r="1433" spans="1:14" x14ac:dyDescent="0.25">
      <c r="A1433" s="23" t="s">
        <v>349</v>
      </c>
      <c r="B1433" s="24" t="s">
        <v>319</v>
      </c>
      <c r="C1433" s="23" t="s">
        <v>969</v>
      </c>
      <c r="D1433" s="23">
        <v>433.5</v>
      </c>
      <c r="E1433" s="23">
        <v>433.5</v>
      </c>
      <c r="F1433" s="23">
        <v>1</v>
      </c>
      <c r="G1433" s="42" t="str">
        <f t="shared" si="41"/>
        <v>RIO/SP - OAE - Novas OAEs - 433,5 - 433,5 - 1</v>
      </c>
      <c r="N1433" s="23" t="s">
        <v>363</v>
      </c>
    </row>
    <row r="1434" spans="1:14" x14ac:dyDescent="0.25">
      <c r="A1434" s="23" t="s">
        <v>349</v>
      </c>
      <c r="B1434" s="24" t="s">
        <v>319</v>
      </c>
      <c r="C1434" s="23" t="s">
        <v>969</v>
      </c>
      <c r="D1434" s="23">
        <v>434.03399999999999</v>
      </c>
      <c r="E1434" s="23">
        <v>434.03399999999999</v>
      </c>
      <c r="F1434" s="23">
        <v>1</v>
      </c>
      <c r="G1434" s="42" t="str">
        <f t="shared" si="41"/>
        <v>RIO/SP - OAE - Novas OAEs - 434,034 - 434,034 - 1</v>
      </c>
      <c r="N1434" s="23" t="s">
        <v>363</v>
      </c>
    </row>
    <row r="1435" spans="1:14" x14ac:dyDescent="0.25">
      <c r="A1435" s="23" t="s">
        <v>349</v>
      </c>
      <c r="B1435" s="24" t="s">
        <v>319</v>
      </c>
      <c r="C1435" s="23" t="s">
        <v>969</v>
      </c>
      <c r="D1435" s="23">
        <v>438.56</v>
      </c>
      <c r="E1435" s="23">
        <v>438.56</v>
      </c>
      <c r="F1435" s="23">
        <v>1</v>
      </c>
      <c r="G1435" s="42" t="str">
        <f t="shared" si="41"/>
        <v>RIO/SP - OAE - Novas OAEs - 438,56 - 438,56 - 1</v>
      </c>
      <c r="N1435" s="23" t="s">
        <v>363</v>
      </c>
    </row>
    <row r="1436" spans="1:14" x14ac:dyDescent="0.25">
      <c r="A1436" s="23" t="s">
        <v>349</v>
      </c>
      <c r="B1436" s="24" t="s">
        <v>319</v>
      </c>
      <c r="C1436" s="23" t="s">
        <v>969</v>
      </c>
      <c r="D1436" s="23">
        <v>439.05700000000002</v>
      </c>
      <c r="E1436" s="23">
        <v>439.05700000000002</v>
      </c>
      <c r="F1436" s="23">
        <v>1</v>
      </c>
      <c r="G1436" s="42" t="str">
        <f t="shared" si="41"/>
        <v>RIO/SP - OAE - Novas OAEs - 439,057 - 439,057 - 1</v>
      </c>
      <c r="N1436" s="23" t="s">
        <v>363</v>
      </c>
    </row>
    <row r="1437" spans="1:14" x14ac:dyDescent="0.25">
      <c r="A1437" s="23" t="s">
        <v>349</v>
      </c>
      <c r="B1437" s="24" t="s">
        <v>319</v>
      </c>
      <c r="C1437" s="23" t="s">
        <v>969</v>
      </c>
      <c r="D1437" s="23">
        <v>440.02</v>
      </c>
      <c r="E1437" s="23">
        <v>440.02</v>
      </c>
      <c r="F1437" s="23">
        <v>1</v>
      </c>
      <c r="G1437" s="42" t="str">
        <f t="shared" si="41"/>
        <v>RIO/SP - OAE - Novas OAEs - 440,02 - 440,02 - 1</v>
      </c>
      <c r="N1437" s="23" t="s">
        <v>363</v>
      </c>
    </row>
    <row r="1438" spans="1:14" x14ac:dyDescent="0.25">
      <c r="A1438" s="23" t="s">
        <v>349</v>
      </c>
      <c r="B1438" s="24" t="s">
        <v>319</v>
      </c>
      <c r="C1438" s="23" t="s">
        <v>969</v>
      </c>
      <c r="D1438" s="23">
        <v>456</v>
      </c>
      <c r="E1438" s="23">
        <v>456</v>
      </c>
      <c r="F1438" s="23">
        <v>1</v>
      </c>
      <c r="G1438" s="42" t="str">
        <f t="shared" si="41"/>
        <v>RIO/SP - OAE - Novas OAEs - 456 - 456 - 1</v>
      </c>
      <c r="N1438" s="23" t="s">
        <v>363</v>
      </c>
    </row>
    <row r="1439" spans="1:14" x14ac:dyDescent="0.25">
      <c r="A1439" s="23" t="s">
        <v>349</v>
      </c>
      <c r="B1439" s="24" t="s">
        <v>319</v>
      </c>
      <c r="C1439" s="23" t="s">
        <v>969</v>
      </c>
      <c r="D1439" s="23">
        <v>456.82</v>
      </c>
      <c r="E1439" s="23">
        <v>456.82</v>
      </c>
      <c r="F1439" s="23">
        <v>1</v>
      </c>
      <c r="G1439" s="42" t="str">
        <f t="shared" si="41"/>
        <v>RIO/SP - OAE - Novas OAEs - 456,82 - 456,82 - 1</v>
      </c>
      <c r="N1439" s="23" t="s">
        <v>363</v>
      </c>
    </row>
    <row r="1440" spans="1:14" x14ac:dyDescent="0.25">
      <c r="A1440" s="23" t="s">
        <v>349</v>
      </c>
      <c r="B1440" s="24" t="s">
        <v>319</v>
      </c>
      <c r="C1440" s="23" t="s">
        <v>969</v>
      </c>
      <c r="D1440" s="23">
        <v>471.08600000000001</v>
      </c>
      <c r="E1440" s="23">
        <v>471.08600000000001</v>
      </c>
      <c r="F1440" s="23">
        <v>1</v>
      </c>
      <c r="G1440" s="42" t="str">
        <f t="shared" si="41"/>
        <v>RIO/SP - OAE - Novas OAEs - 471,086 - 471,086 - 1</v>
      </c>
      <c r="N1440" s="23" t="s">
        <v>363</v>
      </c>
    </row>
    <row r="1441" spans="1:14" x14ac:dyDescent="0.25">
      <c r="A1441" s="23" t="s">
        <v>349</v>
      </c>
      <c r="B1441" s="24" t="s">
        <v>319</v>
      </c>
      <c r="C1441" s="23" t="s">
        <v>969</v>
      </c>
      <c r="D1441" s="23">
        <v>471.41500000000002</v>
      </c>
      <c r="E1441" s="23">
        <v>471.41500000000002</v>
      </c>
      <c r="F1441" s="23">
        <v>1</v>
      </c>
      <c r="G1441" s="42" t="str">
        <f t="shared" si="41"/>
        <v>RIO/SP - OAE - Novas OAEs - 471,415 - 471,415 - 1</v>
      </c>
      <c r="N1441" s="23" t="s">
        <v>363</v>
      </c>
    </row>
    <row r="1442" spans="1:14" x14ac:dyDescent="0.25">
      <c r="A1442" s="23" t="s">
        <v>349</v>
      </c>
      <c r="B1442" s="24" t="s">
        <v>319</v>
      </c>
      <c r="C1442" s="23" t="s">
        <v>969</v>
      </c>
      <c r="D1442" s="23">
        <v>473.50799999999998</v>
      </c>
      <c r="E1442" s="23">
        <v>473.50799999999998</v>
      </c>
      <c r="F1442" s="23">
        <v>1</v>
      </c>
      <c r="G1442" s="42" t="str">
        <f t="shared" si="41"/>
        <v>RIO/SP - OAE - Novas OAEs - 473,508 - 473,508 - 1</v>
      </c>
      <c r="N1442" s="23" t="s">
        <v>363</v>
      </c>
    </row>
    <row r="1443" spans="1:14" x14ac:dyDescent="0.25">
      <c r="A1443" s="23" t="s">
        <v>349</v>
      </c>
      <c r="B1443" s="24" t="s">
        <v>319</v>
      </c>
      <c r="C1443" s="23" t="s">
        <v>969</v>
      </c>
      <c r="D1443" s="23">
        <v>477.149</v>
      </c>
      <c r="E1443" s="23">
        <v>477.149</v>
      </c>
      <c r="F1443" s="23">
        <v>1</v>
      </c>
      <c r="G1443" s="42" t="str">
        <f t="shared" si="41"/>
        <v>RIO/SP - OAE - Novas OAEs - 477,149 - 477,149 - 1</v>
      </c>
      <c r="N1443" s="23" t="s">
        <v>363</v>
      </c>
    </row>
    <row r="1444" spans="1:14" x14ac:dyDescent="0.25">
      <c r="A1444" s="23" t="s">
        <v>349</v>
      </c>
      <c r="B1444" s="24" t="s">
        <v>319</v>
      </c>
      <c r="C1444" s="23" t="s">
        <v>969</v>
      </c>
      <c r="D1444" s="23">
        <v>477.31299999999999</v>
      </c>
      <c r="E1444" s="23">
        <v>477.31299999999999</v>
      </c>
      <c r="F1444" s="23">
        <v>1</v>
      </c>
      <c r="G1444" s="42" t="str">
        <f t="shared" si="41"/>
        <v>RIO/SP - OAE - Novas OAEs - 477,313 - 477,313 - 1</v>
      </c>
      <c r="N1444" s="23" t="s">
        <v>363</v>
      </c>
    </row>
    <row r="1445" spans="1:14" x14ac:dyDescent="0.25">
      <c r="A1445" s="23" t="s">
        <v>349</v>
      </c>
      <c r="B1445" s="24" t="s">
        <v>319</v>
      </c>
      <c r="C1445" s="23" t="s">
        <v>969</v>
      </c>
      <c r="D1445" s="23">
        <v>482.5</v>
      </c>
      <c r="E1445" s="23">
        <v>482.5</v>
      </c>
      <c r="F1445" s="23">
        <v>1</v>
      </c>
      <c r="G1445" s="42" t="str">
        <f t="shared" si="41"/>
        <v>RIO/SP - OAE - Novas OAEs - 482,5 - 482,5 - 1</v>
      </c>
      <c r="N1445" s="23" t="s">
        <v>363</v>
      </c>
    </row>
    <row r="1446" spans="1:14" x14ac:dyDescent="0.25">
      <c r="A1446" s="23" t="s">
        <v>349</v>
      </c>
      <c r="B1446" s="24" t="s">
        <v>319</v>
      </c>
      <c r="C1446" s="23" t="s">
        <v>969</v>
      </c>
      <c r="D1446" s="23">
        <v>485.036</v>
      </c>
      <c r="E1446" s="23">
        <v>485.036</v>
      </c>
      <c r="F1446" s="23">
        <v>1</v>
      </c>
      <c r="G1446" s="42" t="str">
        <f t="shared" si="41"/>
        <v>RIO/SP - OAE - Novas OAEs - 485,036 - 485,036 - 1</v>
      </c>
      <c r="N1446" s="23" t="s">
        <v>363</v>
      </c>
    </row>
    <row r="1447" spans="1:14" x14ac:dyDescent="0.25">
      <c r="A1447" s="23" t="s">
        <v>349</v>
      </c>
      <c r="B1447" s="24" t="s">
        <v>319</v>
      </c>
      <c r="C1447" s="23" t="s">
        <v>969</v>
      </c>
      <c r="D1447" s="23">
        <v>485.71600000000001</v>
      </c>
      <c r="E1447" s="23">
        <v>485.71600000000001</v>
      </c>
      <c r="F1447" s="23">
        <v>1</v>
      </c>
      <c r="G1447" s="42" t="str">
        <f t="shared" si="41"/>
        <v>RIO/SP - OAE - Novas OAEs - 485,716 - 485,716 - 1</v>
      </c>
      <c r="N1447" s="23" t="s">
        <v>363</v>
      </c>
    </row>
    <row r="1448" spans="1:14" x14ac:dyDescent="0.25">
      <c r="A1448" s="23" t="s">
        <v>349</v>
      </c>
      <c r="B1448" s="24" t="s">
        <v>319</v>
      </c>
      <c r="C1448" s="23" t="s">
        <v>969</v>
      </c>
      <c r="D1448" s="23">
        <v>486.34</v>
      </c>
      <c r="E1448" s="23">
        <v>486.34</v>
      </c>
      <c r="F1448" s="23">
        <v>1</v>
      </c>
      <c r="G1448" s="42" t="str">
        <f t="shared" si="41"/>
        <v>RIO/SP - OAE - Novas OAEs - 486,34 - 486,34 - 1</v>
      </c>
      <c r="N1448" s="23" t="s">
        <v>363</v>
      </c>
    </row>
    <row r="1449" spans="1:14" x14ac:dyDescent="0.25">
      <c r="A1449" s="23" t="s">
        <v>349</v>
      </c>
      <c r="B1449" s="24" t="s">
        <v>319</v>
      </c>
      <c r="C1449" s="23" t="s">
        <v>969</v>
      </c>
      <c r="D1449" s="23">
        <v>488.20800000000003</v>
      </c>
      <c r="E1449" s="23">
        <v>488.20800000000003</v>
      </c>
      <c r="F1449" s="23">
        <v>1</v>
      </c>
      <c r="G1449" s="42" t="str">
        <f t="shared" si="41"/>
        <v>RIO/SP - OAE - Novas OAEs - 488,208 - 488,208 - 1</v>
      </c>
      <c r="N1449" s="23" t="s">
        <v>363</v>
      </c>
    </row>
    <row r="1450" spans="1:14" x14ac:dyDescent="0.25">
      <c r="A1450" s="23" t="s">
        <v>349</v>
      </c>
      <c r="B1450" s="24" t="s">
        <v>319</v>
      </c>
      <c r="C1450" s="23" t="s">
        <v>969</v>
      </c>
      <c r="D1450" s="23">
        <v>492.517</v>
      </c>
      <c r="E1450" s="23">
        <v>492.517</v>
      </c>
      <c r="F1450" s="23">
        <v>1</v>
      </c>
      <c r="G1450" s="42" t="str">
        <f t="shared" si="41"/>
        <v>RIO/SP - OAE - Novas OAEs - 492,517 - 492,517 - 1</v>
      </c>
      <c r="N1450" s="23" t="s">
        <v>363</v>
      </c>
    </row>
    <row r="1451" spans="1:14" x14ac:dyDescent="0.25">
      <c r="A1451" s="23" t="s">
        <v>349</v>
      </c>
      <c r="B1451" s="24" t="s">
        <v>319</v>
      </c>
      <c r="C1451" s="23" t="s">
        <v>969</v>
      </c>
      <c r="D1451" s="23">
        <v>505.07900000000001</v>
      </c>
      <c r="E1451" s="23">
        <v>505.07900000000001</v>
      </c>
      <c r="F1451" s="23">
        <v>1</v>
      </c>
      <c r="G1451" s="42" t="str">
        <f t="shared" si="41"/>
        <v>RIO/SP - OAE - Novas OAEs - 505,079 - 505,079 - 1</v>
      </c>
      <c r="N1451" s="23" t="s">
        <v>363</v>
      </c>
    </row>
    <row r="1452" spans="1:14" x14ac:dyDescent="0.25">
      <c r="A1452" s="23" t="s">
        <v>349</v>
      </c>
      <c r="B1452" s="24" t="s">
        <v>319</v>
      </c>
      <c r="C1452" s="23" t="s">
        <v>969</v>
      </c>
      <c r="D1452" s="23">
        <v>506.233</v>
      </c>
      <c r="E1452" s="23">
        <v>506.233</v>
      </c>
      <c r="F1452" s="23">
        <v>1</v>
      </c>
      <c r="G1452" s="42" t="str">
        <f t="shared" si="41"/>
        <v>RIO/SP - OAE - Novas OAEs - 506,233 - 506,233 - 1</v>
      </c>
      <c r="N1452" s="23" t="s">
        <v>363</v>
      </c>
    </row>
    <row r="1453" spans="1:14" x14ac:dyDescent="0.25">
      <c r="A1453" s="23" t="s">
        <v>349</v>
      </c>
      <c r="B1453" s="24" t="s">
        <v>319</v>
      </c>
      <c r="C1453" s="23" t="s">
        <v>969</v>
      </c>
      <c r="D1453" s="23">
        <v>511.60700000000003</v>
      </c>
      <c r="E1453" s="23">
        <v>511.60700000000003</v>
      </c>
      <c r="F1453" s="23">
        <v>1</v>
      </c>
      <c r="G1453" s="42" t="str">
        <f t="shared" si="41"/>
        <v>RIO/SP - OAE - Novas OAEs - 511,607 - 511,607 - 1</v>
      </c>
      <c r="N1453" s="23" t="s">
        <v>363</v>
      </c>
    </row>
    <row r="1454" spans="1:14" x14ac:dyDescent="0.25">
      <c r="A1454" s="23" t="s">
        <v>349</v>
      </c>
      <c r="B1454" s="24" t="s">
        <v>319</v>
      </c>
      <c r="C1454" s="23" t="s">
        <v>969</v>
      </c>
      <c r="D1454" s="23">
        <v>521.63599999999997</v>
      </c>
      <c r="E1454" s="23">
        <v>521.63599999999997</v>
      </c>
      <c r="F1454" s="23">
        <v>1</v>
      </c>
      <c r="G1454" s="42" t="str">
        <f t="shared" si="41"/>
        <v>RIO/SP - OAE - Novas OAEs - 521,636 - 521,636 - 1</v>
      </c>
      <c r="N1454" s="23" t="s">
        <v>363</v>
      </c>
    </row>
    <row r="1455" spans="1:14" x14ac:dyDescent="0.25">
      <c r="A1455" s="23" t="s">
        <v>349</v>
      </c>
      <c r="B1455" s="24" t="s">
        <v>319</v>
      </c>
      <c r="C1455" s="23" t="s">
        <v>969</v>
      </c>
      <c r="D1455" s="23">
        <v>524.93700000000001</v>
      </c>
      <c r="E1455" s="23">
        <v>524.93700000000001</v>
      </c>
      <c r="F1455" s="23">
        <v>2</v>
      </c>
      <c r="G1455" s="42" t="str">
        <f t="shared" si="41"/>
        <v>RIO/SP - OAE - Novas OAEs - 524,937 - 524,937 - 2</v>
      </c>
      <c r="N1455" s="23" t="s">
        <v>363</v>
      </c>
    </row>
    <row r="1456" spans="1:14" x14ac:dyDescent="0.25">
      <c r="A1456" s="23" t="s">
        <v>349</v>
      </c>
      <c r="B1456" s="24" t="s">
        <v>319</v>
      </c>
      <c r="C1456" s="23" t="s">
        <v>969</v>
      </c>
      <c r="D1456" s="23">
        <v>532.72900000000004</v>
      </c>
      <c r="E1456" s="23">
        <v>532.72900000000004</v>
      </c>
      <c r="F1456" s="23">
        <v>1</v>
      </c>
      <c r="G1456" s="42" t="str">
        <f t="shared" si="41"/>
        <v>RIO/SP - OAE - Novas OAEs - 532,729 - 532,729 - 1</v>
      </c>
      <c r="N1456" s="23" t="s">
        <v>363</v>
      </c>
    </row>
    <row r="1457" spans="1:14" x14ac:dyDescent="0.25">
      <c r="A1457" s="23" t="s">
        <v>349</v>
      </c>
      <c r="B1457" s="24" t="s">
        <v>319</v>
      </c>
      <c r="C1457" s="23" t="s">
        <v>969</v>
      </c>
      <c r="D1457" s="23">
        <v>534.48299999999995</v>
      </c>
      <c r="E1457" s="23">
        <v>534.48299999999995</v>
      </c>
      <c r="F1457" s="23">
        <v>2</v>
      </c>
      <c r="G1457" s="42" t="str">
        <f t="shared" si="41"/>
        <v>RIO/SP - OAE - Novas OAEs - 534,483 - 534,483 - 2</v>
      </c>
      <c r="N1457" s="23" t="s">
        <v>363</v>
      </c>
    </row>
    <row r="1458" spans="1:14" x14ac:dyDescent="0.25">
      <c r="A1458" s="23" t="s">
        <v>349</v>
      </c>
      <c r="B1458" s="24" t="s">
        <v>319</v>
      </c>
      <c r="C1458" s="23" t="s">
        <v>969</v>
      </c>
      <c r="D1458" s="23">
        <v>575.88300000000004</v>
      </c>
      <c r="E1458" s="23">
        <v>575.88300000000004</v>
      </c>
      <c r="F1458" s="23">
        <v>1</v>
      </c>
      <c r="G1458" s="42" t="str">
        <f t="shared" si="41"/>
        <v>RIO/SP - OAE - Novas OAEs - 575,883 - 575,883 - 1</v>
      </c>
      <c r="N1458" s="23" t="s">
        <v>363</v>
      </c>
    </row>
    <row r="1459" spans="1:14" x14ac:dyDescent="0.25">
      <c r="A1459" s="23" t="s">
        <v>349</v>
      </c>
      <c r="B1459" s="24" t="s">
        <v>319</v>
      </c>
      <c r="C1459" s="23" t="s">
        <v>970</v>
      </c>
      <c r="D1459" s="23">
        <v>418.2</v>
      </c>
      <c r="E1459" s="23">
        <v>418.8</v>
      </c>
      <c r="F1459" s="23">
        <v>0.60000000000002274</v>
      </c>
      <c r="G1459" s="42" t="str">
        <f t="shared" si="41"/>
        <v>RIO/SP - OAE - Túnel BR 101 RJ (Muriqui) - 418,2 - 418,8 - 0,600000000000023</v>
      </c>
      <c r="N1459" s="23" t="s">
        <v>363</v>
      </c>
    </row>
    <row r="1460" spans="1:14" x14ac:dyDescent="0.25">
      <c r="A1460" s="23" t="s">
        <v>349</v>
      </c>
      <c r="B1460" s="24" t="s">
        <v>319</v>
      </c>
      <c r="C1460" s="23" t="s">
        <v>971</v>
      </c>
      <c r="D1460" s="23">
        <v>429.8</v>
      </c>
      <c r="E1460" s="23">
        <v>430.6</v>
      </c>
      <c r="F1460" s="23">
        <v>0.80000000000001137</v>
      </c>
      <c r="G1460" s="42" t="str">
        <f t="shared" si="41"/>
        <v>RIO/SP - OAE - Túnel BR 101 RJ (Mangaratiba Interno) - 429,8 - 430,6 - 0,800000000000011</v>
      </c>
      <c r="N1460" s="23" t="s">
        <v>363</v>
      </c>
    </row>
    <row r="1461" spans="1:14" x14ac:dyDescent="0.25">
      <c r="A1461" s="23" t="s">
        <v>349</v>
      </c>
      <c r="B1461" s="24" t="s">
        <v>319</v>
      </c>
      <c r="C1461" s="23" t="s">
        <v>972</v>
      </c>
      <c r="D1461" s="23">
        <v>429.8</v>
      </c>
      <c r="E1461" s="23">
        <v>430.6</v>
      </c>
      <c r="F1461" s="23">
        <v>0.80000000000001137</v>
      </c>
      <c r="G1461" s="42" t="str">
        <f t="shared" si="41"/>
        <v>RIO/SP - OAE - Túnel BR 101 RJ (Mangaratiba Externo) - 429,8 - 430,6 - 0,800000000000011</v>
      </c>
      <c r="N1461" s="23" t="s">
        <v>363</v>
      </c>
    </row>
    <row r="1462" spans="1:14" x14ac:dyDescent="0.25">
      <c r="A1462" s="23" t="s">
        <v>383</v>
      </c>
      <c r="B1462" s="24" t="s">
        <v>321</v>
      </c>
      <c r="C1462" s="23" t="s">
        <v>973</v>
      </c>
      <c r="D1462" s="23">
        <v>389.37400000000002</v>
      </c>
      <c r="E1462" s="23">
        <v>395.464</v>
      </c>
      <c r="F1462" s="23">
        <v>6.089999999999975</v>
      </c>
      <c r="G1462" s="42" t="str">
        <f t="shared" si="41"/>
        <v>ARAGUAIA - CONTORNO - Segmento 41A - 389,374 - 395,464 - 6,08999999999997</v>
      </c>
      <c r="N1462" s="23" t="s">
        <v>363</v>
      </c>
    </row>
    <row r="1463" spans="1:14" x14ac:dyDescent="0.25">
      <c r="A1463" s="23" t="s">
        <v>8</v>
      </c>
      <c r="B1463" s="24" t="s">
        <v>320</v>
      </c>
      <c r="C1463" s="23" t="s">
        <v>367</v>
      </c>
      <c r="D1463" s="23">
        <v>951.06600000000003</v>
      </c>
      <c r="E1463" s="23">
        <v>953.05700000000002</v>
      </c>
      <c r="F1463" s="23">
        <v>1.9909999999999854</v>
      </c>
      <c r="G1463" s="42" t="str">
        <f t="shared" si="41"/>
        <v>VIA BRASIL - FX ADICIONAL - Faixa Adicional  - 951,066 - 953,057 - 1,99099999999999</v>
      </c>
      <c r="L1463" s="23" t="s">
        <v>363</v>
      </c>
    </row>
    <row r="1464" spans="1:14" x14ac:dyDescent="0.25">
      <c r="A1464" s="23" t="s">
        <v>8</v>
      </c>
      <c r="B1464" s="24" t="s">
        <v>320</v>
      </c>
      <c r="C1464" s="23" t="s">
        <v>367</v>
      </c>
      <c r="D1464" s="23">
        <v>955.85400000000004</v>
      </c>
      <c r="E1464" s="23">
        <v>960.351</v>
      </c>
      <c r="F1464" s="23">
        <v>4.4969999999999573</v>
      </c>
      <c r="G1464" s="42" t="str">
        <f t="shared" si="41"/>
        <v>VIA BRASIL - FX ADICIONAL - Faixa Adicional  - 955,854 - 960,351 - 4,49699999999996</v>
      </c>
      <c r="L1464" s="23" t="s">
        <v>363</v>
      </c>
    </row>
    <row r="1465" spans="1:14" x14ac:dyDescent="0.25">
      <c r="A1465" s="23" t="s">
        <v>8</v>
      </c>
      <c r="B1465" s="24" t="s">
        <v>320</v>
      </c>
      <c r="C1465" s="23" t="s">
        <v>367</v>
      </c>
      <c r="D1465" s="23">
        <v>960.351</v>
      </c>
      <c r="E1465" s="23">
        <v>963.55399999999997</v>
      </c>
      <c r="F1465" s="23">
        <v>3.2029999999999745</v>
      </c>
      <c r="G1465" s="42" t="str">
        <f t="shared" si="41"/>
        <v>VIA BRASIL - FX ADICIONAL - Faixa Adicional  - 960,351 - 963,554 - 3,20299999999997</v>
      </c>
      <c r="L1465" s="23" t="s">
        <v>363</v>
      </c>
    </row>
    <row r="1466" spans="1:14" x14ac:dyDescent="0.25">
      <c r="A1466" s="23" t="s">
        <v>8</v>
      </c>
      <c r="B1466" s="24" t="s">
        <v>320</v>
      </c>
      <c r="C1466" s="23" t="s">
        <v>367</v>
      </c>
      <c r="D1466" s="23">
        <v>966.56700000000001</v>
      </c>
      <c r="E1466" s="23">
        <v>967.86099999999999</v>
      </c>
      <c r="F1466" s="23">
        <v>1.2939999999999827</v>
      </c>
      <c r="G1466" s="42" t="str">
        <f t="shared" si="41"/>
        <v>VIA BRASIL - FX ADICIONAL - Faixa Adicional  - 966,567 - 967,861 - 1,29399999999998</v>
      </c>
      <c r="L1466" s="23" t="s">
        <v>363</v>
      </c>
    </row>
    <row r="1467" spans="1:14" x14ac:dyDescent="0.25">
      <c r="A1467" s="23" t="s">
        <v>8</v>
      </c>
      <c r="B1467" s="24" t="s">
        <v>320</v>
      </c>
      <c r="C1467" s="23" t="s">
        <v>367</v>
      </c>
      <c r="D1467" s="23">
        <v>971.35400000000004</v>
      </c>
      <c r="E1467" s="23">
        <v>972.05499999999995</v>
      </c>
      <c r="F1467" s="23">
        <v>0.70099999999990814</v>
      </c>
      <c r="G1467" s="42" t="str">
        <f t="shared" si="41"/>
        <v>VIA BRASIL - FX ADICIONAL - Faixa Adicional  - 971,354 - 972,055 - 0,700999999999908</v>
      </c>
      <c r="L1467" s="23" t="s">
        <v>363</v>
      </c>
    </row>
    <row r="1468" spans="1:14" x14ac:dyDescent="0.25">
      <c r="A1468" s="23" t="s">
        <v>8</v>
      </c>
      <c r="B1468" s="24" t="s">
        <v>320</v>
      </c>
      <c r="C1468" s="23" t="s">
        <v>367</v>
      </c>
      <c r="D1468" s="23">
        <v>972.05499999999995</v>
      </c>
      <c r="E1468" s="23">
        <v>973.25400000000002</v>
      </c>
      <c r="F1468" s="23">
        <v>1.1990000000000691</v>
      </c>
      <c r="G1468" s="42" t="str">
        <f t="shared" si="41"/>
        <v>VIA BRASIL - FX ADICIONAL - Faixa Adicional  - 972,055 - 973,254 - 1,19900000000007</v>
      </c>
      <c r="L1468" s="23" t="s">
        <v>363</v>
      </c>
    </row>
    <row r="1469" spans="1:14" x14ac:dyDescent="0.25">
      <c r="A1469" s="23" t="s">
        <v>8</v>
      </c>
      <c r="B1469" s="24" t="s">
        <v>320</v>
      </c>
      <c r="C1469" s="23" t="s">
        <v>367</v>
      </c>
      <c r="D1469" s="23">
        <v>978.15</v>
      </c>
      <c r="E1469" s="23">
        <v>978.86300000000006</v>
      </c>
      <c r="F1469" s="23">
        <v>0.71300000000007913</v>
      </c>
      <c r="G1469" s="42" t="str">
        <f t="shared" si="41"/>
        <v>VIA BRASIL - FX ADICIONAL - Faixa Adicional  - 978,15 - 978,863 - 0,713000000000079</v>
      </c>
      <c r="L1469" s="23" t="s">
        <v>363</v>
      </c>
    </row>
    <row r="1470" spans="1:14" x14ac:dyDescent="0.25">
      <c r="A1470" s="23" t="s">
        <v>349</v>
      </c>
      <c r="B1470" s="24" t="s">
        <v>320</v>
      </c>
      <c r="C1470" s="23" t="s">
        <v>352</v>
      </c>
      <c r="D1470" s="23">
        <v>124.9</v>
      </c>
      <c r="E1470" s="23">
        <v>128</v>
      </c>
      <c r="F1470" s="23">
        <v>6.1999999999999886</v>
      </c>
      <c r="G1470" s="42" t="str">
        <f t="shared" ref="G1470:G1533" si="42">_xlfn.TEXTJOIN(" - ",TRUE,A1470:F1470)</f>
        <v>RIO/SP - FX ADICIONAL - 3ª e 4ª faixa (LD e LE) - 124,9 - 128 - 6,19999999999999</v>
      </c>
      <c r="L1470" s="23" t="s">
        <v>363</v>
      </c>
    </row>
    <row r="1471" spans="1:14" x14ac:dyDescent="0.25">
      <c r="A1471" s="23" t="s">
        <v>349</v>
      </c>
      <c r="B1471" s="24" t="s">
        <v>320</v>
      </c>
      <c r="C1471" s="23" t="s">
        <v>352</v>
      </c>
      <c r="D1471" s="23">
        <v>128</v>
      </c>
      <c r="E1471" s="23">
        <v>143.4</v>
      </c>
      <c r="F1471" s="23">
        <v>30.800000000000011</v>
      </c>
      <c r="G1471" s="42" t="str">
        <f t="shared" si="42"/>
        <v>RIO/SP - FX ADICIONAL - 3ª e 4ª faixa (LD e LE) - 128 - 143,4 - 30,8</v>
      </c>
      <c r="L1471" s="23" t="s">
        <v>363</v>
      </c>
    </row>
    <row r="1472" spans="1:14" x14ac:dyDescent="0.25">
      <c r="A1472" s="23" t="s">
        <v>349</v>
      </c>
      <c r="B1472" s="24" t="s">
        <v>320</v>
      </c>
      <c r="C1472" s="23" t="s">
        <v>352</v>
      </c>
      <c r="D1472" s="23">
        <v>143.4</v>
      </c>
      <c r="E1472" s="23">
        <v>146.69999999999999</v>
      </c>
      <c r="F1472" s="23">
        <v>6.5999999999999659</v>
      </c>
      <c r="G1472" s="42" t="str">
        <f t="shared" si="42"/>
        <v>RIO/SP - FX ADICIONAL - 3ª e 4ª faixa (LD e LE) - 143,4 - 146,7 - 6,59999999999997</v>
      </c>
      <c r="L1472" s="23" t="s">
        <v>363</v>
      </c>
    </row>
    <row r="1473" spans="1:13" x14ac:dyDescent="0.25">
      <c r="A1473" s="23" t="s">
        <v>349</v>
      </c>
      <c r="B1473" s="24" t="s">
        <v>320</v>
      </c>
      <c r="C1473" s="23" t="s">
        <v>352</v>
      </c>
      <c r="D1473" s="23">
        <v>146.69999999999999</v>
      </c>
      <c r="E1473" s="23">
        <v>149.9</v>
      </c>
      <c r="F1473" s="23">
        <v>6.4000000000000341</v>
      </c>
      <c r="G1473" s="42" t="str">
        <f t="shared" si="42"/>
        <v>RIO/SP - FX ADICIONAL - 3ª e 4ª faixa (LD e LE) - 146,7 - 149,9 - 6,40000000000003</v>
      </c>
      <c r="L1473" s="23" t="s">
        <v>363</v>
      </c>
    </row>
    <row r="1474" spans="1:13" x14ac:dyDescent="0.25">
      <c r="A1474" s="23" t="s">
        <v>349</v>
      </c>
      <c r="B1474" s="24" t="s">
        <v>320</v>
      </c>
      <c r="C1474" s="23" t="s">
        <v>352</v>
      </c>
      <c r="D1474" s="23">
        <v>149.9</v>
      </c>
      <c r="E1474" s="23">
        <v>151.30000000000001</v>
      </c>
      <c r="F1474" s="23">
        <v>2.8000000000000114</v>
      </c>
      <c r="G1474" s="42" t="str">
        <f t="shared" si="42"/>
        <v>RIO/SP - FX ADICIONAL - 3ª e 4ª faixa (LD e LE) - 149,9 - 151,3 - 2,80000000000001</v>
      </c>
      <c r="L1474" s="23" t="s">
        <v>363</v>
      </c>
    </row>
    <row r="1475" spans="1:13" x14ac:dyDescent="0.25">
      <c r="A1475" s="23" t="s">
        <v>365</v>
      </c>
      <c r="B1475" s="24" t="s">
        <v>320</v>
      </c>
      <c r="C1475" s="23" t="s">
        <v>70</v>
      </c>
      <c r="D1475" s="23">
        <v>64.7</v>
      </c>
      <c r="E1475" s="23">
        <v>113.2</v>
      </c>
      <c r="F1475" s="23">
        <v>48.5</v>
      </c>
      <c r="G1475" s="42" t="str">
        <f t="shared" si="42"/>
        <v>CERRADO - FX ADICIONAL - Implantação de 3ª Faixa - 64,7 - 113,2 - 48,5</v>
      </c>
      <c r="M1475" s="23" t="s">
        <v>363</v>
      </c>
    </row>
    <row r="1476" spans="1:13" x14ac:dyDescent="0.25">
      <c r="A1476" s="23" t="s">
        <v>935</v>
      </c>
      <c r="B1476" s="24" t="s">
        <v>320</v>
      </c>
      <c r="C1476" s="23" t="s">
        <v>933</v>
      </c>
      <c r="D1476" s="23">
        <v>162.19800000000001</v>
      </c>
      <c r="E1476" s="23">
        <v>164.9</v>
      </c>
      <c r="F1476" s="23">
        <v>2.7019999999999982</v>
      </c>
      <c r="G1476" s="42" t="str">
        <f t="shared" si="42"/>
        <v>RIO/MINAS - FX ADICIONAL - Decrescente - 162,198 - 164,9 - 2,702</v>
      </c>
      <c r="M1476" s="23" t="s">
        <v>363</v>
      </c>
    </row>
    <row r="1477" spans="1:13" x14ac:dyDescent="0.25">
      <c r="A1477" s="23" t="s">
        <v>935</v>
      </c>
      <c r="B1477" s="24" t="s">
        <v>320</v>
      </c>
      <c r="C1477" s="23" t="s">
        <v>934</v>
      </c>
      <c r="D1477" s="23">
        <v>162.19800000000001</v>
      </c>
      <c r="E1477" s="23">
        <v>164.9</v>
      </c>
      <c r="F1477" s="23">
        <v>2.7019999999999982</v>
      </c>
      <c r="G1477" s="42" t="str">
        <f t="shared" si="42"/>
        <v>RIO/MINAS - FX ADICIONAL - Crescente - 162,198 - 164,9 - 2,702</v>
      </c>
      <c r="M1477" s="23" t="s">
        <v>363</v>
      </c>
    </row>
    <row r="1478" spans="1:13" x14ac:dyDescent="0.25">
      <c r="A1478" s="23" t="s">
        <v>935</v>
      </c>
      <c r="B1478" s="24" t="s">
        <v>320</v>
      </c>
      <c r="C1478" s="23" t="s">
        <v>933</v>
      </c>
      <c r="D1478" s="23">
        <v>164.9</v>
      </c>
      <c r="E1478" s="23">
        <v>167.3</v>
      </c>
      <c r="F1478" s="23">
        <v>2.4000000000000057</v>
      </c>
      <c r="G1478" s="42" t="str">
        <f t="shared" si="42"/>
        <v>RIO/MINAS - FX ADICIONAL - Decrescente - 164,9 - 167,3 - 2,40000000000001</v>
      </c>
      <c r="M1478" s="23" t="s">
        <v>363</v>
      </c>
    </row>
    <row r="1479" spans="1:13" x14ac:dyDescent="0.25">
      <c r="A1479" s="23" t="s">
        <v>935</v>
      </c>
      <c r="B1479" s="24" t="s">
        <v>320</v>
      </c>
      <c r="C1479" s="23" t="s">
        <v>934</v>
      </c>
      <c r="D1479" s="23">
        <v>164.9</v>
      </c>
      <c r="E1479" s="23">
        <v>167.3</v>
      </c>
      <c r="F1479" s="23">
        <v>2.4000000000000057</v>
      </c>
      <c r="G1479" s="42" t="str">
        <f t="shared" si="42"/>
        <v>RIO/MINAS - FX ADICIONAL - Crescente - 164,9 - 167,3 - 2,40000000000001</v>
      </c>
      <c r="M1479" s="23" t="s">
        <v>363</v>
      </c>
    </row>
    <row r="1480" spans="1:13" x14ac:dyDescent="0.25">
      <c r="A1480" s="23" t="s">
        <v>935</v>
      </c>
      <c r="B1480" s="24" t="s">
        <v>320</v>
      </c>
      <c r="C1480" s="23" t="s">
        <v>933</v>
      </c>
      <c r="D1480" s="23">
        <v>167.3</v>
      </c>
      <c r="E1480" s="23">
        <v>171.4</v>
      </c>
      <c r="F1480" s="23">
        <v>4.0999999999999943</v>
      </c>
      <c r="G1480" s="42" t="str">
        <f t="shared" si="42"/>
        <v>RIO/MINAS - FX ADICIONAL - Decrescente - 167,3 - 171,4 - 4,09999999999999</v>
      </c>
      <c r="M1480" s="23" t="s">
        <v>363</v>
      </c>
    </row>
    <row r="1481" spans="1:13" x14ac:dyDescent="0.25">
      <c r="A1481" s="23" t="s">
        <v>935</v>
      </c>
      <c r="B1481" s="24" t="s">
        <v>320</v>
      </c>
      <c r="C1481" s="23" t="s">
        <v>934</v>
      </c>
      <c r="D1481" s="23">
        <v>167.3</v>
      </c>
      <c r="E1481" s="23">
        <v>171.4</v>
      </c>
      <c r="F1481" s="23">
        <v>4.0999999999999943</v>
      </c>
      <c r="G1481" s="42" t="str">
        <f t="shared" si="42"/>
        <v>RIO/MINAS - FX ADICIONAL - Crescente - 167,3 - 171,4 - 4,09999999999999</v>
      </c>
      <c r="M1481" s="23" t="s">
        <v>363</v>
      </c>
    </row>
    <row r="1482" spans="1:13" x14ac:dyDescent="0.25">
      <c r="A1482" s="23" t="s">
        <v>935</v>
      </c>
      <c r="B1482" s="24" t="s">
        <v>320</v>
      </c>
      <c r="C1482" s="23" t="s">
        <v>933</v>
      </c>
      <c r="D1482" s="23">
        <v>171.4</v>
      </c>
      <c r="E1482" s="23">
        <v>174.6</v>
      </c>
      <c r="F1482" s="23">
        <v>3.1999999999999886</v>
      </c>
      <c r="G1482" s="42" t="str">
        <f t="shared" si="42"/>
        <v>RIO/MINAS - FX ADICIONAL - Decrescente - 171,4 - 174,6 - 3,19999999999999</v>
      </c>
      <c r="M1482" s="23" t="s">
        <v>363</v>
      </c>
    </row>
    <row r="1483" spans="1:13" x14ac:dyDescent="0.25">
      <c r="A1483" s="23" t="s">
        <v>935</v>
      </c>
      <c r="B1483" s="24" t="s">
        <v>320</v>
      </c>
      <c r="C1483" s="23" t="s">
        <v>934</v>
      </c>
      <c r="D1483" s="23">
        <v>171.4</v>
      </c>
      <c r="E1483" s="23">
        <v>174.6</v>
      </c>
      <c r="F1483" s="23">
        <v>3.1999999999999886</v>
      </c>
      <c r="G1483" s="42" t="str">
        <f t="shared" si="42"/>
        <v>RIO/MINAS - FX ADICIONAL - Crescente - 171,4 - 174,6 - 3,19999999999999</v>
      </c>
      <c r="M1483" s="23" t="s">
        <v>363</v>
      </c>
    </row>
    <row r="1484" spans="1:13" x14ac:dyDescent="0.25">
      <c r="A1484" s="23" t="s">
        <v>935</v>
      </c>
      <c r="B1484" s="24" t="s">
        <v>320</v>
      </c>
      <c r="C1484" s="23" t="s">
        <v>933</v>
      </c>
      <c r="D1484" s="23">
        <v>174.6</v>
      </c>
      <c r="E1484" s="23">
        <v>178.5</v>
      </c>
      <c r="F1484" s="23">
        <v>3.9000000000000057</v>
      </c>
      <c r="G1484" s="42" t="str">
        <f t="shared" si="42"/>
        <v>RIO/MINAS - FX ADICIONAL - Decrescente - 174,6 - 178,5 - 3,90000000000001</v>
      </c>
      <c r="M1484" s="23" t="s">
        <v>363</v>
      </c>
    </row>
    <row r="1485" spans="1:13" x14ac:dyDescent="0.25">
      <c r="A1485" s="23" t="s">
        <v>935</v>
      </c>
      <c r="B1485" s="24" t="s">
        <v>320</v>
      </c>
      <c r="C1485" s="23" t="s">
        <v>934</v>
      </c>
      <c r="D1485" s="23">
        <v>174.6</v>
      </c>
      <c r="E1485" s="23">
        <v>178.5</v>
      </c>
      <c r="F1485" s="23">
        <v>3.9000000000000057</v>
      </c>
      <c r="G1485" s="42" t="str">
        <f t="shared" si="42"/>
        <v>RIO/MINAS - FX ADICIONAL - Crescente - 174,6 - 178,5 - 3,90000000000001</v>
      </c>
      <c r="M1485" s="23" t="s">
        <v>363</v>
      </c>
    </row>
    <row r="1486" spans="1:13" x14ac:dyDescent="0.25">
      <c r="A1486" s="23" t="s">
        <v>935</v>
      </c>
      <c r="B1486" s="24" t="s">
        <v>320</v>
      </c>
      <c r="C1486" s="23" t="s">
        <v>933</v>
      </c>
      <c r="D1486" s="23">
        <v>178.5</v>
      </c>
      <c r="E1486" s="23">
        <v>182.6</v>
      </c>
      <c r="F1486" s="23">
        <v>4.0999999999999943</v>
      </c>
      <c r="G1486" s="42" t="str">
        <f t="shared" si="42"/>
        <v>RIO/MINAS - FX ADICIONAL - Decrescente - 178,5 - 182,6 - 4,09999999999999</v>
      </c>
      <c r="M1486" s="23" t="s">
        <v>363</v>
      </c>
    </row>
    <row r="1487" spans="1:13" x14ac:dyDescent="0.25">
      <c r="A1487" s="23" t="s">
        <v>935</v>
      </c>
      <c r="B1487" s="24" t="s">
        <v>320</v>
      </c>
      <c r="C1487" s="23" t="s">
        <v>934</v>
      </c>
      <c r="D1487" s="23">
        <v>178.5</v>
      </c>
      <c r="E1487" s="23">
        <v>182.6</v>
      </c>
      <c r="F1487" s="23">
        <v>4.0999999999999943</v>
      </c>
      <c r="G1487" s="42" t="str">
        <f t="shared" si="42"/>
        <v>RIO/MINAS - FX ADICIONAL - Crescente - 178,5 - 182,6 - 4,09999999999999</v>
      </c>
      <c r="M1487" s="23" t="s">
        <v>363</v>
      </c>
    </row>
    <row r="1488" spans="1:13" x14ac:dyDescent="0.25">
      <c r="A1488" s="23" t="s">
        <v>935</v>
      </c>
      <c r="B1488" s="24" t="s">
        <v>320</v>
      </c>
      <c r="C1488" s="23" t="s">
        <v>933</v>
      </c>
      <c r="D1488" s="23">
        <v>182.6</v>
      </c>
      <c r="E1488" s="23">
        <v>189.1</v>
      </c>
      <c r="F1488" s="23">
        <v>6.5</v>
      </c>
      <c r="G1488" s="42" t="str">
        <f t="shared" si="42"/>
        <v>RIO/MINAS - FX ADICIONAL - Decrescente - 182,6 - 189,1 - 6,5</v>
      </c>
      <c r="M1488" s="23" t="s">
        <v>363</v>
      </c>
    </row>
    <row r="1489" spans="1:13" x14ac:dyDescent="0.25">
      <c r="A1489" s="23" t="s">
        <v>935</v>
      </c>
      <c r="B1489" s="24" t="s">
        <v>320</v>
      </c>
      <c r="C1489" s="23" t="s">
        <v>934</v>
      </c>
      <c r="D1489" s="23">
        <v>182.6</v>
      </c>
      <c r="E1489" s="23">
        <v>189.1</v>
      </c>
      <c r="F1489" s="23">
        <v>6.5</v>
      </c>
      <c r="G1489" s="42" t="str">
        <f t="shared" si="42"/>
        <v>RIO/MINAS - FX ADICIONAL - Crescente - 182,6 - 189,1 - 6,5</v>
      </c>
      <c r="M1489" s="23" t="s">
        <v>363</v>
      </c>
    </row>
    <row r="1490" spans="1:13" x14ac:dyDescent="0.25">
      <c r="A1490" s="23" t="s">
        <v>935</v>
      </c>
      <c r="B1490" s="24" t="s">
        <v>320</v>
      </c>
      <c r="C1490" s="23" t="s">
        <v>933</v>
      </c>
      <c r="D1490" s="23">
        <v>189.1</v>
      </c>
      <c r="E1490" s="23">
        <v>195.45</v>
      </c>
      <c r="F1490" s="23">
        <v>6.3499999999999943</v>
      </c>
      <c r="G1490" s="42" t="str">
        <f t="shared" si="42"/>
        <v>RIO/MINAS - FX ADICIONAL - Decrescente - 189,1 - 195,45 - 6,34999999999999</v>
      </c>
      <c r="M1490" s="23" t="s">
        <v>363</v>
      </c>
    </row>
    <row r="1491" spans="1:13" x14ac:dyDescent="0.25">
      <c r="A1491" s="23" t="s">
        <v>935</v>
      </c>
      <c r="B1491" s="24" t="s">
        <v>320</v>
      </c>
      <c r="C1491" s="23" t="s">
        <v>934</v>
      </c>
      <c r="D1491" s="23">
        <v>189.1</v>
      </c>
      <c r="E1491" s="23">
        <v>195.45</v>
      </c>
      <c r="F1491" s="23">
        <v>6.3499999999999943</v>
      </c>
      <c r="G1491" s="42" t="str">
        <f t="shared" si="42"/>
        <v>RIO/MINAS - FX ADICIONAL - Crescente - 189,1 - 195,45 - 6,34999999999999</v>
      </c>
      <c r="M1491" s="23" t="s">
        <v>363</v>
      </c>
    </row>
    <row r="1492" spans="1:13" x14ac:dyDescent="0.25">
      <c r="A1492" s="23" t="s">
        <v>935</v>
      </c>
      <c r="B1492" s="24" t="s">
        <v>320</v>
      </c>
      <c r="C1492" s="23" t="s">
        <v>933</v>
      </c>
      <c r="D1492" s="23">
        <v>195.45</v>
      </c>
      <c r="E1492" s="23">
        <v>197.3</v>
      </c>
      <c r="F1492" s="23">
        <v>1.8500000000000227</v>
      </c>
      <c r="G1492" s="42" t="str">
        <f t="shared" si="42"/>
        <v>RIO/MINAS - FX ADICIONAL - Decrescente - 195,45 - 197,3 - 1,85000000000002</v>
      </c>
      <c r="M1492" s="23" t="s">
        <v>363</v>
      </c>
    </row>
    <row r="1493" spans="1:13" x14ac:dyDescent="0.25">
      <c r="A1493" s="23" t="s">
        <v>935</v>
      </c>
      <c r="B1493" s="24" t="s">
        <v>320</v>
      </c>
      <c r="C1493" s="23" t="s">
        <v>934</v>
      </c>
      <c r="D1493" s="23">
        <v>195.45</v>
      </c>
      <c r="E1493" s="23">
        <v>197.3</v>
      </c>
      <c r="F1493" s="23">
        <v>1.8500000000000227</v>
      </c>
      <c r="G1493" s="42" t="str">
        <f t="shared" si="42"/>
        <v>RIO/MINAS - FX ADICIONAL - Crescente - 195,45 - 197,3 - 1,85000000000002</v>
      </c>
      <c r="M1493" s="23" t="s">
        <v>363</v>
      </c>
    </row>
    <row r="1494" spans="1:13" x14ac:dyDescent="0.25">
      <c r="A1494" s="23" t="s">
        <v>8</v>
      </c>
      <c r="B1494" s="24" t="s">
        <v>320</v>
      </c>
      <c r="C1494" s="23" t="s">
        <v>367</v>
      </c>
      <c r="D1494" s="23">
        <v>978.86300000000006</v>
      </c>
      <c r="E1494" s="23">
        <v>980.16700000000003</v>
      </c>
      <c r="F1494" s="23">
        <v>1.3039999999999736</v>
      </c>
      <c r="G1494" s="42" t="str">
        <f t="shared" si="42"/>
        <v>VIA BRASIL - FX ADICIONAL - Faixa Adicional  - 978,863 - 980,167 - 1,30399999999997</v>
      </c>
      <c r="M1494" s="23" t="s">
        <v>363</v>
      </c>
    </row>
    <row r="1495" spans="1:13" x14ac:dyDescent="0.25">
      <c r="A1495" s="23" t="s">
        <v>8</v>
      </c>
      <c r="B1495" s="24" t="s">
        <v>320</v>
      </c>
      <c r="C1495" s="23" t="s">
        <v>367</v>
      </c>
      <c r="D1495" s="23">
        <v>982.45799999999997</v>
      </c>
      <c r="E1495" s="23">
        <v>983.65599999999995</v>
      </c>
      <c r="F1495" s="23">
        <v>1.1979999999999791</v>
      </c>
      <c r="G1495" s="42" t="str">
        <f t="shared" si="42"/>
        <v>VIA BRASIL - FX ADICIONAL - Faixa Adicional  - 982,458 - 983,656 - 1,19799999999998</v>
      </c>
      <c r="M1495" s="23" t="s">
        <v>363</v>
      </c>
    </row>
    <row r="1496" spans="1:13" x14ac:dyDescent="0.25">
      <c r="A1496" s="23" t="s">
        <v>8</v>
      </c>
      <c r="B1496" s="24" t="s">
        <v>320</v>
      </c>
      <c r="C1496" s="23" t="s">
        <v>367</v>
      </c>
      <c r="D1496" s="23">
        <v>994.45899999999995</v>
      </c>
      <c r="E1496" s="23">
        <v>997.15200000000004</v>
      </c>
      <c r="F1496" s="23">
        <v>2.6930000000000973</v>
      </c>
      <c r="G1496" s="42" t="str">
        <f t="shared" si="42"/>
        <v>VIA BRASIL - FX ADICIONAL - Faixa Adicional  - 994,459 - 997,152 - 2,6930000000001</v>
      </c>
      <c r="M1496" s="23" t="s">
        <v>363</v>
      </c>
    </row>
    <row r="1497" spans="1:13" x14ac:dyDescent="0.25">
      <c r="A1497" s="23" t="s">
        <v>8</v>
      </c>
      <c r="B1497" s="24" t="s">
        <v>320</v>
      </c>
      <c r="C1497" s="23" t="s">
        <v>367</v>
      </c>
      <c r="D1497" s="23">
        <v>997.76099999999997</v>
      </c>
      <c r="E1497" s="23">
        <v>999.15700000000004</v>
      </c>
      <c r="F1497" s="23">
        <v>1.3960000000000719</v>
      </c>
      <c r="G1497" s="42" t="str">
        <f t="shared" si="42"/>
        <v>VIA BRASIL - FX ADICIONAL - Faixa Adicional  - 997,761 - 999,157 - 1,39600000000007</v>
      </c>
      <c r="M1497" s="23" t="s">
        <v>363</v>
      </c>
    </row>
    <row r="1498" spans="1:13" x14ac:dyDescent="0.25">
      <c r="A1498" s="23" t="s">
        <v>8</v>
      </c>
      <c r="B1498" s="24" t="s">
        <v>320</v>
      </c>
      <c r="C1498" s="23" t="s">
        <v>367</v>
      </c>
      <c r="D1498" s="23">
        <v>1003.857</v>
      </c>
      <c r="E1498" s="23">
        <v>1004.36</v>
      </c>
      <c r="F1498" s="23">
        <v>0.50300000000004275</v>
      </c>
      <c r="G1498" s="42" t="str">
        <f t="shared" si="42"/>
        <v>VIA BRASIL - FX ADICIONAL - Faixa Adicional  - 1003,857 - 1004,36 - 0,503000000000043</v>
      </c>
      <c r="M1498" s="23" t="s">
        <v>363</v>
      </c>
    </row>
    <row r="1499" spans="1:13" x14ac:dyDescent="0.25">
      <c r="A1499" s="23" t="s">
        <v>8</v>
      </c>
      <c r="B1499" s="24" t="s">
        <v>320</v>
      </c>
      <c r="C1499" s="23" t="s">
        <v>367</v>
      </c>
      <c r="D1499" s="23">
        <v>1019.754</v>
      </c>
      <c r="E1499" s="23">
        <v>1021.1559999999999</v>
      </c>
      <c r="F1499" s="23">
        <v>1.40199999999993</v>
      </c>
      <c r="G1499" s="42" t="str">
        <f t="shared" si="42"/>
        <v>VIA BRASIL - FX ADICIONAL - Faixa Adicional  - 1019,754 - 1021,156 - 1,40199999999993</v>
      </c>
      <c r="M1499" s="23" t="s">
        <v>363</v>
      </c>
    </row>
    <row r="1500" spans="1:13" x14ac:dyDescent="0.25">
      <c r="A1500" s="23" t="s">
        <v>8</v>
      </c>
      <c r="B1500" s="24" t="s">
        <v>320</v>
      </c>
      <c r="C1500" s="23" t="s">
        <v>367</v>
      </c>
      <c r="D1500" s="23">
        <v>1025.46</v>
      </c>
      <c r="E1500" s="23">
        <v>1026.55</v>
      </c>
      <c r="F1500" s="23">
        <v>1.0899999999999181</v>
      </c>
      <c r="G1500" s="42" t="str">
        <f t="shared" si="42"/>
        <v>VIA BRASIL - FX ADICIONAL - Faixa Adicional  - 1025,46 - 1026,55 - 1,08999999999992</v>
      </c>
      <c r="M1500" s="23" t="s">
        <v>363</v>
      </c>
    </row>
    <row r="1501" spans="1:13" x14ac:dyDescent="0.25">
      <c r="A1501" s="23" t="s">
        <v>8</v>
      </c>
      <c r="B1501" s="24" t="s">
        <v>320</v>
      </c>
      <c r="C1501" s="23" t="s">
        <v>367</v>
      </c>
      <c r="D1501" s="23">
        <v>1040.0550000000001</v>
      </c>
      <c r="E1501" s="23">
        <v>1041.1569999999999</v>
      </c>
      <c r="F1501" s="23">
        <v>1.1019999999998618</v>
      </c>
      <c r="G1501" s="42" t="str">
        <f t="shared" si="42"/>
        <v>VIA BRASIL - FX ADICIONAL - Faixa Adicional  - 1040,055 - 1041,157 - 1,10199999999986</v>
      </c>
      <c r="M1501" s="23" t="s">
        <v>363</v>
      </c>
    </row>
    <row r="1502" spans="1:13" x14ac:dyDescent="0.25">
      <c r="A1502" s="23" t="s">
        <v>349</v>
      </c>
      <c r="B1502" s="24" t="s">
        <v>320</v>
      </c>
      <c r="C1502" s="23" t="s">
        <v>352</v>
      </c>
      <c r="D1502" s="23">
        <v>110.7</v>
      </c>
      <c r="E1502" s="23">
        <v>117.4</v>
      </c>
      <c r="F1502" s="23">
        <v>13.400000000000006</v>
      </c>
      <c r="G1502" s="42" t="str">
        <f t="shared" si="42"/>
        <v>RIO/SP - FX ADICIONAL - 3ª e 4ª faixa (LD e LE) - 110,7 - 117,4 - 13,4</v>
      </c>
      <c r="M1502" s="23" t="s">
        <v>363</v>
      </c>
    </row>
    <row r="1503" spans="1:13" x14ac:dyDescent="0.25">
      <c r="A1503" s="23" t="s">
        <v>349</v>
      </c>
      <c r="B1503" s="24" t="s">
        <v>320</v>
      </c>
      <c r="C1503" s="23" t="s">
        <v>352</v>
      </c>
      <c r="D1503" s="23">
        <v>117.4</v>
      </c>
      <c r="E1503" s="23">
        <v>124.9</v>
      </c>
      <c r="F1503" s="23">
        <v>15</v>
      </c>
      <c r="G1503" s="42" t="str">
        <f t="shared" si="42"/>
        <v>RIO/SP - FX ADICIONAL - 3ª e 4ª faixa (LD e LE) - 117,4 - 124,9 - 15</v>
      </c>
      <c r="M1503" s="23" t="s">
        <v>363</v>
      </c>
    </row>
    <row r="1504" spans="1:13" x14ac:dyDescent="0.25">
      <c r="A1504" s="23" t="s">
        <v>349</v>
      </c>
      <c r="B1504" s="24" t="s">
        <v>320</v>
      </c>
      <c r="C1504" s="23" t="s">
        <v>352</v>
      </c>
      <c r="D1504" s="23">
        <v>157.80000000000001</v>
      </c>
      <c r="E1504" s="23">
        <v>166.8</v>
      </c>
      <c r="F1504" s="23">
        <v>18</v>
      </c>
      <c r="G1504" s="42" t="str">
        <f t="shared" si="42"/>
        <v>RIO/SP - FX ADICIONAL - 3ª e 4ª faixa (LD e LE) - 157,8 - 166,8 - 18</v>
      </c>
      <c r="M1504" s="23" t="s">
        <v>363</v>
      </c>
    </row>
    <row r="1505" spans="1:14" x14ac:dyDescent="0.25">
      <c r="A1505" s="23" t="s">
        <v>349</v>
      </c>
      <c r="B1505" s="24" t="s">
        <v>320</v>
      </c>
      <c r="C1505" s="23" t="s">
        <v>352</v>
      </c>
      <c r="D1505" s="23">
        <v>290.8</v>
      </c>
      <c r="E1505" s="23">
        <v>303.39999999999998</v>
      </c>
      <c r="F1505" s="23">
        <v>25.199999999999932</v>
      </c>
      <c r="G1505" s="42" t="str">
        <f t="shared" si="42"/>
        <v>RIO/SP - FX ADICIONAL - 3ª e 4ª faixa (LD e LE) - 290,8 - 303,4 - 25,1999999999999</v>
      </c>
      <c r="M1505" s="23" t="s">
        <v>363</v>
      </c>
    </row>
    <row r="1506" spans="1:14" x14ac:dyDescent="0.25">
      <c r="A1506" s="23" t="s">
        <v>382</v>
      </c>
      <c r="B1506" s="24" t="s">
        <v>320</v>
      </c>
      <c r="C1506" s="23" t="s">
        <v>974</v>
      </c>
      <c r="D1506" s="23">
        <v>0.7</v>
      </c>
      <c r="E1506" s="23">
        <v>1.5</v>
      </c>
      <c r="F1506" s="23">
        <v>0.8</v>
      </c>
      <c r="G1506" s="42" t="str">
        <f t="shared" si="42"/>
        <v>CONCESSÃO VIA SUL - FX ADICIONAL - Entr. RS 030 - Acesso RS - 030 - 0,7 - 1,5 - 0,8</v>
      </c>
      <c r="N1506" s="23" t="s">
        <v>363</v>
      </c>
    </row>
    <row r="1507" spans="1:14" x14ac:dyDescent="0.25">
      <c r="A1507" s="23" t="s">
        <v>382</v>
      </c>
      <c r="B1507" s="24" t="s">
        <v>320</v>
      </c>
      <c r="C1507" s="23" t="s">
        <v>975</v>
      </c>
      <c r="D1507" s="23">
        <v>1.5</v>
      </c>
      <c r="E1507" s="23">
        <v>74.400000000000006</v>
      </c>
      <c r="F1507" s="23">
        <v>72.900000000000006</v>
      </c>
      <c r="G1507" s="42" t="str">
        <f t="shared" si="42"/>
        <v>CONCESSÃO VIA SUL - FX ADICIONAL - AcessoRS 030 - Entr. RS-118 - 1,5 - 74,4 - 72,9</v>
      </c>
      <c r="N1507" s="23" t="s">
        <v>363</v>
      </c>
    </row>
    <row r="1508" spans="1:14" x14ac:dyDescent="0.25">
      <c r="A1508" s="23" t="s">
        <v>365</v>
      </c>
      <c r="B1508" s="24" t="s">
        <v>320</v>
      </c>
      <c r="C1508" s="23" t="s">
        <v>70</v>
      </c>
      <c r="D1508" s="23">
        <v>793.4</v>
      </c>
      <c r="E1508" s="23">
        <v>795.9</v>
      </c>
      <c r="F1508" s="23">
        <v>2.5</v>
      </c>
      <c r="G1508" s="42" t="str">
        <f t="shared" si="42"/>
        <v>CERRADO - FX ADICIONAL - Implantação de 3ª Faixa - 793,4 - 795,9 - 2,5</v>
      </c>
      <c r="N1508" s="23" t="s">
        <v>363</v>
      </c>
    </row>
    <row r="1509" spans="1:14" x14ac:dyDescent="0.25">
      <c r="A1509" s="23" t="s">
        <v>365</v>
      </c>
      <c r="B1509" s="24" t="s">
        <v>320</v>
      </c>
      <c r="C1509" s="23" t="s">
        <v>70</v>
      </c>
      <c r="D1509" s="23">
        <v>795.9</v>
      </c>
      <c r="E1509" s="23">
        <v>871.1</v>
      </c>
      <c r="F1509" s="23">
        <v>75.200000000000045</v>
      </c>
      <c r="G1509" s="42" t="str">
        <f t="shared" si="42"/>
        <v>CERRADO - FX ADICIONAL - Implantação de 3ª Faixa - 795,9 - 871,1 - 75,2</v>
      </c>
      <c r="N1509" s="23" t="s">
        <v>363</v>
      </c>
    </row>
    <row r="1510" spans="1:14" x14ac:dyDescent="0.25">
      <c r="A1510" s="23" t="s">
        <v>365</v>
      </c>
      <c r="B1510" s="24" t="s">
        <v>320</v>
      </c>
      <c r="C1510" s="23" t="s">
        <v>70</v>
      </c>
      <c r="D1510" s="23">
        <v>0</v>
      </c>
      <c r="E1510" s="23">
        <v>4.9000000000000004</v>
      </c>
      <c r="F1510" s="23">
        <v>4.9000000000000004</v>
      </c>
      <c r="G1510" s="42" t="str">
        <f t="shared" si="42"/>
        <v>CERRADO - FX ADICIONAL - Implantação de 3ª Faixa - 0 - 4,9 - 4,9</v>
      </c>
      <c r="N1510" s="23" t="s">
        <v>363</v>
      </c>
    </row>
    <row r="1511" spans="1:14" x14ac:dyDescent="0.25">
      <c r="A1511" s="23" t="s">
        <v>365</v>
      </c>
      <c r="B1511" s="24" t="s">
        <v>320</v>
      </c>
      <c r="C1511" s="23" t="s">
        <v>70</v>
      </c>
      <c r="D1511" s="23">
        <v>4.9000000000000004</v>
      </c>
      <c r="E1511" s="23">
        <v>9.3000000000000007</v>
      </c>
      <c r="F1511" s="23">
        <v>4.4000000000000004</v>
      </c>
      <c r="G1511" s="42" t="str">
        <f t="shared" si="42"/>
        <v>CERRADO - FX ADICIONAL - Implantação de 3ª Faixa - 4,9 - 9,3 - 4,4</v>
      </c>
      <c r="N1511" s="23" t="s">
        <v>363</v>
      </c>
    </row>
    <row r="1512" spans="1:14" x14ac:dyDescent="0.25">
      <c r="A1512" s="23" t="s">
        <v>365</v>
      </c>
      <c r="B1512" s="24" t="s">
        <v>320</v>
      </c>
      <c r="C1512" s="23" t="s">
        <v>70</v>
      </c>
      <c r="D1512" s="23">
        <v>9.3000000000000007</v>
      </c>
      <c r="E1512" s="23">
        <v>16</v>
      </c>
      <c r="F1512" s="23">
        <v>6.6999999999999993</v>
      </c>
      <c r="G1512" s="42" t="str">
        <f t="shared" si="42"/>
        <v>CERRADO - FX ADICIONAL - Implantação de 3ª Faixa - 9,3 - 16 - 6,7</v>
      </c>
      <c r="N1512" s="23" t="s">
        <v>363</v>
      </c>
    </row>
    <row r="1513" spans="1:14" x14ac:dyDescent="0.25">
      <c r="A1513" s="23" t="s">
        <v>365</v>
      </c>
      <c r="B1513" s="24" t="s">
        <v>320</v>
      </c>
      <c r="C1513" s="23" t="s">
        <v>70</v>
      </c>
      <c r="D1513" s="23">
        <v>16</v>
      </c>
      <c r="E1513" s="23">
        <v>64.7</v>
      </c>
      <c r="F1513" s="23">
        <v>48.7</v>
      </c>
      <c r="G1513" s="42" t="str">
        <f t="shared" si="42"/>
        <v>CERRADO - FX ADICIONAL - Implantação de 3ª Faixa - 16 - 64,7 - 48,7</v>
      </c>
      <c r="N1513" s="23" t="s">
        <v>363</v>
      </c>
    </row>
    <row r="1514" spans="1:14" x14ac:dyDescent="0.25">
      <c r="A1514" s="23" t="s">
        <v>365</v>
      </c>
      <c r="B1514" s="24" t="s">
        <v>320</v>
      </c>
      <c r="C1514" s="23" t="s">
        <v>70</v>
      </c>
      <c r="D1514" s="23">
        <v>64.7</v>
      </c>
      <c r="E1514" s="23">
        <v>113.2</v>
      </c>
      <c r="F1514" s="23">
        <v>48.5</v>
      </c>
      <c r="G1514" s="42" t="str">
        <f t="shared" si="42"/>
        <v>CERRADO - FX ADICIONAL - Implantação de 3ª Faixa - 64,7 - 113,2 - 48,5</v>
      </c>
      <c r="N1514" s="23" t="s">
        <v>363</v>
      </c>
    </row>
    <row r="1515" spans="1:14" x14ac:dyDescent="0.25">
      <c r="A1515" s="23" t="s">
        <v>365</v>
      </c>
      <c r="B1515" s="24" t="s">
        <v>320</v>
      </c>
      <c r="C1515" s="23" t="s">
        <v>70</v>
      </c>
      <c r="D1515" s="23">
        <v>162.4</v>
      </c>
      <c r="E1515" s="23">
        <v>192.7</v>
      </c>
      <c r="F1515" s="23">
        <v>30.299999999999983</v>
      </c>
      <c r="G1515" s="42" t="str">
        <f t="shared" si="42"/>
        <v>CERRADO - FX ADICIONAL - Implantação de 3ª Faixa - 162,4 - 192,7 - 30,3</v>
      </c>
      <c r="N1515" s="23" t="s">
        <v>363</v>
      </c>
    </row>
    <row r="1516" spans="1:14" x14ac:dyDescent="0.25">
      <c r="A1516" s="23" t="s">
        <v>4</v>
      </c>
      <c r="B1516" s="24" t="s">
        <v>320</v>
      </c>
      <c r="C1516" s="23" t="s">
        <v>976</v>
      </c>
      <c r="D1516" s="23">
        <v>256.5</v>
      </c>
      <c r="E1516" s="23">
        <v>258.08</v>
      </c>
      <c r="F1516" s="23">
        <v>1.5799999999999841</v>
      </c>
      <c r="G1516" s="42" t="str">
        <f t="shared" si="42"/>
        <v>VIA COSTEIRA - FX ADICIONAL - Faixa Adicional Pista Sul - 256,5 - 258,08 - 1,57999999999998</v>
      </c>
      <c r="N1516" s="23" t="s">
        <v>363</v>
      </c>
    </row>
    <row r="1517" spans="1:14" x14ac:dyDescent="0.25">
      <c r="A1517" s="23" t="s">
        <v>4</v>
      </c>
      <c r="B1517" s="24" t="s">
        <v>320</v>
      </c>
      <c r="C1517" s="23" t="s">
        <v>977</v>
      </c>
      <c r="D1517" s="23">
        <v>273</v>
      </c>
      <c r="E1517" s="23">
        <v>282.3</v>
      </c>
      <c r="F1517" s="23">
        <v>18.600000000000023</v>
      </c>
      <c r="G1517" s="42" t="str">
        <f t="shared" si="42"/>
        <v>VIA COSTEIRA - FX ADICIONAL - Faixa Adicional (ambas as pistas) - 273 - 282,3 - 18,6</v>
      </c>
      <c r="N1517" s="23" t="s">
        <v>363</v>
      </c>
    </row>
    <row r="1518" spans="1:14" x14ac:dyDescent="0.25">
      <c r="A1518" s="23" t="s">
        <v>4</v>
      </c>
      <c r="B1518" s="24" t="s">
        <v>320</v>
      </c>
      <c r="C1518" s="23" t="s">
        <v>977</v>
      </c>
      <c r="D1518" s="23">
        <v>312</v>
      </c>
      <c r="E1518" s="23">
        <v>317.25</v>
      </c>
      <c r="F1518" s="23">
        <v>10.5</v>
      </c>
      <c r="G1518" s="42" t="str">
        <f t="shared" si="42"/>
        <v>VIA COSTEIRA - FX ADICIONAL - Faixa Adicional (ambas as pistas) - 312 - 317,25 - 10,5</v>
      </c>
      <c r="N1518" s="23" t="s">
        <v>363</v>
      </c>
    </row>
    <row r="1519" spans="1:14" x14ac:dyDescent="0.25">
      <c r="A1519" s="23" t="s">
        <v>4</v>
      </c>
      <c r="B1519" s="24" t="s">
        <v>320</v>
      </c>
      <c r="C1519" s="23" t="s">
        <v>977</v>
      </c>
      <c r="D1519" s="23">
        <v>317.25</v>
      </c>
      <c r="E1519" s="23">
        <v>327.58</v>
      </c>
      <c r="F1519" s="23">
        <v>20.659999999999968</v>
      </c>
      <c r="G1519" s="42" t="str">
        <f t="shared" si="42"/>
        <v>VIA COSTEIRA - FX ADICIONAL - Faixa Adicional (ambas as pistas) - 317,25 - 327,58 - 20,66</v>
      </c>
      <c r="N1519" s="23" t="s">
        <v>363</v>
      </c>
    </row>
    <row r="1520" spans="1:14" x14ac:dyDescent="0.25">
      <c r="A1520" s="23" t="s">
        <v>4</v>
      </c>
      <c r="B1520" s="24" t="s">
        <v>320</v>
      </c>
      <c r="C1520" s="23" t="s">
        <v>977</v>
      </c>
      <c r="D1520" s="23">
        <v>327.58</v>
      </c>
      <c r="E1520" s="23">
        <v>328.3</v>
      </c>
      <c r="F1520" s="23">
        <v>1.4400000000000546</v>
      </c>
      <c r="G1520" s="42" t="str">
        <f t="shared" si="42"/>
        <v>VIA COSTEIRA - FX ADICIONAL - Faixa Adicional (ambas as pistas) - 327,58 - 328,3 - 1,44000000000005</v>
      </c>
      <c r="N1520" s="23" t="s">
        <v>363</v>
      </c>
    </row>
    <row r="1521" spans="1:14" x14ac:dyDescent="0.25">
      <c r="A1521" s="23" t="s">
        <v>4</v>
      </c>
      <c r="B1521" s="24" t="s">
        <v>320</v>
      </c>
      <c r="C1521" s="23" t="s">
        <v>977</v>
      </c>
      <c r="D1521" s="23">
        <v>328.3</v>
      </c>
      <c r="E1521" s="23">
        <v>331</v>
      </c>
      <c r="F1521" s="23">
        <v>5.3999999999999773</v>
      </c>
      <c r="G1521" s="42" t="str">
        <f t="shared" si="42"/>
        <v>VIA COSTEIRA - FX ADICIONAL - Faixa Adicional (ambas as pistas) - 328,3 - 331 - 5,39999999999998</v>
      </c>
      <c r="N1521" s="23" t="s">
        <v>363</v>
      </c>
    </row>
    <row r="1522" spans="1:14" x14ac:dyDescent="0.25">
      <c r="A1522" s="23" t="s">
        <v>4</v>
      </c>
      <c r="B1522" s="24" t="s">
        <v>320</v>
      </c>
      <c r="C1522" s="23" t="s">
        <v>977</v>
      </c>
      <c r="D1522" s="23">
        <v>331</v>
      </c>
      <c r="E1522" s="23">
        <v>335</v>
      </c>
      <c r="F1522" s="23">
        <v>8</v>
      </c>
      <c r="G1522" s="42" t="str">
        <f t="shared" si="42"/>
        <v>VIA COSTEIRA - FX ADICIONAL - Faixa Adicional (ambas as pistas) - 331 - 335 - 8</v>
      </c>
      <c r="N1522" s="23" t="s">
        <v>363</v>
      </c>
    </row>
    <row r="1523" spans="1:14" x14ac:dyDescent="0.25">
      <c r="A1523" s="23" t="s">
        <v>4</v>
      </c>
      <c r="B1523" s="24" t="s">
        <v>320</v>
      </c>
      <c r="C1523" s="23" t="s">
        <v>977</v>
      </c>
      <c r="D1523" s="23">
        <v>335</v>
      </c>
      <c r="E1523" s="23">
        <v>339.58</v>
      </c>
      <c r="F1523" s="23">
        <v>9.1599999999999682</v>
      </c>
      <c r="G1523" s="42" t="str">
        <f t="shared" si="42"/>
        <v>VIA COSTEIRA - FX ADICIONAL - Faixa Adicional (ambas as pistas) - 335 - 339,58 - 9,15999999999997</v>
      </c>
      <c r="N1523" s="23" t="s">
        <v>363</v>
      </c>
    </row>
    <row r="1524" spans="1:14" x14ac:dyDescent="0.25">
      <c r="A1524" s="23" t="s">
        <v>4</v>
      </c>
      <c r="B1524" s="24" t="s">
        <v>320</v>
      </c>
      <c r="C1524" s="23" t="s">
        <v>977</v>
      </c>
      <c r="D1524" s="23">
        <v>339.58</v>
      </c>
      <c r="E1524" s="23">
        <v>351.14</v>
      </c>
      <c r="F1524" s="23">
        <v>23.120000000000005</v>
      </c>
      <c r="G1524" s="42" t="str">
        <f t="shared" si="42"/>
        <v>VIA COSTEIRA - FX ADICIONAL - Faixa Adicional (ambas as pistas) - 339,58 - 351,14 - 23,12</v>
      </c>
      <c r="N1524" s="23" t="s">
        <v>363</v>
      </c>
    </row>
    <row r="1525" spans="1:14" x14ac:dyDescent="0.25">
      <c r="A1525" s="23" t="s">
        <v>383</v>
      </c>
      <c r="B1525" s="24" t="s">
        <v>320</v>
      </c>
      <c r="C1525" s="23" t="s">
        <v>978</v>
      </c>
      <c r="D1525" s="23">
        <v>435.5</v>
      </c>
      <c r="E1525" s="23">
        <v>444.13200000000001</v>
      </c>
      <c r="F1525" s="23">
        <v>8.632000000000005</v>
      </c>
      <c r="G1525" s="42" t="str">
        <f t="shared" si="42"/>
        <v>ARAGUAIA - FX ADICIONAL - 30 (SUL) - 435,5 - 444,132 - 8,63200000000001</v>
      </c>
      <c r="N1525" s="23" t="s">
        <v>363</v>
      </c>
    </row>
    <row r="1526" spans="1:14" x14ac:dyDescent="0.25">
      <c r="A1526" s="23" t="s">
        <v>383</v>
      </c>
      <c r="B1526" s="24" t="s">
        <v>320</v>
      </c>
      <c r="C1526" s="23" t="s">
        <v>979</v>
      </c>
      <c r="D1526" s="23">
        <v>435.5</v>
      </c>
      <c r="E1526" s="23">
        <v>444.13200000000001</v>
      </c>
      <c r="F1526" s="23">
        <v>8.632000000000005</v>
      </c>
      <c r="G1526" s="42" t="str">
        <f t="shared" si="42"/>
        <v>ARAGUAIA - FX ADICIONAL - 30 (NORTE) - 435,5 - 444,132 - 8,63200000000001</v>
      </c>
      <c r="N1526" s="23" t="s">
        <v>363</v>
      </c>
    </row>
    <row r="1527" spans="1:14" x14ac:dyDescent="0.25">
      <c r="A1527" s="23" t="s">
        <v>383</v>
      </c>
      <c r="B1527" s="24" t="s">
        <v>320</v>
      </c>
      <c r="C1527" s="23" t="s">
        <v>980</v>
      </c>
      <c r="D1527" s="23">
        <v>395.89</v>
      </c>
      <c r="E1527" s="23">
        <v>398.04</v>
      </c>
      <c r="F1527" s="23">
        <v>2.1500000000000341</v>
      </c>
      <c r="G1527" s="42" t="str">
        <f t="shared" si="42"/>
        <v>ARAGUAIA - FX ADICIONAL - 42 (SUL) - 395,89 - 398,04 - 2,15000000000003</v>
      </c>
      <c r="N1527" s="23" t="s">
        <v>363</v>
      </c>
    </row>
    <row r="1528" spans="1:14" x14ac:dyDescent="0.25">
      <c r="A1528" s="23" t="s">
        <v>383</v>
      </c>
      <c r="B1528" s="24" t="s">
        <v>320</v>
      </c>
      <c r="C1528" s="23" t="s">
        <v>981</v>
      </c>
      <c r="D1528" s="23">
        <v>398.01600000000002</v>
      </c>
      <c r="E1528" s="23">
        <v>399.25</v>
      </c>
      <c r="F1528" s="23">
        <v>1.2339999999999804</v>
      </c>
      <c r="G1528" s="42" t="str">
        <f t="shared" si="42"/>
        <v>ARAGUAIA - FX ADICIONAL - 42 (NORTE) - 398,016 - 399,25 - 1,23399999999998</v>
      </c>
      <c r="N1528" s="23" t="s">
        <v>363</v>
      </c>
    </row>
    <row r="1529" spans="1:14" x14ac:dyDescent="0.25">
      <c r="A1529" s="23" t="s">
        <v>383</v>
      </c>
      <c r="B1529" s="24" t="s">
        <v>320</v>
      </c>
      <c r="C1529" s="23" t="s">
        <v>980</v>
      </c>
      <c r="D1529" s="23">
        <v>401.65100000000001</v>
      </c>
      <c r="E1529" s="23">
        <v>404.89499999999998</v>
      </c>
      <c r="F1529" s="23">
        <v>3.2439999999999714</v>
      </c>
      <c r="G1529" s="42" t="str">
        <f t="shared" si="42"/>
        <v>ARAGUAIA - FX ADICIONAL - 42 (SUL) - 401,651 - 404,895 - 3,24399999999997</v>
      </c>
      <c r="N1529" s="23" t="s">
        <v>363</v>
      </c>
    </row>
    <row r="1530" spans="1:14" x14ac:dyDescent="0.25">
      <c r="A1530" s="23" t="s">
        <v>383</v>
      </c>
      <c r="B1530" s="24" t="s">
        <v>320</v>
      </c>
      <c r="C1530" s="23" t="s">
        <v>981</v>
      </c>
      <c r="D1530" s="23">
        <v>404.48500000000001</v>
      </c>
      <c r="E1530" s="23">
        <v>405.79500000000002</v>
      </c>
      <c r="F1530" s="23">
        <v>1.3100000000000023</v>
      </c>
      <c r="G1530" s="42" t="str">
        <f t="shared" si="42"/>
        <v>ARAGUAIA - FX ADICIONAL - 42 (NORTE) - 404,485 - 405,795 - 1,31</v>
      </c>
      <c r="N1530" s="23" t="s">
        <v>363</v>
      </c>
    </row>
    <row r="1531" spans="1:14" x14ac:dyDescent="0.25">
      <c r="A1531" s="23" t="s">
        <v>383</v>
      </c>
      <c r="B1531" s="24" t="s">
        <v>320</v>
      </c>
      <c r="C1531" s="23" t="s">
        <v>980</v>
      </c>
      <c r="D1531" s="23">
        <v>406.67200000000003</v>
      </c>
      <c r="E1531" s="23">
        <v>409.05</v>
      </c>
      <c r="F1531" s="23">
        <v>2.3779999999999859</v>
      </c>
      <c r="G1531" s="42" t="str">
        <f t="shared" si="42"/>
        <v>ARAGUAIA - FX ADICIONAL - 42 (SUL) - 406,672 - 409,05 - 2,37799999999999</v>
      </c>
      <c r="N1531" s="23" t="s">
        <v>363</v>
      </c>
    </row>
    <row r="1532" spans="1:14" x14ac:dyDescent="0.25">
      <c r="A1532" s="23" t="s">
        <v>383</v>
      </c>
      <c r="B1532" s="24" t="s">
        <v>320</v>
      </c>
      <c r="C1532" s="23" t="s">
        <v>980</v>
      </c>
      <c r="D1532" s="23">
        <v>395.89</v>
      </c>
      <c r="E1532" s="23">
        <v>398.04</v>
      </c>
      <c r="F1532" s="23">
        <v>2.1500000000000341</v>
      </c>
      <c r="G1532" s="42" t="str">
        <f t="shared" si="42"/>
        <v>ARAGUAIA - FX ADICIONAL - 42 (SUL) - 395,89 - 398,04 - 2,15000000000003</v>
      </c>
      <c r="N1532" s="23" t="s">
        <v>363</v>
      </c>
    </row>
    <row r="1533" spans="1:14" x14ac:dyDescent="0.25">
      <c r="A1533" s="23" t="s">
        <v>383</v>
      </c>
      <c r="B1533" s="24" t="s">
        <v>320</v>
      </c>
      <c r="C1533" s="23" t="s">
        <v>981</v>
      </c>
      <c r="D1533" s="23">
        <v>398.01600000000002</v>
      </c>
      <c r="E1533" s="23">
        <v>399.25</v>
      </c>
      <c r="F1533" s="23">
        <v>1.2339999999999804</v>
      </c>
      <c r="G1533" s="42" t="str">
        <f t="shared" si="42"/>
        <v>ARAGUAIA - FX ADICIONAL - 42 (NORTE) - 398,016 - 399,25 - 1,23399999999998</v>
      </c>
      <c r="N1533" s="23" t="s">
        <v>363</v>
      </c>
    </row>
    <row r="1534" spans="1:14" x14ac:dyDescent="0.25">
      <c r="A1534" s="23" t="s">
        <v>383</v>
      </c>
      <c r="B1534" s="24" t="s">
        <v>320</v>
      </c>
      <c r="C1534" s="23" t="s">
        <v>980</v>
      </c>
      <c r="D1534" s="23">
        <v>401.65100000000001</v>
      </c>
      <c r="E1534" s="23">
        <v>404.89499999999998</v>
      </c>
      <c r="F1534" s="23">
        <v>3.2439999999999714</v>
      </c>
      <c r="G1534" s="42" t="str">
        <f t="shared" ref="G1534:G1597" si="43">_xlfn.TEXTJOIN(" - ",TRUE,A1534:F1534)</f>
        <v>ARAGUAIA - FX ADICIONAL - 42 (SUL) - 401,651 - 404,895 - 3,24399999999997</v>
      </c>
      <c r="N1534" s="23" t="s">
        <v>363</v>
      </c>
    </row>
    <row r="1535" spans="1:14" x14ac:dyDescent="0.25">
      <c r="A1535" s="23" t="s">
        <v>383</v>
      </c>
      <c r="B1535" s="24" t="s">
        <v>320</v>
      </c>
      <c r="C1535" s="23" t="s">
        <v>981</v>
      </c>
      <c r="D1535" s="23">
        <v>404.48500000000001</v>
      </c>
      <c r="E1535" s="23">
        <v>405.79500000000002</v>
      </c>
      <c r="F1535" s="23">
        <v>1.3100000000000023</v>
      </c>
      <c r="G1535" s="42" t="str">
        <f t="shared" si="43"/>
        <v>ARAGUAIA - FX ADICIONAL - 42 (NORTE) - 404,485 - 405,795 - 1,31</v>
      </c>
      <c r="N1535" s="23" t="s">
        <v>363</v>
      </c>
    </row>
    <row r="1536" spans="1:14" x14ac:dyDescent="0.25">
      <c r="A1536" s="23" t="s">
        <v>383</v>
      </c>
      <c r="B1536" s="24" t="s">
        <v>320</v>
      </c>
      <c r="C1536" s="23" t="s">
        <v>980</v>
      </c>
      <c r="D1536" s="23">
        <v>406.67200000000003</v>
      </c>
      <c r="E1536" s="23">
        <v>409.05</v>
      </c>
      <c r="F1536" s="23">
        <v>2.3779999999999859</v>
      </c>
      <c r="G1536" s="42" t="str">
        <f t="shared" si="43"/>
        <v>ARAGUAIA - FX ADICIONAL - 42 (SUL) - 406,672 - 409,05 - 2,37799999999999</v>
      </c>
      <c r="N1536" s="23" t="s">
        <v>363</v>
      </c>
    </row>
    <row r="1537" spans="1:14" x14ac:dyDescent="0.25">
      <c r="A1537" s="23" t="s">
        <v>935</v>
      </c>
      <c r="B1537" s="24" t="s">
        <v>320</v>
      </c>
      <c r="C1537" s="23" t="s">
        <v>933</v>
      </c>
      <c r="D1537" s="23">
        <v>90.5</v>
      </c>
      <c r="E1537" s="23">
        <v>94.962999999999994</v>
      </c>
      <c r="F1537" s="23">
        <v>4.4629999999999939</v>
      </c>
      <c r="G1537" s="42" t="str">
        <f t="shared" si="43"/>
        <v>RIO/MINAS - FX ADICIONAL - Decrescente - 90,5 - 94,963 - 4,46299999999999</v>
      </c>
      <c r="N1537" s="23" t="s">
        <v>363</v>
      </c>
    </row>
    <row r="1538" spans="1:14" x14ac:dyDescent="0.25">
      <c r="A1538" s="23" t="s">
        <v>935</v>
      </c>
      <c r="B1538" s="24" t="s">
        <v>320</v>
      </c>
      <c r="C1538" s="23" t="s">
        <v>934</v>
      </c>
      <c r="D1538" s="23">
        <v>94</v>
      </c>
      <c r="E1538" s="23">
        <v>95</v>
      </c>
      <c r="F1538" s="23">
        <v>1</v>
      </c>
      <c r="G1538" s="42" t="str">
        <f t="shared" si="43"/>
        <v>RIO/MINAS - FX ADICIONAL - Crescente - 94 - 95 - 1</v>
      </c>
      <c r="N1538" s="23" t="s">
        <v>363</v>
      </c>
    </row>
    <row r="1539" spans="1:14" x14ac:dyDescent="0.25">
      <c r="A1539" s="23" t="s">
        <v>935</v>
      </c>
      <c r="B1539" s="24" t="s">
        <v>320</v>
      </c>
      <c r="C1539" s="23" t="s">
        <v>934</v>
      </c>
      <c r="D1539" s="23">
        <v>97.563000000000002</v>
      </c>
      <c r="E1539" s="23">
        <v>99.025999999999996</v>
      </c>
      <c r="F1539" s="23">
        <v>1.4629999999999939</v>
      </c>
      <c r="G1539" s="42" t="str">
        <f t="shared" si="43"/>
        <v>RIO/MINAS - FX ADICIONAL - Crescente - 97,563 - 99,026 - 1,46299999999999</v>
      </c>
      <c r="N1539" s="23" t="s">
        <v>363</v>
      </c>
    </row>
    <row r="1540" spans="1:14" x14ac:dyDescent="0.25">
      <c r="A1540" s="23" t="s">
        <v>935</v>
      </c>
      <c r="B1540" s="24" t="s">
        <v>320</v>
      </c>
      <c r="C1540" s="23" t="s">
        <v>933</v>
      </c>
      <c r="D1540" s="23">
        <v>98.063999999999993</v>
      </c>
      <c r="E1540" s="23">
        <v>98.516000000000005</v>
      </c>
      <c r="F1540" s="23">
        <v>0.45200000000001239</v>
      </c>
      <c r="G1540" s="42" t="str">
        <f t="shared" si="43"/>
        <v>RIO/MINAS - FX ADICIONAL - Decrescente - 98,064 - 98,516 - 0,452000000000012</v>
      </c>
      <c r="N1540" s="23" t="s">
        <v>363</v>
      </c>
    </row>
    <row r="1541" spans="1:14" x14ac:dyDescent="0.25">
      <c r="A1541" s="23" t="s">
        <v>935</v>
      </c>
      <c r="B1541" s="24" t="s">
        <v>320</v>
      </c>
      <c r="C1541" s="23" t="s">
        <v>933</v>
      </c>
      <c r="D1541" s="23">
        <v>101.006</v>
      </c>
      <c r="E1541" s="23">
        <v>101.35</v>
      </c>
      <c r="F1541" s="23">
        <v>0.34399999999999409</v>
      </c>
      <c r="G1541" s="42" t="str">
        <f t="shared" si="43"/>
        <v>RIO/MINAS - FX ADICIONAL - Decrescente - 101,006 - 101,35 - 0,343999999999994</v>
      </c>
      <c r="N1541" s="23" t="s">
        <v>363</v>
      </c>
    </row>
    <row r="1542" spans="1:14" x14ac:dyDescent="0.25">
      <c r="A1542" s="23" t="s">
        <v>935</v>
      </c>
      <c r="B1542" s="24" t="s">
        <v>320</v>
      </c>
      <c r="C1542" s="23" t="s">
        <v>934</v>
      </c>
      <c r="D1542" s="23">
        <v>103.035</v>
      </c>
      <c r="E1542" s="23">
        <v>104.032</v>
      </c>
      <c r="F1542" s="23">
        <v>0.99699999999999989</v>
      </c>
      <c r="G1542" s="42" t="str">
        <f t="shared" si="43"/>
        <v>RIO/MINAS - FX ADICIONAL - Crescente - 103,035 - 104,032 - 0,997</v>
      </c>
      <c r="N1542" s="23" t="s">
        <v>363</v>
      </c>
    </row>
    <row r="1543" spans="1:14" x14ac:dyDescent="0.25">
      <c r="A1543" s="23" t="s">
        <v>935</v>
      </c>
      <c r="B1543" s="24" t="s">
        <v>320</v>
      </c>
      <c r="C1543" s="23" t="s">
        <v>933</v>
      </c>
      <c r="D1543" s="23">
        <v>124.4</v>
      </c>
      <c r="E1543" s="23">
        <v>134.4</v>
      </c>
      <c r="F1543" s="23">
        <v>10</v>
      </c>
      <c r="G1543" s="42" t="str">
        <f t="shared" si="43"/>
        <v>RIO/MINAS - FX ADICIONAL - Decrescente - 124,4 - 134,4 - 10</v>
      </c>
      <c r="N1543" s="23" t="s">
        <v>363</v>
      </c>
    </row>
    <row r="1544" spans="1:14" x14ac:dyDescent="0.25">
      <c r="A1544" s="23" t="s">
        <v>935</v>
      </c>
      <c r="B1544" s="24" t="s">
        <v>320</v>
      </c>
      <c r="C1544" s="23" t="s">
        <v>933</v>
      </c>
      <c r="D1544" s="23">
        <v>134.4</v>
      </c>
      <c r="E1544" s="23">
        <v>139</v>
      </c>
      <c r="F1544" s="23">
        <v>4.5999999999999943</v>
      </c>
      <c r="G1544" s="42" t="str">
        <f t="shared" si="43"/>
        <v>RIO/MINAS - FX ADICIONAL - Decrescente - 134,4 - 139 - 4,59999999999999</v>
      </c>
      <c r="N1544" s="23" t="s">
        <v>363</v>
      </c>
    </row>
    <row r="1545" spans="1:14" x14ac:dyDescent="0.25">
      <c r="A1545" s="23" t="s">
        <v>935</v>
      </c>
      <c r="B1545" s="24" t="s">
        <v>320</v>
      </c>
      <c r="C1545" s="23" t="s">
        <v>934</v>
      </c>
      <c r="D1545" s="23">
        <v>139</v>
      </c>
      <c r="E1545" s="23">
        <v>145.19999999999999</v>
      </c>
      <c r="F1545" s="23">
        <v>6.1999999999999886</v>
      </c>
      <c r="G1545" s="42" t="str">
        <f t="shared" si="43"/>
        <v>RIO/MINAS - FX ADICIONAL - Crescente - 139 - 145,2 - 6,19999999999999</v>
      </c>
      <c r="N1545" s="23" t="s">
        <v>363</v>
      </c>
    </row>
    <row r="1546" spans="1:14" x14ac:dyDescent="0.25">
      <c r="A1546" s="23" t="s">
        <v>935</v>
      </c>
      <c r="B1546" s="24" t="s">
        <v>320</v>
      </c>
      <c r="C1546" s="23" t="s">
        <v>933</v>
      </c>
      <c r="D1546" s="23">
        <v>139</v>
      </c>
      <c r="E1546" s="23">
        <v>145.4</v>
      </c>
      <c r="F1546" s="23">
        <v>6.4000000000000057</v>
      </c>
      <c r="G1546" s="42" t="str">
        <f t="shared" si="43"/>
        <v>RIO/MINAS - FX ADICIONAL - Decrescente - 139 - 145,4 - 6,40000000000001</v>
      </c>
      <c r="N1546" s="23" t="s">
        <v>363</v>
      </c>
    </row>
    <row r="1547" spans="1:14" x14ac:dyDescent="0.25">
      <c r="A1547" s="23" t="s">
        <v>935</v>
      </c>
      <c r="B1547" s="24" t="s">
        <v>320</v>
      </c>
      <c r="C1547" s="23" t="s">
        <v>933</v>
      </c>
      <c r="D1547" s="23">
        <v>197.3</v>
      </c>
      <c r="E1547" s="23">
        <v>204.8</v>
      </c>
      <c r="F1547" s="23">
        <v>7.5</v>
      </c>
      <c r="G1547" s="42" t="str">
        <f t="shared" si="43"/>
        <v>RIO/MINAS - FX ADICIONAL - Decrescente - 197,3 - 204,8 - 7,5</v>
      </c>
      <c r="N1547" s="23" t="s">
        <v>363</v>
      </c>
    </row>
    <row r="1548" spans="1:14" x14ac:dyDescent="0.25">
      <c r="A1548" s="23" t="s">
        <v>935</v>
      </c>
      <c r="B1548" s="24" t="s">
        <v>320</v>
      </c>
      <c r="C1548" s="23" t="s">
        <v>934</v>
      </c>
      <c r="D1548" s="23">
        <v>197.3</v>
      </c>
      <c r="E1548" s="23">
        <v>204.8</v>
      </c>
      <c r="F1548" s="23">
        <v>7.5</v>
      </c>
      <c r="G1548" s="42" t="str">
        <f t="shared" si="43"/>
        <v>RIO/MINAS - FX ADICIONAL - Crescente - 197,3 - 204,8 - 7,5</v>
      </c>
      <c r="N1548" s="23" t="s">
        <v>363</v>
      </c>
    </row>
    <row r="1549" spans="1:14" x14ac:dyDescent="0.25">
      <c r="A1549" s="23" t="s">
        <v>935</v>
      </c>
      <c r="B1549" s="24" t="s">
        <v>320</v>
      </c>
      <c r="C1549" s="23" t="s">
        <v>933</v>
      </c>
      <c r="D1549" s="23">
        <v>204.8</v>
      </c>
      <c r="E1549" s="23">
        <v>207.08500000000001</v>
      </c>
      <c r="F1549" s="23">
        <v>2.2849999999999966</v>
      </c>
      <c r="G1549" s="42" t="str">
        <f t="shared" si="43"/>
        <v>RIO/MINAS - FX ADICIONAL - Decrescente - 204,8 - 207,085 - 2,285</v>
      </c>
      <c r="N1549" s="23" t="s">
        <v>363</v>
      </c>
    </row>
    <row r="1550" spans="1:14" x14ac:dyDescent="0.25">
      <c r="A1550" s="23" t="s">
        <v>935</v>
      </c>
      <c r="B1550" s="24" t="s">
        <v>320</v>
      </c>
      <c r="C1550" s="23" t="s">
        <v>934</v>
      </c>
      <c r="D1550" s="23">
        <v>204.8</v>
      </c>
      <c r="E1550" s="23">
        <v>207.08500000000001</v>
      </c>
      <c r="F1550" s="23">
        <v>2.2849999999999966</v>
      </c>
      <c r="G1550" s="42" t="str">
        <f t="shared" si="43"/>
        <v>RIO/MINAS - FX ADICIONAL - Crescente - 204,8 - 207,085 - 2,285</v>
      </c>
      <c r="N1550" s="23" t="s">
        <v>363</v>
      </c>
    </row>
    <row r="1551" spans="1:14" x14ac:dyDescent="0.25">
      <c r="A1551" s="23" t="s">
        <v>935</v>
      </c>
      <c r="B1551" s="24" t="s">
        <v>320</v>
      </c>
      <c r="C1551" s="23" t="s">
        <v>933</v>
      </c>
      <c r="D1551" s="23">
        <v>457.5</v>
      </c>
      <c r="E1551" s="23">
        <v>458.6</v>
      </c>
      <c r="F1551" s="23">
        <v>1.1000000000000227</v>
      </c>
      <c r="G1551" s="42" t="str">
        <f t="shared" si="43"/>
        <v>RIO/MINAS - FX ADICIONAL - Decrescente - 457,5 - 458,6 - 1,10000000000002</v>
      </c>
      <c r="N1551" s="23" t="s">
        <v>363</v>
      </c>
    </row>
    <row r="1552" spans="1:14" x14ac:dyDescent="0.25">
      <c r="A1552" s="23" t="s">
        <v>935</v>
      </c>
      <c r="B1552" s="24" t="s">
        <v>320</v>
      </c>
      <c r="C1552" s="23" t="s">
        <v>934</v>
      </c>
      <c r="D1552" s="23">
        <v>458.8</v>
      </c>
      <c r="E1552" s="23">
        <v>460</v>
      </c>
      <c r="F1552" s="23">
        <v>1.1999999999999886</v>
      </c>
      <c r="G1552" s="42" t="str">
        <f t="shared" si="43"/>
        <v>RIO/MINAS - FX ADICIONAL - Crescente - 458,8 - 460 - 1,19999999999999</v>
      </c>
      <c r="N1552" s="23" t="s">
        <v>363</v>
      </c>
    </row>
    <row r="1553" spans="1:14" x14ac:dyDescent="0.25">
      <c r="A1553" s="23" t="s">
        <v>935</v>
      </c>
      <c r="B1553" s="24" t="s">
        <v>320</v>
      </c>
      <c r="C1553" s="23" t="s">
        <v>934</v>
      </c>
      <c r="D1553" s="23">
        <v>461.1</v>
      </c>
      <c r="E1553" s="23">
        <v>462.3</v>
      </c>
      <c r="F1553" s="23">
        <v>1.1999999999999886</v>
      </c>
      <c r="G1553" s="42" t="str">
        <f t="shared" si="43"/>
        <v>RIO/MINAS - FX ADICIONAL - Crescente - 461,1 - 462,3 - 1,19999999999999</v>
      </c>
      <c r="N1553" s="23" t="s">
        <v>363</v>
      </c>
    </row>
    <row r="1554" spans="1:14" x14ac:dyDescent="0.25">
      <c r="A1554" s="23" t="s">
        <v>935</v>
      </c>
      <c r="B1554" s="24" t="s">
        <v>320</v>
      </c>
      <c r="C1554" s="23" t="s">
        <v>933</v>
      </c>
      <c r="D1554" s="23">
        <v>461.28100000000001</v>
      </c>
      <c r="E1554" s="23">
        <v>460</v>
      </c>
      <c r="F1554" s="23">
        <v>1.2810000000000059</v>
      </c>
      <c r="G1554" s="42" t="str">
        <f t="shared" si="43"/>
        <v>RIO/MINAS - FX ADICIONAL - Decrescente - 461,281 - 460 - 1,28100000000001</v>
      </c>
      <c r="N1554" s="23" t="s">
        <v>363</v>
      </c>
    </row>
    <row r="1555" spans="1:14" x14ac:dyDescent="0.25">
      <c r="A1555" s="23" t="s">
        <v>935</v>
      </c>
      <c r="B1555" s="24" t="s">
        <v>320</v>
      </c>
      <c r="C1555" s="23" t="s">
        <v>934</v>
      </c>
      <c r="D1555" s="23">
        <v>463.4</v>
      </c>
      <c r="E1555" s="23">
        <v>464.6</v>
      </c>
      <c r="F1555" s="23">
        <v>1.2000000000000455</v>
      </c>
      <c r="G1555" s="42" t="str">
        <f t="shared" si="43"/>
        <v>RIO/MINAS - FX ADICIONAL - Crescente - 463,4 - 464,6 - 1,20000000000005</v>
      </c>
      <c r="N1555" s="23" t="s">
        <v>363</v>
      </c>
    </row>
    <row r="1556" spans="1:14" x14ac:dyDescent="0.25">
      <c r="A1556" s="23" t="s">
        <v>935</v>
      </c>
      <c r="B1556" s="24" t="s">
        <v>320</v>
      </c>
      <c r="C1556" s="23" t="s">
        <v>933</v>
      </c>
      <c r="D1556" s="23">
        <v>463.5</v>
      </c>
      <c r="E1556" s="23">
        <v>462.2</v>
      </c>
      <c r="F1556" s="23">
        <v>1.3000000000000114</v>
      </c>
      <c r="G1556" s="42" t="str">
        <f t="shared" si="43"/>
        <v>RIO/MINAS - FX ADICIONAL - Decrescente - 463,5 - 462,2 - 1,30000000000001</v>
      </c>
      <c r="N1556" s="23" t="s">
        <v>363</v>
      </c>
    </row>
    <row r="1557" spans="1:14" x14ac:dyDescent="0.25">
      <c r="A1557" s="23" t="s">
        <v>935</v>
      </c>
      <c r="B1557" s="24" t="s">
        <v>320</v>
      </c>
      <c r="C1557" s="23" t="s">
        <v>933</v>
      </c>
      <c r="D1557" s="23">
        <v>465.8</v>
      </c>
      <c r="E1557" s="23">
        <v>464.5</v>
      </c>
      <c r="F1557" s="23">
        <v>1.3000000000000114</v>
      </c>
      <c r="G1557" s="42" t="str">
        <f t="shared" si="43"/>
        <v>RIO/MINAS - FX ADICIONAL - Decrescente - 465,8 - 464,5 - 1,30000000000001</v>
      </c>
      <c r="N1557" s="23" t="s">
        <v>363</v>
      </c>
    </row>
    <row r="1558" spans="1:14" x14ac:dyDescent="0.25">
      <c r="A1558" s="23" t="s">
        <v>935</v>
      </c>
      <c r="B1558" s="24" t="s">
        <v>320</v>
      </c>
      <c r="C1558" s="23" t="s">
        <v>933</v>
      </c>
      <c r="D1558" s="23">
        <v>468.1</v>
      </c>
      <c r="E1558" s="23">
        <v>466.8</v>
      </c>
      <c r="F1558" s="23">
        <v>1.3000000000000114</v>
      </c>
      <c r="G1558" s="42" t="str">
        <f t="shared" si="43"/>
        <v>RIO/MINAS - FX ADICIONAL - Decrescente - 468,1 - 466,8 - 1,30000000000001</v>
      </c>
      <c r="N1558" s="23" t="s">
        <v>363</v>
      </c>
    </row>
    <row r="1559" spans="1:14" x14ac:dyDescent="0.25">
      <c r="A1559" s="23" t="s">
        <v>935</v>
      </c>
      <c r="B1559" s="24" t="s">
        <v>320</v>
      </c>
      <c r="C1559" s="23" t="s">
        <v>933</v>
      </c>
      <c r="D1559" s="23">
        <v>470.4</v>
      </c>
      <c r="E1559" s="23">
        <v>469.1</v>
      </c>
      <c r="F1559" s="23">
        <v>1.2999999999999545</v>
      </c>
      <c r="G1559" s="42" t="str">
        <f t="shared" si="43"/>
        <v>RIO/MINAS - FX ADICIONAL - Decrescente - 470,4 - 469,1 - 1,29999999999995</v>
      </c>
      <c r="N1559" s="23" t="s">
        <v>363</v>
      </c>
    </row>
    <row r="1560" spans="1:14" x14ac:dyDescent="0.25">
      <c r="A1560" s="23" t="s">
        <v>935</v>
      </c>
      <c r="B1560" s="24" t="s">
        <v>320</v>
      </c>
      <c r="C1560" s="23" t="s">
        <v>934</v>
      </c>
      <c r="D1560" s="23">
        <v>470.4</v>
      </c>
      <c r="E1560" s="23">
        <v>471.6</v>
      </c>
      <c r="F1560" s="23">
        <v>1.2000000000000455</v>
      </c>
      <c r="G1560" s="42" t="str">
        <f t="shared" si="43"/>
        <v>RIO/MINAS - FX ADICIONAL - Crescente - 470,4 - 471,6 - 1,20000000000005</v>
      </c>
      <c r="N1560" s="23" t="s">
        <v>363</v>
      </c>
    </row>
    <row r="1561" spans="1:14" x14ac:dyDescent="0.25">
      <c r="A1561" s="23" t="s">
        <v>935</v>
      </c>
      <c r="B1561" s="24" t="s">
        <v>320</v>
      </c>
      <c r="C1561" s="23" t="s">
        <v>933</v>
      </c>
      <c r="D1561" s="23">
        <v>473.4</v>
      </c>
      <c r="E1561" s="23">
        <v>472.2</v>
      </c>
      <c r="F1561" s="23">
        <v>1.1999999999999886</v>
      </c>
      <c r="G1561" s="42" t="str">
        <f t="shared" si="43"/>
        <v>RIO/MINAS - FX ADICIONAL - Decrescente - 473,4 - 472,2 - 1,19999999999999</v>
      </c>
      <c r="N1561" s="23" t="s">
        <v>363</v>
      </c>
    </row>
    <row r="1562" spans="1:14" x14ac:dyDescent="0.25">
      <c r="A1562" s="23" t="s">
        <v>935</v>
      </c>
      <c r="B1562" s="24" t="s">
        <v>320</v>
      </c>
      <c r="C1562" s="23" t="s">
        <v>934</v>
      </c>
      <c r="D1562" s="23">
        <v>475.7</v>
      </c>
      <c r="E1562" s="23">
        <v>476.9</v>
      </c>
      <c r="F1562" s="23">
        <v>1.1999999999999886</v>
      </c>
      <c r="G1562" s="42" t="str">
        <f t="shared" si="43"/>
        <v>RIO/MINAS - FX ADICIONAL - Crescente - 475,7 - 476,9 - 1,19999999999999</v>
      </c>
      <c r="N1562" s="23" t="s">
        <v>363</v>
      </c>
    </row>
    <row r="1563" spans="1:14" x14ac:dyDescent="0.25">
      <c r="A1563" s="23" t="s">
        <v>935</v>
      </c>
      <c r="B1563" s="24" t="s">
        <v>320</v>
      </c>
      <c r="C1563" s="23" t="s">
        <v>933</v>
      </c>
      <c r="D1563" s="23">
        <v>476.815</v>
      </c>
      <c r="E1563" s="23">
        <v>476.5</v>
      </c>
      <c r="F1563" s="23">
        <v>0.31499999999999773</v>
      </c>
      <c r="G1563" s="42" t="str">
        <f t="shared" si="43"/>
        <v>RIO/MINAS - FX ADICIONAL - Decrescente - 476,815 - 476,5 - 0,314999999999998</v>
      </c>
      <c r="N1563" s="23" t="s">
        <v>363</v>
      </c>
    </row>
    <row r="1564" spans="1:14" x14ac:dyDescent="0.25">
      <c r="A1564" s="23" t="s">
        <v>935</v>
      </c>
      <c r="B1564" s="24" t="s">
        <v>320</v>
      </c>
      <c r="C1564" s="23" t="s">
        <v>934</v>
      </c>
      <c r="D1564" s="23">
        <v>481</v>
      </c>
      <c r="E1564" s="23">
        <v>482.2</v>
      </c>
      <c r="F1564" s="23">
        <v>1.1999999999999886</v>
      </c>
      <c r="G1564" s="42" t="str">
        <f t="shared" si="43"/>
        <v>RIO/MINAS - FX ADICIONAL - Crescente - 481 - 482,2 - 1,19999999999999</v>
      </c>
      <c r="N1564" s="23" t="s">
        <v>363</v>
      </c>
    </row>
    <row r="1565" spans="1:14" x14ac:dyDescent="0.25">
      <c r="A1565" s="23" t="s">
        <v>935</v>
      </c>
      <c r="B1565" s="24" t="s">
        <v>320</v>
      </c>
      <c r="C1565" s="23" t="s">
        <v>933</v>
      </c>
      <c r="D1565" s="23">
        <v>482</v>
      </c>
      <c r="E1565" s="23">
        <v>480.8</v>
      </c>
      <c r="F1565" s="23">
        <v>1.1999999999999886</v>
      </c>
      <c r="G1565" s="42" t="str">
        <f t="shared" si="43"/>
        <v>RIO/MINAS - FX ADICIONAL - Decrescente - 482 - 480,8 - 1,19999999999999</v>
      </c>
      <c r="N1565" s="23" t="s">
        <v>363</v>
      </c>
    </row>
    <row r="1566" spans="1:14" x14ac:dyDescent="0.25">
      <c r="A1566" s="23" t="s">
        <v>935</v>
      </c>
      <c r="B1566" s="24" t="s">
        <v>320</v>
      </c>
      <c r="C1566" s="23" t="s">
        <v>933</v>
      </c>
      <c r="D1566" s="23">
        <v>486.29599999999999</v>
      </c>
      <c r="E1566" s="23">
        <v>485.1</v>
      </c>
      <c r="F1566" s="23">
        <v>1.1959999999999695</v>
      </c>
      <c r="G1566" s="42" t="str">
        <f t="shared" si="43"/>
        <v>RIO/MINAS - FX ADICIONAL - Decrescente - 486,296 - 485,1 - 1,19599999999997</v>
      </c>
      <c r="N1566" s="23" t="s">
        <v>363</v>
      </c>
    </row>
    <row r="1567" spans="1:14" x14ac:dyDescent="0.25">
      <c r="A1567" s="23" t="s">
        <v>935</v>
      </c>
      <c r="B1567" s="24" t="s">
        <v>320</v>
      </c>
      <c r="C1567" s="23" t="s">
        <v>934</v>
      </c>
      <c r="D1567" s="23">
        <v>562.30499999999995</v>
      </c>
      <c r="E1567" s="23">
        <v>563.5</v>
      </c>
      <c r="F1567" s="23">
        <v>1.19500000000005</v>
      </c>
      <c r="G1567" s="42" t="str">
        <f t="shared" si="43"/>
        <v>RIO/MINAS - FX ADICIONAL - Crescente - 562,305 - 563,5 - 1,19500000000005</v>
      </c>
      <c r="N1567" s="23" t="s">
        <v>363</v>
      </c>
    </row>
    <row r="1568" spans="1:14" x14ac:dyDescent="0.25">
      <c r="A1568" s="23" t="s">
        <v>935</v>
      </c>
      <c r="B1568" s="24" t="s">
        <v>320</v>
      </c>
      <c r="C1568" s="23" t="s">
        <v>933</v>
      </c>
      <c r="D1568" s="23">
        <v>567.4</v>
      </c>
      <c r="E1568" s="23">
        <v>563.5</v>
      </c>
      <c r="F1568" s="23">
        <v>3.8999999999999773</v>
      </c>
      <c r="G1568" s="42" t="str">
        <f t="shared" si="43"/>
        <v>RIO/MINAS - FX ADICIONAL - Decrescente - 567,4 - 563,5 - 3,89999999999998</v>
      </c>
      <c r="N1568" s="23" t="s">
        <v>363</v>
      </c>
    </row>
    <row r="1569" spans="1:14" x14ac:dyDescent="0.25">
      <c r="A1569" s="23" t="s">
        <v>935</v>
      </c>
      <c r="B1569" s="24" t="s">
        <v>320</v>
      </c>
      <c r="C1569" s="23" t="s">
        <v>934</v>
      </c>
      <c r="D1569" s="23">
        <v>567.5</v>
      </c>
      <c r="E1569" s="23">
        <v>568.70500000000004</v>
      </c>
      <c r="F1569" s="23">
        <v>1.2050000000000409</v>
      </c>
      <c r="G1569" s="42" t="str">
        <f t="shared" si="43"/>
        <v>RIO/MINAS - FX ADICIONAL - Crescente - 567,5 - 568,705 - 1,20500000000004</v>
      </c>
      <c r="N1569" s="23" t="s">
        <v>363</v>
      </c>
    </row>
    <row r="1570" spans="1:14" x14ac:dyDescent="0.25">
      <c r="A1570" s="23" t="s">
        <v>935</v>
      </c>
      <c r="B1570" s="24" t="s">
        <v>320</v>
      </c>
      <c r="C1570" s="23" t="s">
        <v>933</v>
      </c>
      <c r="D1570" s="23">
        <v>569.79999999999995</v>
      </c>
      <c r="E1570" s="23">
        <v>568.6</v>
      </c>
      <c r="F1570" s="23">
        <v>1.1999999999999318</v>
      </c>
      <c r="G1570" s="42" t="str">
        <f t="shared" si="43"/>
        <v>RIO/MINAS - FX ADICIONAL - Decrescente - 569,8 - 568,6 - 1,19999999999993</v>
      </c>
      <c r="N1570" s="23" t="s">
        <v>363</v>
      </c>
    </row>
    <row r="1571" spans="1:14" x14ac:dyDescent="0.25">
      <c r="A1571" s="23" t="s">
        <v>935</v>
      </c>
      <c r="B1571" s="24" t="s">
        <v>320</v>
      </c>
      <c r="C1571" s="23" t="s">
        <v>934</v>
      </c>
      <c r="D1571" s="23">
        <v>569.9</v>
      </c>
      <c r="E1571" s="23">
        <v>571.1</v>
      </c>
      <c r="F1571" s="23">
        <v>1.2000000000000455</v>
      </c>
      <c r="G1571" s="42" t="str">
        <f t="shared" si="43"/>
        <v>RIO/MINAS - FX ADICIONAL - Crescente - 569,9 - 571,1 - 1,20000000000005</v>
      </c>
      <c r="N1571" s="23" t="s">
        <v>363</v>
      </c>
    </row>
    <row r="1572" spans="1:14" x14ac:dyDescent="0.25">
      <c r="A1572" s="23" t="s">
        <v>935</v>
      </c>
      <c r="B1572" s="24" t="s">
        <v>320</v>
      </c>
      <c r="C1572" s="23" t="s">
        <v>933</v>
      </c>
      <c r="D1572" s="23">
        <v>572.20000000000005</v>
      </c>
      <c r="E1572" s="23">
        <v>571</v>
      </c>
      <c r="F1572" s="23">
        <v>1.2000000000000455</v>
      </c>
      <c r="G1572" s="42" t="str">
        <f t="shared" si="43"/>
        <v>RIO/MINAS - FX ADICIONAL - Decrescente - 572,2 - 571 - 1,20000000000005</v>
      </c>
      <c r="N1572" s="23" t="s">
        <v>363</v>
      </c>
    </row>
    <row r="1573" spans="1:14" x14ac:dyDescent="0.25">
      <c r="A1573" s="23" t="s">
        <v>935</v>
      </c>
      <c r="B1573" s="24" t="s">
        <v>320</v>
      </c>
      <c r="C1573" s="23" t="s">
        <v>934</v>
      </c>
      <c r="D1573" s="23">
        <v>572.29999999999995</v>
      </c>
      <c r="E1573" s="23">
        <v>573.5</v>
      </c>
      <c r="F1573" s="23">
        <v>1.2000000000000455</v>
      </c>
      <c r="G1573" s="42" t="str">
        <f t="shared" si="43"/>
        <v>RIO/MINAS - FX ADICIONAL - Crescente - 572,3 - 573,5 - 1,20000000000005</v>
      </c>
      <c r="N1573" s="23" t="s">
        <v>363</v>
      </c>
    </row>
    <row r="1574" spans="1:14" x14ac:dyDescent="0.25">
      <c r="A1574" s="23" t="s">
        <v>935</v>
      </c>
      <c r="B1574" s="24" t="s">
        <v>320</v>
      </c>
      <c r="C1574" s="23" t="s">
        <v>933</v>
      </c>
      <c r="D1574" s="23">
        <v>574.6</v>
      </c>
      <c r="E1574" s="23">
        <v>573.4</v>
      </c>
      <c r="F1574" s="23">
        <v>1.2000000000000455</v>
      </c>
      <c r="G1574" s="42" t="str">
        <f t="shared" si="43"/>
        <v>RIO/MINAS - FX ADICIONAL - Decrescente - 574,6 - 573,4 - 1,20000000000005</v>
      </c>
      <c r="N1574" s="23" t="s">
        <v>363</v>
      </c>
    </row>
    <row r="1575" spans="1:14" x14ac:dyDescent="0.25">
      <c r="A1575" s="23" t="s">
        <v>935</v>
      </c>
      <c r="B1575" s="24" t="s">
        <v>320</v>
      </c>
      <c r="C1575" s="23" t="s">
        <v>934</v>
      </c>
      <c r="D1575" s="23">
        <v>574.70000000000005</v>
      </c>
      <c r="E1575" s="23">
        <v>575.9</v>
      </c>
      <c r="F1575" s="23">
        <v>1.1999999999999318</v>
      </c>
      <c r="G1575" s="42" t="str">
        <f t="shared" si="43"/>
        <v>RIO/MINAS - FX ADICIONAL - Crescente - 574,7 - 575,9 - 1,19999999999993</v>
      </c>
      <c r="N1575" s="23" t="s">
        <v>363</v>
      </c>
    </row>
    <row r="1576" spans="1:14" x14ac:dyDescent="0.25">
      <c r="A1576" s="23" t="s">
        <v>935</v>
      </c>
      <c r="B1576" s="24" t="s">
        <v>320</v>
      </c>
      <c r="C1576" s="23" t="s">
        <v>933</v>
      </c>
      <c r="D1576" s="23">
        <v>577</v>
      </c>
      <c r="E1576" s="23">
        <v>575.79999999999995</v>
      </c>
      <c r="F1576" s="23">
        <v>1.2000000000000455</v>
      </c>
      <c r="G1576" s="42" t="str">
        <f t="shared" si="43"/>
        <v>RIO/MINAS - FX ADICIONAL - Decrescente - 577 - 575,8 - 1,20000000000005</v>
      </c>
      <c r="N1576" s="23" t="s">
        <v>363</v>
      </c>
    </row>
    <row r="1577" spans="1:14" x14ac:dyDescent="0.25">
      <c r="A1577" s="23" t="s">
        <v>935</v>
      </c>
      <c r="B1577" s="24" t="s">
        <v>320</v>
      </c>
      <c r="C1577" s="23" t="s">
        <v>934</v>
      </c>
      <c r="D1577" s="23">
        <v>577.11</v>
      </c>
      <c r="E1577" s="23">
        <v>578.30499999999995</v>
      </c>
      <c r="F1577" s="23">
        <v>1.1949999999999363</v>
      </c>
      <c r="G1577" s="42" t="str">
        <f t="shared" si="43"/>
        <v>RIO/MINAS - FX ADICIONAL - Crescente - 577,11 - 578,305 - 1,19499999999994</v>
      </c>
      <c r="N1577" s="23" t="s">
        <v>363</v>
      </c>
    </row>
    <row r="1578" spans="1:14" x14ac:dyDescent="0.25">
      <c r="A1578" s="23" t="s">
        <v>935</v>
      </c>
      <c r="B1578" s="24" t="s">
        <v>320</v>
      </c>
      <c r="C1578" s="23" t="s">
        <v>933</v>
      </c>
      <c r="D1578" s="23">
        <v>579.4</v>
      </c>
      <c r="E1578" s="23">
        <v>578.20500000000004</v>
      </c>
      <c r="F1578" s="23">
        <v>1.1949999999999363</v>
      </c>
      <c r="G1578" s="42" t="str">
        <f t="shared" si="43"/>
        <v>RIO/MINAS - FX ADICIONAL - Decrescente - 579,4 - 578,205 - 1,19499999999994</v>
      </c>
      <c r="N1578" s="23" t="s">
        <v>363</v>
      </c>
    </row>
    <row r="1579" spans="1:14" x14ac:dyDescent="0.25">
      <c r="A1579" s="23" t="s">
        <v>935</v>
      </c>
      <c r="B1579" s="24" t="s">
        <v>320</v>
      </c>
      <c r="C1579" s="23" t="s">
        <v>934</v>
      </c>
      <c r="D1579" s="23">
        <v>579.5</v>
      </c>
      <c r="E1579" s="23">
        <v>580.70000000000005</v>
      </c>
      <c r="F1579" s="23">
        <v>1.2000000000000455</v>
      </c>
      <c r="G1579" s="42" t="str">
        <f t="shared" si="43"/>
        <v>RIO/MINAS - FX ADICIONAL - Crescente - 579,5 - 580,7 - 1,20000000000005</v>
      </c>
      <c r="N1579" s="23" t="s">
        <v>363</v>
      </c>
    </row>
    <row r="1580" spans="1:14" x14ac:dyDescent="0.25">
      <c r="A1580" s="23" t="s">
        <v>935</v>
      </c>
      <c r="B1580" s="24" t="s">
        <v>320</v>
      </c>
      <c r="C1580" s="23" t="s">
        <v>933</v>
      </c>
      <c r="D1580" s="23">
        <v>581.79999999999995</v>
      </c>
      <c r="E1580" s="23">
        <v>580.6</v>
      </c>
      <c r="F1580" s="23">
        <v>1.1999999999999318</v>
      </c>
      <c r="G1580" s="42" t="str">
        <f t="shared" si="43"/>
        <v>RIO/MINAS - FX ADICIONAL - Decrescente - 581,8 - 580,6 - 1,19999999999993</v>
      </c>
      <c r="N1580" s="23" t="s">
        <v>363</v>
      </c>
    </row>
    <row r="1581" spans="1:14" x14ac:dyDescent="0.25">
      <c r="A1581" s="23" t="s">
        <v>935</v>
      </c>
      <c r="B1581" s="24" t="s">
        <v>320</v>
      </c>
      <c r="C1581" s="23" t="s">
        <v>934</v>
      </c>
      <c r="D1581" s="23">
        <v>581.9</v>
      </c>
      <c r="E1581" s="23">
        <v>583.1</v>
      </c>
      <c r="F1581" s="23">
        <v>1.2000000000000455</v>
      </c>
      <c r="G1581" s="42" t="str">
        <f t="shared" si="43"/>
        <v>RIO/MINAS - FX ADICIONAL - Crescente - 581,9 - 583,1 - 1,20000000000005</v>
      </c>
      <c r="N1581" s="23" t="s">
        <v>363</v>
      </c>
    </row>
    <row r="1582" spans="1:14" x14ac:dyDescent="0.25">
      <c r="A1582" s="23" t="s">
        <v>935</v>
      </c>
      <c r="B1582" s="24" t="s">
        <v>320</v>
      </c>
      <c r="C1582" s="23" t="s">
        <v>933</v>
      </c>
      <c r="D1582" s="23">
        <v>584.20000000000005</v>
      </c>
      <c r="E1582" s="23">
        <v>583</v>
      </c>
      <c r="F1582" s="23">
        <v>1.2000000000000455</v>
      </c>
      <c r="G1582" s="42" t="str">
        <f t="shared" si="43"/>
        <v>RIO/MINAS - FX ADICIONAL - Decrescente - 584,2 - 583 - 1,20000000000005</v>
      </c>
      <c r="N1582" s="23" t="s">
        <v>363</v>
      </c>
    </row>
    <row r="1583" spans="1:14" x14ac:dyDescent="0.25">
      <c r="A1583" s="23" t="s">
        <v>935</v>
      </c>
      <c r="B1583" s="24" t="s">
        <v>320</v>
      </c>
      <c r="C1583" s="23" t="s">
        <v>934</v>
      </c>
      <c r="D1583" s="23">
        <v>584.6</v>
      </c>
      <c r="E1583" s="23">
        <v>585.79999999999995</v>
      </c>
      <c r="F1583" s="23">
        <v>1.1999999999999318</v>
      </c>
      <c r="G1583" s="42" t="str">
        <f t="shared" si="43"/>
        <v>RIO/MINAS - FX ADICIONAL - Crescente - 584,6 - 585,8 - 1,19999999999993</v>
      </c>
      <c r="N1583" s="23" t="s">
        <v>363</v>
      </c>
    </row>
    <row r="1584" spans="1:14" x14ac:dyDescent="0.25">
      <c r="A1584" s="23" t="s">
        <v>935</v>
      </c>
      <c r="B1584" s="24" t="s">
        <v>320</v>
      </c>
      <c r="C1584" s="23" t="s">
        <v>933</v>
      </c>
      <c r="D1584" s="23">
        <v>586.20000000000005</v>
      </c>
      <c r="E1584" s="23">
        <v>585</v>
      </c>
      <c r="F1584" s="23">
        <v>1.2000000000000455</v>
      </c>
      <c r="G1584" s="42" t="str">
        <f t="shared" si="43"/>
        <v>RIO/MINAS - FX ADICIONAL - Decrescente - 586,2 - 585 - 1,20000000000005</v>
      </c>
      <c r="N1584" s="23" t="s">
        <v>363</v>
      </c>
    </row>
    <row r="1585" spans="1:14" x14ac:dyDescent="0.25">
      <c r="A1585" s="23" t="s">
        <v>935</v>
      </c>
      <c r="B1585" s="24" t="s">
        <v>320</v>
      </c>
      <c r="C1585" s="23" t="s">
        <v>933</v>
      </c>
      <c r="D1585" s="23">
        <v>593.9</v>
      </c>
      <c r="E1585" s="23">
        <v>591</v>
      </c>
      <c r="F1585" s="23">
        <v>2.8999999999999773</v>
      </c>
      <c r="G1585" s="42" t="str">
        <f t="shared" si="43"/>
        <v>RIO/MINAS - FX ADICIONAL - Decrescente - 593,9 - 591 - 2,89999999999998</v>
      </c>
      <c r="N1585" s="23" t="s">
        <v>363</v>
      </c>
    </row>
    <row r="1586" spans="1:14" x14ac:dyDescent="0.25">
      <c r="A1586" s="23" t="s">
        <v>935</v>
      </c>
      <c r="B1586" s="24" t="s">
        <v>320</v>
      </c>
      <c r="C1586" s="23" t="s">
        <v>934</v>
      </c>
      <c r="D1586" s="23">
        <v>594</v>
      </c>
      <c r="E1586" s="23">
        <v>595.20699999999999</v>
      </c>
      <c r="F1586" s="23">
        <v>1.2069999999999936</v>
      </c>
      <c r="G1586" s="42" t="str">
        <f t="shared" si="43"/>
        <v>RIO/MINAS - FX ADICIONAL - Crescente - 594 - 595,207 - 1,20699999999999</v>
      </c>
      <c r="N1586" s="23" t="s">
        <v>363</v>
      </c>
    </row>
    <row r="1587" spans="1:14" x14ac:dyDescent="0.25">
      <c r="A1587" s="23" t="s">
        <v>935</v>
      </c>
      <c r="B1587" s="24" t="s">
        <v>320</v>
      </c>
      <c r="C1587" s="23" t="s">
        <v>933</v>
      </c>
      <c r="D1587" s="23">
        <v>598.6</v>
      </c>
      <c r="E1587" s="23">
        <v>597.4</v>
      </c>
      <c r="F1587" s="23">
        <v>1.2000000000000455</v>
      </c>
      <c r="G1587" s="42" t="str">
        <f t="shared" si="43"/>
        <v>RIO/MINAS - FX ADICIONAL - Decrescente - 598,6 - 597,4 - 1,20000000000005</v>
      </c>
      <c r="N1587" s="23" t="s">
        <v>363</v>
      </c>
    </row>
    <row r="1588" spans="1:14" x14ac:dyDescent="0.25">
      <c r="A1588" s="23" t="s">
        <v>935</v>
      </c>
      <c r="B1588" s="24" t="s">
        <v>320</v>
      </c>
      <c r="C1588" s="23" t="s">
        <v>934</v>
      </c>
      <c r="D1588" s="23">
        <v>598.70000000000005</v>
      </c>
      <c r="E1588" s="23">
        <v>599.9</v>
      </c>
      <c r="F1588" s="23">
        <v>1.1999999999999318</v>
      </c>
      <c r="G1588" s="42" t="str">
        <f t="shared" si="43"/>
        <v>RIO/MINAS - FX ADICIONAL - Crescente - 598,7 - 599,9 - 1,19999999999993</v>
      </c>
      <c r="N1588" s="23" t="s">
        <v>363</v>
      </c>
    </row>
    <row r="1589" spans="1:14" x14ac:dyDescent="0.25">
      <c r="A1589" s="23" t="s">
        <v>935</v>
      </c>
      <c r="B1589" s="24" t="s">
        <v>320</v>
      </c>
      <c r="C1589" s="23" t="s">
        <v>933</v>
      </c>
      <c r="D1589" s="23">
        <v>603.29999999999995</v>
      </c>
      <c r="E1589" s="23">
        <v>602.1</v>
      </c>
      <c r="F1589" s="23">
        <v>1.1999999999999318</v>
      </c>
      <c r="G1589" s="42" t="str">
        <f t="shared" si="43"/>
        <v>RIO/MINAS - FX ADICIONAL - Decrescente - 603,3 - 602,1 - 1,19999999999993</v>
      </c>
      <c r="N1589" s="23" t="s">
        <v>363</v>
      </c>
    </row>
    <row r="1590" spans="1:14" x14ac:dyDescent="0.25">
      <c r="A1590" s="23" t="s">
        <v>935</v>
      </c>
      <c r="B1590" s="24" t="s">
        <v>320</v>
      </c>
      <c r="C1590" s="23" t="s">
        <v>934</v>
      </c>
      <c r="D1590" s="23">
        <v>603.29999999999995</v>
      </c>
      <c r="E1590" s="23">
        <v>604.5</v>
      </c>
      <c r="F1590" s="23">
        <v>1.2000000000000455</v>
      </c>
      <c r="G1590" s="42" t="str">
        <f t="shared" si="43"/>
        <v>RIO/MINAS - FX ADICIONAL - Crescente - 603,3 - 604,5 - 1,20000000000005</v>
      </c>
      <c r="N1590" s="23" t="s">
        <v>363</v>
      </c>
    </row>
    <row r="1591" spans="1:14" x14ac:dyDescent="0.25">
      <c r="A1591" s="23" t="s">
        <v>935</v>
      </c>
      <c r="B1591" s="24" t="s">
        <v>320</v>
      </c>
      <c r="C1591" s="23" t="s">
        <v>933</v>
      </c>
      <c r="D1591" s="23">
        <v>608</v>
      </c>
      <c r="E1591" s="23">
        <v>606.79999999999995</v>
      </c>
      <c r="F1591" s="23">
        <v>1.2000000000000455</v>
      </c>
      <c r="G1591" s="42" t="str">
        <f t="shared" si="43"/>
        <v>RIO/MINAS - FX ADICIONAL - Decrescente - 608 - 606,8 - 1,20000000000005</v>
      </c>
      <c r="N1591" s="23" t="s">
        <v>363</v>
      </c>
    </row>
    <row r="1592" spans="1:14" x14ac:dyDescent="0.25">
      <c r="A1592" s="23" t="s">
        <v>935</v>
      </c>
      <c r="B1592" s="24" t="s">
        <v>320</v>
      </c>
      <c r="C1592" s="23" t="s">
        <v>934</v>
      </c>
      <c r="D1592" s="23">
        <v>608</v>
      </c>
      <c r="E1592" s="23">
        <v>609.20000000000005</v>
      </c>
      <c r="F1592" s="23">
        <v>1.2000000000000455</v>
      </c>
      <c r="G1592" s="42" t="str">
        <f t="shared" si="43"/>
        <v>RIO/MINAS - FX ADICIONAL - Crescente - 608 - 609,2 - 1,20000000000005</v>
      </c>
      <c r="N1592" s="23" t="s">
        <v>363</v>
      </c>
    </row>
    <row r="1593" spans="1:14" x14ac:dyDescent="0.25">
      <c r="A1593" s="23" t="s">
        <v>935</v>
      </c>
      <c r="B1593" s="24" t="s">
        <v>320</v>
      </c>
      <c r="C1593" s="23" t="s">
        <v>933</v>
      </c>
      <c r="D1593" s="23">
        <v>609.20000000000005</v>
      </c>
      <c r="E1593" s="23">
        <v>608</v>
      </c>
      <c r="F1593" s="23">
        <v>1.2000000000000455</v>
      </c>
      <c r="G1593" s="42" t="str">
        <f t="shared" si="43"/>
        <v>RIO/MINAS - FX ADICIONAL - Decrescente - 609,2 - 608 - 1,20000000000005</v>
      </c>
      <c r="N1593" s="23" t="s">
        <v>363</v>
      </c>
    </row>
    <row r="1594" spans="1:14" x14ac:dyDescent="0.25">
      <c r="A1594" s="23" t="s">
        <v>935</v>
      </c>
      <c r="B1594" s="24" t="s">
        <v>320</v>
      </c>
      <c r="C1594" s="23" t="s">
        <v>934</v>
      </c>
      <c r="D1594" s="23">
        <v>612.70000000000005</v>
      </c>
      <c r="E1594" s="23">
        <v>613.9</v>
      </c>
      <c r="F1594" s="23">
        <v>1.1999999999999318</v>
      </c>
      <c r="G1594" s="42" t="str">
        <f t="shared" si="43"/>
        <v>RIO/MINAS - FX ADICIONAL - Crescente - 612,7 - 613,9 - 1,19999999999993</v>
      </c>
      <c r="N1594" s="23" t="s">
        <v>363</v>
      </c>
    </row>
    <row r="1595" spans="1:14" x14ac:dyDescent="0.25">
      <c r="A1595" s="23" t="s">
        <v>935</v>
      </c>
      <c r="B1595" s="24" t="s">
        <v>320</v>
      </c>
      <c r="C1595" s="23" t="s">
        <v>933</v>
      </c>
      <c r="D1595" s="23">
        <v>617</v>
      </c>
      <c r="E1595" s="23">
        <v>615.5</v>
      </c>
      <c r="F1595" s="23">
        <v>1.5</v>
      </c>
      <c r="G1595" s="42" t="str">
        <f t="shared" si="43"/>
        <v>RIO/MINAS - FX ADICIONAL - Decrescente - 617 - 615,5 - 1,5</v>
      </c>
      <c r="N1595" s="23" t="s">
        <v>363</v>
      </c>
    </row>
    <row r="1596" spans="1:14" x14ac:dyDescent="0.25">
      <c r="A1596" s="23" t="s">
        <v>935</v>
      </c>
      <c r="B1596" s="24" t="s">
        <v>320</v>
      </c>
      <c r="C1596" s="23" t="s">
        <v>934</v>
      </c>
      <c r="D1596" s="23">
        <v>617.29999999999995</v>
      </c>
      <c r="E1596" s="23">
        <v>618.5</v>
      </c>
      <c r="F1596" s="23">
        <v>1.2000000000000455</v>
      </c>
      <c r="G1596" s="42" t="str">
        <f t="shared" si="43"/>
        <v>RIO/MINAS - FX ADICIONAL - Crescente - 617,3 - 618,5 - 1,20000000000005</v>
      </c>
      <c r="N1596" s="23" t="s">
        <v>363</v>
      </c>
    </row>
    <row r="1597" spans="1:14" x14ac:dyDescent="0.25">
      <c r="A1597" s="23" t="s">
        <v>935</v>
      </c>
      <c r="B1597" s="24" t="s">
        <v>320</v>
      </c>
      <c r="C1597" s="23" t="s">
        <v>933</v>
      </c>
      <c r="D1597" s="23">
        <v>622.1</v>
      </c>
      <c r="E1597" s="23">
        <v>620.9</v>
      </c>
      <c r="F1597" s="23">
        <v>1.2000000000000455</v>
      </c>
      <c r="G1597" s="42" t="str">
        <f t="shared" si="43"/>
        <v>RIO/MINAS - FX ADICIONAL - Decrescente - 622,1 - 620,9 - 1,20000000000005</v>
      </c>
      <c r="N1597" s="23" t="s">
        <v>363</v>
      </c>
    </row>
    <row r="1598" spans="1:14" x14ac:dyDescent="0.25">
      <c r="A1598" s="23" t="s">
        <v>935</v>
      </c>
      <c r="B1598" s="24" t="s">
        <v>320</v>
      </c>
      <c r="C1598" s="23" t="s">
        <v>934</v>
      </c>
      <c r="D1598" s="23">
        <v>622.79999999999995</v>
      </c>
      <c r="E1598" s="23">
        <v>624</v>
      </c>
      <c r="F1598" s="23">
        <v>1.2000000000000455</v>
      </c>
      <c r="G1598" s="42" t="str">
        <f t="shared" ref="G1598:G1661" si="44">_xlfn.TEXTJOIN(" - ",TRUE,A1598:F1598)</f>
        <v>RIO/MINAS - FX ADICIONAL - Crescente - 622,8 - 624 - 1,20000000000005</v>
      </c>
      <c r="N1598" s="23" t="s">
        <v>363</v>
      </c>
    </row>
    <row r="1599" spans="1:14" x14ac:dyDescent="0.25">
      <c r="A1599" s="23" t="s">
        <v>935</v>
      </c>
      <c r="B1599" s="24" t="s">
        <v>320</v>
      </c>
      <c r="C1599" s="23" t="s">
        <v>933</v>
      </c>
      <c r="D1599" s="23">
        <v>627.20000000000005</v>
      </c>
      <c r="E1599" s="23">
        <v>626</v>
      </c>
      <c r="F1599" s="23">
        <v>1.2000000000000455</v>
      </c>
      <c r="G1599" s="42" t="str">
        <f t="shared" si="44"/>
        <v>RIO/MINAS - FX ADICIONAL - Decrescente - 627,2 - 626 - 1,20000000000005</v>
      </c>
      <c r="N1599" s="23" t="s">
        <v>363</v>
      </c>
    </row>
    <row r="1600" spans="1:14" x14ac:dyDescent="0.25">
      <c r="A1600" s="23" t="s">
        <v>935</v>
      </c>
      <c r="B1600" s="24" t="s">
        <v>320</v>
      </c>
      <c r="C1600" s="23" t="s">
        <v>934</v>
      </c>
      <c r="D1600" s="23">
        <v>627.5</v>
      </c>
      <c r="E1600" s="23">
        <v>628.70000000000005</v>
      </c>
      <c r="F1600" s="23">
        <v>1.2000000000000455</v>
      </c>
      <c r="G1600" s="42" t="str">
        <f t="shared" si="44"/>
        <v>RIO/MINAS - FX ADICIONAL - Crescente - 627,5 - 628,7 - 1,20000000000005</v>
      </c>
      <c r="N1600" s="23" t="s">
        <v>363</v>
      </c>
    </row>
    <row r="1601" spans="1:14" x14ac:dyDescent="0.25">
      <c r="A1601" s="23" t="s">
        <v>935</v>
      </c>
      <c r="B1601" s="24" t="s">
        <v>320</v>
      </c>
      <c r="C1601" s="23" t="s">
        <v>934</v>
      </c>
      <c r="D1601" s="23">
        <v>636.5</v>
      </c>
      <c r="E1601" s="23">
        <v>637.70000000000005</v>
      </c>
      <c r="F1601" s="23">
        <v>1.2000000000000455</v>
      </c>
      <c r="G1601" s="42" t="str">
        <f t="shared" si="44"/>
        <v>RIO/MINAS - FX ADICIONAL - Crescente - 636,5 - 637,7 - 1,20000000000005</v>
      </c>
      <c r="N1601" s="23" t="s">
        <v>363</v>
      </c>
    </row>
    <row r="1602" spans="1:14" x14ac:dyDescent="0.25">
      <c r="A1602" s="23" t="s">
        <v>935</v>
      </c>
      <c r="B1602" s="24" t="s">
        <v>320</v>
      </c>
      <c r="C1602" s="23" t="s">
        <v>933</v>
      </c>
      <c r="D1602" s="23">
        <v>636.5</v>
      </c>
      <c r="E1602" s="23">
        <v>635.19500000000005</v>
      </c>
      <c r="F1602" s="23">
        <v>1.30499999999995</v>
      </c>
      <c r="G1602" s="42" t="str">
        <f t="shared" si="44"/>
        <v>RIO/MINAS - FX ADICIONAL - Decrescente - 636,5 - 635,195 - 1,30499999999995</v>
      </c>
      <c r="N1602" s="23" t="s">
        <v>363</v>
      </c>
    </row>
    <row r="1603" spans="1:14" x14ac:dyDescent="0.25">
      <c r="A1603" s="23" t="s">
        <v>935</v>
      </c>
      <c r="B1603" s="24" t="s">
        <v>320</v>
      </c>
      <c r="C1603" s="23" t="s">
        <v>934</v>
      </c>
      <c r="D1603" s="23">
        <v>640.36699999999996</v>
      </c>
      <c r="E1603" s="23">
        <v>641.20000000000005</v>
      </c>
      <c r="F1603" s="23">
        <v>0.83300000000008367</v>
      </c>
      <c r="G1603" s="42" t="str">
        <f t="shared" si="44"/>
        <v>RIO/MINAS - FX ADICIONAL - Crescente - 640,367 - 641,2 - 0,833000000000084</v>
      </c>
      <c r="N1603" s="23" t="s">
        <v>363</v>
      </c>
    </row>
    <row r="1604" spans="1:14" x14ac:dyDescent="0.25">
      <c r="A1604" s="23" t="s">
        <v>935</v>
      </c>
      <c r="B1604" s="24" t="s">
        <v>320</v>
      </c>
      <c r="C1604" s="23" t="s">
        <v>934</v>
      </c>
      <c r="D1604" s="23">
        <v>644</v>
      </c>
      <c r="E1604" s="23">
        <v>645.19500000000005</v>
      </c>
      <c r="F1604" s="23">
        <v>1.19500000000005</v>
      </c>
      <c r="G1604" s="42" t="str">
        <f t="shared" si="44"/>
        <v>RIO/MINAS - FX ADICIONAL - Crescente - 644 - 645,195 - 1,19500000000005</v>
      </c>
      <c r="N1604" s="23" t="s">
        <v>363</v>
      </c>
    </row>
    <row r="1605" spans="1:14" x14ac:dyDescent="0.25">
      <c r="A1605" s="23" t="s">
        <v>935</v>
      </c>
      <c r="B1605" s="24" t="s">
        <v>320</v>
      </c>
      <c r="C1605" s="23" t="s">
        <v>933</v>
      </c>
      <c r="D1605" s="23">
        <v>645</v>
      </c>
      <c r="E1605" s="23">
        <v>643.79999999999995</v>
      </c>
      <c r="F1605" s="23">
        <v>1.2000000000000455</v>
      </c>
      <c r="G1605" s="42" t="str">
        <f t="shared" si="44"/>
        <v>RIO/MINAS - FX ADICIONAL - Decrescente - 645 - 643,8 - 1,20000000000005</v>
      </c>
      <c r="N1605" s="23" t="s">
        <v>363</v>
      </c>
    </row>
    <row r="1606" spans="1:14" x14ac:dyDescent="0.25">
      <c r="A1606" s="23" t="s">
        <v>935</v>
      </c>
      <c r="B1606" s="24" t="s">
        <v>320</v>
      </c>
      <c r="C1606" s="23" t="s">
        <v>934</v>
      </c>
      <c r="D1606" s="23">
        <v>648</v>
      </c>
      <c r="E1606" s="23">
        <v>649.19500000000005</v>
      </c>
      <c r="F1606" s="23">
        <v>1.19500000000005</v>
      </c>
      <c r="G1606" s="42" t="str">
        <f t="shared" si="44"/>
        <v>RIO/MINAS - FX ADICIONAL - Crescente - 648 - 649,195 - 1,19500000000005</v>
      </c>
      <c r="N1606" s="23" t="s">
        <v>363</v>
      </c>
    </row>
    <row r="1607" spans="1:14" x14ac:dyDescent="0.25">
      <c r="A1607" s="23" t="s">
        <v>935</v>
      </c>
      <c r="B1607" s="24" t="s">
        <v>320</v>
      </c>
      <c r="C1607" s="23" t="s">
        <v>933</v>
      </c>
      <c r="D1607" s="23">
        <v>648</v>
      </c>
      <c r="E1607" s="23">
        <v>646.79999999999995</v>
      </c>
      <c r="F1607" s="23">
        <v>1.2000000000000455</v>
      </c>
      <c r="G1607" s="42" t="str">
        <f t="shared" si="44"/>
        <v>RIO/MINAS - FX ADICIONAL - Decrescente - 648 - 646,8 - 1,20000000000005</v>
      </c>
      <c r="N1607" s="23" t="s">
        <v>363</v>
      </c>
    </row>
    <row r="1608" spans="1:14" x14ac:dyDescent="0.25">
      <c r="A1608" s="23" t="s">
        <v>935</v>
      </c>
      <c r="B1608" s="24" t="s">
        <v>320</v>
      </c>
      <c r="C1608" s="23" t="s">
        <v>934</v>
      </c>
      <c r="D1608" s="23">
        <v>651.29999999999995</v>
      </c>
      <c r="E1608" s="23">
        <v>652.5</v>
      </c>
      <c r="F1608" s="23">
        <v>1.2000000000000455</v>
      </c>
      <c r="G1608" s="42" t="str">
        <f t="shared" si="44"/>
        <v>RIO/MINAS - FX ADICIONAL - Crescente - 651,3 - 652,5 - 1,20000000000005</v>
      </c>
      <c r="N1608" s="23" t="s">
        <v>363</v>
      </c>
    </row>
    <row r="1609" spans="1:14" x14ac:dyDescent="0.25">
      <c r="A1609" s="23" t="s">
        <v>935</v>
      </c>
      <c r="B1609" s="24" t="s">
        <v>320</v>
      </c>
      <c r="C1609" s="23" t="s">
        <v>933</v>
      </c>
      <c r="D1609" s="23">
        <v>651.29999999999995</v>
      </c>
      <c r="E1609" s="23">
        <v>650.1</v>
      </c>
      <c r="F1609" s="23">
        <v>1.1999999999999318</v>
      </c>
      <c r="G1609" s="42" t="str">
        <f t="shared" si="44"/>
        <v>RIO/MINAS - FX ADICIONAL - Decrescente - 651,3 - 650,1 - 1,19999999999993</v>
      </c>
      <c r="N1609" s="23" t="s">
        <v>363</v>
      </c>
    </row>
    <row r="1610" spans="1:14" x14ac:dyDescent="0.25">
      <c r="A1610" s="23" t="s">
        <v>935</v>
      </c>
      <c r="B1610" s="24" t="s">
        <v>320</v>
      </c>
      <c r="C1610" s="23" t="s">
        <v>933</v>
      </c>
      <c r="D1610" s="23">
        <v>652.5</v>
      </c>
      <c r="E1610" s="23">
        <v>652.25</v>
      </c>
      <c r="F1610" s="23">
        <v>0.25</v>
      </c>
      <c r="G1610" s="42" t="str">
        <f t="shared" si="44"/>
        <v>RIO/MINAS - FX ADICIONAL - Decrescente - 652,5 - 652,25 - 0,25</v>
      </c>
      <c r="N1610" s="23" t="s">
        <v>363</v>
      </c>
    </row>
    <row r="1611" spans="1:14" x14ac:dyDescent="0.25">
      <c r="A1611" s="23" t="s">
        <v>935</v>
      </c>
      <c r="B1611" s="24" t="s">
        <v>320</v>
      </c>
      <c r="C1611" s="23" t="s">
        <v>934</v>
      </c>
      <c r="D1611" s="23">
        <v>655</v>
      </c>
      <c r="E1611" s="23">
        <v>656.2</v>
      </c>
      <c r="F1611" s="23">
        <v>1.2000000000000455</v>
      </c>
      <c r="G1611" s="42" t="str">
        <f t="shared" si="44"/>
        <v>RIO/MINAS - FX ADICIONAL - Crescente - 655 - 656,2 - 1,20000000000005</v>
      </c>
      <c r="N1611" s="23" t="s">
        <v>363</v>
      </c>
    </row>
    <row r="1612" spans="1:14" x14ac:dyDescent="0.25">
      <c r="A1612" s="23" t="s">
        <v>935</v>
      </c>
      <c r="B1612" s="24" t="s">
        <v>320</v>
      </c>
      <c r="C1612" s="23" t="s">
        <v>934</v>
      </c>
      <c r="D1612" s="23">
        <v>661.1</v>
      </c>
      <c r="E1612" s="23">
        <v>662.31</v>
      </c>
      <c r="F1612" s="23">
        <v>1.2099999999999227</v>
      </c>
      <c r="G1612" s="42" t="str">
        <f t="shared" si="44"/>
        <v>RIO/MINAS - FX ADICIONAL - Crescente - 661,1 - 662,31 - 1,20999999999992</v>
      </c>
      <c r="N1612" s="23" t="s">
        <v>363</v>
      </c>
    </row>
    <row r="1613" spans="1:14" x14ac:dyDescent="0.25">
      <c r="A1613" s="23" t="s">
        <v>935</v>
      </c>
      <c r="B1613" s="24" t="s">
        <v>320</v>
      </c>
      <c r="C1613" s="23" t="s">
        <v>934</v>
      </c>
      <c r="D1613" s="23">
        <v>666</v>
      </c>
      <c r="E1613" s="23">
        <v>667.19500000000005</v>
      </c>
      <c r="F1613" s="23">
        <v>1.19500000000005</v>
      </c>
      <c r="G1613" s="42" t="str">
        <f t="shared" si="44"/>
        <v>RIO/MINAS - FX ADICIONAL - Crescente - 666 - 667,195 - 1,19500000000005</v>
      </c>
      <c r="N1613" s="23" t="s">
        <v>363</v>
      </c>
    </row>
    <row r="1614" spans="1:14" x14ac:dyDescent="0.25">
      <c r="A1614" s="23" t="s">
        <v>935</v>
      </c>
      <c r="B1614" s="24" t="s">
        <v>320</v>
      </c>
      <c r="C1614" s="23" t="s">
        <v>933</v>
      </c>
      <c r="D1614" s="23">
        <v>669.9</v>
      </c>
      <c r="E1614" s="23">
        <v>668</v>
      </c>
      <c r="F1614" s="23">
        <v>1.8999999999999773</v>
      </c>
      <c r="G1614" s="42" t="str">
        <f t="shared" si="44"/>
        <v>RIO/MINAS - FX ADICIONAL - Decrescente - 669,9 - 668 - 1,89999999999998</v>
      </c>
      <c r="N1614" s="23" t="s">
        <v>363</v>
      </c>
    </row>
    <row r="1615" spans="1:14" x14ac:dyDescent="0.25">
      <c r="A1615" s="23" t="s">
        <v>935</v>
      </c>
      <c r="B1615" s="24" t="s">
        <v>320</v>
      </c>
      <c r="C1615" s="23" t="s">
        <v>934</v>
      </c>
      <c r="D1615" s="23">
        <v>671</v>
      </c>
      <c r="E1615" s="23">
        <v>672.2</v>
      </c>
      <c r="F1615" s="23">
        <v>1.2000000000000455</v>
      </c>
      <c r="G1615" s="42" t="str">
        <f t="shared" si="44"/>
        <v>RIO/MINAS - FX ADICIONAL - Crescente - 671 - 672,2 - 1,20000000000005</v>
      </c>
      <c r="N1615" s="23" t="s">
        <v>363</v>
      </c>
    </row>
    <row r="1616" spans="1:14" x14ac:dyDescent="0.25">
      <c r="A1616" s="23" t="s">
        <v>935</v>
      </c>
      <c r="B1616" s="24" t="s">
        <v>320</v>
      </c>
      <c r="C1616" s="23" t="s">
        <v>933</v>
      </c>
      <c r="D1616" s="23">
        <v>674.2</v>
      </c>
      <c r="E1616" s="23">
        <v>673</v>
      </c>
      <c r="F1616" s="23">
        <v>1.2000000000000455</v>
      </c>
      <c r="G1616" s="42" t="str">
        <f t="shared" si="44"/>
        <v>RIO/MINAS - FX ADICIONAL - Decrescente - 674,2 - 673 - 1,20000000000005</v>
      </c>
      <c r="N1616" s="23" t="s">
        <v>363</v>
      </c>
    </row>
    <row r="1617" spans="1:14" x14ac:dyDescent="0.25">
      <c r="A1617" s="23" t="s">
        <v>935</v>
      </c>
      <c r="B1617" s="24" t="s">
        <v>320</v>
      </c>
      <c r="C1617" s="23" t="s">
        <v>934</v>
      </c>
      <c r="D1617" s="23">
        <v>675.505</v>
      </c>
      <c r="E1617" s="23">
        <v>676.8</v>
      </c>
      <c r="F1617" s="23">
        <v>1.2949999999999591</v>
      </c>
      <c r="G1617" s="42" t="str">
        <f t="shared" si="44"/>
        <v>RIO/MINAS - FX ADICIONAL - Crescente - 675,505 - 676,8 - 1,29499999999996</v>
      </c>
      <c r="N1617" s="23" t="s">
        <v>363</v>
      </c>
    </row>
    <row r="1618" spans="1:14" x14ac:dyDescent="0.25">
      <c r="A1618" s="23" t="s">
        <v>935</v>
      </c>
      <c r="B1618" s="24" t="s">
        <v>320</v>
      </c>
      <c r="C1618" s="23" t="s">
        <v>933</v>
      </c>
      <c r="D1618" s="23">
        <v>678.5</v>
      </c>
      <c r="E1618" s="23">
        <v>677.3</v>
      </c>
      <c r="F1618" s="23">
        <v>1.2000000000000455</v>
      </c>
      <c r="G1618" s="42" t="str">
        <f t="shared" si="44"/>
        <v>RIO/MINAS - FX ADICIONAL - Decrescente - 678,5 - 677,3 - 1,20000000000005</v>
      </c>
      <c r="N1618" s="23" t="s">
        <v>363</v>
      </c>
    </row>
    <row r="1619" spans="1:14" x14ac:dyDescent="0.25">
      <c r="A1619" s="23" t="s">
        <v>935</v>
      </c>
      <c r="B1619" s="24" t="s">
        <v>320</v>
      </c>
      <c r="C1619" s="23" t="s">
        <v>934</v>
      </c>
      <c r="D1619" s="23">
        <v>680.2</v>
      </c>
      <c r="E1619" s="23">
        <v>681.4</v>
      </c>
      <c r="F1619" s="23">
        <v>1.1999999999999318</v>
      </c>
      <c r="G1619" s="42" t="str">
        <f t="shared" si="44"/>
        <v>RIO/MINAS - FX ADICIONAL - Crescente - 680,2 - 681,4 - 1,19999999999993</v>
      </c>
      <c r="N1619" s="23" t="s">
        <v>363</v>
      </c>
    </row>
    <row r="1620" spans="1:14" x14ac:dyDescent="0.25">
      <c r="A1620" s="23" t="s">
        <v>935</v>
      </c>
      <c r="B1620" s="24" t="s">
        <v>320</v>
      </c>
      <c r="C1620" s="23" t="s">
        <v>933</v>
      </c>
      <c r="D1620" s="23">
        <v>682.8</v>
      </c>
      <c r="E1620" s="23">
        <v>681.6</v>
      </c>
      <c r="F1620" s="23">
        <v>1.1999999999999318</v>
      </c>
      <c r="G1620" s="42" t="str">
        <f t="shared" si="44"/>
        <v>RIO/MINAS - FX ADICIONAL - Decrescente - 682,8 - 681,6 - 1,19999999999993</v>
      </c>
      <c r="N1620" s="23" t="s">
        <v>363</v>
      </c>
    </row>
    <row r="1621" spans="1:14" x14ac:dyDescent="0.25">
      <c r="A1621" s="23" t="s">
        <v>935</v>
      </c>
      <c r="B1621" s="24" t="s">
        <v>320</v>
      </c>
      <c r="C1621" s="23" t="s">
        <v>934</v>
      </c>
      <c r="D1621" s="23">
        <v>684</v>
      </c>
      <c r="E1621" s="23">
        <v>685.2</v>
      </c>
      <c r="F1621" s="23">
        <v>1.2000000000000455</v>
      </c>
      <c r="G1621" s="42" t="str">
        <f t="shared" si="44"/>
        <v>RIO/MINAS - FX ADICIONAL - Crescente - 684 - 685,2 - 1,20000000000005</v>
      </c>
      <c r="N1621" s="23" t="s">
        <v>363</v>
      </c>
    </row>
    <row r="1622" spans="1:14" x14ac:dyDescent="0.25">
      <c r="A1622" s="23" t="s">
        <v>935</v>
      </c>
      <c r="B1622" s="24" t="s">
        <v>320</v>
      </c>
      <c r="C1622" s="23" t="s">
        <v>933</v>
      </c>
      <c r="D1622" s="23">
        <v>687.1</v>
      </c>
      <c r="E1622" s="23">
        <v>685.9</v>
      </c>
      <c r="F1622" s="23">
        <v>1.2000000000000455</v>
      </c>
      <c r="G1622" s="42" t="str">
        <f t="shared" si="44"/>
        <v>RIO/MINAS - FX ADICIONAL - Decrescente - 687,1 - 685,9 - 1,20000000000005</v>
      </c>
      <c r="N1622" s="23" t="s">
        <v>363</v>
      </c>
    </row>
    <row r="1623" spans="1:14" x14ac:dyDescent="0.25">
      <c r="A1623" s="23" t="s">
        <v>935</v>
      </c>
      <c r="B1623" s="24" t="s">
        <v>320</v>
      </c>
      <c r="C1623" s="23" t="s">
        <v>933</v>
      </c>
      <c r="D1623" s="23">
        <v>691.1</v>
      </c>
      <c r="E1623" s="23">
        <v>689.9</v>
      </c>
      <c r="F1623" s="23">
        <v>1.2000000000000455</v>
      </c>
      <c r="G1623" s="42" t="str">
        <f t="shared" si="44"/>
        <v>RIO/MINAS - FX ADICIONAL - Decrescente - 691,1 - 689,9 - 1,20000000000005</v>
      </c>
      <c r="N1623" s="23" t="s">
        <v>363</v>
      </c>
    </row>
    <row r="1624" spans="1:14" x14ac:dyDescent="0.25">
      <c r="A1624" s="23" t="s">
        <v>935</v>
      </c>
      <c r="B1624" s="24" t="s">
        <v>320</v>
      </c>
      <c r="C1624" s="23" t="s">
        <v>933</v>
      </c>
      <c r="D1624" s="23">
        <v>695</v>
      </c>
      <c r="E1624" s="23">
        <v>694.4</v>
      </c>
      <c r="F1624" s="23">
        <v>0.60000000000002274</v>
      </c>
      <c r="G1624" s="42" t="str">
        <f t="shared" si="44"/>
        <v>RIO/MINAS - FX ADICIONAL - Decrescente - 695 - 694,4 - 0,600000000000023</v>
      </c>
      <c r="N1624" s="23" t="s">
        <v>363</v>
      </c>
    </row>
    <row r="1625" spans="1:14" x14ac:dyDescent="0.25">
      <c r="A1625" s="23" t="s">
        <v>935</v>
      </c>
      <c r="B1625" s="24" t="s">
        <v>320</v>
      </c>
      <c r="C1625" s="23" t="s">
        <v>934</v>
      </c>
      <c r="D1625" s="23">
        <v>695.3</v>
      </c>
      <c r="E1625" s="23">
        <v>696.5</v>
      </c>
      <c r="F1625" s="23">
        <v>1.2000000000000455</v>
      </c>
      <c r="G1625" s="42" t="str">
        <f t="shared" si="44"/>
        <v>RIO/MINAS - FX ADICIONAL - Crescente - 695,3 - 696,5 - 1,20000000000005</v>
      </c>
      <c r="N1625" s="23" t="s">
        <v>363</v>
      </c>
    </row>
    <row r="1626" spans="1:14" x14ac:dyDescent="0.25">
      <c r="A1626" s="23" t="s">
        <v>935</v>
      </c>
      <c r="B1626" s="24" t="s">
        <v>320</v>
      </c>
      <c r="C1626" s="23" t="s">
        <v>934</v>
      </c>
      <c r="D1626" s="23">
        <v>699.3</v>
      </c>
      <c r="E1626" s="23">
        <v>700.5</v>
      </c>
      <c r="F1626" s="23">
        <v>1.2000000000000455</v>
      </c>
      <c r="G1626" s="42" t="str">
        <f t="shared" si="44"/>
        <v>RIO/MINAS - FX ADICIONAL - Crescente - 699,3 - 700,5 - 1,20000000000005</v>
      </c>
      <c r="N1626" s="23" t="s">
        <v>363</v>
      </c>
    </row>
    <row r="1627" spans="1:14" x14ac:dyDescent="0.25">
      <c r="A1627" s="23" t="s">
        <v>935</v>
      </c>
      <c r="B1627" s="24" t="s">
        <v>320</v>
      </c>
      <c r="C1627" s="23" t="s">
        <v>933</v>
      </c>
      <c r="D1627" s="23">
        <v>775.3</v>
      </c>
      <c r="E1627" s="23">
        <v>773.3</v>
      </c>
      <c r="F1627" s="23">
        <v>2</v>
      </c>
      <c r="G1627" s="42" t="str">
        <f t="shared" si="44"/>
        <v>RIO/MINAS - FX ADICIONAL - Decrescente - 775,3 - 773,3 - 2</v>
      </c>
      <c r="N1627" s="23" t="s">
        <v>363</v>
      </c>
    </row>
    <row r="1628" spans="1:14" x14ac:dyDescent="0.25">
      <c r="A1628" s="23" t="s">
        <v>935</v>
      </c>
      <c r="B1628" s="24" t="s">
        <v>320</v>
      </c>
      <c r="C1628" s="23" t="s">
        <v>934</v>
      </c>
      <c r="D1628" s="23">
        <v>777.3</v>
      </c>
      <c r="E1628" s="23">
        <v>778.5</v>
      </c>
      <c r="F1628" s="23">
        <v>1.2000000000000455</v>
      </c>
      <c r="G1628" s="42" t="str">
        <f t="shared" si="44"/>
        <v>RIO/MINAS - FX ADICIONAL - Crescente - 777,3 - 778,5 - 1,20000000000005</v>
      </c>
      <c r="N1628" s="23" t="s">
        <v>363</v>
      </c>
    </row>
    <row r="1629" spans="1:14" x14ac:dyDescent="0.25">
      <c r="A1629" s="23" t="s">
        <v>935</v>
      </c>
      <c r="B1629" s="24" t="s">
        <v>320</v>
      </c>
      <c r="C1629" s="23" t="s">
        <v>933</v>
      </c>
      <c r="D1629" s="23">
        <v>777.4</v>
      </c>
      <c r="E1629" s="23">
        <v>776.2</v>
      </c>
      <c r="F1629" s="23">
        <v>1.1999999999999318</v>
      </c>
      <c r="G1629" s="42" t="str">
        <f t="shared" si="44"/>
        <v>RIO/MINAS - FX ADICIONAL - Decrescente - 777,4 - 776,2 - 1,19999999999993</v>
      </c>
      <c r="N1629" s="23" t="s">
        <v>363</v>
      </c>
    </row>
    <row r="1630" spans="1:14" x14ac:dyDescent="0.25">
      <c r="A1630" s="23" t="s">
        <v>935</v>
      </c>
      <c r="B1630" s="24" t="s">
        <v>320</v>
      </c>
      <c r="C1630" s="23" t="s">
        <v>933</v>
      </c>
      <c r="D1630" s="23">
        <v>779.4</v>
      </c>
      <c r="E1630" s="23">
        <v>778.19</v>
      </c>
      <c r="F1630" s="23">
        <v>1.2099999999999227</v>
      </c>
      <c r="G1630" s="42" t="str">
        <f t="shared" si="44"/>
        <v>RIO/MINAS - FX ADICIONAL - Decrescente - 779,4 - 778,19 - 1,20999999999992</v>
      </c>
      <c r="N1630" s="23" t="s">
        <v>363</v>
      </c>
    </row>
    <row r="1631" spans="1:14" x14ac:dyDescent="0.25">
      <c r="A1631" s="23" t="s">
        <v>935</v>
      </c>
      <c r="B1631" s="24" t="s">
        <v>320</v>
      </c>
      <c r="C1631" s="23" t="s">
        <v>934</v>
      </c>
      <c r="D1631" s="23">
        <v>781.28499999999997</v>
      </c>
      <c r="E1631" s="23">
        <v>782.5</v>
      </c>
      <c r="F1631" s="23">
        <v>1.2150000000000318</v>
      </c>
      <c r="G1631" s="42" t="str">
        <f t="shared" si="44"/>
        <v>RIO/MINAS - FX ADICIONAL - Crescente - 781,285 - 782,5 - 1,21500000000003</v>
      </c>
      <c r="N1631" s="23" t="s">
        <v>363</v>
      </c>
    </row>
    <row r="1632" spans="1:14" x14ac:dyDescent="0.25">
      <c r="A1632" s="23" t="s">
        <v>935</v>
      </c>
      <c r="B1632" s="24" t="s">
        <v>320</v>
      </c>
      <c r="C1632" s="23" t="s">
        <v>933</v>
      </c>
      <c r="D1632" s="23">
        <v>781.4</v>
      </c>
      <c r="E1632" s="23">
        <v>780.2</v>
      </c>
      <c r="F1632" s="23">
        <v>1.1999999999999318</v>
      </c>
      <c r="G1632" s="42" t="str">
        <f t="shared" si="44"/>
        <v>RIO/MINAS - FX ADICIONAL - Decrescente - 781,4 - 780,2 - 1,19999999999993</v>
      </c>
      <c r="N1632" s="23" t="s">
        <v>363</v>
      </c>
    </row>
    <row r="1633" spans="1:14" x14ac:dyDescent="0.25">
      <c r="A1633" s="23" t="s">
        <v>935</v>
      </c>
      <c r="B1633" s="24" t="s">
        <v>320</v>
      </c>
      <c r="C1633" s="23" t="s">
        <v>934</v>
      </c>
      <c r="D1633" s="23">
        <v>783.30499999999995</v>
      </c>
      <c r="E1633" s="23">
        <v>784.5</v>
      </c>
      <c r="F1633" s="23">
        <v>1.19500000000005</v>
      </c>
      <c r="G1633" s="42" t="str">
        <f t="shared" si="44"/>
        <v>RIO/MINAS - FX ADICIONAL - Crescente - 783,305 - 784,5 - 1,19500000000005</v>
      </c>
      <c r="N1633" s="23" t="s">
        <v>363</v>
      </c>
    </row>
    <row r="1634" spans="1:14" x14ac:dyDescent="0.25">
      <c r="A1634" s="23" t="s">
        <v>935</v>
      </c>
      <c r="B1634" s="24" t="s">
        <v>320</v>
      </c>
      <c r="C1634" s="23" t="s">
        <v>933</v>
      </c>
      <c r="D1634" s="23">
        <v>783.4</v>
      </c>
      <c r="E1634" s="23">
        <v>782.2</v>
      </c>
      <c r="F1634" s="23">
        <v>1.1999999999999318</v>
      </c>
      <c r="G1634" s="42" t="str">
        <f t="shared" si="44"/>
        <v>RIO/MINAS - FX ADICIONAL - Decrescente - 783,4 - 782,2 - 1,19999999999993</v>
      </c>
      <c r="N1634" s="23" t="s">
        <v>363</v>
      </c>
    </row>
    <row r="1635" spans="1:14" x14ac:dyDescent="0.25">
      <c r="A1635" s="23" t="s">
        <v>935</v>
      </c>
      <c r="B1635" s="24" t="s">
        <v>320</v>
      </c>
      <c r="C1635" s="23" t="s">
        <v>933</v>
      </c>
      <c r="D1635" s="23">
        <v>785.4</v>
      </c>
      <c r="E1635" s="23">
        <v>784.19500000000005</v>
      </c>
      <c r="F1635" s="23">
        <v>1.2049999999999272</v>
      </c>
      <c r="G1635" s="42" t="str">
        <f t="shared" si="44"/>
        <v>RIO/MINAS - FX ADICIONAL - Decrescente - 785,4 - 784,195 - 1,20499999999993</v>
      </c>
      <c r="N1635" s="23" t="s">
        <v>363</v>
      </c>
    </row>
    <row r="1636" spans="1:14" x14ac:dyDescent="0.25">
      <c r="A1636" s="23" t="s">
        <v>935</v>
      </c>
      <c r="B1636" s="24" t="s">
        <v>320</v>
      </c>
      <c r="C1636" s="23" t="s">
        <v>934</v>
      </c>
      <c r="D1636" s="23">
        <v>787.30799999999999</v>
      </c>
      <c r="E1636" s="23">
        <v>788.5</v>
      </c>
      <c r="F1636" s="23">
        <v>1.1920000000000073</v>
      </c>
      <c r="G1636" s="42" t="str">
        <f t="shared" si="44"/>
        <v>RIO/MINAS - FX ADICIONAL - Crescente - 787,308 - 788,5 - 1,19200000000001</v>
      </c>
      <c r="N1636" s="23" t="s">
        <v>363</v>
      </c>
    </row>
    <row r="1637" spans="1:14" x14ac:dyDescent="0.25">
      <c r="A1637" s="23" t="s">
        <v>935</v>
      </c>
      <c r="B1637" s="24" t="s">
        <v>320</v>
      </c>
      <c r="C1637" s="23" t="s">
        <v>933</v>
      </c>
      <c r="D1637" s="23">
        <v>787.4</v>
      </c>
      <c r="E1637" s="23">
        <v>786.2</v>
      </c>
      <c r="F1637" s="23">
        <v>1.1999999999999318</v>
      </c>
      <c r="G1637" s="42" t="str">
        <f t="shared" si="44"/>
        <v>RIO/MINAS - FX ADICIONAL - Decrescente - 787,4 - 786,2 - 1,19999999999993</v>
      </c>
      <c r="N1637" s="23" t="s">
        <v>363</v>
      </c>
    </row>
    <row r="1638" spans="1:14" x14ac:dyDescent="0.25">
      <c r="A1638" s="23" t="s">
        <v>935</v>
      </c>
      <c r="B1638" s="24" t="s">
        <v>320</v>
      </c>
      <c r="C1638" s="23" t="s">
        <v>934</v>
      </c>
      <c r="D1638" s="23">
        <v>789.3</v>
      </c>
      <c r="E1638" s="23">
        <v>790.5</v>
      </c>
      <c r="F1638" s="23">
        <v>1.2000000000000455</v>
      </c>
      <c r="G1638" s="42" t="str">
        <f t="shared" si="44"/>
        <v>RIO/MINAS - FX ADICIONAL - Crescente - 789,3 - 790,5 - 1,20000000000005</v>
      </c>
      <c r="N1638" s="23" t="s">
        <v>363</v>
      </c>
    </row>
    <row r="1639" spans="1:14" x14ac:dyDescent="0.25">
      <c r="A1639" s="23" t="s">
        <v>935</v>
      </c>
      <c r="B1639" s="24" t="s">
        <v>320</v>
      </c>
      <c r="C1639" s="23" t="s">
        <v>933</v>
      </c>
      <c r="D1639" s="23">
        <v>789.4</v>
      </c>
      <c r="E1639" s="23">
        <v>788.2</v>
      </c>
      <c r="F1639" s="23">
        <v>1.1999999999999318</v>
      </c>
      <c r="G1639" s="42" t="str">
        <f t="shared" si="44"/>
        <v>RIO/MINAS - FX ADICIONAL - Decrescente - 789,4 - 788,2 - 1,19999999999993</v>
      </c>
      <c r="N1639" s="23" t="s">
        <v>363</v>
      </c>
    </row>
    <row r="1640" spans="1:14" x14ac:dyDescent="0.25">
      <c r="A1640" s="23" t="s">
        <v>935</v>
      </c>
      <c r="B1640" s="24" t="s">
        <v>320</v>
      </c>
      <c r="C1640" s="23" t="s">
        <v>933</v>
      </c>
      <c r="D1640" s="23">
        <v>793.4</v>
      </c>
      <c r="E1640" s="23">
        <v>792.2</v>
      </c>
      <c r="F1640" s="23">
        <v>1.1999999999999318</v>
      </c>
      <c r="G1640" s="42" t="str">
        <f t="shared" si="44"/>
        <v>RIO/MINAS - FX ADICIONAL - Decrescente - 793,4 - 792,2 - 1,19999999999993</v>
      </c>
      <c r="N1640" s="23" t="s">
        <v>363</v>
      </c>
    </row>
    <row r="1641" spans="1:14" x14ac:dyDescent="0.25">
      <c r="A1641" s="23" t="s">
        <v>935</v>
      </c>
      <c r="B1641" s="24" t="s">
        <v>320</v>
      </c>
      <c r="C1641" s="23" t="s">
        <v>934</v>
      </c>
      <c r="D1641" s="23">
        <v>793.5</v>
      </c>
      <c r="E1641" s="23">
        <v>794.7</v>
      </c>
      <c r="F1641" s="23">
        <v>1.2000000000000455</v>
      </c>
      <c r="G1641" s="42" t="str">
        <f t="shared" si="44"/>
        <v>RIO/MINAS - FX ADICIONAL - Crescente - 793,5 - 794,7 - 1,20000000000005</v>
      </c>
      <c r="N1641" s="23" t="s">
        <v>363</v>
      </c>
    </row>
    <row r="1642" spans="1:14" x14ac:dyDescent="0.25">
      <c r="A1642" s="23" t="s">
        <v>935</v>
      </c>
      <c r="B1642" s="24" t="s">
        <v>320</v>
      </c>
      <c r="C1642" s="23" t="s">
        <v>934</v>
      </c>
      <c r="D1642" s="23">
        <v>796.5</v>
      </c>
      <c r="E1642" s="23">
        <v>797.7</v>
      </c>
      <c r="F1642" s="23">
        <v>1.2000000000000455</v>
      </c>
      <c r="G1642" s="42" t="str">
        <f t="shared" si="44"/>
        <v>RIO/MINAS - FX ADICIONAL - Crescente - 796,5 - 797,7 - 1,20000000000005</v>
      </c>
      <c r="N1642" s="23" t="s">
        <v>363</v>
      </c>
    </row>
    <row r="1643" spans="1:14" x14ac:dyDescent="0.25">
      <c r="A1643" s="23" t="s">
        <v>935</v>
      </c>
      <c r="B1643" s="24" t="s">
        <v>320</v>
      </c>
      <c r="C1643" s="23" t="s">
        <v>933</v>
      </c>
      <c r="D1643" s="23">
        <v>798.4</v>
      </c>
      <c r="E1643" s="23">
        <v>797.2</v>
      </c>
      <c r="F1643" s="23">
        <v>1.1999999999999318</v>
      </c>
      <c r="G1643" s="42" t="str">
        <f t="shared" si="44"/>
        <v>RIO/MINAS - FX ADICIONAL - Decrescente - 798,4 - 797,2 - 1,19999999999993</v>
      </c>
      <c r="N1643" s="23" t="s">
        <v>363</v>
      </c>
    </row>
    <row r="1644" spans="1:14" x14ac:dyDescent="0.25">
      <c r="A1644" s="23" t="s">
        <v>935</v>
      </c>
      <c r="B1644" s="24" t="s">
        <v>320</v>
      </c>
      <c r="C1644" s="23" t="s">
        <v>933</v>
      </c>
      <c r="D1644" s="23">
        <v>800.4</v>
      </c>
      <c r="E1644" s="23">
        <v>799.2</v>
      </c>
      <c r="F1644" s="23">
        <v>1.1999999999999318</v>
      </c>
      <c r="G1644" s="42" t="str">
        <f t="shared" si="44"/>
        <v>RIO/MINAS - FX ADICIONAL - Decrescente - 800,4 - 799,2 - 1,19999999999993</v>
      </c>
      <c r="N1644" s="23" t="s">
        <v>363</v>
      </c>
    </row>
    <row r="1645" spans="1:14" x14ac:dyDescent="0.25">
      <c r="A1645" s="23" t="s">
        <v>935</v>
      </c>
      <c r="B1645" s="24" t="s">
        <v>320</v>
      </c>
      <c r="C1645" s="23" t="s">
        <v>934</v>
      </c>
      <c r="D1645" s="23">
        <v>800.5</v>
      </c>
      <c r="E1645" s="23">
        <v>801.7</v>
      </c>
      <c r="F1645" s="23">
        <v>1.2000000000000455</v>
      </c>
      <c r="G1645" s="42" t="str">
        <f t="shared" si="44"/>
        <v>RIO/MINAS - FX ADICIONAL - Crescente - 800,5 - 801,7 - 1,20000000000005</v>
      </c>
      <c r="N1645" s="23" t="s">
        <v>363</v>
      </c>
    </row>
    <row r="1646" spans="1:14" x14ac:dyDescent="0.25">
      <c r="A1646" s="23" t="s">
        <v>935</v>
      </c>
      <c r="B1646" s="24" t="s">
        <v>320</v>
      </c>
      <c r="C1646" s="23" t="s">
        <v>933</v>
      </c>
      <c r="D1646" s="23">
        <v>802.4</v>
      </c>
      <c r="E1646" s="23">
        <v>801.2</v>
      </c>
      <c r="F1646" s="23">
        <v>1.1999999999999318</v>
      </c>
      <c r="G1646" s="42" t="str">
        <f t="shared" si="44"/>
        <v>RIO/MINAS - FX ADICIONAL - Decrescente - 802,4 - 801,2 - 1,19999999999993</v>
      </c>
      <c r="N1646" s="23" t="s">
        <v>363</v>
      </c>
    </row>
    <row r="1647" spans="1:14" x14ac:dyDescent="0.25">
      <c r="A1647" s="23" t="s">
        <v>935</v>
      </c>
      <c r="B1647" s="24" t="s">
        <v>320</v>
      </c>
      <c r="C1647" s="23" t="s">
        <v>934</v>
      </c>
      <c r="D1647" s="23">
        <v>802.5</v>
      </c>
      <c r="E1647" s="23">
        <v>803.7</v>
      </c>
      <c r="F1647" s="23">
        <v>1.2000000000000455</v>
      </c>
      <c r="G1647" s="42" t="str">
        <f t="shared" si="44"/>
        <v>RIO/MINAS - FX ADICIONAL - Crescente - 802,5 - 803,7 - 1,20000000000005</v>
      </c>
      <c r="N1647" s="23" t="s">
        <v>363</v>
      </c>
    </row>
    <row r="1648" spans="1:14" x14ac:dyDescent="0.25">
      <c r="A1648" s="23" t="s">
        <v>935</v>
      </c>
      <c r="B1648" s="24" t="s">
        <v>320</v>
      </c>
      <c r="C1648" s="23" t="s">
        <v>933</v>
      </c>
      <c r="D1648" s="23">
        <v>804.4</v>
      </c>
      <c r="E1648" s="23">
        <v>803.2</v>
      </c>
      <c r="F1648" s="23">
        <v>1.1999999999999318</v>
      </c>
      <c r="G1648" s="42" t="str">
        <f t="shared" si="44"/>
        <v>RIO/MINAS - FX ADICIONAL - Decrescente - 804,4 - 803,2 - 1,19999999999993</v>
      </c>
      <c r="N1648" s="23" t="s">
        <v>363</v>
      </c>
    </row>
    <row r="1649" spans="1:14" x14ac:dyDescent="0.25">
      <c r="A1649" s="23" t="s">
        <v>935</v>
      </c>
      <c r="B1649" s="24" t="s">
        <v>320</v>
      </c>
      <c r="C1649" s="23" t="s">
        <v>934</v>
      </c>
      <c r="D1649" s="23">
        <v>804.5</v>
      </c>
      <c r="E1649" s="23">
        <v>805.7</v>
      </c>
      <c r="F1649" s="23">
        <v>1.2000000000000455</v>
      </c>
      <c r="G1649" s="42" t="str">
        <f t="shared" si="44"/>
        <v>RIO/MINAS - FX ADICIONAL - Crescente - 804,5 - 805,7 - 1,20000000000005</v>
      </c>
      <c r="N1649" s="23" t="s">
        <v>363</v>
      </c>
    </row>
    <row r="1650" spans="1:14" x14ac:dyDescent="0.25">
      <c r="A1650" s="23" t="s">
        <v>935</v>
      </c>
      <c r="B1650" s="24" t="s">
        <v>320</v>
      </c>
      <c r="C1650" s="23" t="s">
        <v>934</v>
      </c>
      <c r="D1650" s="23">
        <v>806.5</v>
      </c>
      <c r="E1650" s="23">
        <v>807.7</v>
      </c>
      <c r="F1650" s="23">
        <v>1.2000000000000455</v>
      </c>
      <c r="G1650" s="42" t="str">
        <f t="shared" si="44"/>
        <v>RIO/MINAS - FX ADICIONAL - Crescente - 806,5 - 807,7 - 1,20000000000005</v>
      </c>
      <c r="N1650" s="23" t="s">
        <v>363</v>
      </c>
    </row>
    <row r="1651" spans="1:14" x14ac:dyDescent="0.25">
      <c r="A1651" s="23" t="s">
        <v>935</v>
      </c>
      <c r="B1651" s="24" t="s">
        <v>320</v>
      </c>
      <c r="C1651" s="23" t="s">
        <v>933</v>
      </c>
      <c r="D1651" s="23">
        <v>806.6</v>
      </c>
      <c r="E1651" s="23">
        <v>805.4</v>
      </c>
      <c r="F1651" s="23">
        <v>1.2000000000000455</v>
      </c>
      <c r="G1651" s="42" t="str">
        <f t="shared" si="44"/>
        <v>RIO/MINAS - FX ADICIONAL - Decrescente - 806,6 - 805,4 - 1,20000000000005</v>
      </c>
      <c r="N1651" s="23" t="s">
        <v>363</v>
      </c>
    </row>
    <row r="1652" spans="1:14" x14ac:dyDescent="0.25">
      <c r="A1652" s="23" t="s">
        <v>935</v>
      </c>
      <c r="B1652" s="24" t="s">
        <v>320</v>
      </c>
      <c r="C1652" s="23" t="s">
        <v>933</v>
      </c>
      <c r="D1652" s="23">
        <v>808.8</v>
      </c>
      <c r="E1652" s="23">
        <v>807.6</v>
      </c>
      <c r="F1652" s="23">
        <v>1.1999999999999318</v>
      </c>
      <c r="G1652" s="42" t="str">
        <f t="shared" si="44"/>
        <v>RIO/MINAS - FX ADICIONAL - Decrescente - 808,8 - 807,6 - 1,19999999999993</v>
      </c>
      <c r="N1652" s="23" t="s">
        <v>363</v>
      </c>
    </row>
    <row r="1653" spans="1:14" x14ac:dyDescent="0.25">
      <c r="A1653" s="23" t="s">
        <v>935</v>
      </c>
      <c r="B1653" s="24" t="s">
        <v>320</v>
      </c>
      <c r="C1653" s="23" t="s">
        <v>934</v>
      </c>
      <c r="D1653" s="23">
        <v>808.9</v>
      </c>
      <c r="E1653" s="23">
        <v>810.1</v>
      </c>
      <c r="F1653" s="23">
        <v>1.2000000000000455</v>
      </c>
      <c r="G1653" s="42" t="str">
        <f t="shared" si="44"/>
        <v>RIO/MINAS - FX ADICIONAL - Crescente - 808,9 - 810,1 - 1,20000000000005</v>
      </c>
      <c r="N1653" s="23" t="s">
        <v>363</v>
      </c>
    </row>
    <row r="1654" spans="1:14" x14ac:dyDescent="0.25">
      <c r="A1654" s="23" t="s">
        <v>935</v>
      </c>
      <c r="B1654" s="24" t="s">
        <v>320</v>
      </c>
      <c r="C1654" s="23" t="s">
        <v>933</v>
      </c>
      <c r="D1654" s="23">
        <v>811</v>
      </c>
      <c r="E1654" s="23">
        <v>809.80499999999995</v>
      </c>
      <c r="F1654" s="23">
        <v>1.19500000000005</v>
      </c>
      <c r="G1654" s="42" t="str">
        <f t="shared" si="44"/>
        <v>RIO/MINAS - FX ADICIONAL - Decrescente - 811 - 809,805 - 1,19500000000005</v>
      </c>
      <c r="N1654" s="23" t="s">
        <v>363</v>
      </c>
    </row>
    <row r="1655" spans="1:14" x14ac:dyDescent="0.25">
      <c r="A1655" s="23" t="s">
        <v>935</v>
      </c>
      <c r="B1655" s="24" t="s">
        <v>320</v>
      </c>
      <c r="C1655" s="23" t="s">
        <v>934</v>
      </c>
      <c r="D1655" s="23">
        <v>811.1</v>
      </c>
      <c r="E1655" s="23">
        <v>812.3</v>
      </c>
      <c r="F1655" s="23">
        <v>1.1999999999999318</v>
      </c>
      <c r="G1655" s="42" t="str">
        <f t="shared" si="44"/>
        <v>RIO/MINAS - FX ADICIONAL - Crescente - 811,1 - 812,3 - 1,19999999999993</v>
      </c>
      <c r="N1655" s="23" t="s">
        <v>363</v>
      </c>
    </row>
    <row r="1656" spans="1:14" x14ac:dyDescent="0.25">
      <c r="A1656" s="23" t="s">
        <v>935</v>
      </c>
      <c r="B1656" s="24" t="s">
        <v>320</v>
      </c>
      <c r="C1656" s="23" t="s">
        <v>933</v>
      </c>
      <c r="D1656" s="23">
        <v>814.36400000000003</v>
      </c>
      <c r="E1656" s="23">
        <v>813.8</v>
      </c>
      <c r="F1656" s="23">
        <v>0.56400000000007822</v>
      </c>
      <c r="G1656" s="42" t="str">
        <f t="shared" si="44"/>
        <v>RIO/MINAS - FX ADICIONAL - Decrescente - 814,364 - 813,8 - 0,564000000000078</v>
      </c>
      <c r="N1656" s="23" t="s">
        <v>363</v>
      </c>
    </row>
    <row r="1657" spans="1:14" x14ac:dyDescent="0.25">
      <c r="A1657" s="23" t="s">
        <v>349</v>
      </c>
      <c r="B1657" s="24" t="s">
        <v>320</v>
      </c>
      <c r="C1657" s="23" t="s">
        <v>352</v>
      </c>
      <c r="D1657" s="23">
        <v>21.8</v>
      </c>
      <c r="E1657" s="23">
        <v>33.700000000000003</v>
      </c>
      <c r="F1657" s="23">
        <v>23.800000000000004</v>
      </c>
      <c r="G1657" s="42" t="str">
        <f t="shared" si="44"/>
        <v>RIO/SP - FX ADICIONAL - 3ª e 4ª faixa (LD e LE) - 21,8 - 33,7 - 23,8</v>
      </c>
      <c r="N1657" s="23" t="s">
        <v>363</v>
      </c>
    </row>
    <row r="1658" spans="1:14" x14ac:dyDescent="0.25">
      <c r="A1658" s="23" t="s">
        <v>349</v>
      </c>
      <c r="B1658" s="24" t="s">
        <v>320</v>
      </c>
      <c r="C1658" s="23" t="s">
        <v>982</v>
      </c>
      <c r="D1658" s="23">
        <v>33.700000000000003</v>
      </c>
      <c r="E1658" s="23">
        <v>36.4</v>
      </c>
      <c r="F1658" s="23">
        <v>5.3999999999999915</v>
      </c>
      <c r="G1658" s="42" t="str">
        <f t="shared" si="44"/>
        <v>RIO/SP - FX ADICIONAL - 3ª faixa (LD e LE) - 33,7 - 36,4 - 5,39999999999999</v>
      </c>
      <c r="N1658" s="23" t="s">
        <v>363</v>
      </c>
    </row>
    <row r="1659" spans="1:14" x14ac:dyDescent="0.25">
      <c r="A1659" s="23" t="s">
        <v>349</v>
      </c>
      <c r="B1659" s="24" t="s">
        <v>320</v>
      </c>
      <c r="C1659" s="23" t="s">
        <v>982</v>
      </c>
      <c r="D1659" s="23">
        <v>36.4</v>
      </c>
      <c r="E1659" s="23">
        <v>39.1</v>
      </c>
      <c r="F1659" s="23">
        <v>5.4000000000000057</v>
      </c>
      <c r="G1659" s="42" t="str">
        <f t="shared" si="44"/>
        <v>RIO/SP - FX ADICIONAL - 3ª faixa (LD e LE) - 36,4 - 39,1 - 5,40000000000001</v>
      </c>
      <c r="N1659" s="23" t="s">
        <v>363</v>
      </c>
    </row>
    <row r="1660" spans="1:14" x14ac:dyDescent="0.25">
      <c r="A1660" s="23" t="s">
        <v>349</v>
      </c>
      <c r="B1660" s="24" t="s">
        <v>320</v>
      </c>
      <c r="C1660" s="23" t="s">
        <v>982</v>
      </c>
      <c r="D1660" s="23">
        <v>39.1</v>
      </c>
      <c r="E1660" s="23">
        <v>51.2</v>
      </c>
      <c r="F1660" s="23">
        <v>24.200000000000003</v>
      </c>
      <c r="G1660" s="42" t="str">
        <f t="shared" si="44"/>
        <v>RIO/SP - FX ADICIONAL - 3ª faixa (LD e LE) - 39,1 - 51,2 - 24,2</v>
      </c>
      <c r="N1660" s="23" t="s">
        <v>363</v>
      </c>
    </row>
    <row r="1661" spans="1:14" x14ac:dyDescent="0.25">
      <c r="A1661" s="23" t="s">
        <v>349</v>
      </c>
      <c r="B1661" s="24" t="s">
        <v>320</v>
      </c>
      <c r="C1661" s="23" t="s">
        <v>352</v>
      </c>
      <c r="D1661" s="23">
        <v>51.2</v>
      </c>
      <c r="E1661" s="23">
        <v>65</v>
      </c>
      <c r="F1661" s="23">
        <v>27.599999999999994</v>
      </c>
      <c r="G1661" s="42" t="str">
        <f t="shared" si="44"/>
        <v>RIO/SP - FX ADICIONAL - 3ª e 4ª faixa (LD e LE) - 51,2 - 65 - 27,6</v>
      </c>
      <c r="N1661" s="23" t="s">
        <v>363</v>
      </c>
    </row>
    <row r="1662" spans="1:14" x14ac:dyDescent="0.25">
      <c r="A1662" s="23" t="s">
        <v>349</v>
      </c>
      <c r="B1662" s="24" t="s">
        <v>320</v>
      </c>
      <c r="C1662" s="23" t="s">
        <v>352</v>
      </c>
      <c r="D1662" s="23">
        <v>166.8</v>
      </c>
      <c r="E1662" s="23">
        <v>169.1</v>
      </c>
      <c r="F1662" s="23">
        <v>4.5999999999999659</v>
      </c>
      <c r="G1662" s="42" t="str">
        <f t="shared" ref="G1662:G1713" si="45">_xlfn.TEXTJOIN(" - ",TRUE,A1662:F1662)</f>
        <v>RIO/SP - FX ADICIONAL - 3ª e 4ª faixa (LD e LE) - 166,8 - 169,1 - 4,59999999999997</v>
      </c>
      <c r="N1662" s="23" t="s">
        <v>363</v>
      </c>
    </row>
    <row r="1663" spans="1:14" x14ac:dyDescent="0.25">
      <c r="A1663" s="23" t="s">
        <v>349</v>
      </c>
      <c r="B1663" s="24" t="s">
        <v>320</v>
      </c>
      <c r="C1663" s="23" t="s">
        <v>352</v>
      </c>
      <c r="D1663" s="23">
        <v>169.1</v>
      </c>
      <c r="E1663" s="23">
        <v>178.8</v>
      </c>
      <c r="F1663" s="23">
        <v>19.400000000000034</v>
      </c>
      <c r="G1663" s="42" t="str">
        <f t="shared" si="45"/>
        <v>RIO/SP - FX ADICIONAL - 3ª e 4ª faixa (LD e LE) - 169,1 - 178,8 - 19,4</v>
      </c>
      <c r="N1663" s="23" t="s">
        <v>363</v>
      </c>
    </row>
    <row r="1664" spans="1:14" x14ac:dyDescent="0.25">
      <c r="A1664" s="23" t="s">
        <v>349</v>
      </c>
      <c r="B1664" s="24" t="s">
        <v>320</v>
      </c>
      <c r="C1664" s="23" t="s">
        <v>352</v>
      </c>
      <c r="D1664" s="23">
        <v>99</v>
      </c>
      <c r="E1664" s="23">
        <v>110.7</v>
      </c>
      <c r="F1664" s="23">
        <v>23.400000000000006</v>
      </c>
      <c r="G1664" s="42" t="str">
        <f t="shared" si="45"/>
        <v>RIO/SP - FX ADICIONAL - 3ª e 4ª faixa (LD e LE) - 99 - 110,7 - 23,4</v>
      </c>
      <c r="N1664" s="23" t="s">
        <v>363</v>
      </c>
    </row>
    <row r="1665" spans="1:14" x14ac:dyDescent="0.25">
      <c r="A1665" s="23" t="s">
        <v>349</v>
      </c>
      <c r="B1665" s="24" t="s">
        <v>320</v>
      </c>
      <c r="C1665" s="23" t="s">
        <v>352</v>
      </c>
      <c r="D1665" s="23">
        <v>65</v>
      </c>
      <c r="E1665" s="23">
        <v>71.3</v>
      </c>
      <c r="F1665" s="23">
        <v>12.599999999999994</v>
      </c>
      <c r="G1665" s="42" t="str">
        <f t="shared" si="45"/>
        <v>RIO/SP - FX ADICIONAL - 3ª e 4ª faixa (LD e LE) - 65 - 71,3 - 12,6</v>
      </c>
      <c r="N1665" s="23" t="s">
        <v>363</v>
      </c>
    </row>
    <row r="1666" spans="1:14" x14ac:dyDescent="0.25">
      <c r="A1666" s="23" t="s">
        <v>349</v>
      </c>
      <c r="B1666" s="24" t="s">
        <v>320</v>
      </c>
      <c r="C1666" s="23" t="s">
        <v>352</v>
      </c>
      <c r="D1666" s="23">
        <v>71.3</v>
      </c>
      <c r="E1666" s="23">
        <v>74.5</v>
      </c>
      <c r="F1666" s="23">
        <v>6.4000000000000057</v>
      </c>
      <c r="G1666" s="42" t="str">
        <f t="shared" si="45"/>
        <v>RIO/SP - FX ADICIONAL - 3ª e 4ª faixa (LD e LE) - 71,3 - 74,5 - 6,40000000000001</v>
      </c>
      <c r="N1666" s="23" t="s">
        <v>363</v>
      </c>
    </row>
    <row r="1667" spans="1:14" x14ac:dyDescent="0.25">
      <c r="A1667" s="23" t="s">
        <v>349</v>
      </c>
      <c r="B1667" s="24" t="s">
        <v>320</v>
      </c>
      <c r="C1667" s="23" t="s">
        <v>352</v>
      </c>
      <c r="D1667" s="23">
        <v>74.5</v>
      </c>
      <c r="E1667" s="23">
        <v>79.900000000000006</v>
      </c>
      <c r="F1667" s="23">
        <v>10.800000000000011</v>
      </c>
      <c r="G1667" s="42" t="str">
        <f t="shared" si="45"/>
        <v>RIO/SP - FX ADICIONAL - 3ª e 4ª faixa (LD e LE) - 74,5 - 79,9 - 10,8</v>
      </c>
      <c r="N1667" s="23" t="s">
        <v>363</v>
      </c>
    </row>
    <row r="1668" spans="1:14" x14ac:dyDescent="0.25">
      <c r="A1668" s="23" t="s">
        <v>349</v>
      </c>
      <c r="B1668" s="24" t="s">
        <v>320</v>
      </c>
      <c r="C1668" s="23" t="s">
        <v>352</v>
      </c>
      <c r="D1668" s="23">
        <v>79.900000000000006</v>
      </c>
      <c r="E1668" s="23">
        <v>85</v>
      </c>
      <c r="F1668" s="23">
        <v>10.199999999999989</v>
      </c>
      <c r="G1668" s="42" t="str">
        <f t="shared" si="45"/>
        <v>RIO/SP - FX ADICIONAL - 3ª e 4ª faixa (LD e LE) - 79,9 - 85 - 10,2</v>
      </c>
      <c r="N1668" s="23" t="s">
        <v>363</v>
      </c>
    </row>
    <row r="1669" spans="1:14" x14ac:dyDescent="0.25">
      <c r="A1669" s="23" t="s">
        <v>349</v>
      </c>
      <c r="B1669" s="24" t="s">
        <v>320</v>
      </c>
      <c r="C1669" s="23" t="s">
        <v>352</v>
      </c>
      <c r="D1669" s="23">
        <v>85</v>
      </c>
      <c r="E1669" s="23">
        <v>99</v>
      </c>
      <c r="F1669" s="23">
        <v>28</v>
      </c>
      <c r="G1669" s="42" t="str">
        <f t="shared" si="45"/>
        <v>RIO/SP - FX ADICIONAL - 3ª e 4ª faixa (LD e LE) - 85 - 99 - 28</v>
      </c>
      <c r="N1669" s="23" t="s">
        <v>363</v>
      </c>
    </row>
    <row r="1670" spans="1:14" x14ac:dyDescent="0.25">
      <c r="A1670" s="23" t="s">
        <v>349</v>
      </c>
      <c r="B1670" s="24" t="s">
        <v>320</v>
      </c>
      <c r="C1670" s="23" t="s">
        <v>352</v>
      </c>
      <c r="D1670" s="23">
        <v>199.6</v>
      </c>
      <c r="E1670" s="23">
        <v>204.7</v>
      </c>
      <c r="F1670" s="23">
        <v>10.199999999999989</v>
      </c>
      <c r="G1670" s="42" t="str">
        <f t="shared" si="45"/>
        <v>RIO/SP - FX ADICIONAL - 3ª e 4ª faixa (LD e LE) - 199,6 - 204,7 - 10,2</v>
      </c>
      <c r="N1670" s="23" t="s">
        <v>363</v>
      </c>
    </row>
    <row r="1671" spans="1:14" x14ac:dyDescent="0.25">
      <c r="A1671" s="23" t="s">
        <v>349</v>
      </c>
      <c r="B1671" s="24" t="s">
        <v>320</v>
      </c>
      <c r="C1671" s="23" t="s">
        <v>352</v>
      </c>
      <c r="D1671" s="23">
        <v>178.8</v>
      </c>
      <c r="E1671" s="23">
        <v>186.1</v>
      </c>
      <c r="F1671" s="23">
        <v>14.599999999999966</v>
      </c>
      <c r="G1671" s="42" t="str">
        <f t="shared" si="45"/>
        <v>RIO/SP - FX ADICIONAL - 3ª e 4ª faixa (LD e LE) - 178,8 - 186,1 - 14,6</v>
      </c>
      <c r="N1671" s="23" t="s">
        <v>363</v>
      </c>
    </row>
    <row r="1672" spans="1:14" x14ac:dyDescent="0.25">
      <c r="A1672" s="23" t="s">
        <v>349</v>
      </c>
      <c r="B1672" s="24" t="s">
        <v>320</v>
      </c>
      <c r="C1672" s="23" t="s">
        <v>352</v>
      </c>
      <c r="D1672" s="23">
        <v>186.1</v>
      </c>
      <c r="E1672" s="23">
        <v>199.6</v>
      </c>
      <c r="F1672" s="23">
        <v>27</v>
      </c>
      <c r="G1672" s="42" t="str">
        <f t="shared" si="45"/>
        <v>RIO/SP - FX ADICIONAL - 3ª e 4ª faixa (LD e LE) - 186,1 - 199,6 - 27</v>
      </c>
      <c r="N1672" s="23" t="s">
        <v>363</v>
      </c>
    </row>
    <row r="1673" spans="1:14" x14ac:dyDescent="0.25">
      <c r="A1673" s="23" t="s">
        <v>349</v>
      </c>
      <c r="B1673" s="24" t="s">
        <v>320</v>
      </c>
      <c r="C1673" s="23" t="s">
        <v>983</v>
      </c>
      <c r="D1673" s="23">
        <v>29.7</v>
      </c>
      <c r="E1673" s="23">
        <v>30.9</v>
      </c>
      <c r="F1673" s="23">
        <v>1.1999999999999993</v>
      </c>
      <c r="G1673" s="42" t="str">
        <f t="shared" si="45"/>
        <v>RIO/SP - FX ADICIONAL - 3ª faixa (LD) - 29,7 - 30,9 - 1,2</v>
      </c>
      <c r="N1673" s="23" t="s">
        <v>363</v>
      </c>
    </row>
    <row r="1674" spans="1:14" x14ac:dyDescent="0.25">
      <c r="A1674" s="23" t="s">
        <v>349</v>
      </c>
      <c r="B1674" s="24" t="s">
        <v>320</v>
      </c>
      <c r="C1674" s="23" t="s">
        <v>983</v>
      </c>
      <c r="D1674" s="23">
        <v>37.299999999999997</v>
      </c>
      <c r="E1674" s="23">
        <v>38.5</v>
      </c>
      <c r="F1674" s="23">
        <v>1.2000000000000028</v>
      </c>
      <c r="G1674" s="42" t="str">
        <f t="shared" si="45"/>
        <v>RIO/SP - FX ADICIONAL - 3ª faixa (LD) - 37,3 - 38,5 - 1,2</v>
      </c>
      <c r="N1674" s="23" t="s">
        <v>363</v>
      </c>
    </row>
    <row r="1675" spans="1:14" x14ac:dyDescent="0.25">
      <c r="A1675" s="23" t="s">
        <v>349</v>
      </c>
      <c r="B1675" s="24" t="s">
        <v>320</v>
      </c>
      <c r="C1675" s="23" t="s">
        <v>983</v>
      </c>
      <c r="D1675" s="23">
        <v>46.1</v>
      </c>
      <c r="E1675" s="23">
        <v>47.3</v>
      </c>
      <c r="F1675" s="23">
        <v>1.1999999999999957</v>
      </c>
      <c r="G1675" s="42" t="str">
        <f t="shared" si="45"/>
        <v>RIO/SP - FX ADICIONAL - 3ª faixa (LD) - 46,1 - 47,3 - 1,2</v>
      </c>
      <c r="N1675" s="23" t="s">
        <v>363</v>
      </c>
    </row>
    <row r="1676" spans="1:14" x14ac:dyDescent="0.25">
      <c r="A1676" s="23" t="s">
        <v>349</v>
      </c>
      <c r="B1676" s="24" t="s">
        <v>320</v>
      </c>
      <c r="C1676" s="23" t="s">
        <v>984</v>
      </c>
      <c r="D1676" s="23">
        <v>25.6</v>
      </c>
      <c r="E1676" s="23">
        <v>26.8</v>
      </c>
      <c r="F1676" s="23">
        <v>1.1999999999999993</v>
      </c>
      <c r="G1676" s="42" t="str">
        <f t="shared" si="45"/>
        <v>RIO/SP - FX ADICIONAL - 3ª faixa (LE) - 25,6 - 26,8 - 1,2</v>
      </c>
      <c r="N1676" s="23" t="s">
        <v>363</v>
      </c>
    </row>
    <row r="1677" spans="1:14" x14ac:dyDescent="0.25">
      <c r="A1677" s="23" t="s">
        <v>349</v>
      </c>
      <c r="B1677" s="24" t="s">
        <v>320</v>
      </c>
      <c r="C1677" s="23" t="s">
        <v>984</v>
      </c>
      <c r="D1677" s="23">
        <v>38.700000000000003</v>
      </c>
      <c r="E1677" s="23">
        <v>39.9</v>
      </c>
      <c r="F1677" s="23">
        <v>1.1999999999999957</v>
      </c>
      <c r="G1677" s="42" t="str">
        <f t="shared" si="45"/>
        <v>RIO/SP - FX ADICIONAL - 3ª faixa (LE) - 38,7 - 39,9 - 1,2</v>
      </c>
      <c r="N1677" s="23" t="s">
        <v>363</v>
      </c>
    </row>
    <row r="1678" spans="1:14" x14ac:dyDescent="0.25">
      <c r="A1678" s="23" t="s">
        <v>349</v>
      </c>
      <c r="B1678" s="24" t="s">
        <v>320</v>
      </c>
      <c r="C1678" s="23" t="s">
        <v>984</v>
      </c>
      <c r="D1678" s="23">
        <v>46.1</v>
      </c>
      <c r="E1678" s="23">
        <v>47.3</v>
      </c>
      <c r="F1678" s="23">
        <v>1.1999999999999957</v>
      </c>
      <c r="G1678" s="42" t="str">
        <f t="shared" si="45"/>
        <v>RIO/SP - FX ADICIONAL - 3ª faixa (LE) - 46,1 - 47,3 - 1,2</v>
      </c>
      <c r="N1678" s="23" t="s">
        <v>363</v>
      </c>
    </row>
    <row r="1679" spans="1:14" x14ac:dyDescent="0.25">
      <c r="A1679" s="23" t="s">
        <v>349</v>
      </c>
      <c r="B1679" s="24" t="s">
        <v>320</v>
      </c>
      <c r="C1679" s="23" t="s">
        <v>982</v>
      </c>
      <c r="D1679" s="23">
        <v>207.7</v>
      </c>
      <c r="E1679" s="23">
        <v>210.3</v>
      </c>
      <c r="F1679" s="23">
        <v>5.2000000000000455</v>
      </c>
      <c r="G1679" s="42" t="str">
        <f t="shared" si="45"/>
        <v>RIO/SP - FX ADICIONAL - 3ª faixa (LD e LE) - 207,7 - 210,3 - 5,20000000000005</v>
      </c>
      <c r="N1679" s="23" t="s">
        <v>363</v>
      </c>
    </row>
    <row r="1680" spans="1:14" x14ac:dyDescent="0.25">
      <c r="A1680" s="23" t="s">
        <v>349</v>
      </c>
      <c r="B1680" s="24" t="s">
        <v>320</v>
      </c>
      <c r="C1680" s="23" t="s">
        <v>982</v>
      </c>
      <c r="D1680" s="23">
        <v>210.3</v>
      </c>
      <c r="E1680" s="23">
        <v>218</v>
      </c>
      <c r="F1680" s="23">
        <v>15.399999999999977</v>
      </c>
      <c r="G1680" s="42" t="str">
        <f t="shared" si="45"/>
        <v>RIO/SP - FX ADICIONAL - 3ª faixa (LD e LE) - 210,3 - 218 - 15,4</v>
      </c>
      <c r="N1680" s="23" t="s">
        <v>363</v>
      </c>
    </row>
    <row r="1681" spans="1:14" x14ac:dyDescent="0.25">
      <c r="A1681" s="23" t="s">
        <v>349</v>
      </c>
      <c r="B1681" s="24" t="s">
        <v>320</v>
      </c>
      <c r="C1681" s="23" t="s">
        <v>982</v>
      </c>
      <c r="D1681" s="23">
        <v>226</v>
      </c>
      <c r="E1681" s="23">
        <v>230.9</v>
      </c>
      <c r="F1681" s="23">
        <v>9.8000000000000114</v>
      </c>
      <c r="G1681" s="42" t="str">
        <f t="shared" si="45"/>
        <v>RIO/SP - FX ADICIONAL - 3ª faixa (LD e LE) - 226 - 230,9 - 9,80000000000001</v>
      </c>
      <c r="N1681" s="23" t="s">
        <v>363</v>
      </c>
    </row>
    <row r="1682" spans="1:14" x14ac:dyDescent="0.25">
      <c r="A1682" s="23" t="s">
        <v>349</v>
      </c>
      <c r="B1682" s="24" t="s">
        <v>320</v>
      </c>
      <c r="C1682" s="23" t="s">
        <v>982</v>
      </c>
      <c r="D1682" s="23">
        <v>230.9</v>
      </c>
      <c r="E1682" s="23">
        <v>235.8</v>
      </c>
      <c r="F1682" s="23">
        <v>9.8000000000000114</v>
      </c>
      <c r="G1682" s="42" t="str">
        <f t="shared" si="45"/>
        <v>RIO/SP - FX ADICIONAL - 3ª faixa (LD e LE) - 230,9 - 235,8 - 9,80000000000001</v>
      </c>
      <c r="N1682" s="23" t="s">
        <v>363</v>
      </c>
    </row>
    <row r="1683" spans="1:14" x14ac:dyDescent="0.25">
      <c r="A1683" s="23" t="s">
        <v>349</v>
      </c>
      <c r="B1683" s="24" t="s">
        <v>320</v>
      </c>
      <c r="C1683" s="23" t="s">
        <v>982</v>
      </c>
      <c r="D1683" s="23">
        <v>235.8</v>
      </c>
      <c r="E1683" s="23">
        <v>257.2</v>
      </c>
      <c r="F1683" s="23">
        <v>42.799999999999955</v>
      </c>
      <c r="G1683" s="42" t="str">
        <f t="shared" si="45"/>
        <v>RIO/SP - FX ADICIONAL - 3ª faixa (LD e LE) - 235,8 - 257,2 - 42,8</v>
      </c>
      <c r="N1683" s="23" t="s">
        <v>363</v>
      </c>
    </row>
    <row r="1684" spans="1:14" x14ac:dyDescent="0.25">
      <c r="A1684" s="23" t="s">
        <v>349</v>
      </c>
      <c r="B1684" s="24" t="s">
        <v>320</v>
      </c>
      <c r="C1684" s="23" t="s">
        <v>352</v>
      </c>
      <c r="D1684" s="23">
        <v>257.2</v>
      </c>
      <c r="E1684" s="23">
        <v>263.60000000000002</v>
      </c>
      <c r="F1684" s="23">
        <v>12.800000000000068</v>
      </c>
      <c r="G1684" s="42" t="str">
        <f t="shared" si="45"/>
        <v>RIO/SP - FX ADICIONAL - 3ª e 4ª faixa (LD e LE) - 257,2 - 263,6 - 12,8000000000001</v>
      </c>
      <c r="N1684" s="23" t="s">
        <v>363</v>
      </c>
    </row>
    <row r="1685" spans="1:14" x14ac:dyDescent="0.25">
      <c r="A1685" s="23" t="s">
        <v>349</v>
      </c>
      <c r="B1685" s="24" t="s">
        <v>320</v>
      </c>
      <c r="C1685" s="23" t="s">
        <v>352</v>
      </c>
      <c r="D1685" s="23">
        <v>263.60000000000002</v>
      </c>
      <c r="E1685" s="23">
        <v>269</v>
      </c>
      <c r="F1685" s="23">
        <v>10.799999999999955</v>
      </c>
      <c r="G1685" s="42" t="str">
        <f t="shared" si="45"/>
        <v>RIO/SP - FX ADICIONAL - 3ª e 4ª faixa (LD e LE) - 263,6 - 269 - 10,8</v>
      </c>
      <c r="N1685" s="23" t="s">
        <v>363</v>
      </c>
    </row>
    <row r="1686" spans="1:14" x14ac:dyDescent="0.25">
      <c r="A1686" s="23" t="s">
        <v>349</v>
      </c>
      <c r="B1686" s="24" t="s">
        <v>320</v>
      </c>
      <c r="C1686" s="23" t="s">
        <v>352</v>
      </c>
      <c r="D1686" s="23">
        <v>269</v>
      </c>
      <c r="E1686" s="23">
        <v>271.5</v>
      </c>
      <c r="F1686" s="23">
        <v>5</v>
      </c>
      <c r="G1686" s="42" t="str">
        <f t="shared" si="45"/>
        <v>RIO/SP - FX ADICIONAL - 3ª e 4ª faixa (LD e LE) - 269 - 271,5 - 5</v>
      </c>
      <c r="N1686" s="23" t="s">
        <v>363</v>
      </c>
    </row>
    <row r="1687" spans="1:14" x14ac:dyDescent="0.25">
      <c r="A1687" s="23" t="s">
        <v>349</v>
      </c>
      <c r="B1687" s="24" t="s">
        <v>320</v>
      </c>
      <c r="C1687" s="23" t="s">
        <v>982</v>
      </c>
      <c r="D1687" s="23">
        <v>271.5</v>
      </c>
      <c r="E1687" s="23">
        <v>290.8</v>
      </c>
      <c r="F1687" s="23">
        <v>38.600000000000023</v>
      </c>
      <c r="G1687" s="42" t="str">
        <f t="shared" si="45"/>
        <v>RIO/SP - FX ADICIONAL - 3ª faixa (LD e LE) - 271,5 - 290,8 - 38,6</v>
      </c>
      <c r="N1687" s="23" t="s">
        <v>363</v>
      </c>
    </row>
    <row r="1688" spans="1:14" x14ac:dyDescent="0.25">
      <c r="A1688" s="23" t="s">
        <v>349</v>
      </c>
      <c r="B1688" s="24" t="s">
        <v>320</v>
      </c>
      <c r="C1688" s="23" t="s">
        <v>352</v>
      </c>
      <c r="D1688" s="23">
        <v>303.39999999999998</v>
      </c>
      <c r="E1688" s="23">
        <v>309.5</v>
      </c>
      <c r="F1688" s="23">
        <v>12.200000000000045</v>
      </c>
      <c r="G1688" s="42" t="str">
        <f t="shared" si="45"/>
        <v>RIO/SP - FX ADICIONAL - 3ª e 4ª faixa (LD e LE) - 303,4 - 309,5 - 12,2</v>
      </c>
      <c r="N1688" s="23" t="s">
        <v>363</v>
      </c>
    </row>
    <row r="1689" spans="1:14" x14ac:dyDescent="0.25">
      <c r="A1689" s="23" t="s">
        <v>349</v>
      </c>
      <c r="B1689" s="24" t="s">
        <v>320</v>
      </c>
      <c r="C1689" s="23" t="s">
        <v>352</v>
      </c>
      <c r="D1689" s="23">
        <v>309.5</v>
      </c>
      <c r="E1689" s="23">
        <v>316.7</v>
      </c>
      <c r="F1689" s="23">
        <v>14.399999999999977</v>
      </c>
      <c r="G1689" s="42" t="str">
        <f t="shared" si="45"/>
        <v>RIO/SP - FX ADICIONAL - 3ª e 4ª faixa (LD e LE) - 309,5 - 316,7 - 14,4</v>
      </c>
      <c r="N1689" s="23" t="s">
        <v>363</v>
      </c>
    </row>
    <row r="1690" spans="1:14" x14ac:dyDescent="0.25">
      <c r="A1690" s="23" t="s">
        <v>349</v>
      </c>
      <c r="B1690" s="24" t="s">
        <v>320</v>
      </c>
      <c r="C1690" s="23" t="s">
        <v>983</v>
      </c>
      <c r="D1690" s="23">
        <v>330.85</v>
      </c>
      <c r="E1690" s="23">
        <v>331.27</v>
      </c>
      <c r="F1690" s="23">
        <v>0.41999999999995907</v>
      </c>
      <c r="G1690" s="42" t="str">
        <f t="shared" si="45"/>
        <v>RIO/SP - FX ADICIONAL - 3ª faixa (LD) - 330,85 - 331,27 - 0,419999999999959</v>
      </c>
      <c r="N1690" s="23" t="s">
        <v>363</v>
      </c>
    </row>
    <row r="1691" spans="1:14" x14ac:dyDescent="0.25">
      <c r="A1691" s="23" t="s">
        <v>349</v>
      </c>
      <c r="B1691" s="24" t="s">
        <v>320</v>
      </c>
      <c r="C1691" s="23" t="s">
        <v>984</v>
      </c>
      <c r="D1691" s="23">
        <v>332</v>
      </c>
      <c r="E1691" s="23">
        <v>331.4</v>
      </c>
      <c r="F1691" s="23">
        <v>0.60000000000002274</v>
      </c>
      <c r="G1691" s="42" t="str">
        <f t="shared" si="45"/>
        <v>RIO/SP - FX ADICIONAL - 3ª faixa (LE) - 332 - 331,4 - 0,600000000000023</v>
      </c>
      <c r="N1691" s="23" t="s">
        <v>363</v>
      </c>
    </row>
    <row r="1692" spans="1:14" x14ac:dyDescent="0.25">
      <c r="A1692" s="23" t="s">
        <v>349</v>
      </c>
      <c r="B1692" s="24" t="s">
        <v>320</v>
      </c>
      <c r="C1692" s="23" t="s">
        <v>983</v>
      </c>
      <c r="D1692" s="23">
        <v>500.2</v>
      </c>
      <c r="E1692" s="23">
        <v>502.4</v>
      </c>
      <c r="F1692" s="23">
        <v>2.1999999999999886</v>
      </c>
      <c r="G1692" s="42" t="str">
        <f t="shared" si="45"/>
        <v>RIO/SP - FX ADICIONAL - 3ª faixa (LD) - 500,2 - 502,4 - 2,19999999999999</v>
      </c>
      <c r="N1692" s="23" t="s">
        <v>363</v>
      </c>
    </row>
    <row r="1693" spans="1:14" x14ac:dyDescent="0.25">
      <c r="A1693" s="23" t="s">
        <v>349</v>
      </c>
      <c r="B1693" s="24" t="s">
        <v>320</v>
      </c>
      <c r="C1693" s="23" t="s">
        <v>983</v>
      </c>
      <c r="D1693" s="23">
        <v>512</v>
      </c>
      <c r="E1693" s="23">
        <v>512.5</v>
      </c>
      <c r="F1693" s="23">
        <v>0.5</v>
      </c>
      <c r="G1693" s="42" t="str">
        <f t="shared" si="45"/>
        <v>RIO/SP - FX ADICIONAL - 3ª faixa (LD) - 512 - 512,5 - 0,5</v>
      </c>
      <c r="N1693" s="23" t="s">
        <v>363</v>
      </c>
    </row>
    <row r="1694" spans="1:14" x14ac:dyDescent="0.25">
      <c r="A1694" s="23" t="s">
        <v>349</v>
      </c>
      <c r="B1694" s="24" t="s">
        <v>320</v>
      </c>
      <c r="C1694" s="23" t="s">
        <v>983</v>
      </c>
      <c r="D1694" s="23">
        <v>518.70000000000005</v>
      </c>
      <c r="E1694" s="23">
        <v>519.5</v>
      </c>
      <c r="F1694" s="23">
        <v>0.79999999999995453</v>
      </c>
      <c r="G1694" s="42" t="str">
        <f t="shared" si="45"/>
        <v>RIO/SP - FX ADICIONAL - 3ª faixa (LD) - 518,7 - 519,5 - 0,799999999999955</v>
      </c>
      <c r="N1694" s="23" t="s">
        <v>363</v>
      </c>
    </row>
    <row r="1695" spans="1:14" x14ac:dyDescent="0.25">
      <c r="A1695" s="23" t="s">
        <v>349</v>
      </c>
      <c r="B1695" s="24" t="s">
        <v>320</v>
      </c>
      <c r="C1695" s="23" t="s">
        <v>983</v>
      </c>
      <c r="D1695" s="23">
        <v>523</v>
      </c>
      <c r="E1695" s="23">
        <v>523.6</v>
      </c>
      <c r="F1695" s="23">
        <v>0.60000000000002274</v>
      </c>
      <c r="G1695" s="42" t="str">
        <f t="shared" si="45"/>
        <v>RIO/SP - FX ADICIONAL - 3ª faixa (LD) - 523 - 523,6 - 0,600000000000023</v>
      </c>
      <c r="N1695" s="23" t="s">
        <v>363</v>
      </c>
    </row>
    <row r="1696" spans="1:14" x14ac:dyDescent="0.25">
      <c r="A1696" s="23" t="s">
        <v>349</v>
      </c>
      <c r="B1696" s="24" t="s">
        <v>320</v>
      </c>
      <c r="C1696" s="23" t="s">
        <v>983</v>
      </c>
      <c r="D1696" s="23">
        <v>526</v>
      </c>
      <c r="E1696" s="23">
        <v>526.70000000000005</v>
      </c>
      <c r="F1696" s="23">
        <v>0.70000000000004547</v>
      </c>
      <c r="G1696" s="42" t="str">
        <f t="shared" si="45"/>
        <v>RIO/SP - FX ADICIONAL - 3ª faixa (LD) - 526 - 526,7 - 0,700000000000045</v>
      </c>
      <c r="N1696" s="23" t="s">
        <v>363</v>
      </c>
    </row>
    <row r="1697" spans="1:14" x14ac:dyDescent="0.25">
      <c r="A1697" s="23" t="s">
        <v>349</v>
      </c>
      <c r="B1697" s="24" t="s">
        <v>320</v>
      </c>
      <c r="C1697" s="23" t="s">
        <v>984</v>
      </c>
      <c r="D1697" s="23">
        <v>527.4</v>
      </c>
      <c r="E1697" s="23">
        <v>528.79999999999995</v>
      </c>
      <c r="F1697" s="23">
        <v>1.3999999999999773</v>
      </c>
      <c r="G1697" s="42" t="str">
        <f t="shared" si="45"/>
        <v>RIO/SP - FX ADICIONAL - 3ª faixa (LE) - 527,4 - 528,8 - 1,39999999999998</v>
      </c>
      <c r="N1697" s="23" t="s">
        <v>363</v>
      </c>
    </row>
    <row r="1698" spans="1:14" x14ac:dyDescent="0.25">
      <c r="A1698" s="23" t="s">
        <v>349</v>
      </c>
      <c r="B1698" s="24" t="s">
        <v>320</v>
      </c>
      <c r="C1698" s="23" t="s">
        <v>984</v>
      </c>
      <c r="D1698" s="23">
        <v>522.9</v>
      </c>
      <c r="E1698" s="23">
        <v>523.70000000000005</v>
      </c>
      <c r="F1698" s="23">
        <v>0.80000000000006821</v>
      </c>
      <c r="G1698" s="42" t="str">
        <f t="shared" si="45"/>
        <v>RIO/SP - FX ADICIONAL - 3ª faixa (LE) - 522,9 - 523,7 - 0,800000000000068</v>
      </c>
      <c r="N1698" s="23" t="s">
        <v>363</v>
      </c>
    </row>
    <row r="1699" spans="1:14" x14ac:dyDescent="0.25">
      <c r="A1699" s="23" t="s">
        <v>349</v>
      </c>
      <c r="B1699" s="24" t="s">
        <v>320</v>
      </c>
      <c r="C1699" s="23" t="s">
        <v>984</v>
      </c>
      <c r="D1699" s="23">
        <v>520.20000000000005</v>
      </c>
      <c r="E1699" s="23">
        <v>521.5</v>
      </c>
      <c r="F1699" s="23">
        <v>1.2999999999999545</v>
      </c>
      <c r="G1699" s="42" t="str">
        <f t="shared" si="45"/>
        <v>RIO/SP - FX ADICIONAL - 3ª faixa (LE) - 520,2 - 521,5 - 1,29999999999995</v>
      </c>
      <c r="N1699" s="23" t="s">
        <v>363</v>
      </c>
    </row>
    <row r="1700" spans="1:14" x14ac:dyDescent="0.25">
      <c r="A1700" s="23" t="s">
        <v>349</v>
      </c>
      <c r="B1700" s="24" t="s">
        <v>320</v>
      </c>
      <c r="C1700" s="23" t="s">
        <v>984</v>
      </c>
      <c r="D1700" s="23">
        <v>512</v>
      </c>
      <c r="E1700" s="23">
        <v>512.5</v>
      </c>
      <c r="F1700" s="23">
        <v>0.5</v>
      </c>
      <c r="G1700" s="42" t="str">
        <f t="shared" si="45"/>
        <v>RIO/SP - FX ADICIONAL - 3ª faixa (LE) - 512 - 512,5 - 0,5</v>
      </c>
      <c r="N1700" s="23" t="s">
        <v>363</v>
      </c>
    </row>
    <row r="1701" spans="1:14" x14ac:dyDescent="0.25">
      <c r="A1701" s="23" t="s">
        <v>349</v>
      </c>
      <c r="B1701" s="24" t="s">
        <v>320</v>
      </c>
      <c r="C1701" s="23" t="s">
        <v>984</v>
      </c>
      <c r="D1701" s="23">
        <v>502.4</v>
      </c>
      <c r="E1701" s="23">
        <v>504</v>
      </c>
      <c r="F1701" s="23">
        <v>1.6000000000000227</v>
      </c>
      <c r="G1701" s="42" t="str">
        <f t="shared" si="45"/>
        <v>RIO/SP - FX ADICIONAL - 3ª faixa (LE) - 502,4 - 504 - 1,60000000000002</v>
      </c>
      <c r="N1701" s="23" t="s">
        <v>363</v>
      </c>
    </row>
    <row r="1702" spans="1:14" x14ac:dyDescent="0.25">
      <c r="A1702" s="23" t="s">
        <v>349</v>
      </c>
      <c r="B1702" s="24" t="s">
        <v>320</v>
      </c>
      <c r="C1702" s="23" t="s">
        <v>983</v>
      </c>
      <c r="D1702" s="23">
        <v>529.5</v>
      </c>
      <c r="E1702" s="23">
        <v>530.4</v>
      </c>
      <c r="F1702" s="23">
        <v>0.89999999999997726</v>
      </c>
      <c r="G1702" s="42" t="str">
        <f t="shared" si="45"/>
        <v>RIO/SP - FX ADICIONAL - 3ª faixa (LD) - 529,5 - 530,4 - 0,899999999999977</v>
      </c>
      <c r="N1702" s="23" t="s">
        <v>363</v>
      </c>
    </row>
    <row r="1703" spans="1:14" x14ac:dyDescent="0.25">
      <c r="A1703" s="23" t="s">
        <v>349</v>
      </c>
      <c r="B1703" s="24" t="s">
        <v>320</v>
      </c>
      <c r="C1703" s="23" t="s">
        <v>983</v>
      </c>
      <c r="D1703" s="23">
        <v>537.70000000000005</v>
      </c>
      <c r="E1703" s="23">
        <v>538.5</v>
      </c>
      <c r="F1703" s="23">
        <v>0.79999999999995453</v>
      </c>
      <c r="G1703" s="42" t="str">
        <f t="shared" si="45"/>
        <v>RIO/SP - FX ADICIONAL - 3ª faixa (LD) - 537,7 - 538,5 - 0,799999999999955</v>
      </c>
      <c r="N1703" s="23" t="s">
        <v>363</v>
      </c>
    </row>
    <row r="1704" spans="1:14" x14ac:dyDescent="0.25">
      <c r="A1704" s="23" t="s">
        <v>349</v>
      </c>
      <c r="B1704" s="24" t="s">
        <v>320</v>
      </c>
      <c r="C1704" s="23" t="s">
        <v>983</v>
      </c>
      <c r="D1704" s="23">
        <v>546.4</v>
      </c>
      <c r="E1704" s="23">
        <v>548</v>
      </c>
      <c r="F1704" s="23">
        <v>1.6000000000000227</v>
      </c>
      <c r="G1704" s="42" t="str">
        <f t="shared" si="45"/>
        <v>RIO/SP - FX ADICIONAL - 3ª faixa (LD) - 546,4 - 548 - 1,60000000000002</v>
      </c>
      <c r="N1704" s="23" t="s">
        <v>363</v>
      </c>
    </row>
    <row r="1705" spans="1:14" x14ac:dyDescent="0.25">
      <c r="A1705" s="23" t="s">
        <v>349</v>
      </c>
      <c r="B1705" s="24" t="s">
        <v>320</v>
      </c>
      <c r="C1705" s="23" t="s">
        <v>983</v>
      </c>
      <c r="D1705" s="23">
        <v>552.20000000000005</v>
      </c>
      <c r="E1705" s="23">
        <v>553.5</v>
      </c>
      <c r="F1705" s="23">
        <v>1.2999999999999545</v>
      </c>
      <c r="G1705" s="42" t="str">
        <f t="shared" si="45"/>
        <v>RIO/SP - FX ADICIONAL - 3ª faixa (LD) - 552,2 - 553,5 - 1,29999999999995</v>
      </c>
      <c r="N1705" s="23" t="s">
        <v>363</v>
      </c>
    </row>
    <row r="1706" spans="1:14" x14ac:dyDescent="0.25">
      <c r="A1706" s="23" t="s">
        <v>349</v>
      </c>
      <c r="B1706" s="24" t="s">
        <v>320</v>
      </c>
      <c r="C1706" s="23" t="s">
        <v>983</v>
      </c>
      <c r="D1706" s="23">
        <v>562.6</v>
      </c>
      <c r="E1706" s="23">
        <v>563.29999999999995</v>
      </c>
      <c r="F1706" s="23">
        <v>0.69999999999993179</v>
      </c>
      <c r="G1706" s="42" t="str">
        <f t="shared" si="45"/>
        <v>RIO/SP - FX ADICIONAL - 3ª faixa (LD) - 562,6 - 563,3 - 0,699999999999932</v>
      </c>
      <c r="N1706" s="23" t="s">
        <v>363</v>
      </c>
    </row>
    <row r="1707" spans="1:14" x14ac:dyDescent="0.25">
      <c r="A1707" s="23" t="s">
        <v>349</v>
      </c>
      <c r="B1707" s="24" t="s">
        <v>320</v>
      </c>
      <c r="C1707" s="23" t="s">
        <v>983</v>
      </c>
      <c r="D1707" s="23">
        <v>570</v>
      </c>
      <c r="E1707" s="23">
        <v>571.4</v>
      </c>
      <c r="F1707" s="23">
        <v>1.3999999999999773</v>
      </c>
      <c r="G1707" s="42" t="str">
        <f t="shared" si="45"/>
        <v>RIO/SP - FX ADICIONAL - 3ª faixa (LD) - 570 - 571,4 - 1,39999999999998</v>
      </c>
      <c r="N1707" s="23" t="s">
        <v>363</v>
      </c>
    </row>
    <row r="1708" spans="1:14" x14ac:dyDescent="0.25">
      <c r="A1708" s="23" t="s">
        <v>349</v>
      </c>
      <c r="B1708" s="24" t="s">
        <v>320</v>
      </c>
      <c r="C1708" s="23" t="s">
        <v>984</v>
      </c>
      <c r="D1708" s="23">
        <v>573.1</v>
      </c>
      <c r="E1708" s="23">
        <v>574.70000000000005</v>
      </c>
      <c r="F1708" s="23">
        <v>1.6000000000000227</v>
      </c>
      <c r="G1708" s="42" t="str">
        <f t="shared" si="45"/>
        <v>RIO/SP - FX ADICIONAL - 3ª faixa (LE) - 573,1 - 574,7 - 1,60000000000002</v>
      </c>
      <c r="N1708" s="23" t="s">
        <v>363</v>
      </c>
    </row>
    <row r="1709" spans="1:14" x14ac:dyDescent="0.25">
      <c r="A1709" s="23" t="s">
        <v>349</v>
      </c>
      <c r="B1709" s="24" t="s">
        <v>320</v>
      </c>
      <c r="C1709" s="23" t="s">
        <v>984</v>
      </c>
      <c r="D1709" s="23">
        <v>565</v>
      </c>
      <c r="E1709" s="23">
        <v>566.6</v>
      </c>
      <c r="F1709" s="23">
        <v>1.6000000000000227</v>
      </c>
      <c r="G1709" s="42" t="str">
        <f t="shared" si="45"/>
        <v>RIO/SP - FX ADICIONAL - 3ª faixa (LE) - 565 - 566,6 - 1,60000000000002</v>
      </c>
      <c r="N1709" s="23" t="s">
        <v>363</v>
      </c>
    </row>
    <row r="1710" spans="1:14" x14ac:dyDescent="0.25">
      <c r="A1710" s="23" t="s">
        <v>349</v>
      </c>
      <c r="B1710" s="24" t="s">
        <v>320</v>
      </c>
      <c r="C1710" s="23" t="s">
        <v>984</v>
      </c>
      <c r="D1710" s="23">
        <v>553.6</v>
      </c>
      <c r="E1710" s="23">
        <v>555.6</v>
      </c>
      <c r="F1710" s="23">
        <v>2</v>
      </c>
      <c r="G1710" s="42" t="str">
        <f t="shared" si="45"/>
        <v>RIO/SP - FX ADICIONAL - 3ª faixa (LE) - 553,6 - 555,6 - 2</v>
      </c>
      <c r="N1710" s="23" t="s">
        <v>363</v>
      </c>
    </row>
    <row r="1711" spans="1:14" x14ac:dyDescent="0.25">
      <c r="A1711" s="23" t="s">
        <v>349</v>
      </c>
      <c r="B1711" s="24" t="s">
        <v>320</v>
      </c>
      <c r="C1711" s="23" t="s">
        <v>984</v>
      </c>
      <c r="D1711" s="23">
        <v>548</v>
      </c>
      <c r="E1711" s="23">
        <v>549.6</v>
      </c>
      <c r="F1711" s="23">
        <v>1.6000000000000227</v>
      </c>
      <c r="G1711" s="42" t="str">
        <f t="shared" si="45"/>
        <v>RIO/SP - FX ADICIONAL - 3ª faixa (LE) - 548 - 549,6 - 1,60000000000002</v>
      </c>
      <c r="N1711" s="23" t="s">
        <v>363</v>
      </c>
    </row>
    <row r="1712" spans="1:14" x14ac:dyDescent="0.25">
      <c r="A1712" s="23" t="s">
        <v>349</v>
      </c>
      <c r="B1712" s="24" t="s">
        <v>320</v>
      </c>
      <c r="C1712" s="23" t="s">
        <v>984</v>
      </c>
      <c r="D1712" s="23">
        <v>541.1</v>
      </c>
      <c r="E1712" s="23">
        <v>541.9</v>
      </c>
      <c r="F1712" s="23">
        <v>0.79999999999995453</v>
      </c>
      <c r="G1712" s="42" t="str">
        <f t="shared" si="45"/>
        <v>RIO/SP - FX ADICIONAL - 3ª faixa (LE) - 541,1 - 541,9 - 0,799999999999955</v>
      </c>
      <c r="N1712" s="23" t="s">
        <v>363</v>
      </c>
    </row>
    <row r="1713" spans="1:14" x14ac:dyDescent="0.25">
      <c r="A1713" s="23" t="s">
        <v>349</v>
      </c>
      <c r="B1713" s="24" t="s">
        <v>320</v>
      </c>
      <c r="C1713" s="23" t="s">
        <v>984</v>
      </c>
      <c r="D1713" s="23">
        <v>530</v>
      </c>
      <c r="E1713" s="23">
        <v>531.20000000000005</v>
      </c>
      <c r="F1713" s="23">
        <v>1.2000000000000455</v>
      </c>
      <c r="G1713" s="42" t="str">
        <f t="shared" si="45"/>
        <v>RIO/SP - FX ADICIONAL - 3ª faixa (LE) - 530 - 531,2 - 1,20000000000005</v>
      </c>
      <c r="N1713" s="23" t="s">
        <v>363</v>
      </c>
    </row>
  </sheetData>
  <autoFilter ref="A2:W1713" xr:uid="{E9E4AD7E-BDF7-4F60-A9B1-C58B621465F9}"/>
  <mergeCells count="10">
    <mergeCell ref="U1:W1"/>
    <mergeCell ref="L1:N1"/>
    <mergeCell ref="O1:P1"/>
    <mergeCell ref="Q1:R1"/>
    <mergeCell ref="A1:A2"/>
    <mergeCell ref="F1:F2"/>
    <mergeCell ref="E1:E2"/>
    <mergeCell ref="D1:D2"/>
    <mergeCell ref="C1:C2"/>
    <mergeCell ref="B1:B2"/>
  </mergeCells>
  <conditionalFormatting sqref="G1:G1048576">
    <cfRule type="duplicateValues" dxfId="1" priority="2"/>
  </conditionalFormatting>
  <pageMargins left="0.511811024" right="0.511811024" top="0.78740157499999996" bottom="0.78740157499999996" header="0.31496062000000002" footer="0.3149606200000000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F2CB0-F1C6-4208-8FE9-6CAF3CC3E0BE}">
  <dimension ref="A1:E21"/>
  <sheetViews>
    <sheetView workbookViewId="0">
      <selection sqref="A1:A2"/>
    </sheetView>
  </sheetViews>
  <sheetFormatPr defaultRowHeight="15" x14ac:dyDescent="0.25"/>
  <cols>
    <col min="1" max="1" width="19.85546875" customWidth="1"/>
    <col min="2" max="2" width="6.140625" bestFit="1" customWidth="1"/>
    <col min="3" max="3" width="9.7109375" bestFit="1" customWidth="1"/>
    <col min="4" max="4" width="7.140625" bestFit="1" customWidth="1"/>
  </cols>
  <sheetData>
    <row r="1" spans="1:5" x14ac:dyDescent="0.25">
      <c r="A1" s="62" t="s">
        <v>2</v>
      </c>
      <c r="B1" s="62" t="s">
        <v>1782</v>
      </c>
      <c r="C1" s="62" t="s">
        <v>1784</v>
      </c>
      <c r="D1" s="62" t="s">
        <v>1783</v>
      </c>
    </row>
    <row r="2" spans="1:5" x14ac:dyDescent="0.25">
      <c r="A2" s="62" t="str" cm="1">
        <f t="array" ref="A2:A18">_xlfn.UNIQUE(PPI!A3:A1339)</f>
        <v>ARAGUAIA</v>
      </c>
      <c r="B2" s="43">
        <f>COUNTIF(PPI!A:A,'.concessionárias'!A2)</f>
        <v>113</v>
      </c>
      <c r="C2" s="43">
        <f>COUNTIFS(PPI!A:A,'.concessionárias'!A2,PPI!Y:Y,100)</f>
        <v>113</v>
      </c>
      <c r="D2" s="61">
        <f>C2/B2</f>
        <v>1</v>
      </c>
    </row>
    <row r="3" spans="1:5" x14ac:dyDescent="0.25">
      <c r="A3" s="62" t="str">
        <v>CERRADO</v>
      </c>
      <c r="B3" s="43">
        <f>COUNTIF(PPI!A:A,'.concessionárias'!A3)</f>
        <v>27</v>
      </c>
      <c r="C3" s="43">
        <f>COUNTIFS(PPI!A:A,'.concessionárias'!A3,PPI!Y:Y,100)</f>
        <v>26</v>
      </c>
      <c r="D3" s="63">
        <f t="shared" ref="D3:D19" si="0">C3/B3</f>
        <v>0.96296296296296291</v>
      </c>
      <c r="E3" s="81" t="s">
        <v>1785</v>
      </c>
    </row>
    <row r="4" spans="1:5" x14ac:dyDescent="0.25">
      <c r="A4" s="62" t="str">
        <v>CONCESSÃO VIA SUL</v>
      </c>
      <c r="B4" s="43">
        <f>COUNTIF(PPI!A:A,'.concessionárias'!A4)</f>
        <v>105</v>
      </c>
      <c r="C4" s="43">
        <f>COUNTIFS(PPI!A:A,'.concessionárias'!A4,PPI!Y:Y,100)</f>
        <v>105</v>
      </c>
      <c r="D4" s="61">
        <f t="shared" si="0"/>
        <v>1</v>
      </c>
    </row>
    <row r="5" spans="1:5" x14ac:dyDescent="0.25">
      <c r="A5" s="62" t="str">
        <v>CRO</v>
      </c>
      <c r="B5" s="43">
        <f>COUNTIF(PPI!A:A,'.concessionárias'!A5)</f>
        <v>62</v>
      </c>
      <c r="C5" s="43">
        <f>COUNTIFS(PPI!A:A,'.concessionárias'!A5,PPI!Y:Y,100)</f>
        <v>62</v>
      </c>
      <c r="D5" s="61">
        <f t="shared" si="0"/>
        <v>1</v>
      </c>
      <c r="E5" s="60"/>
    </row>
    <row r="6" spans="1:5" x14ac:dyDescent="0.25">
      <c r="A6" s="62" t="str">
        <v>ECO 050</v>
      </c>
      <c r="B6" s="43">
        <f>COUNTIF(PPI!A:A,'.concessionárias'!A6)</f>
        <v>48</v>
      </c>
      <c r="C6" s="43">
        <f>COUNTIFS(PPI!A:A,'.concessionárias'!A6,PPI!Y:Y,100)</f>
        <v>48</v>
      </c>
      <c r="D6" s="61">
        <f t="shared" si="0"/>
        <v>1</v>
      </c>
    </row>
    <row r="7" spans="1:5" x14ac:dyDescent="0.25">
      <c r="A7" s="62" t="str">
        <v>ECOPONTE</v>
      </c>
      <c r="B7" s="43">
        <f>COUNTIF(PPI!A:A,'.concessionárias'!A7)</f>
        <v>7</v>
      </c>
      <c r="C7" s="43">
        <f>COUNTIFS(PPI!A:A,'.concessionárias'!A7,PPI!Y:Y,100)</f>
        <v>7</v>
      </c>
      <c r="D7" s="61">
        <f t="shared" si="0"/>
        <v>1</v>
      </c>
    </row>
    <row r="8" spans="1:5" x14ac:dyDescent="0.25">
      <c r="A8" s="62" t="str">
        <v>FERNÃO DIAS</v>
      </c>
      <c r="B8" s="43">
        <f>COUNTIF(PPI!A:A,'.concessionárias'!A8)</f>
        <v>41</v>
      </c>
      <c r="C8" s="43">
        <f>COUNTIFS(PPI!A:A,'.concessionárias'!A8,PPI!Y:Y,100)</f>
        <v>41</v>
      </c>
      <c r="D8" s="61">
        <f t="shared" si="0"/>
        <v>1</v>
      </c>
    </row>
    <row r="9" spans="1:5" x14ac:dyDescent="0.25">
      <c r="A9" s="62" t="str">
        <v>FLUMINENSE</v>
      </c>
      <c r="B9" s="43">
        <f>COUNTIF(PPI!A:A,'.concessionárias'!A9)</f>
        <v>41</v>
      </c>
      <c r="C9" s="43">
        <f>COUNTIFS(PPI!A:A,'.concessionárias'!A9,PPI!Y:Y,100)</f>
        <v>41</v>
      </c>
      <c r="D9" s="61">
        <f t="shared" si="0"/>
        <v>1</v>
      </c>
    </row>
    <row r="10" spans="1:5" x14ac:dyDescent="0.25">
      <c r="A10" s="62" t="str">
        <v>LITORAL</v>
      </c>
      <c r="B10" s="43">
        <f>COUNTIF(PPI!A:A,'.concessionárias'!A10)</f>
        <v>56</v>
      </c>
      <c r="C10" s="43">
        <f>COUNTIFS(PPI!A:A,'.concessionárias'!A10,PPI!Y:Y,100)</f>
        <v>56</v>
      </c>
      <c r="D10" s="61">
        <f t="shared" si="0"/>
        <v>1</v>
      </c>
    </row>
    <row r="11" spans="1:5" x14ac:dyDescent="0.25">
      <c r="A11" s="62" t="str">
        <v>PLANALTO</v>
      </c>
      <c r="B11" s="43">
        <f>COUNTIF(PPI!A:A,'.concessionárias'!A11)</f>
        <v>37</v>
      </c>
      <c r="C11" s="43">
        <f>COUNTIFS(PPI!A:A,'.concessionárias'!A11,PPI!Y:Y,100)</f>
        <v>37</v>
      </c>
      <c r="D11" s="61">
        <f t="shared" si="0"/>
        <v>1</v>
      </c>
    </row>
    <row r="12" spans="1:5" x14ac:dyDescent="0.25">
      <c r="A12" s="62" t="str">
        <v>REGIS</v>
      </c>
      <c r="B12" s="43">
        <f>COUNTIF(PPI!A:A,'.concessionárias'!A12)</f>
        <v>25</v>
      </c>
      <c r="C12" s="43">
        <f>COUNTIFS(PPI!A:A,'.concessionárias'!A12,PPI!Y:Y,100)</f>
        <v>25</v>
      </c>
      <c r="D12" s="61">
        <f t="shared" si="0"/>
        <v>1</v>
      </c>
    </row>
    <row r="13" spans="1:5" x14ac:dyDescent="0.25">
      <c r="A13" s="62" t="str">
        <v>RIO/MINAS</v>
      </c>
      <c r="B13" s="43">
        <f>COUNTIF(PPI!A:A,'.concessionárias'!A13)</f>
        <v>254</v>
      </c>
      <c r="C13" s="43">
        <f>COUNTIFS(PPI!A:A,'.concessionárias'!A13,PPI!Y:Y,100)</f>
        <v>254</v>
      </c>
      <c r="D13" s="61">
        <f t="shared" si="0"/>
        <v>1</v>
      </c>
    </row>
    <row r="14" spans="1:5" x14ac:dyDescent="0.25">
      <c r="A14" s="62" t="str">
        <v>RIO/SP</v>
      </c>
      <c r="B14" s="43">
        <f>COUNTIF(PPI!A:A,'.concessionárias'!A14)</f>
        <v>337</v>
      </c>
      <c r="C14" s="43">
        <f>COUNTIFS(PPI!A:A,'.concessionárias'!A14,PPI!Y:Y,100)</f>
        <v>337</v>
      </c>
      <c r="D14" s="61">
        <f t="shared" si="0"/>
        <v>1</v>
      </c>
    </row>
    <row r="15" spans="1:5" x14ac:dyDescent="0.25">
      <c r="A15" s="62" t="str">
        <v>TRANSBRASILIANA</v>
      </c>
      <c r="B15" s="43">
        <f>COUNTIF(PPI!A:A,'.concessionárias'!A15)</f>
        <v>32</v>
      </c>
      <c r="C15" s="43">
        <f>COUNTIFS(PPI!A:A,'.concessionárias'!A15,PPI!Y:Y,100)</f>
        <v>32</v>
      </c>
      <c r="D15" s="61">
        <f t="shared" si="0"/>
        <v>1</v>
      </c>
    </row>
    <row r="16" spans="1:5" x14ac:dyDescent="0.25">
      <c r="A16" s="62" t="str">
        <v>VIA BAHIA</v>
      </c>
      <c r="B16" s="43">
        <f>COUNTIF(PPI!A:A,'.concessionárias'!A16)</f>
        <v>21</v>
      </c>
      <c r="C16" s="43">
        <f>COUNTIFS(PPI!A:A,'.concessionárias'!A16,PPI!Y:Y,100)</f>
        <v>21</v>
      </c>
      <c r="D16" s="61">
        <f t="shared" si="0"/>
        <v>1</v>
      </c>
    </row>
    <row r="17" spans="1:4" x14ac:dyDescent="0.25">
      <c r="A17" s="62" t="str">
        <v>VIA BRASIL</v>
      </c>
      <c r="B17" s="43">
        <f>COUNTIF(PPI!A:A,'.concessionárias'!A17)</f>
        <v>59</v>
      </c>
      <c r="C17" s="43">
        <f>COUNTIFS(PPI!A:A,'.concessionárias'!A17,PPI!Y:Y,100)</f>
        <v>59</v>
      </c>
      <c r="D17" s="61">
        <f t="shared" si="0"/>
        <v>1</v>
      </c>
    </row>
    <row r="18" spans="1:4" x14ac:dyDescent="0.25">
      <c r="A18" s="62" t="str">
        <v>VIA COSTEIRA</v>
      </c>
      <c r="B18" s="43">
        <f>COUNTIF(PPI!A:A,'.concessionárias'!A18)</f>
        <v>72</v>
      </c>
      <c r="C18" s="43">
        <f>COUNTIFS(PPI!A:A,'.concessionárias'!A18,PPI!Y:Y,100)</f>
        <v>72</v>
      </c>
      <c r="D18" s="61">
        <f t="shared" si="0"/>
        <v>1</v>
      </c>
    </row>
    <row r="19" spans="1:4" x14ac:dyDescent="0.25">
      <c r="A19" s="62" t="s">
        <v>1779</v>
      </c>
      <c r="B19" s="43">
        <f>SUM(B2:B18)</f>
        <v>1337</v>
      </c>
      <c r="C19" s="43">
        <f>SUM(C2:C18)</f>
        <v>1336</v>
      </c>
      <c r="D19" s="61">
        <f t="shared" si="0"/>
        <v>0.9992520568436799</v>
      </c>
    </row>
    <row r="21" spans="1:4" x14ac:dyDescent="0.25">
      <c r="A21" s="56" t="s">
        <v>1780</v>
      </c>
    </row>
  </sheetData>
  <conditionalFormatting sqref="D2:D19">
    <cfRule type="colorScale" priority="1">
      <colorScale>
        <cfvo type="min"/>
        <cfvo type="percentile" val="50"/>
        <cfvo type="max"/>
        <color rgb="FFF8696B"/>
        <color rgb="FFFFEB84"/>
        <color rgb="FF63BE7B"/>
      </colorScale>
    </cfRule>
  </conditionalFormatting>
  <hyperlinks>
    <hyperlink ref="A21" r:id="rId1" xr:uid="{CFD7A973-89A3-4C1E-A38E-C4BE880289E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F3259-BF3F-4158-9E40-EC1187F9B6AB}">
  <dimension ref="A1:Z1358"/>
  <sheetViews>
    <sheetView tabSelected="1" zoomScaleNormal="100" workbookViewId="0">
      <pane ySplit="2" topLeftCell="A3" activePane="bottomLeft" state="frozen"/>
      <selection pane="bottomLeft" sqref="A1:A2"/>
    </sheetView>
  </sheetViews>
  <sheetFormatPr defaultRowHeight="15" x14ac:dyDescent="0.25"/>
  <cols>
    <col min="1" max="1" width="18.85546875" style="59" customWidth="1"/>
    <col min="2" max="2" width="15.7109375" style="59" bestFit="1" customWidth="1"/>
    <col min="3" max="3" width="74" style="59" customWidth="1"/>
    <col min="4" max="5" width="9.28515625" style="59" bestFit="1" customWidth="1"/>
    <col min="6" max="6" width="8.85546875" style="59" bestFit="1" customWidth="1"/>
    <col min="7" max="7" width="24.7109375" style="59" hidden="1" customWidth="1"/>
    <col min="8" max="8" width="12" style="109" customWidth="1"/>
    <col min="9" max="9" width="7.42578125" style="109" customWidth="1"/>
    <col min="10" max="10" width="6.42578125" style="109" customWidth="1"/>
    <col min="11" max="11" width="14.28515625" style="109" customWidth="1"/>
    <col min="12" max="12" width="6.5703125" style="109" customWidth="1"/>
    <col min="13" max="13" width="7" style="109" customWidth="1"/>
    <col min="14" max="14" width="7.85546875" style="109" customWidth="1"/>
    <col min="15" max="15" width="9.7109375" style="109" customWidth="1"/>
    <col min="16" max="16" width="10.85546875" style="109" customWidth="1"/>
    <col min="17" max="17" width="10.140625" style="109" customWidth="1"/>
    <col min="18" max="18" width="10.85546875" style="109" customWidth="1"/>
    <col min="19" max="19" width="10.140625" style="109" customWidth="1"/>
    <col min="20" max="20" width="11.28515625" style="109" customWidth="1"/>
    <col min="21" max="21" width="17.42578125" style="109" customWidth="1"/>
    <col min="22" max="23" width="9.5703125" style="109" bestFit="1" customWidth="1"/>
    <col min="24" max="24" width="9.140625" style="109"/>
    <col min="25" max="25" width="10.85546875" style="109" bestFit="1" customWidth="1"/>
    <col min="26" max="26" width="10.7109375" style="109" customWidth="1"/>
    <col min="27" max="27" width="19.28515625" style="59" bestFit="1" customWidth="1"/>
    <col min="28" max="16384" width="9.140625" style="59"/>
  </cols>
  <sheetData>
    <row r="1" spans="1:26" ht="35.25" customHeight="1" x14ac:dyDescent="0.25">
      <c r="A1" s="141" t="s">
        <v>2</v>
      </c>
      <c r="B1" s="141" t="s">
        <v>325</v>
      </c>
      <c r="C1" s="141" t="s">
        <v>10</v>
      </c>
      <c r="D1" s="141" t="s">
        <v>11</v>
      </c>
      <c r="E1" s="141" t="s">
        <v>12</v>
      </c>
      <c r="F1" s="142" t="s">
        <v>13</v>
      </c>
      <c r="G1" s="99"/>
      <c r="H1" s="143" t="s">
        <v>364</v>
      </c>
      <c r="I1" s="143" t="s">
        <v>309</v>
      </c>
      <c r="J1" s="143" t="s">
        <v>1781</v>
      </c>
      <c r="K1" s="143" t="s">
        <v>312</v>
      </c>
      <c r="L1" s="137" t="s">
        <v>311</v>
      </c>
      <c r="M1" s="138"/>
      <c r="N1" s="139"/>
      <c r="O1" s="139" t="s">
        <v>313</v>
      </c>
      <c r="P1" s="142"/>
      <c r="Q1" s="142" t="s">
        <v>309</v>
      </c>
      <c r="R1" s="142"/>
      <c r="S1" s="137" t="s">
        <v>310</v>
      </c>
      <c r="T1" s="139"/>
      <c r="U1" s="101" t="s">
        <v>312</v>
      </c>
      <c r="V1" s="142" t="s">
        <v>311</v>
      </c>
      <c r="W1" s="142"/>
      <c r="X1" s="142"/>
      <c r="Y1" s="141" t="s">
        <v>1779</v>
      </c>
      <c r="Z1" s="141"/>
    </row>
    <row r="2" spans="1:26" ht="30" x14ac:dyDescent="0.25">
      <c r="A2" s="141"/>
      <c r="B2" s="141"/>
      <c r="C2" s="141"/>
      <c r="D2" s="141"/>
      <c r="E2" s="141"/>
      <c r="F2" s="142"/>
      <c r="G2" s="99"/>
      <c r="H2" s="144"/>
      <c r="I2" s="144"/>
      <c r="J2" s="144"/>
      <c r="K2" s="144"/>
      <c r="L2" s="102">
        <v>2025</v>
      </c>
      <c r="M2" s="102">
        <v>2026</v>
      </c>
      <c r="N2" s="100" t="s">
        <v>932</v>
      </c>
      <c r="O2" s="103" t="s">
        <v>314</v>
      </c>
      <c r="P2" s="100" t="s">
        <v>315</v>
      </c>
      <c r="Q2" s="100" t="s">
        <v>314</v>
      </c>
      <c r="R2" s="100" t="s">
        <v>315</v>
      </c>
      <c r="S2" s="100" t="s">
        <v>314</v>
      </c>
      <c r="T2" s="100" t="s">
        <v>315</v>
      </c>
      <c r="U2" s="100" t="s">
        <v>316</v>
      </c>
      <c r="V2" s="100">
        <v>2025</v>
      </c>
      <c r="W2" s="100">
        <v>2026</v>
      </c>
      <c r="X2" s="100" t="s">
        <v>931</v>
      </c>
      <c r="Y2" s="31" t="s">
        <v>1817</v>
      </c>
      <c r="Z2" s="31" t="s">
        <v>315</v>
      </c>
    </row>
    <row r="3" spans="1:26" x14ac:dyDescent="0.25">
      <c r="A3" s="55" t="str">
        <f>_xlfn.XLOOKUP($G3,'.Auxiliar'!$G:$G,'.Auxiliar'!A:A,"-",0)</f>
        <v>ARAGUAIA</v>
      </c>
      <c r="B3" s="55" t="str">
        <f>_xlfn.XLOOKUP($G3,'.Auxiliar'!$G:$G,'.Auxiliar'!B:B,"-",0)</f>
        <v>CONTORNO</v>
      </c>
      <c r="C3" s="55" t="str">
        <f>_xlfn.XLOOKUP($G3,'.Auxiliar'!$G:$G,'.Auxiliar'!C:C,"-",0)</f>
        <v>Segmento 41A</v>
      </c>
      <c r="D3" s="55">
        <f>_xlfn.XLOOKUP($G3,'.Auxiliar'!$G:$G,'.Auxiliar'!D:D,"-",0)</f>
        <v>389.37400000000002</v>
      </c>
      <c r="E3" s="55">
        <f>_xlfn.XLOOKUP($G3,'.Auxiliar'!$G:$G,'.Auxiliar'!E:E,"-",0)</f>
        <v>395.464</v>
      </c>
      <c r="F3" s="55">
        <f>_xlfn.XLOOKUP($G3,'.Auxiliar'!$G:$G,'.Auxiliar'!F:F,"-",0)</f>
        <v>6.089999999999975</v>
      </c>
      <c r="G3" s="59" t="s">
        <v>1535</v>
      </c>
      <c r="H3" s="104" t="str" cm="1">
        <f t="array" ref="H3">IFERROR(INDEX(_xlfn._xlws.FILTER('.Auxiliar'!H:H, ('.Auxiliar'!$G:$G=PPI!$G3) * ('.Auxiliar'!H:H&lt;&gt;0) * ('.Auxiliar'!H:H&lt;&gt;"")), 1), "-")</f>
        <v>-</v>
      </c>
      <c r="I3" s="105" t="str" cm="1">
        <f t="array" ref="I3">IFERROR(INDEX(_xlfn._xlws.FILTER('.Auxiliar'!I:I, ('.Auxiliar'!$G:$G=PPI!$G3) * ('.Auxiliar'!I:I&lt;&gt;0) * ('.Auxiliar'!I:I&lt;&gt;"")), 1), "-")</f>
        <v>-</v>
      </c>
      <c r="J3" s="105" t="str" cm="1">
        <f t="array" ref="J3">IFERROR(INDEX(_xlfn._xlws.FILTER('.Auxiliar'!J:J, ('.Auxiliar'!$G:$G=PPI!$G3) * ('.Auxiliar'!J:J&lt;&gt;0) * ('.Auxiliar'!J:J&lt;&gt;"")), 1), "-")</f>
        <v>-</v>
      </c>
      <c r="K3" s="105" t="str" cm="1">
        <f t="array" ref="K3">IFERROR(INDEX(_xlfn._xlws.FILTER('.Auxiliar'!K:K, ('.Auxiliar'!$G:$G=PPI!$G3) * ('.Auxiliar'!K:K&lt;&gt;0) * ('.Auxiliar'!K:K&lt;&gt;"")), 1), "-")</f>
        <v>-</v>
      </c>
      <c r="L3" s="105" t="str" cm="1">
        <f t="array" ref="L3">IFERROR(INDEX(_xlfn._xlws.FILTER('.Auxiliar'!L:L, ('.Auxiliar'!$G:$G=PPI!$G3) * ('.Auxiliar'!L:L&lt;&gt;0) * ('.Auxiliar'!L:L&lt;&gt;"")), 1), "-")</f>
        <v>-</v>
      </c>
      <c r="M3" s="105" t="str" cm="1">
        <f t="array" ref="M3">IFERROR(INDEX(_xlfn._xlws.FILTER('.Auxiliar'!M:M, ('.Auxiliar'!$G:$G=PPI!$G3) * ('.Auxiliar'!M:M&lt;&gt;0) * ('.Auxiliar'!M:M&lt;&gt;"")), 1), "-")</f>
        <v>-</v>
      </c>
      <c r="N3" s="106" t="str" cm="1">
        <f t="array" ref="N3">IFERROR(INDEX(_xlfn._xlws.FILTER('.Auxiliar'!N:N, ('.Auxiliar'!$G:$G=PPI!$G3) * ('.Auxiliar'!N:N&lt;&gt;0) * ('.Auxiliar'!N:N&lt;&gt;"")), 1), "-")</f>
        <v>X</v>
      </c>
      <c r="O3" s="91"/>
      <c r="P3" s="92"/>
      <c r="Q3" s="92"/>
      <c r="R3" s="92"/>
      <c r="S3" s="92"/>
      <c r="T3" s="92"/>
      <c r="U3" s="92" t="str">
        <f t="shared" ref="U3:U66" si="0">IF(SUM(V3:X3)=100,"",100-(P3+R3))</f>
        <v/>
      </c>
      <c r="V3" s="92"/>
      <c r="W3" s="92"/>
      <c r="X3" s="93">
        <v>100</v>
      </c>
      <c r="Y3" s="96">
        <f t="shared" ref="Y3:Y66" si="1">SUM(P3,R3,S3,V3,W3,X3)</f>
        <v>100</v>
      </c>
      <c r="Z3" s="107">
        <f t="shared" ref="Z3:Z66" si="2">SUM(P3,R3,T3)</f>
        <v>0</v>
      </c>
    </row>
    <row r="4" spans="1:26" x14ac:dyDescent="0.25">
      <c r="A4" s="55" t="str">
        <f>_xlfn.XLOOKUP($G4,'.Auxiliar'!$G:$G,'.Auxiliar'!A:A,"-",0)</f>
        <v>ARAGUAIA</v>
      </c>
      <c r="B4" s="55" t="str">
        <f>_xlfn.XLOOKUP($G4,'.Auxiliar'!$G:$G,'.Auxiliar'!B:B,"-",0)</f>
        <v>DUPLICAÇÃO</v>
      </c>
      <c r="C4" s="55" t="str">
        <f>_xlfn.XLOOKUP($G4,'.Auxiliar'!$G:$G,'.Auxiliar'!C:C,"-",0)</f>
        <v>Nada Consta</v>
      </c>
      <c r="D4" s="55">
        <f>_xlfn.XLOOKUP($G4,'.Auxiliar'!$G:$G,'.Auxiliar'!D:D,"-",0)</f>
        <v>0</v>
      </c>
      <c r="E4" s="55">
        <f>_xlfn.XLOOKUP($G4,'.Auxiliar'!$G:$G,'.Auxiliar'!E:E,"-",0)</f>
        <v>31.52</v>
      </c>
      <c r="F4" s="55">
        <f>_xlfn.XLOOKUP($G4,'.Auxiliar'!$G:$G,'.Auxiliar'!F:F,"-",0)</f>
        <v>31.52</v>
      </c>
      <c r="G4" s="59" t="s">
        <v>1209</v>
      </c>
      <c r="H4" s="108" t="s">
        <v>0</v>
      </c>
      <c r="I4" s="109" t="s">
        <v>0</v>
      </c>
      <c r="J4" s="109" t="s">
        <v>0</v>
      </c>
      <c r="K4" s="109" t="s">
        <v>0</v>
      </c>
      <c r="L4" s="109" t="s">
        <v>0</v>
      </c>
      <c r="M4" s="109" t="s">
        <v>0</v>
      </c>
      <c r="N4" s="110" t="s">
        <v>363</v>
      </c>
      <c r="O4" s="94"/>
      <c r="P4" s="95"/>
      <c r="Q4" s="95"/>
      <c r="R4" s="95"/>
      <c r="S4" s="95"/>
      <c r="T4" s="95"/>
      <c r="U4" s="95" t="str">
        <f t="shared" si="0"/>
        <v/>
      </c>
      <c r="V4" s="95"/>
      <c r="W4" s="95"/>
      <c r="X4" s="96">
        <v>100</v>
      </c>
      <c r="Y4" s="96">
        <f t="shared" si="1"/>
        <v>100</v>
      </c>
      <c r="Z4" s="107">
        <f t="shared" si="2"/>
        <v>0</v>
      </c>
    </row>
    <row r="5" spans="1:26" x14ac:dyDescent="0.25">
      <c r="A5" s="55" t="str">
        <f>_xlfn.XLOOKUP($G5,'.Auxiliar'!$G:$G,'.Auxiliar'!A:A,"-",0)</f>
        <v>ARAGUAIA</v>
      </c>
      <c r="B5" s="55" t="str">
        <f>_xlfn.XLOOKUP($G5,'.Auxiliar'!$G:$G,'.Auxiliar'!B:B,"-",0)</f>
        <v>DUPLICAÇÃO</v>
      </c>
      <c r="C5" s="55" t="str">
        <f>_xlfn.XLOOKUP($G5,'.Auxiliar'!$G:$G,'.Auxiliar'!C:C,"-",0)</f>
        <v>Nada Consta</v>
      </c>
      <c r="D5" s="55">
        <f>_xlfn.XLOOKUP($G5,'.Auxiliar'!$G:$G,'.Auxiliar'!D:D,"-",0)</f>
        <v>107.12</v>
      </c>
      <c r="E5" s="55">
        <f>_xlfn.XLOOKUP($G5,'.Auxiliar'!$G:$G,'.Auxiliar'!E:E,"-",0)</f>
        <v>124.42</v>
      </c>
      <c r="F5" s="55">
        <f>_xlfn.XLOOKUP($G5,'.Auxiliar'!$G:$G,'.Auxiliar'!F:F,"-",0)</f>
        <v>17.299999999999997</v>
      </c>
      <c r="G5" s="59" t="s">
        <v>1213</v>
      </c>
      <c r="H5" s="108" t="s">
        <v>0</v>
      </c>
      <c r="I5" s="109" t="s">
        <v>0</v>
      </c>
      <c r="J5" s="109" t="s">
        <v>0</v>
      </c>
      <c r="K5" s="109" t="s">
        <v>0</v>
      </c>
      <c r="L5" s="109" t="s">
        <v>0</v>
      </c>
      <c r="M5" s="109" t="s">
        <v>0</v>
      </c>
      <c r="N5" s="110" t="s">
        <v>363</v>
      </c>
      <c r="O5" s="94"/>
      <c r="P5" s="95"/>
      <c r="Q5" s="95"/>
      <c r="R5" s="95"/>
      <c r="S5" s="95"/>
      <c r="T5" s="95"/>
      <c r="U5" s="95" t="str">
        <f t="shared" si="0"/>
        <v/>
      </c>
      <c r="V5" s="95"/>
      <c r="W5" s="95"/>
      <c r="X5" s="96">
        <v>100</v>
      </c>
      <c r="Y5" s="96">
        <f t="shared" si="1"/>
        <v>100</v>
      </c>
      <c r="Z5" s="107">
        <f t="shared" si="2"/>
        <v>0</v>
      </c>
    </row>
    <row r="6" spans="1:26" x14ac:dyDescent="0.25">
      <c r="A6" s="55" t="str">
        <f>_xlfn.XLOOKUP($G6,'.Auxiliar'!$G:$G,'.Auxiliar'!A:A,"-",0)</f>
        <v>ARAGUAIA</v>
      </c>
      <c r="B6" s="55" t="str">
        <f>_xlfn.XLOOKUP($G6,'.Auxiliar'!$G:$G,'.Auxiliar'!B:B,"-",0)</f>
        <v>DUPLICAÇÃO</v>
      </c>
      <c r="C6" s="55" t="str">
        <f>_xlfn.XLOOKUP($G6,'.Auxiliar'!$G:$G,'.Auxiliar'!C:C,"-",0)</f>
        <v>Nada Consta</v>
      </c>
      <c r="D6" s="55">
        <f>_xlfn.XLOOKUP($G6,'.Auxiliar'!$G:$G,'.Auxiliar'!D:D,"-",0)</f>
        <v>124.42</v>
      </c>
      <c r="E6" s="55">
        <f>_xlfn.XLOOKUP($G6,'.Auxiliar'!$G:$G,'.Auxiliar'!E:E,"-",0)</f>
        <v>141.85</v>
      </c>
      <c r="F6" s="55">
        <f>_xlfn.XLOOKUP($G6,'.Auxiliar'!$G:$G,'.Auxiliar'!F:F,"-",0)</f>
        <v>17.429999999999993</v>
      </c>
      <c r="G6" s="59" t="s">
        <v>1214</v>
      </c>
      <c r="H6" s="108" t="s">
        <v>0</v>
      </c>
      <c r="I6" s="109" t="s">
        <v>0</v>
      </c>
      <c r="J6" s="109" t="s">
        <v>0</v>
      </c>
      <c r="K6" s="109" t="s">
        <v>0</v>
      </c>
      <c r="L6" s="109" t="s">
        <v>0</v>
      </c>
      <c r="M6" s="109" t="s">
        <v>0</v>
      </c>
      <c r="N6" s="110" t="s">
        <v>363</v>
      </c>
      <c r="O6" s="94"/>
      <c r="P6" s="95"/>
      <c r="Q6" s="95"/>
      <c r="R6" s="95"/>
      <c r="S6" s="95"/>
      <c r="T6" s="95"/>
      <c r="U6" s="95" t="str">
        <f t="shared" si="0"/>
        <v/>
      </c>
      <c r="V6" s="95"/>
      <c r="W6" s="95"/>
      <c r="X6" s="96">
        <v>100</v>
      </c>
      <c r="Y6" s="96">
        <f t="shared" si="1"/>
        <v>100</v>
      </c>
      <c r="Z6" s="107">
        <f t="shared" si="2"/>
        <v>0</v>
      </c>
    </row>
    <row r="7" spans="1:26" x14ac:dyDescent="0.25">
      <c r="A7" s="55" t="str">
        <f>_xlfn.XLOOKUP($G7,'.Auxiliar'!$G:$G,'.Auxiliar'!A:A,"-",0)</f>
        <v>ARAGUAIA</v>
      </c>
      <c r="B7" s="55" t="str">
        <f>_xlfn.XLOOKUP($G7,'.Auxiliar'!$G:$G,'.Auxiliar'!B:B,"-",0)</f>
        <v>DUPLICAÇÃO</v>
      </c>
      <c r="C7" s="55" t="str">
        <f>_xlfn.XLOOKUP($G7,'.Auxiliar'!$G:$G,'.Auxiliar'!C:C,"-",0)</f>
        <v>Nada Consta</v>
      </c>
      <c r="D7" s="55">
        <f>_xlfn.XLOOKUP($G7,'.Auxiliar'!$G:$G,'.Auxiliar'!D:D,"-",0)</f>
        <v>141.85</v>
      </c>
      <c r="E7" s="55">
        <f>_xlfn.XLOOKUP($G7,'.Auxiliar'!$G:$G,'.Auxiliar'!E:E,"-",0)</f>
        <v>176.03</v>
      </c>
      <c r="F7" s="55">
        <f>_xlfn.XLOOKUP($G7,'.Auxiliar'!$G:$G,'.Auxiliar'!F:F,"-",0)</f>
        <v>34.180000000000007</v>
      </c>
      <c r="G7" s="59" t="s">
        <v>1215</v>
      </c>
      <c r="H7" s="108" t="s">
        <v>0</v>
      </c>
      <c r="I7" s="109" t="s">
        <v>0</v>
      </c>
      <c r="J7" s="109" t="s">
        <v>0</v>
      </c>
      <c r="K7" s="109" t="s">
        <v>0</v>
      </c>
      <c r="L7" s="109" t="s">
        <v>0</v>
      </c>
      <c r="M7" s="109" t="s">
        <v>0</v>
      </c>
      <c r="N7" s="110" t="s">
        <v>363</v>
      </c>
      <c r="O7" s="94"/>
      <c r="P7" s="95"/>
      <c r="Q7" s="95"/>
      <c r="R7" s="95"/>
      <c r="S7" s="95"/>
      <c r="T7" s="95"/>
      <c r="U7" s="95" t="str">
        <f t="shared" si="0"/>
        <v/>
      </c>
      <c r="V7" s="95"/>
      <c r="W7" s="95"/>
      <c r="X7" s="96">
        <v>100</v>
      </c>
      <c r="Y7" s="96">
        <f t="shared" si="1"/>
        <v>100</v>
      </c>
      <c r="Z7" s="107">
        <f t="shared" si="2"/>
        <v>0</v>
      </c>
    </row>
    <row r="8" spans="1:26" x14ac:dyDescent="0.25">
      <c r="A8" s="55" t="str">
        <f>_xlfn.XLOOKUP($G8,'.Auxiliar'!$G:$G,'.Auxiliar'!A:A,"-",0)</f>
        <v>ARAGUAIA</v>
      </c>
      <c r="B8" s="55" t="str">
        <f>_xlfn.XLOOKUP($G8,'.Auxiliar'!$G:$G,'.Auxiliar'!B:B,"-",0)</f>
        <v>DUPLICAÇÃO</v>
      </c>
      <c r="C8" s="55" t="str">
        <f>_xlfn.XLOOKUP($G8,'.Auxiliar'!$G:$G,'.Auxiliar'!C:C,"-",0)</f>
        <v>Nada Consta</v>
      </c>
      <c r="D8" s="55">
        <f>_xlfn.XLOOKUP($G8,'.Auxiliar'!$G:$G,'.Auxiliar'!D:D,"-",0)</f>
        <v>176.03</v>
      </c>
      <c r="E8" s="55">
        <f>_xlfn.XLOOKUP($G8,'.Auxiliar'!$G:$G,'.Auxiliar'!E:E,"-",0)</f>
        <v>199.43</v>
      </c>
      <c r="F8" s="55">
        <f>_xlfn.XLOOKUP($G8,'.Auxiliar'!$G:$G,'.Auxiliar'!F:F,"-",0)</f>
        <v>23.400000000000006</v>
      </c>
      <c r="G8" s="59" t="s">
        <v>1185</v>
      </c>
      <c r="H8" s="108" t="s">
        <v>0</v>
      </c>
      <c r="I8" s="109" t="s">
        <v>0</v>
      </c>
      <c r="J8" s="109" t="s">
        <v>0</v>
      </c>
      <c r="K8" s="109" t="s">
        <v>0</v>
      </c>
      <c r="L8" s="109" t="s">
        <v>363</v>
      </c>
      <c r="M8" s="109" t="s">
        <v>0</v>
      </c>
      <c r="N8" s="110" t="s">
        <v>0</v>
      </c>
      <c r="O8" s="94"/>
      <c r="P8" s="95"/>
      <c r="Q8" s="95"/>
      <c r="R8" s="95"/>
      <c r="S8" s="95"/>
      <c r="T8" s="95"/>
      <c r="U8" s="95" t="str">
        <f t="shared" si="0"/>
        <v/>
      </c>
      <c r="V8" s="95">
        <v>100</v>
      </c>
      <c r="W8" s="95"/>
      <c r="X8" s="96"/>
      <c r="Y8" s="96">
        <f t="shared" si="1"/>
        <v>100</v>
      </c>
      <c r="Z8" s="107">
        <f t="shared" si="2"/>
        <v>0</v>
      </c>
    </row>
    <row r="9" spans="1:26" x14ac:dyDescent="0.25">
      <c r="A9" s="55" t="str">
        <f>_xlfn.XLOOKUP($G9,'.Auxiliar'!$G:$G,'.Auxiliar'!A:A,"-",0)</f>
        <v>ARAGUAIA</v>
      </c>
      <c r="B9" s="55" t="str">
        <f>_xlfn.XLOOKUP($G9,'.Auxiliar'!$G:$G,'.Auxiliar'!B:B,"-",0)</f>
        <v>DUPLICAÇÃO</v>
      </c>
      <c r="C9" s="55" t="str">
        <f>_xlfn.XLOOKUP($G9,'.Auxiliar'!$G:$G,'.Auxiliar'!C:C,"-",0)</f>
        <v>Nada Consta</v>
      </c>
      <c r="D9" s="55">
        <f>_xlfn.XLOOKUP($G9,'.Auxiliar'!$G:$G,'.Auxiliar'!D:D,"-",0)</f>
        <v>199.43</v>
      </c>
      <c r="E9" s="55">
        <f>_xlfn.XLOOKUP($G9,'.Auxiliar'!$G:$G,'.Auxiliar'!E:E,"-",0)</f>
        <v>212.45</v>
      </c>
      <c r="F9" s="55">
        <f>_xlfn.XLOOKUP($G9,'.Auxiliar'!$G:$G,'.Auxiliar'!F:F,"-",0)</f>
        <v>13.019999999999982</v>
      </c>
      <c r="G9" s="59" t="s">
        <v>1216</v>
      </c>
      <c r="H9" s="108" t="s">
        <v>0</v>
      </c>
      <c r="I9" s="109" t="s">
        <v>0</v>
      </c>
      <c r="J9" s="109" t="s">
        <v>0</v>
      </c>
      <c r="K9" s="109" t="s">
        <v>0</v>
      </c>
      <c r="L9" s="109" t="s">
        <v>0</v>
      </c>
      <c r="M9" s="109" t="s">
        <v>0</v>
      </c>
      <c r="N9" s="110" t="s">
        <v>363</v>
      </c>
      <c r="O9" s="94"/>
      <c r="P9" s="95"/>
      <c r="Q9" s="95"/>
      <c r="R9" s="95"/>
      <c r="S9" s="95"/>
      <c r="T9" s="95"/>
      <c r="U9" s="95" t="str">
        <f t="shared" si="0"/>
        <v/>
      </c>
      <c r="V9" s="95"/>
      <c r="W9" s="95"/>
      <c r="X9" s="96">
        <v>100</v>
      </c>
      <c r="Y9" s="96">
        <f t="shared" si="1"/>
        <v>100</v>
      </c>
      <c r="Z9" s="107">
        <f t="shared" si="2"/>
        <v>0</v>
      </c>
    </row>
    <row r="10" spans="1:26" x14ac:dyDescent="0.25">
      <c r="A10" s="55" t="str">
        <f>_xlfn.XLOOKUP($G10,'.Auxiliar'!$G:$G,'.Auxiliar'!A:A,"-",0)</f>
        <v>ARAGUAIA</v>
      </c>
      <c r="B10" s="55" t="str">
        <f>_xlfn.XLOOKUP($G10,'.Auxiliar'!$G:$G,'.Auxiliar'!B:B,"-",0)</f>
        <v>DUPLICAÇÃO</v>
      </c>
      <c r="C10" s="55" t="str">
        <f>_xlfn.XLOOKUP($G10,'.Auxiliar'!$G:$G,'.Auxiliar'!C:C,"-",0)</f>
        <v>Nada Consta</v>
      </c>
      <c r="D10" s="55">
        <f>_xlfn.XLOOKUP($G10,'.Auxiliar'!$G:$G,'.Auxiliar'!D:D,"-",0)</f>
        <v>212.45</v>
      </c>
      <c r="E10" s="55">
        <f>_xlfn.XLOOKUP($G10,'.Auxiliar'!$G:$G,'.Auxiliar'!E:E,"-",0)</f>
        <v>242.5</v>
      </c>
      <c r="F10" s="55">
        <f>_xlfn.XLOOKUP($G10,'.Auxiliar'!$G:$G,'.Auxiliar'!F:F,"-",0)</f>
        <v>30.050000000000011</v>
      </c>
      <c r="G10" s="59" t="s">
        <v>1217</v>
      </c>
      <c r="H10" s="108" t="s">
        <v>0</v>
      </c>
      <c r="I10" s="109" t="s">
        <v>0</v>
      </c>
      <c r="J10" s="109" t="s">
        <v>0</v>
      </c>
      <c r="K10" s="109" t="s">
        <v>0</v>
      </c>
      <c r="L10" s="109" t="s">
        <v>0</v>
      </c>
      <c r="M10" s="109" t="s">
        <v>0</v>
      </c>
      <c r="N10" s="110" t="s">
        <v>363</v>
      </c>
      <c r="O10" s="94"/>
      <c r="P10" s="95"/>
      <c r="Q10" s="95"/>
      <c r="R10" s="95"/>
      <c r="S10" s="95"/>
      <c r="T10" s="95"/>
      <c r="U10" s="95" t="str">
        <f t="shared" si="0"/>
        <v/>
      </c>
      <c r="V10" s="95"/>
      <c r="W10" s="95"/>
      <c r="X10" s="96">
        <v>100</v>
      </c>
      <c r="Y10" s="96">
        <f t="shared" si="1"/>
        <v>100</v>
      </c>
      <c r="Z10" s="107">
        <f t="shared" si="2"/>
        <v>0</v>
      </c>
    </row>
    <row r="11" spans="1:26" x14ac:dyDescent="0.25">
      <c r="A11" s="55" t="str">
        <f>_xlfn.XLOOKUP($G11,'.Auxiliar'!$G:$G,'.Auxiliar'!A:A,"-",0)</f>
        <v>ARAGUAIA</v>
      </c>
      <c r="B11" s="55" t="str">
        <f>_xlfn.XLOOKUP($G11,'.Auxiliar'!$G:$G,'.Auxiliar'!B:B,"-",0)</f>
        <v>DUPLICAÇÃO</v>
      </c>
      <c r="C11" s="55" t="str">
        <f>_xlfn.XLOOKUP($G11,'.Auxiliar'!$G:$G,'.Auxiliar'!C:C,"-",0)</f>
        <v>Nada Consta</v>
      </c>
      <c r="D11" s="55">
        <f>_xlfn.XLOOKUP($G11,'.Auxiliar'!$G:$G,'.Auxiliar'!D:D,"-",0)</f>
        <v>242.5</v>
      </c>
      <c r="E11" s="55">
        <f>_xlfn.XLOOKUP($G11,'.Auxiliar'!$G:$G,'.Auxiliar'!E:E,"-",0)</f>
        <v>274.94</v>
      </c>
      <c r="F11" s="55">
        <f>_xlfn.XLOOKUP($G11,'.Auxiliar'!$G:$G,'.Auxiliar'!F:F,"-",0)</f>
        <v>32.44</v>
      </c>
      <c r="G11" s="59" t="s">
        <v>1218</v>
      </c>
      <c r="H11" s="108" t="s">
        <v>0</v>
      </c>
      <c r="I11" s="109" t="s">
        <v>0</v>
      </c>
      <c r="J11" s="109" t="s">
        <v>0</v>
      </c>
      <c r="K11" s="109" t="s">
        <v>0</v>
      </c>
      <c r="L11" s="109" t="s">
        <v>0</v>
      </c>
      <c r="M11" s="109" t="s">
        <v>0</v>
      </c>
      <c r="N11" s="110" t="s">
        <v>363</v>
      </c>
      <c r="O11" s="94"/>
      <c r="P11" s="95"/>
      <c r="Q11" s="95"/>
      <c r="R11" s="95"/>
      <c r="S11" s="95"/>
      <c r="T11" s="95"/>
      <c r="U11" s="95" t="str">
        <f t="shared" si="0"/>
        <v/>
      </c>
      <c r="V11" s="95"/>
      <c r="W11" s="95"/>
      <c r="X11" s="96">
        <v>100</v>
      </c>
      <c r="Y11" s="96">
        <f t="shared" si="1"/>
        <v>100</v>
      </c>
      <c r="Z11" s="107">
        <f t="shared" si="2"/>
        <v>0</v>
      </c>
    </row>
    <row r="12" spans="1:26" x14ac:dyDescent="0.25">
      <c r="A12" s="55" t="str">
        <f>_xlfn.XLOOKUP($G12,'.Auxiliar'!$G:$G,'.Auxiliar'!A:A,"-",0)</f>
        <v>ARAGUAIA</v>
      </c>
      <c r="B12" s="55" t="str">
        <f>_xlfn.XLOOKUP($G12,'.Auxiliar'!$G:$G,'.Auxiliar'!B:B,"-",0)</f>
        <v>DUPLICAÇÃO</v>
      </c>
      <c r="C12" s="55" t="str">
        <f>_xlfn.XLOOKUP($G12,'.Auxiliar'!$G:$G,'.Auxiliar'!C:C,"-",0)</f>
        <v>Nada Consta</v>
      </c>
      <c r="D12" s="55">
        <f>_xlfn.XLOOKUP($G12,'.Auxiliar'!$G:$G,'.Auxiliar'!D:D,"-",0)</f>
        <v>274.94</v>
      </c>
      <c r="E12" s="55">
        <f>_xlfn.XLOOKUP($G12,'.Auxiliar'!$G:$G,'.Auxiliar'!E:E,"-",0)</f>
        <v>284.5</v>
      </c>
      <c r="F12" s="55">
        <f>_xlfn.XLOOKUP($G12,'.Auxiliar'!$G:$G,'.Auxiliar'!F:F,"-",0)</f>
        <v>9.5600000000000023</v>
      </c>
      <c r="G12" s="59" t="s">
        <v>1190</v>
      </c>
      <c r="H12" s="108" t="s">
        <v>0</v>
      </c>
      <c r="I12" s="109" t="s">
        <v>0</v>
      </c>
      <c r="J12" s="109" t="s">
        <v>0</v>
      </c>
      <c r="K12" s="109" t="s">
        <v>0</v>
      </c>
      <c r="L12" s="109" t="s">
        <v>0</v>
      </c>
      <c r="M12" s="109" t="s">
        <v>363</v>
      </c>
      <c r="N12" s="110" t="s">
        <v>0</v>
      </c>
      <c r="O12" s="94"/>
      <c r="P12" s="95"/>
      <c r="Q12" s="95"/>
      <c r="R12" s="95"/>
      <c r="S12" s="95"/>
      <c r="T12" s="95"/>
      <c r="U12" s="95" t="str">
        <f t="shared" si="0"/>
        <v/>
      </c>
      <c r="V12" s="95"/>
      <c r="W12" s="95">
        <v>100</v>
      </c>
      <c r="X12" s="96"/>
      <c r="Y12" s="96">
        <f t="shared" si="1"/>
        <v>100</v>
      </c>
      <c r="Z12" s="107">
        <f t="shared" si="2"/>
        <v>0</v>
      </c>
    </row>
    <row r="13" spans="1:26" x14ac:dyDescent="0.25">
      <c r="A13" s="55" t="str">
        <f>_xlfn.XLOOKUP($G13,'.Auxiliar'!$G:$G,'.Auxiliar'!A:A,"-",0)</f>
        <v>ARAGUAIA</v>
      </c>
      <c r="B13" s="55" t="str">
        <f>_xlfn.XLOOKUP($G13,'.Auxiliar'!$G:$G,'.Auxiliar'!B:B,"-",0)</f>
        <v>DUPLICAÇÃO</v>
      </c>
      <c r="C13" s="55" t="str">
        <f>_xlfn.XLOOKUP($G13,'.Auxiliar'!$G:$G,'.Auxiliar'!C:C,"-",0)</f>
        <v>Nada Consta</v>
      </c>
      <c r="D13" s="55">
        <f>_xlfn.XLOOKUP($G13,'.Auxiliar'!$G:$G,'.Auxiliar'!D:D,"-",0)</f>
        <v>284.5</v>
      </c>
      <c r="E13" s="55">
        <f>_xlfn.XLOOKUP($G13,'.Auxiliar'!$G:$G,'.Auxiliar'!E:E,"-",0)</f>
        <v>288.5</v>
      </c>
      <c r="F13" s="55">
        <f>_xlfn.XLOOKUP($G13,'.Auxiliar'!$G:$G,'.Auxiliar'!F:F,"-",0)</f>
        <v>4</v>
      </c>
      <c r="G13" s="59" t="s">
        <v>1191</v>
      </c>
      <c r="H13" s="108" t="s">
        <v>0</v>
      </c>
      <c r="I13" s="109" t="s">
        <v>0</v>
      </c>
      <c r="J13" s="109" t="s">
        <v>0</v>
      </c>
      <c r="K13" s="109" t="s">
        <v>0</v>
      </c>
      <c r="L13" s="109" t="s">
        <v>0</v>
      </c>
      <c r="M13" s="109" t="s">
        <v>363</v>
      </c>
      <c r="N13" s="110" t="s">
        <v>0</v>
      </c>
      <c r="O13" s="94"/>
      <c r="P13" s="95"/>
      <c r="Q13" s="95"/>
      <c r="R13" s="95"/>
      <c r="S13" s="95"/>
      <c r="T13" s="95"/>
      <c r="U13" s="95" t="str">
        <f t="shared" si="0"/>
        <v/>
      </c>
      <c r="V13" s="95"/>
      <c r="W13" s="95">
        <v>100</v>
      </c>
      <c r="X13" s="96"/>
      <c r="Y13" s="96">
        <f t="shared" si="1"/>
        <v>100</v>
      </c>
      <c r="Z13" s="107">
        <f t="shared" si="2"/>
        <v>0</v>
      </c>
    </row>
    <row r="14" spans="1:26" x14ac:dyDescent="0.25">
      <c r="A14" s="55" t="str">
        <f>_xlfn.XLOOKUP($G14,'.Auxiliar'!$G:$G,'.Auxiliar'!A:A,"-",0)</f>
        <v>ARAGUAIA</v>
      </c>
      <c r="B14" s="55" t="str">
        <f>_xlfn.XLOOKUP($G14,'.Auxiliar'!$G:$G,'.Auxiliar'!B:B,"-",0)</f>
        <v>DUPLICAÇÃO</v>
      </c>
      <c r="C14" s="55" t="str">
        <f>_xlfn.XLOOKUP($G14,'.Auxiliar'!$G:$G,'.Auxiliar'!C:C,"-",0)</f>
        <v>Nada Consta</v>
      </c>
      <c r="D14" s="55">
        <f>_xlfn.XLOOKUP($G14,'.Auxiliar'!$G:$G,'.Auxiliar'!D:D,"-",0)</f>
        <v>288.5</v>
      </c>
      <c r="E14" s="55">
        <f>_xlfn.XLOOKUP($G14,'.Auxiliar'!$G:$G,'.Auxiliar'!E:E,"-",0)</f>
        <v>302.43</v>
      </c>
      <c r="F14" s="55">
        <f>_xlfn.XLOOKUP($G14,'.Auxiliar'!$G:$G,'.Auxiliar'!F:F,"-",0)</f>
        <v>13.930000000000007</v>
      </c>
      <c r="G14" s="59" t="s">
        <v>1186</v>
      </c>
      <c r="H14" s="108" t="s">
        <v>0</v>
      </c>
      <c r="I14" s="109" t="s">
        <v>0</v>
      </c>
      <c r="J14" s="109" t="s">
        <v>0</v>
      </c>
      <c r="K14" s="109" t="s">
        <v>0</v>
      </c>
      <c r="L14" s="109" t="s">
        <v>363</v>
      </c>
      <c r="M14" s="109" t="s">
        <v>0</v>
      </c>
      <c r="N14" s="110" t="s">
        <v>0</v>
      </c>
      <c r="O14" s="94"/>
      <c r="P14" s="95"/>
      <c r="Q14" s="95"/>
      <c r="R14" s="95"/>
      <c r="S14" s="95"/>
      <c r="T14" s="95"/>
      <c r="U14" s="95" t="str">
        <f t="shared" si="0"/>
        <v/>
      </c>
      <c r="V14" s="95">
        <v>100</v>
      </c>
      <c r="W14" s="95"/>
      <c r="X14" s="96"/>
      <c r="Y14" s="96">
        <f t="shared" si="1"/>
        <v>100</v>
      </c>
      <c r="Z14" s="107">
        <f t="shared" si="2"/>
        <v>0</v>
      </c>
    </row>
    <row r="15" spans="1:26" x14ac:dyDescent="0.25">
      <c r="A15" s="55" t="str">
        <f>_xlfn.XLOOKUP($G15,'.Auxiliar'!$G:$G,'.Auxiliar'!A:A,"-",0)</f>
        <v>ARAGUAIA</v>
      </c>
      <c r="B15" s="55" t="str">
        <f>_xlfn.XLOOKUP($G15,'.Auxiliar'!$G:$G,'.Auxiliar'!B:B,"-",0)</f>
        <v>DUPLICAÇÃO</v>
      </c>
      <c r="C15" s="55" t="str">
        <f>_xlfn.XLOOKUP($G15,'.Auxiliar'!$G:$G,'.Auxiliar'!C:C,"-",0)</f>
        <v>Nada Consta</v>
      </c>
      <c r="D15" s="55">
        <f>_xlfn.XLOOKUP($G15,'.Auxiliar'!$G:$G,'.Auxiliar'!D:D,"-",0)</f>
        <v>302.43</v>
      </c>
      <c r="E15" s="55">
        <f>_xlfn.XLOOKUP($G15,'.Auxiliar'!$G:$G,'.Auxiliar'!E:E,"-",0)</f>
        <v>319.24</v>
      </c>
      <c r="F15" s="55">
        <f>_xlfn.XLOOKUP($G15,'.Auxiliar'!$G:$G,'.Auxiliar'!F:F,"-",0)</f>
        <v>16.810000000000002</v>
      </c>
      <c r="G15" s="59" t="s">
        <v>1187</v>
      </c>
      <c r="H15" s="108" t="s">
        <v>0</v>
      </c>
      <c r="I15" s="109" t="s">
        <v>0</v>
      </c>
      <c r="J15" s="109" t="s">
        <v>0</v>
      </c>
      <c r="K15" s="109" t="s">
        <v>0</v>
      </c>
      <c r="L15" s="109" t="s">
        <v>363</v>
      </c>
      <c r="M15" s="109" t="s">
        <v>0</v>
      </c>
      <c r="N15" s="110" t="s">
        <v>0</v>
      </c>
      <c r="O15" s="94"/>
      <c r="P15" s="95"/>
      <c r="Q15" s="95"/>
      <c r="R15" s="95"/>
      <c r="S15" s="95"/>
      <c r="T15" s="95"/>
      <c r="U15" s="95" t="str">
        <f t="shared" si="0"/>
        <v/>
      </c>
      <c r="V15" s="95">
        <v>100</v>
      </c>
      <c r="W15" s="95"/>
      <c r="X15" s="96"/>
      <c r="Y15" s="96">
        <f t="shared" si="1"/>
        <v>100</v>
      </c>
      <c r="Z15" s="107">
        <f t="shared" si="2"/>
        <v>0</v>
      </c>
    </row>
    <row r="16" spans="1:26" x14ac:dyDescent="0.25">
      <c r="A16" s="55" t="str">
        <f>_xlfn.XLOOKUP($G16,'.Auxiliar'!$G:$G,'.Auxiliar'!A:A,"-",0)</f>
        <v>ARAGUAIA</v>
      </c>
      <c r="B16" s="55" t="str">
        <f>_xlfn.XLOOKUP($G16,'.Auxiliar'!$G:$G,'.Auxiliar'!B:B,"-",0)</f>
        <v>DUPLICAÇÃO</v>
      </c>
      <c r="C16" s="55" t="str">
        <f>_xlfn.XLOOKUP($G16,'.Auxiliar'!$G:$G,'.Auxiliar'!C:C,"-",0)</f>
        <v>Nada Consta</v>
      </c>
      <c r="D16" s="55">
        <f>_xlfn.XLOOKUP($G16,'.Auxiliar'!$G:$G,'.Auxiliar'!D:D,"-",0)</f>
        <v>31.52</v>
      </c>
      <c r="E16" s="55">
        <f>_xlfn.XLOOKUP($G16,'.Auxiliar'!$G:$G,'.Auxiliar'!E:E,"-",0)</f>
        <v>57.26</v>
      </c>
      <c r="F16" s="55">
        <f>_xlfn.XLOOKUP($G16,'.Auxiliar'!$G:$G,'.Auxiliar'!F:F,"-",0)</f>
        <v>25.74</v>
      </c>
      <c r="G16" s="59" t="s">
        <v>1210</v>
      </c>
      <c r="H16" s="108" t="s">
        <v>0</v>
      </c>
      <c r="I16" s="109" t="s">
        <v>0</v>
      </c>
      <c r="J16" s="109" t="s">
        <v>0</v>
      </c>
      <c r="K16" s="109" t="s">
        <v>0</v>
      </c>
      <c r="L16" s="109" t="s">
        <v>0</v>
      </c>
      <c r="M16" s="109" t="s">
        <v>0</v>
      </c>
      <c r="N16" s="110" t="s">
        <v>363</v>
      </c>
      <c r="O16" s="94"/>
      <c r="P16" s="95"/>
      <c r="Q16" s="95"/>
      <c r="R16" s="95"/>
      <c r="S16" s="95"/>
      <c r="T16" s="95"/>
      <c r="U16" s="95" t="str">
        <f t="shared" si="0"/>
        <v/>
      </c>
      <c r="V16" s="95"/>
      <c r="W16" s="95"/>
      <c r="X16" s="96">
        <v>100</v>
      </c>
      <c r="Y16" s="96">
        <f t="shared" si="1"/>
        <v>100</v>
      </c>
      <c r="Z16" s="107">
        <f t="shared" si="2"/>
        <v>0</v>
      </c>
    </row>
    <row r="17" spans="1:26" x14ac:dyDescent="0.25">
      <c r="A17" s="55" t="str">
        <f>_xlfn.XLOOKUP($G17,'.Auxiliar'!$G:$G,'.Auxiliar'!A:A,"-",0)</f>
        <v>ARAGUAIA</v>
      </c>
      <c r="B17" s="55" t="str">
        <f>_xlfn.XLOOKUP($G17,'.Auxiliar'!$G:$G,'.Auxiliar'!B:B,"-",0)</f>
        <v>DUPLICAÇÃO</v>
      </c>
      <c r="C17" s="55" t="str">
        <f>_xlfn.XLOOKUP($G17,'.Auxiliar'!$G:$G,'.Auxiliar'!C:C,"-",0)</f>
        <v>Nada Consta</v>
      </c>
      <c r="D17" s="55">
        <f>_xlfn.XLOOKUP($G17,'.Auxiliar'!$G:$G,'.Auxiliar'!D:D,"-",0)</f>
        <v>319.24</v>
      </c>
      <c r="E17" s="55">
        <f>_xlfn.XLOOKUP($G17,'.Auxiliar'!$G:$G,'.Auxiliar'!E:E,"-",0)</f>
        <v>321.85000000000002</v>
      </c>
      <c r="F17" s="55">
        <f>_xlfn.XLOOKUP($G17,'.Auxiliar'!$G:$G,'.Auxiliar'!F:F,"-",0)</f>
        <v>2.6100000000000136</v>
      </c>
      <c r="G17" s="59" t="s">
        <v>1192</v>
      </c>
      <c r="H17" s="108" t="s">
        <v>0</v>
      </c>
      <c r="I17" s="109" t="s">
        <v>0</v>
      </c>
      <c r="J17" s="109" t="s">
        <v>0</v>
      </c>
      <c r="K17" s="109" t="s">
        <v>0</v>
      </c>
      <c r="L17" s="109" t="s">
        <v>0</v>
      </c>
      <c r="M17" s="109" t="s">
        <v>363</v>
      </c>
      <c r="N17" s="110" t="s">
        <v>0</v>
      </c>
      <c r="O17" s="94"/>
      <c r="P17" s="95"/>
      <c r="Q17" s="95"/>
      <c r="R17" s="95"/>
      <c r="S17" s="95"/>
      <c r="T17" s="95"/>
      <c r="U17" s="95" t="str">
        <f t="shared" si="0"/>
        <v/>
      </c>
      <c r="V17" s="95"/>
      <c r="W17" s="95">
        <v>100</v>
      </c>
      <c r="X17" s="96"/>
      <c r="Y17" s="96">
        <f t="shared" si="1"/>
        <v>100</v>
      </c>
      <c r="Z17" s="107">
        <f t="shared" si="2"/>
        <v>0</v>
      </c>
    </row>
    <row r="18" spans="1:26" x14ac:dyDescent="0.25">
      <c r="A18" s="55" t="str">
        <f>_xlfn.XLOOKUP($G18,'.Auxiliar'!$G:$G,'.Auxiliar'!A:A,"-",0)</f>
        <v>ARAGUAIA</v>
      </c>
      <c r="B18" s="55" t="str">
        <f>_xlfn.XLOOKUP($G18,'.Auxiliar'!$G:$G,'.Auxiliar'!B:B,"-",0)</f>
        <v>DUPLICAÇÃO</v>
      </c>
      <c r="C18" s="55" t="str">
        <f>_xlfn.XLOOKUP($G18,'.Auxiliar'!$G:$G,'.Auxiliar'!C:C,"-",0)</f>
        <v>Nada Consta</v>
      </c>
      <c r="D18" s="55">
        <f>_xlfn.XLOOKUP($G18,'.Auxiliar'!$G:$G,'.Auxiliar'!D:D,"-",0)</f>
        <v>321.85000000000002</v>
      </c>
      <c r="E18" s="55">
        <f>_xlfn.XLOOKUP($G18,'.Auxiliar'!$G:$G,'.Auxiliar'!E:E,"-",0)</f>
        <v>357.29</v>
      </c>
      <c r="F18" s="55">
        <f>_xlfn.XLOOKUP($G18,'.Auxiliar'!$G:$G,'.Auxiliar'!F:F,"-",0)</f>
        <v>35.44</v>
      </c>
      <c r="G18" s="59" t="s">
        <v>1219</v>
      </c>
      <c r="H18" s="108" t="s">
        <v>0</v>
      </c>
      <c r="I18" s="109" t="s">
        <v>0</v>
      </c>
      <c r="J18" s="109" t="s">
        <v>0</v>
      </c>
      <c r="K18" s="109" t="s">
        <v>0</v>
      </c>
      <c r="L18" s="109" t="s">
        <v>0</v>
      </c>
      <c r="M18" s="109" t="s">
        <v>0</v>
      </c>
      <c r="N18" s="110" t="s">
        <v>363</v>
      </c>
      <c r="O18" s="94"/>
      <c r="P18" s="95"/>
      <c r="Q18" s="95"/>
      <c r="R18" s="95"/>
      <c r="S18" s="95"/>
      <c r="T18" s="95"/>
      <c r="U18" s="95" t="str">
        <f t="shared" si="0"/>
        <v/>
      </c>
      <c r="V18" s="95"/>
      <c r="W18" s="95"/>
      <c r="X18" s="96">
        <v>100</v>
      </c>
      <c r="Y18" s="96">
        <f t="shared" si="1"/>
        <v>100</v>
      </c>
      <c r="Z18" s="107">
        <f t="shared" si="2"/>
        <v>0</v>
      </c>
    </row>
    <row r="19" spans="1:26" x14ac:dyDescent="0.25">
      <c r="A19" s="55" t="str">
        <f>_xlfn.XLOOKUP($G19,'.Auxiliar'!$G:$G,'.Auxiliar'!A:A,"-",0)</f>
        <v>ARAGUAIA</v>
      </c>
      <c r="B19" s="55" t="str">
        <f>_xlfn.XLOOKUP($G19,'.Auxiliar'!$G:$G,'.Auxiliar'!B:B,"-",0)</f>
        <v>DUPLICAÇÃO</v>
      </c>
      <c r="C19" s="55" t="str">
        <f>_xlfn.XLOOKUP($G19,'.Auxiliar'!$G:$G,'.Auxiliar'!C:C,"-",0)</f>
        <v>Nada Consta</v>
      </c>
      <c r="D19" s="55">
        <f>_xlfn.XLOOKUP($G19,'.Auxiliar'!$G:$G,'.Auxiliar'!D:D,"-",0)</f>
        <v>357.29</v>
      </c>
      <c r="E19" s="55">
        <f>_xlfn.XLOOKUP($G19,'.Auxiliar'!$G:$G,'.Auxiliar'!E:E,"-",0)</f>
        <v>360.12</v>
      </c>
      <c r="F19" s="55">
        <f>_xlfn.XLOOKUP($G19,'.Auxiliar'!$G:$G,'.Auxiliar'!F:F,"-",0)</f>
        <v>2.8299999999999841</v>
      </c>
      <c r="G19" s="59" t="s">
        <v>1220</v>
      </c>
      <c r="H19" s="108" t="s">
        <v>0</v>
      </c>
      <c r="I19" s="109" t="s">
        <v>0</v>
      </c>
      <c r="J19" s="109" t="s">
        <v>0</v>
      </c>
      <c r="K19" s="109" t="s">
        <v>0</v>
      </c>
      <c r="L19" s="109" t="s">
        <v>0</v>
      </c>
      <c r="M19" s="109" t="s">
        <v>0</v>
      </c>
      <c r="N19" s="110" t="s">
        <v>363</v>
      </c>
      <c r="O19" s="94"/>
      <c r="P19" s="95"/>
      <c r="Q19" s="95"/>
      <c r="R19" s="95"/>
      <c r="S19" s="95"/>
      <c r="T19" s="95"/>
      <c r="U19" s="95" t="str">
        <f t="shared" si="0"/>
        <v/>
      </c>
      <c r="V19" s="95"/>
      <c r="W19" s="95"/>
      <c r="X19" s="96">
        <v>100</v>
      </c>
      <c r="Y19" s="96">
        <f t="shared" si="1"/>
        <v>100</v>
      </c>
      <c r="Z19" s="107">
        <f t="shared" si="2"/>
        <v>0</v>
      </c>
    </row>
    <row r="20" spans="1:26" x14ac:dyDescent="0.25">
      <c r="A20" s="55" t="str">
        <f>_xlfn.XLOOKUP($G20,'.Auxiliar'!$G:$G,'.Auxiliar'!A:A,"-",0)</f>
        <v>ARAGUAIA</v>
      </c>
      <c r="B20" s="55" t="str">
        <f>_xlfn.XLOOKUP($G20,'.Auxiliar'!$G:$G,'.Auxiliar'!B:B,"-",0)</f>
        <v>DUPLICAÇÃO</v>
      </c>
      <c r="C20" s="55" t="str">
        <f>_xlfn.XLOOKUP($G20,'.Auxiliar'!$G:$G,'.Auxiliar'!C:C,"-",0)</f>
        <v>Nada Consta</v>
      </c>
      <c r="D20" s="55">
        <f>_xlfn.XLOOKUP($G20,'.Auxiliar'!$G:$G,'.Auxiliar'!D:D,"-",0)</f>
        <v>360.12</v>
      </c>
      <c r="E20" s="55">
        <f>_xlfn.XLOOKUP($G20,'.Auxiliar'!$G:$G,'.Auxiliar'!E:E,"-",0)</f>
        <v>369.65</v>
      </c>
      <c r="F20" s="55">
        <f>_xlfn.XLOOKUP($G20,'.Auxiliar'!$G:$G,'.Auxiliar'!F:F,"-",0)</f>
        <v>9.5299999999999727</v>
      </c>
      <c r="G20" s="59" t="s">
        <v>1221</v>
      </c>
      <c r="H20" s="108" t="s">
        <v>0</v>
      </c>
      <c r="I20" s="109" t="s">
        <v>0</v>
      </c>
      <c r="J20" s="109" t="s">
        <v>0</v>
      </c>
      <c r="K20" s="109" t="s">
        <v>0</v>
      </c>
      <c r="L20" s="109" t="s">
        <v>0</v>
      </c>
      <c r="M20" s="109" t="s">
        <v>0</v>
      </c>
      <c r="N20" s="110" t="s">
        <v>363</v>
      </c>
      <c r="O20" s="94"/>
      <c r="P20" s="95"/>
      <c r="Q20" s="95"/>
      <c r="R20" s="95"/>
      <c r="S20" s="95"/>
      <c r="T20" s="95"/>
      <c r="U20" s="95" t="str">
        <f t="shared" si="0"/>
        <v/>
      </c>
      <c r="V20" s="95"/>
      <c r="W20" s="95"/>
      <c r="X20" s="96">
        <v>100</v>
      </c>
      <c r="Y20" s="96">
        <f t="shared" si="1"/>
        <v>100</v>
      </c>
      <c r="Z20" s="107">
        <f t="shared" si="2"/>
        <v>0</v>
      </c>
    </row>
    <row r="21" spans="1:26" x14ac:dyDescent="0.25">
      <c r="A21" s="55" t="str">
        <f>_xlfn.XLOOKUP($G21,'.Auxiliar'!$G:$G,'.Auxiliar'!A:A,"-",0)</f>
        <v>ARAGUAIA</v>
      </c>
      <c r="B21" s="55" t="str">
        <f>_xlfn.XLOOKUP($G21,'.Auxiliar'!$G:$G,'.Auxiliar'!B:B,"-",0)</f>
        <v>DUPLICAÇÃO</v>
      </c>
      <c r="C21" s="55" t="str">
        <f>_xlfn.XLOOKUP($G21,'.Auxiliar'!$G:$G,'.Auxiliar'!C:C,"-",0)</f>
        <v>Nada Consta</v>
      </c>
      <c r="D21" s="55">
        <f>_xlfn.XLOOKUP($G21,'.Auxiliar'!$G:$G,'.Auxiliar'!D:D,"-",0)</f>
        <v>369.65</v>
      </c>
      <c r="E21" s="55">
        <f>_xlfn.XLOOKUP($G21,'.Auxiliar'!$G:$G,'.Auxiliar'!E:E,"-",0)</f>
        <v>377.17</v>
      </c>
      <c r="F21" s="55">
        <f>_xlfn.XLOOKUP($G21,'.Auxiliar'!$G:$G,'.Auxiliar'!F:F,"-",0)</f>
        <v>7.5200000000000387</v>
      </c>
      <c r="G21" s="59" t="s">
        <v>1222</v>
      </c>
      <c r="H21" s="108" t="s">
        <v>0</v>
      </c>
      <c r="I21" s="109" t="s">
        <v>0</v>
      </c>
      <c r="J21" s="109" t="s">
        <v>0</v>
      </c>
      <c r="K21" s="109" t="s">
        <v>0</v>
      </c>
      <c r="L21" s="109" t="s">
        <v>0</v>
      </c>
      <c r="M21" s="109" t="s">
        <v>0</v>
      </c>
      <c r="N21" s="110" t="s">
        <v>363</v>
      </c>
      <c r="O21" s="94"/>
      <c r="P21" s="95"/>
      <c r="Q21" s="95"/>
      <c r="R21" s="95"/>
      <c r="S21" s="95"/>
      <c r="T21" s="95"/>
      <c r="U21" s="95" t="str">
        <f t="shared" si="0"/>
        <v/>
      </c>
      <c r="V21" s="95"/>
      <c r="W21" s="95"/>
      <c r="X21" s="96">
        <v>100</v>
      </c>
      <c r="Y21" s="96">
        <f t="shared" si="1"/>
        <v>100</v>
      </c>
      <c r="Z21" s="107">
        <f t="shared" si="2"/>
        <v>0</v>
      </c>
    </row>
    <row r="22" spans="1:26" x14ac:dyDescent="0.25">
      <c r="A22" s="55" t="str">
        <f>_xlfn.XLOOKUP($G22,'.Auxiliar'!$G:$G,'.Auxiliar'!A:A,"-",0)</f>
        <v>ARAGUAIA</v>
      </c>
      <c r="B22" s="55" t="str">
        <f>_xlfn.XLOOKUP($G22,'.Auxiliar'!$G:$G,'.Auxiliar'!B:B,"-",0)</f>
        <v>DUPLICAÇÃO</v>
      </c>
      <c r="C22" s="55" t="str">
        <f>_xlfn.XLOOKUP($G22,'.Auxiliar'!$G:$G,'.Auxiliar'!C:C,"-",0)</f>
        <v>Nada Consta</v>
      </c>
      <c r="D22" s="55">
        <f>_xlfn.XLOOKUP($G22,'.Auxiliar'!$G:$G,'.Auxiliar'!D:D,"-",0)</f>
        <v>377.17</v>
      </c>
      <c r="E22" s="55">
        <f>_xlfn.XLOOKUP($G22,'.Auxiliar'!$G:$G,'.Auxiliar'!E:E,"-",0)</f>
        <v>401.97</v>
      </c>
      <c r="F22" s="55">
        <f>_xlfn.XLOOKUP($G22,'.Auxiliar'!$G:$G,'.Auxiliar'!F:F,"-",0)</f>
        <v>24.800000000000011</v>
      </c>
      <c r="G22" s="59" t="s">
        <v>1223</v>
      </c>
      <c r="H22" s="108" t="s">
        <v>0</v>
      </c>
      <c r="I22" s="109" t="s">
        <v>0</v>
      </c>
      <c r="J22" s="109" t="s">
        <v>0</v>
      </c>
      <c r="K22" s="109" t="s">
        <v>0</v>
      </c>
      <c r="L22" s="109" t="s">
        <v>0</v>
      </c>
      <c r="M22" s="109" t="s">
        <v>0</v>
      </c>
      <c r="N22" s="110" t="s">
        <v>363</v>
      </c>
      <c r="O22" s="94"/>
      <c r="P22" s="95"/>
      <c r="Q22" s="95"/>
      <c r="R22" s="95"/>
      <c r="S22" s="95"/>
      <c r="T22" s="95"/>
      <c r="U22" s="95" t="str">
        <f t="shared" si="0"/>
        <v/>
      </c>
      <c r="V22" s="95"/>
      <c r="W22" s="95"/>
      <c r="X22" s="96">
        <v>100</v>
      </c>
      <c r="Y22" s="96">
        <f t="shared" si="1"/>
        <v>100</v>
      </c>
      <c r="Z22" s="107">
        <f t="shared" si="2"/>
        <v>0</v>
      </c>
    </row>
    <row r="23" spans="1:26" x14ac:dyDescent="0.25">
      <c r="A23" s="55" t="str">
        <f>_xlfn.XLOOKUP($G23,'.Auxiliar'!$G:$G,'.Auxiliar'!A:A,"-",0)</f>
        <v>ARAGUAIA</v>
      </c>
      <c r="B23" s="55" t="str">
        <f>_xlfn.XLOOKUP($G23,'.Auxiliar'!$G:$G,'.Auxiliar'!B:B,"-",0)</f>
        <v>DUPLICAÇÃO</v>
      </c>
      <c r="C23" s="55" t="str">
        <f>_xlfn.XLOOKUP($G23,'.Auxiliar'!$G:$G,'.Auxiliar'!C:C,"-",0)</f>
        <v>Nada Consta</v>
      </c>
      <c r="D23" s="55">
        <f>_xlfn.XLOOKUP($G23,'.Auxiliar'!$G:$G,'.Auxiliar'!D:D,"-",0)</f>
        <v>401.97</v>
      </c>
      <c r="E23" s="55">
        <f>_xlfn.XLOOKUP($G23,'.Auxiliar'!$G:$G,'.Auxiliar'!E:E,"-",0)</f>
        <v>420.53</v>
      </c>
      <c r="F23" s="55">
        <f>_xlfn.XLOOKUP($G23,'.Auxiliar'!$G:$G,'.Auxiliar'!F:F,"-",0)</f>
        <v>18.559999999999945</v>
      </c>
      <c r="G23" s="59" t="s">
        <v>1224</v>
      </c>
      <c r="H23" s="108" t="s">
        <v>0</v>
      </c>
      <c r="I23" s="109" t="s">
        <v>0</v>
      </c>
      <c r="J23" s="109" t="s">
        <v>0</v>
      </c>
      <c r="K23" s="109" t="s">
        <v>0</v>
      </c>
      <c r="L23" s="109" t="s">
        <v>0</v>
      </c>
      <c r="M23" s="109" t="s">
        <v>0</v>
      </c>
      <c r="N23" s="110" t="s">
        <v>363</v>
      </c>
      <c r="O23" s="94"/>
      <c r="P23" s="95"/>
      <c r="Q23" s="95"/>
      <c r="R23" s="95"/>
      <c r="S23" s="95"/>
      <c r="T23" s="95"/>
      <c r="U23" s="95" t="str">
        <f t="shared" si="0"/>
        <v/>
      </c>
      <c r="V23" s="95"/>
      <c r="W23" s="95"/>
      <c r="X23" s="96">
        <v>100</v>
      </c>
      <c r="Y23" s="96">
        <f t="shared" si="1"/>
        <v>100</v>
      </c>
      <c r="Z23" s="107">
        <f t="shared" si="2"/>
        <v>0</v>
      </c>
    </row>
    <row r="24" spans="1:26" x14ac:dyDescent="0.25">
      <c r="A24" s="55" t="str">
        <f>_xlfn.XLOOKUP($G24,'.Auxiliar'!$G:$G,'.Auxiliar'!A:A,"-",0)</f>
        <v>ARAGUAIA</v>
      </c>
      <c r="B24" s="55" t="str">
        <f>_xlfn.XLOOKUP($G24,'.Auxiliar'!$G:$G,'.Auxiliar'!B:B,"-",0)</f>
        <v>DUPLICAÇÃO</v>
      </c>
      <c r="C24" s="55" t="str">
        <f>_xlfn.XLOOKUP($G24,'.Auxiliar'!$G:$G,'.Auxiliar'!C:C,"-",0)</f>
        <v>Nada Consta</v>
      </c>
      <c r="D24" s="55">
        <f>_xlfn.XLOOKUP($G24,'.Auxiliar'!$G:$G,'.Auxiliar'!D:D,"-",0)</f>
        <v>409.3</v>
      </c>
      <c r="E24" s="55">
        <f>_xlfn.XLOOKUP($G24,'.Auxiliar'!$G:$G,'.Auxiliar'!E:E,"-",0)</f>
        <v>439.51</v>
      </c>
      <c r="F24" s="55">
        <f>_xlfn.XLOOKUP($G24,'.Auxiliar'!$G:$G,'.Auxiliar'!F:F,"-",0)</f>
        <v>30.20999999999998</v>
      </c>
      <c r="G24" s="59" t="s">
        <v>1225</v>
      </c>
      <c r="H24" s="108" t="s">
        <v>0</v>
      </c>
      <c r="I24" s="109" t="s">
        <v>0</v>
      </c>
      <c r="J24" s="109" t="s">
        <v>0</v>
      </c>
      <c r="K24" s="109" t="s">
        <v>0</v>
      </c>
      <c r="L24" s="109" t="s">
        <v>0</v>
      </c>
      <c r="M24" s="109" t="s">
        <v>0</v>
      </c>
      <c r="N24" s="110" t="s">
        <v>363</v>
      </c>
      <c r="O24" s="94"/>
      <c r="P24" s="95"/>
      <c r="Q24" s="95"/>
      <c r="R24" s="95"/>
      <c r="S24" s="95"/>
      <c r="T24" s="95"/>
      <c r="U24" s="95" t="str">
        <f t="shared" si="0"/>
        <v/>
      </c>
      <c r="V24" s="95"/>
      <c r="W24" s="95"/>
      <c r="X24" s="96">
        <v>100</v>
      </c>
      <c r="Y24" s="96">
        <f t="shared" si="1"/>
        <v>100</v>
      </c>
      <c r="Z24" s="107">
        <f t="shared" si="2"/>
        <v>0</v>
      </c>
    </row>
    <row r="25" spans="1:26" x14ac:dyDescent="0.25">
      <c r="A25" s="55" t="str">
        <f>_xlfn.XLOOKUP($G25,'.Auxiliar'!$G:$G,'.Auxiliar'!A:A,"-",0)</f>
        <v>ARAGUAIA</v>
      </c>
      <c r="B25" s="55" t="str">
        <f>_xlfn.XLOOKUP($G25,'.Auxiliar'!$G:$G,'.Auxiliar'!B:B,"-",0)</f>
        <v>DUPLICAÇÃO</v>
      </c>
      <c r="C25" s="55" t="str">
        <f>_xlfn.XLOOKUP($G25,'.Auxiliar'!$G:$G,'.Auxiliar'!C:C,"-",0)</f>
        <v>Nada Consta</v>
      </c>
      <c r="D25" s="55">
        <f>_xlfn.XLOOKUP($G25,'.Auxiliar'!$G:$G,'.Auxiliar'!D:D,"-",0)</f>
        <v>57.26</v>
      </c>
      <c r="E25" s="55">
        <f>_xlfn.XLOOKUP($G25,'.Auxiliar'!$G:$G,'.Auxiliar'!E:E,"-",0)</f>
        <v>71.08</v>
      </c>
      <c r="F25" s="55">
        <f>_xlfn.XLOOKUP($G25,'.Auxiliar'!$G:$G,'.Auxiliar'!F:F,"-",0)</f>
        <v>13.82</v>
      </c>
      <c r="G25" s="59" t="s">
        <v>1211</v>
      </c>
      <c r="H25" s="108" t="s">
        <v>0</v>
      </c>
      <c r="I25" s="109" t="s">
        <v>0</v>
      </c>
      <c r="J25" s="109" t="s">
        <v>0</v>
      </c>
      <c r="K25" s="109" t="s">
        <v>0</v>
      </c>
      <c r="L25" s="109" t="s">
        <v>0</v>
      </c>
      <c r="M25" s="109" t="s">
        <v>0</v>
      </c>
      <c r="N25" s="110" t="s">
        <v>363</v>
      </c>
      <c r="O25" s="94"/>
      <c r="P25" s="95"/>
      <c r="Q25" s="95"/>
      <c r="R25" s="95"/>
      <c r="S25" s="95"/>
      <c r="T25" s="95"/>
      <c r="U25" s="95" t="str">
        <f t="shared" si="0"/>
        <v/>
      </c>
      <c r="V25" s="95"/>
      <c r="W25" s="95"/>
      <c r="X25" s="96">
        <v>100</v>
      </c>
      <c r="Y25" s="96">
        <f t="shared" si="1"/>
        <v>100</v>
      </c>
      <c r="Z25" s="107">
        <f t="shared" si="2"/>
        <v>0</v>
      </c>
    </row>
    <row r="26" spans="1:26" x14ac:dyDescent="0.25">
      <c r="A26" s="55" t="str">
        <f>_xlfn.XLOOKUP($G26,'.Auxiliar'!$G:$G,'.Auxiliar'!A:A,"-",0)</f>
        <v>ARAGUAIA</v>
      </c>
      <c r="B26" s="55" t="str">
        <f>_xlfn.XLOOKUP($G26,'.Auxiliar'!$G:$G,'.Auxiliar'!B:B,"-",0)</f>
        <v>DUPLICAÇÃO</v>
      </c>
      <c r="C26" s="55" t="str">
        <f>_xlfn.XLOOKUP($G26,'.Auxiliar'!$G:$G,'.Auxiliar'!C:C,"-",0)</f>
        <v>Nada Consta</v>
      </c>
      <c r="D26" s="55">
        <f>_xlfn.XLOOKUP($G26,'.Auxiliar'!$G:$G,'.Auxiliar'!D:D,"-",0)</f>
        <v>622.70000000000005</v>
      </c>
      <c r="E26" s="55">
        <f>_xlfn.XLOOKUP($G26,'.Auxiliar'!$G:$G,'.Auxiliar'!E:E,"-",0)</f>
        <v>624.29999999999995</v>
      </c>
      <c r="F26" s="55">
        <f>_xlfn.XLOOKUP($G26,'.Auxiliar'!$G:$G,'.Auxiliar'!F:F,"-",0)</f>
        <v>1.5999999999999091</v>
      </c>
      <c r="G26" s="59" t="s">
        <v>894</v>
      </c>
      <c r="H26" s="108" t="s">
        <v>0</v>
      </c>
      <c r="I26" s="109" t="s">
        <v>0</v>
      </c>
      <c r="J26" s="109" t="s">
        <v>363</v>
      </c>
      <c r="K26" s="109" t="s">
        <v>0</v>
      </c>
      <c r="L26" s="109" t="s">
        <v>0</v>
      </c>
      <c r="M26" s="109" t="s">
        <v>0</v>
      </c>
      <c r="N26" s="110" t="s">
        <v>0</v>
      </c>
      <c r="O26" s="94"/>
      <c r="P26" s="95"/>
      <c r="Q26" s="95">
        <v>6</v>
      </c>
      <c r="R26" s="95">
        <v>6.1</v>
      </c>
      <c r="S26" s="95">
        <v>93.9</v>
      </c>
      <c r="T26" s="95">
        <v>58.4</v>
      </c>
      <c r="U26" s="95">
        <f t="shared" si="0"/>
        <v>93.9</v>
      </c>
      <c r="V26" s="95"/>
      <c r="W26" s="95"/>
      <c r="X26" s="96"/>
      <c r="Y26" s="96">
        <f t="shared" si="1"/>
        <v>100</v>
      </c>
      <c r="Z26" s="107">
        <f t="shared" si="2"/>
        <v>64.5</v>
      </c>
    </row>
    <row r="27" spans="1:26" x14ac:dyDescent="0.25">
      <c r="A27" s="55" t="str">
        <f>_xlfn.XLOOKUP($G27,'.Auxiliar'!$G:$G,'.Auxiliar'!A:A,"-",0)</f>
        <v>ARAGUAIA</v>
      </c>
      <c r="B27" s="55" t="str">
        <f>_xlfn.XLOOKUP($G27,'.Auxiliar'!$G:$G,'.Auxiliar'!B:B,"-",0)</f>
        <v>DUPLICAÇÃO</v>
      </c>
      <c r="C27" s="55" t="str">
        <f>_xlfn.XLOOKUP($G27,'.Auxiliar'!$G:$G,'.Auxiliar'!C:C,"-",0)</f>
        <v>Nada Consta</v>
      </c>
      <c r="D27" s="55">
        <f>_xlfn.XLOOKUP($G27,'.Auxiliar'!$G:$G,'.Auxiliar'!D:D,"-",0)</f>
        <v>624.29999999999995</v>
      </c>
      <c r="E27" s="55">
        <f>_xlfn.XLOOKUP($G27,'.Auxiliar'!$G:$G,'.Auxiliar'!E:E,"-",0)</f>
        <v>663</v>
      </c>
      <c r="F27" s="55">
        <f>_xlfn.XLOOKUP($G27,'.Auxiliar'!$G:$G,'.Auxiliar'!F:F,"-",0)</f>
        <v>38.700000000000045</v>
      </c>
      <c r="G27" s="59" t="s">
        <v>1204</v>
      </c>
      <c r="H27" s="108" t="s">
        <v>0</v>
      </c>
      <c r="I27" s="109" t="s">
        <v>0</v>
      </c>
      <c r="J27" s="109" t="s">
        <v>0</v>
      </c>
      <c r="K27" s="109" t="s">
        <v>0</v>
      </c>
      <c r="L27" s="109" t="s">
        <v>0</v>
      </c>
      <c r="M27" s="109" t="s">
        <v>0</v>
      </c>
      <c r="N27" s="110" t="s">
        <v>363</v>
      </c>
      <c r="O27" s="94"/>
      <c r="P27" s="95"/>
      <c r="Q27" s="95"/>
      <c r="R27" s="95"/>
      <c r="S27" s="95"/>
      <c r="T27" s="95"/>
      <c r="U27" s="95" t="str">
        <f t="shared" si="0"/>
        <v/>
      </c>
      <c r="V27" s="95"/>
      <c r="W27" s="95"/>
      <c r="X27" s="96">
        <v>100</v>
      </c>
      <c r="Y27" s="96">
        <f t="shared" si="1"/>
        <v>100</v>
      </c>
      <c r="Z27" s="107">
        <f t="shared" si="2"/>
        <v>0</v>
      </c>
    </row>
    <row r="28" spans="1:26" x14ac:dyDescent="0.25">
      <c r="A28" s="55" t="str">
        <f>_xlfn.XLOOKUP($G28,'.Auxiliar'!$G:$G,'.Auxiliar'!A:A,"-",0)</f>
        <v>ARAGUAIA</v>
      </c>
      <c r="B28" s="55" t="str">
        <f>_xlfn.XLOOKUP($G28,'.Auxiliar'!$G:$G,'.Auxiliar'!B:B,"-",0)</f>
        <v>DUPLICAÇÃO</v>
      </c>
      <c r="C28" s="55" t="str">
        <f>_xlfn.XLOOKUP($G28,'.Auxiliar'!$G:$G,'.Auxiliar'!C:C,"-",0)</f>
        <v>Nada Consta</v>
      </c>
      <c r="D28" s="55">
        <f>_xlfn.XLOOKUP($G28,'.Auxiliar'!$G:$G,'.Auxiliar'!D:D,"-",0)</f>
        <v>663</v>
      </c>
      <c r="E28" s="55">
        <f>_xlfn.XLOOKUP($G28,'.Auxiliar'!$G:$G,'.Auxiliar'!E:E,"-",0)</f>
        <v>671.19</v>
      </c>
      <c r="F28" s="55">
        <f>_xlfn.XLOOKUP($G28,'.Auxiliar'!$G:$G,'.Auxiliar'!F:F,"-",0)</f>
        <v>8.1900000000000546</v>
      </c>
      <c r="G28" s="59" t="s">
        <v>895</v>
      </c>
      <c r="H28" s="108" t="s">
        <v>0</v>
      </c>
      <c r="I28" s="109" t="s">
        <v>0</v>
      </c>
      <c r="J28" s="109" t="s">
        <v>363</v>
      </c>
      <c r="K28" s="109" t="s">
        <v>0</v>
      </c>
      <c r="L28" s="109" t="s">
        <v>0</v>
      </c>
      <c r="M28" s="109" t="s">
        <v>0</v>
      </c>
      <c r="N28" s="110" t="s">
        <v>0</v>
      </c>
      <c r="O28" s="94"/>
      <c r="P28" s="95"/>
      <c r="Q28" s="95">
        <v>6</v>
      </c>
      <c r="R28" s="95">
        <v>6.4</v>
      </c>
      <c r="S28" s="95">
        <v>93.6</v>
      </c>
      <c r="T28" s="95">
        <v>63.6</v>
      </c>
      <c r="U28" s="95">
        <f t="shared" si="0"/>
        <v>93.6</v>
      </c>
      <c r="V28" s="95"/>
      <c r="W28" s="95"/>
      <c r="X28" s="96"/>
      <c r="Y28" s="96">
        <f t="shared" si="1"/>
        <v>100</v>
      </c>
      <c r="Z28" s="107">
        <f t="shared" si="2"/>
        <v>70</v>
      </c>
    </row>
    <row r="29" spans="1:26" x14ac:dyDescent="0.25">
      <c r="A29" s="55" t="str">
        <f>_xlfn.XLOOKUP($G29,'.Auxiliar'!$G:$G,'.Auxiliar'!A:A,"-",0)</f>
        <v>ARAGUAIA</v>
      </c>
      <c r="B29" s="55" t="str">
        <f>_xlfn.XLOOKUP($G29,'.Auxiliar'!$G:$G,'.Auxiliar'!B:B,"-",0)</f>
        <v>DUPLICAÇÃO</v>
      </c>
      <c r="C29" s="55" t="str">
        <f>_xlfn.XLOOKUP($G29,'.Auxiliar'!$G:$G,'.Auxiliar'!C:C,"-",0)</f>
        <v>Nada Consta</v>
      </c>
      <c r="D29" s="55">
        <f>_xlfn.XLOOKUP($G29,'.Auxiliar'!$G:$G,'.Auxiliar'!D:D,"-",0)</f>
        <v>671.19</v>
      </c>
      <c r="E29" s="55">
        <f>_xlfn.XLOOKUP($G29,'.Auxiliar'!$G:$G,'.Auxiliar'!E:E,"-",0)</f>
        <v>677</v>
      </c>
      <c r="F29" s="55">
        <f>_xlfn.XLOOKUP($G29,'.Auxiliar'!$G:$G,'.Auxiliar'!F:F,"-",0)</f>
        <v>5.8099999999999454</v>
      </c>
      <c r="G29" s="59" t="s">
        <v>896</v>
      </c>
      <c r="H29" s="108" t="s">
        <v>0</v>
      </c>
      <c r="I29" s="109" t="s">
        <v>0</v>
      </c>
      <c r="J29" s="109" t="s">
        <v>363</v>
      </c>
      <c r="K29" s="109" t="s">
        <v>0</v>
      </c>
      <c r="L29" s="109" t="s">
        <v>0</v>
      </c>
      <c r="M29" s="109" t="s">
        <v>0</v>
      </c>
      <c r="N29" s="110" t="s">
        <v>0</v>
      </c>
      <c r="O29" s="94"/>
      <c r="P29" s="95"/>
      <c r="Q29" s="95"/>
      <c r="R29" s="95"/>
      <c r="S29" s="95">
        <v>100</v>
      </c>
      <c r="T29" s="95">
        <v>57.1</v>
      </c>
      <c r="U29" s="95">
        <f t="shared" si="0"/>
        <v>100</v>
      </c>
      <c r="V29" s="95"/>
      <c r="W29" s="95"/>
      <c r="X29" s="96"/>
      <c r="Y29" s="96">
        <f t="shared" si="1"/>
        <v>100</v>
      </c>
      <c r="Z29" s="107">
        <f t="shared" si="2"/>
        <v>57.1</v>
      </c>
    </row>
    <row r="30" spans="1:26" x14ac:dyDescent="0.25">
      <c r="A30" s="55" t="str">
        <f>_xlfn.XLOOKUP($G30,'.Auxiliar'!$G:$G,'.Auxiliar'!A:A,"-",0)</f>
        <v>ARAGUAIA</v>
      </c>
      <c r="B30" s="55" t="str">
        <f>_xlfn.XLOOKUP($G30,'.Auxiliar'!$G:$G,'.Auxiliar'!B:B,"-",0)</f>
        <v>DUPLICAÇÃO</v>
      </c>
      <c r="C30" s="55" t="str">
        <f>_xlfn.XLOOKUP($G30,'.Auxiliar'!$G:$G,'.Auxiliar'!C:C,"-",0)</f>
        <v>Nada Consta</v>
      </c>
      <c r="D30" s="55">
        <f>_xlfn.XLOOKUP($G30,'.Auxiliar'!$G:$G,'.Auxiliar'!D:D,"-",0)</f>
        <v>677</v>
      </c>
      <c r="E30" s="55">
        <f>_xlfn.XLOOKUP($G30,'.Auxiliar'!$G:$G,'.Auxiliar'!E:E,"-",0)</f>
        <v>701.9</v>
      </c>
      <c r="F30" s="55">
        <f>_xlfn.XLOOKUP($G30,'.Auxiliar'!$G:$G,'.Auxiliar'!F:F,"-",0)</f>
        <v>24.899999999999977</v>
      </c>
      <c r="G30" s="59" t="s">
        <v>1189</v>
      </c>
      <c r="H30" s="108" t="s">
        <v>0</v>
      </c>
      <c r="I30" s="109" t="s">
        <v>0</v>
      </c>
      <c r="J30" s="109" t="s">
        <v>0</v>
      </c>
      <c r="K30" s="109" t="s">
        <v>0</v>
      </c>
      <c r="L30" s="109" t="s">
        <v>0</v>
      </c>
      <c r="M30" s="109" t="s">
        <v>363</v>
      </c>
      <c r="N30" s="110" t="s">
        <v>0</v>
      </c>
      <c r="O30" s="94"/>
      <c r="P30" s="95"/>
      <c r="Q30" s="95"/>
      <c r="R30" s="95"/>
      <c r="S30" s="95"/>
      <c r="T30" s="95"/>
      <c r="U30" s="95" t="str">
        <f t="shared" si="0"/>
        <v/>
      </c>
      <c r="V30" s="95"/>
      <c r="W30" s="95">
        <v>100</v>
      </c>
      <c r="X30" s="96"/>
      <c r="Y30" s="96">
        <f t="shared" si="1"/>
        <v>100</v>
      </c>
      <c r="Z30" s="107">
        <f t="shared" si="2"/>
        <v>0</v>
      </c>
    </row>
    <row r="31" spans="1:26" x14ac:dyDescent="0.25">
      <c r="A31" s="55" t="str">
        <f>_xlfn.XLOOKUP($G31,'.Auxiliar'!$G:$G,'.Auxiliar'!A:A,"-",0)</f>
        <v>ARAGUAIA</v>
      </c>
      <c r="B31" s="55" t="str">
        <f>_xlfn.XLOOKUP($G31,'.Auxiliar'!$G:$G,'.Auxiliar'!B:B,"-",0)</f>
        <v>DUPLICAÇÃO</v>
      </c>
      <c r="C31" s="55" t="str">
        <f>_xlfn.XLOOKUP($G31,'.Auxiliar'!$G:$G,'.Auxiliar'!C:C,"-",0)</f>
        <v>Nada Consta</v>
      </c>
      <c r="D31" s="55">
        <f>_xlfn.XLOOKUP($G31,'.Auxiliar'!$G:$G,'.Auxiliar'!D:D,"-",0)</f>
        <v>701.9</v>
      </c>
      <c r="E31" s="55">
        <f>_xlfn.XLOOKUP($G31,'.Auxiliar'!$G:$G,'.Auxiliar'!E:E,"-",0)</f>
        <v>720.8</v>
      </c>
      <c r="F31" s="55">
        <f>_xlfn.XLOOKUP($G31,'.Auxiliar'!$G:$G,'.Auxiliar'!F:F,"-",0)</f>
        <v>18.899999999999977</v>
      </c>
      <c r="G31" s="59" t="s">
        <v>1205</v>
      </c>
      <c r="H31" s="108" t="s">
        <v>0</v>
      </c>
      <c r="I31" s="109" t="s">
        <v>0</v>
      </c>
      <c r="J31" s="109" t="s">
        <v>0</v>
      </c>
      <c r="K31" s="109" t="s">
        <v>0</v>
      </c>
      <c r="L31" s="109" t="s">
        <v>0</v>
      </c>
      <c r="M31" s="109" t="s">
        <v>0</v>
      </c>
      <c r="N31" s="110" t="s">
        <v>363</v>
      </c>
      <c r="O31" s="94"/>
      <c r="P31" s="95"/>
      <c r="Q31" s="95"/>
      <c r="R31" s="95"/>
      <c r="S31" s="95"/>
      <c r="T31" s="95"/>
      <c r="U31" s="95" t="str">
        <f t="shared" si="0"/>
        <v/>
      </c>
      <c r="V31" s="95"/>
      <c r="W31" s="95"/>
      <c r="X31" s="96">
        <v>100</v>
      </c>
      <c r="Y31" s="96">
        <f t="shared" si="1"/>
        <v>100</v>
      </c>
      <c r="Z31" s="107">
        <f t="shared" si="2"/>
        <v>0</v>
      </c>
    </row>
    <row r="32" spans="1:26" x14ac:dyDescent="0.25">
      <c r="A32" s="55" t="str">
        <f>_xlfn.XLOOKUP($G32,'.Auxiliar'!$G:$G,'.Auxiliar'!A:A,"-",0)</f>
        <v>ARAGUAIA</v>
      </c>
      <c r="B32" s="55" t="str">
        <f>_xlfn.XLOOKUP($G32,'.Auxiliar'!$G:$G,'.Auxiliar'!B:B,"-",0)</f>
        <v>DUPLICAÇÃO</v>
      </c>
      <c r="C32" s="55" t="str">
        <f>_xlfn.XLOOKUP($G32,'.Auxiliar'!$G:$G,'.Auxiliar'!C:C,"-",0)</f>
        <v>Nada Consta</v>
      </c>
      <c r="D32" s="55">
        <f>_xlfn.XLOOKUP($G32,'.Auxiliar'!$G:$G,'.Auxiliar'!D:D,"-",0)</f>
        <v>71.08</v>
      </c>
      <c r="E32" s="55">
        <f>_xlfn.XLOOKUP($G32,'.Auxiliar'!$G:$G,'.Auxiliar'!E:E,"-",0)</f>
        <v>107.12</v>
      </c>
      <c r="F32" s="55">
        <f>_xlfn.XLOOKUP($G32,'.Auxiliar'!$G:$G,'.Auxiliar'!F:F,"-",0)</f>
        <v>36.040000000000006</v>
      </c>
      <c r="G32" s="59" t="s">
        <v>1212</v>
      </c>
      <c r="H32" s="108" t="s">
        <v>0</v>
      </c>
      <c r="I32" s="109" t="s">
        <v>0</v>
      </c>
      <c r="J32" s="109" t="s">
        <v>0</v>
      </c>
      <c r="K32" s="109" t="s">
        <v>0</v>
      </c>
      <c r="L32" s="109" t="s">
        <v>0</v>
      </c>
      <c r="M32" s="109" t="s">
        <v>0</v>
      </c>
      <c r="N32" s="110" t="s">
        <v>363</v>
      </c>
      <c r="O32" s="94"/>
      <c r="P32" s="95"/>
      <c r="Q32" s="95"/>
      <c r="R32" s="95"/>
      <c r="S32" s="95"/>
      <c r="T32" s="95"/>
      <c r="U32" s="95" t="str">
        <f t="shared" si="0"/>
        <v/>
      </c>
      <c r="V32" s="95"/>
      <c r="W32" s="95"/>
      <c r="X32" s="96">
        <v>100</v>
      </c>
      <c r="Y32" s="96">
        <f t="shared" si="1"/>
        <v>100</v>
      </c>
      <c r="Z32" s="107">
        <f t="shared" si="2"/>
        <v>0</v>
      </c>
    </row>
    <row r="33" spans="1:26" x14ac:dyDescent="0.25">
      <c r="A33" s="55" t="str">
        <f>_xlfn.XLOOKUP($G33,'.Auxiliar'!$G:$G,'.Auxiliar'!A:A,"-",0)</f>
        <v>ARAGUAIA</v>
      </c>
      <c r="B33" s="55" t="str">
        <f>_xlfn.XLOOKUP($G33,'.Auxiliar'!$G:$G,'.Auxiliar'!B:B,"-",0)</f>
        <v>DUPLICAÇÃO</v>
      </c>
      <c r="C33" s="55" t="str">
        <f>_xlfn.XLOOKUP($G33,'.Auxiliar'!$G:$G,'.Auxiliar'!C:C,"-",0)</f>
        <v>Nada Consta</v>
      </c>
      <c r="D33" s="55">
        <f>_xlfn.XLOOKUP($G33,'.Auxiliar'!$G:$G,'.Auxiliar'!D:D,"-",0)</f>
        <v>724</v>
      </c>
      <c r="E33" s="55">
        <f>_xlfn.XLOOKUP($G33,'.Auxiliar'!$G:$G,'.Auxiliar'!E:E,"-",0)</f>
        <v>759.5</v>
      </c>
      <c r="F33" s="55">
        <f>_xlfn.XLOOKUP($G33,'.Auxiliar'!$G:$G,'.Auxiliar'!F:F,"-",0)</f>
        <v>35.5</v>
      </c>
      <c r="G33" s="59" t="s">
        <v>1206</v>
      </c>
      <c r="H33" s="108" t="s">
        <v>0</v>
      </c>
      <c r="I33" s="109" t="s">
        <v>0</v>
      </c>
      <c r="J33" s="109" t="s">
        <v>0</v>
      </c>
      <c r="K33" s="109" t="s">
        <v>0</v>
      </c>
      <c r="L33" s="109" t="s">
        <v>0</v>
      </c>
      <c r="M33" s="109" t="s">
        <v>0</v>
      </c>
      <c r="N33" s="110" t="s">
        <v>363</v>
      </c>
      <c r="O33" s="94"/>
      <c r="P33" s="95"/>
      <c r="Q33" s="95"/>
      <c r="R33" s="95"/>
      <c r="S33" s="95"/>
      <c r="T33" s="95"/>
      <c r="U33" s="95" t="str">
        <f t="shared" si="0"/>
        <v/>
      </c>
      <c r="V33" s="95"/>
      <c r="W33" s="95"/>
      <c r="X33" s="96">
        <v>100</v>
      </c>
      <c r="Y33" s="96">
        <f t="shared" si="1"/>
        <v>100</v>
      </c>
      <c r="Z33" s="107">
        <f t="shared" si="2"/>
        <v>0</v>
      </c>
    </row>
    <row r="34" spans="1:26" x14ac:dyDescent="0.25">
      <c r="A34" s="55" t="str">
        <f>_xlfn.XLOOKUP($G34,'.Auxiliar'!$G:$G,'.Auxiliar'!A:A,"-",0)</f>
        <v>ARAGUAIA</v>
      </c>
      <c r="B34" s="55" t="str">
        <f>_xlfn.XLOOKUP($G34,'.Auxiliar'!$G:$G,'.Auxiliar'!B:B,"-",0)</f>
        <v>DUPLICAÇÃO</v>
      </c>
      <c r="C34" s="55" t="str">
        <f>_xlfn.XLOOKUP($G34,'.Auxiliar'!$G:$G,'.Auxiliar'!C:C,"-",0)</f>
        <v>Nada Consta</v>
      </c>
      <c r="D34" s="55">
        <f>_xlfn.XLOOKUP($G34,'.Auxiliar'!$G:$G,'.Auxiliar'!D:D,"-",0)</f>
        <v>760.64400000000001</v>
      </c>
      <c r="E34" s="55">
        <f>_xlfn.XLOOKUP($G34,'.Auxiliar'!$G:$G,'.Auxiliar'!E:E,"-",0)</f>
        <v>797.3</v>
      </c>
      <c r="F34" s="55">
        <f>_xlfn.XLOOKUP($G34,'.Auxiliar'!$G:$G,'.Auxiliar'!F:F,"-",0)</f>
        <v>36.655999999999949</v>
      </c>
      <c r="G34" s="59" t="s">
        <v>1207</v>
      </c>
      <c r="H34" s="108" t="s">
        <v>0</v>
      </c>
      <c r="I34" s="109" t="s">
        <v>0</v>
      </c>
      <c r="J34" s="109" t="s">
        <v>0</v>
      </c>
      <c r="K34" s="109" t="s">
        <v>0</v>
      </c>
      <c r="L34" s="109" t="s">
        <v>0</v>
      </c>
      <c r="M34" s="109" t="s">
        <v>0</v>
      </c>
      <c r="N34" s="110" t="s">
        <v>363</v>
      </c>
      <c r="O34" s="94"/>
      <c r="P34" s="95"/>
      <c r="Q34" s="95"/>
      <c r="R34" s="95"/>
      <c r="S34" s="95"/>
      <c r="T34" s="95"/>
      <c r="U34" s="95" t="str">
        <f t="shared" si="0"/>
        <v/>
      </c>
      <c r="V34" s="95"/>
      <c r="W34" s="95"/>
      <c r="X34" s="96">
        <v>100</v>
      </c>
      <c r="Y34" s="96">
        <f t="shared" si="1"/>
        <v>100</v>
      </c>
      <c r="Z34" s="107">
        <f t="shared" si="2"/>
        <v>0</v>
      </c>
    </row>
    <row r="35" spans="1:26" x14ac:dyDescent="0.25">
      <c r="A35" s="55" t="str">
        <f>_xlfn.XLOOKUP($G35,'.Auxiliar'!$G:$G,'.Auxiliar'!A:A,"-",0)</f>
        <v>ARAGUAIA</v>
      </c>
      <c r="B35" s="55" t="str">
        <f>_xlfn.XLOOKUP($G35,'.Auxiliar'!$G:$G,'.Auxiliar'!B:B,"-",0)</f>
        <v>DUPLICAÇÃO</v>
      </c>
      <c r="C35" s="55" t="str">
        <f>_xlfn.XLOOKUP($G35,'.Auxiliar'!$G:$G,'.Auxiliar'!C:C,"-",0)</f>
        <v>Nada Consta</v>
      </c>
      <c r="D35" s="55">
        <f>_xlfn.XLOOKUP($G35,'.Auxiliar'!$G:$G,'.Auxiliar'!D:D,"-",0)</f>
        <v>800</v>
      </c>
      <c r="E35" s="55">
        <f>_xlfn.XLOOKUP($G35,'.Auxiliar'!$G:$G,'.Auxiliar'!E:E,"-",0)</f>
        <v>802.53099999999995</v>
      </c>
      <c r="F35" s="55">
        <f>_xlfn.XLOOKUP($G35,'.Auxiliar'!$G:$G,'.Auxiliar'!F:F,"-",0)</f>
        <v>2.5309999999999491</v>
      </c>
      <c r="G35" s="59" t="s">
        <v>1208</v>
      </c>
      <c r="H35" s="108" t="s">
        <v>0</v>
      </c>
      <c r="I35" s="109" t="s">
        <v>0</v>
      </c>
      <c r="J35" s="109" t="s">
        <v>0</v>
      </c>
      <c r="K35" s="109" t="s">
        <v>0</v>
      </c>
      <c r="L35" s="109" t="s">
        <v>0</v>
      </c>
      <c r="M35" s="109" t="s">
        <v>0</v>
      </c>
      <c r="N35" s="110" t="s">
        <v>363</v>
      </c>
      <c r="O35" s="94"/>
      <c r="P35" s="95"/>
      <c r="Q35" s="95"/>
      <c r="R35" s="95"/>
      <c r="S35" s="95"/>
      <c r="T35" s="95"/>
      <c r="U35" s="95" t="str">
        <f t="shared" si="0"/>
        <v/>
      </c>
      <c r="V35" s="95"/>
      <c r="W35" s="95"/>
      <c r="X35" s="96">
        <v>100</v>
      </c>
      <c r="Y35" s="96">
        <f t="shared" si="1"/>
        <v>100</v>
      </c>
      <c r="Z35" s="107">
        <f t="shared" si="2"/>
        <v>0</v>
      </c>
    </row>
    <row r="36" spans="1:26" x14ac:dyDescent="0.25">
      <c r="A36" s="55" t="str">
        <f>_xlfn.XLOOKUP($G36,'.Auxiliar'!$G:$G,'.Auxiliar'!A:A,"-",0)</f>
        <v>ARAGUAIA</v>
      </c>
      <c r="B36" s="55" t="str">
        <f>_xlfn.XLOOKUP($G36,'.Auxiliar'!$G:$G,'.Auxiliar'!B:B,"-",0)</f>
        <v>FX ADICIONAL</v>
      </c>
      <c r="C36" s="55" t="str">
        <f>_xlfn.XLOOKUP($G36,'.Auxiliar'!$G:$G,'.Auxiliar'!C:C,"-",0)</f>
        <v>30 (NORTE)</v>
      </c>
      <c r="D36" s="55">
        <f>_xlfn.XLOOKUP($G36,'.Auxiliar'!$G:$G,'.Auxiliar'!D:D,"-",0)</f>
        <v>435.5</v>
      </c>
      <c r="E36" s="55">
        <f>_xlfn.XLOOKUP($G36,'.Auxiliar'!$G:$G,'.Auxiliar'!E:E,"-",0)</f>
        <v>444.13200000000001</v>
      </c>
      <c r="F36" s="55">
        <f>_xlfn.XLOOKUP($G36,'.Auxiliar'!$G:$G,'.Auxiliar'!F:F,"-",0)</f>
        <v>8.632000000000005</v>
      </c>
      <c r="G36" s="59" t="s">
        <v>1596</v>
      </c>
      <c r="H36" s="108" t="s">
        <v>0</v>
      </c>
      <c r="I36" s="109" t="s">
        <v>0</v>
      </c>
      <c r="J36" s="109" t="s">
        <v>0</v>
      </c>
      <c r="K36" s="109" t="s">
        <v>0</v>
      </c>
      <c r="L36" s="109" t="s">
        <v>0</v>
      </c>
      <c r="M36" s="109" t="s">
        <v>0</v>
      </c>
      <c r="N36" s="110" t="s">
        <v>363</v>
      </c>
      <c r="O36" s="94"/>
      <c r="P36" s="95"/>
      <c r="Q36" s="95"/>
      <c r="R36" s="95"/>
      <c r="S36" s="95"/>
      <c r="T36" s="95"/>
      <c r="U36" s="95" t="str">
        <f t="shared" si="0"/>
        <v/>
      </c>
      <c r="V36" s="95"/>
      <c r="W36" s="95"/>
      <c r="X36" s="96">
        <v>100</v>
      </c>
      <c r="Y36" s="96">
        <f t="shared" si="1"/>
        <v>100</v>
      </c>
      <c r="Z36" s="107">
        <f t="shared" si="2"/>
        <v>0</v>
      </c>
    </row>
    <row r="37" spans="1:26" x14ac:dyDescent="0.25">
      <c r="A37" s="55" t="str">
        <f>_xlfn.XLOOKUP($G37,'.Auxiliar'!$G:$G,'.Auxiliar'!A:A,"-",0)</f>
        <v>ARAGUAIA</v>
      </c>
      <c r="B37" s="55" t="str">
        <f>_xlfn.XLOOKUP($G37,'.Auxiliar'!$G:$G,'.Auxiliar'!B:B,"-",0)</f>
        <v>FX ADICIONAL</v>
      </c>
      <c r="C37" s="55" t="str">
        <f>_xlfn.XLOOKUP($G37,'.Auxiliar'!$G:$G,'.Auxiliar'!C:C,"-",0)</f>
        <v>30 (SUL)</v>
      </c>
      <c r="D37" s="55">
        <f>_xlfn.XLOOKUP($G37,'.Auxiliar'!$G:$G,'.Auxiliar'!D:D,"-",0)</f>
        <v>435.5</v>
      </c>
      <c r="E37" s="55">
        <f>_xlfn.XLOOKUP($G37,'.Auxiliar'!$G:$G,'.Auxiliar'!E:E,"-",0)</f>
        <v>444.13200000000001</v>
      </c>
      <c r="F37" s="55">
        <f>_xlfn.XLOOKUP($G37,'.Auxiliar'!$G:$G,'.Auxiliar'!F:F,"-",0)</f>
        <v>8.632000000000005</v>
      </c>
      <c r="G37" s="59" t="s">
        <v>1595</v>
      </c>
      <c r="H37" s="108" t="s">
        <v>0</v>
      </c>
      <c r="I37" s="109" t="s">
        <v>0</v>
      </c>
      <c r="J37" s="109" t="s">
        <v>0</v>
      </c>
      <c r="K37" s="109" t="s">
        <v>0</v>
      </c>
      <c r="L37" s="109" t="s">
        <v>0</v>
      </c>
      <c r="M37" s="109" t="s">
        <v>0</v>
      </c>
      <c r="N37" s="110" t="s">
        <v>363</v>
      </c>
      <c r="O37" s="94"/>
      <c r="P37" s="95"/>
      <c r="Q37" s="95"/>
      <c r="R37" s="95"/>
      <c r="S37" s="95"/>
      <c r="T37" s="95"/>
      <c r="U37" s="95" t="str">
        <f t="shared" si="0"/>
        <v/>
      </c>
      <c r="V37" s="95"/>
      <c r="W37" s="95"/>
      <c r="X37" s="96">
        <v>100</v>
      </c>
      <c r="Y37" s="96">
        <f t="shared" si="1"/>
        <v>100</v>
      </c>
      <c r="Z37" s="107">
        <f t="shared" si="2"/>
        <v>0</v>
      </c>
    </row>
    <row r="38" spans="1:26" x14ac:dyDescent="0.25">
      <c r="A38" s="55" t="str">
        <f>_xlfn.XLOOKUP($G38,'.Auxiliar'!$G:$G,'.Auxiliar'!A:A,"-",0)</f>
        <v>ARAGUAIA</v>
      </c>
      <c r="B38" s="55" t="str">
        <f>_xlfn.XLOOKUP($G38,'.Auxiliar'!$G:$G,'.Auxiliar'!B:B,"-",0)</f>
        <v>FX ADICIONAL</v>
      </c>
      <c r="C38" s="55" t="str">
        <f>_xlfn.XLOOKUP($G38,'.Auxiliar'!$G:$G,'.Auxiliar'!C:C,"-",0)</f>
        <v>42 (NORTE)</v>
      </c>
      <c r="D38" s="55">
        <f>_xlfn.XLOOKUP($G38,'.Auxiliar'!$G:$G,'.Auxiliar'!D:D,"-",0)</f>
        <v>398.01600000000002</v>
      </c>
      <c r="E38" s="55">
        <f>_xlfn.XLOOKUP($G38,'.Auxiliar'!$G:$G,'.Auxiliar'!E:E,"-",0)</f>
        <v>399.25</v>
      </c>
      <c r="F38" s="55">
        <f>_xlfn.XLOOKUP($G38,'.Auxiliar'!$G:$G,'.Auxiliar'!F:F,"-",0)</f>
        <v>1.2339999999999804</v>
      </c>
      <c r="G38" s="59" t="s">
        <v>1598</v>
      </c>
      <c r="H38" s="108" t="s">
        <v>0</v>
      </c>
      <c r="I38" s="109" t="s">
        <v>0</v>
      </c>
      <c r="J38" s="109" t="s">
        <v>0</v>
      </c>
      <c r="K38" s="109" t="s">
        <v>0</v>
      </c>
      <c r="L38" s="109" t="s">
        <v>0</v>
      </c>
      <c r="M38" s="109" t="s">
        <v>0</v>
      </c>
      <c r="N38" s="110" t="s">
        <v>363</v>
      </c>
      <c r="O38" s="94"/>
      <c r="P38" s="95"/>
      <c r="Q38" s="95"/>
      <c r="R38" s="95"/>
      <c r="S38" s="95"/>
      <c r="T38" s="95"/>
      <c r="U38" s="95" t="str">
        <f t="shared" si="0"/>
        <v/>
      </c>
      <c r="V38" s="95"/>
      <c r="W38" s="95"/>
      <c r="X38" s="96">
        <v>100</v>
      </c>
      <c r="Y38" s="96">
        <f t="shared" si="1"/>
        <v>100</v>
      </c>
      <c r="Z38" s="107">
        <f t="shared" si="2"/>
        <v>0</v>
      </c>
    </row>
    <row r="39" spans="1:26" x14ac:dyDescent="0.25">
      <c r="A39" s="55" t="str">
        <f>_xlfn.XLOOKUP($G39,'.Auxiliar'!$G:$G,'.Auxiliar'!A:A,"-",0)</f>
        <v>ARAGUAIA</v>
      </c>
      <c r="B39" s="55" t="str">
        <f>_xlfn.XLOOKUP($G39,'.Auxiliar'!$G:$G,'.Auxiliar'!B:B,"-",0)</f>
        <v>FX ADICIONAL</v>
      </c>
      <c r="C39" s="55" t="str">
        <f>_xlfn.XLOOKUP($G39,'.Auxiliar'!$G:$G,'.Auxiliar'!C:C,"-",0)</f>
        <v>42 (NORTE)</v>
      </c>
      <c r="D39" s="55">
        <f>_xlfn.XLOOKUP($G39,'.Auxiliar'!$G:$G,'.Auxiliar'!D:D,"-",0)</f>
        <v>404.48500000000001</v>
      </c>
      <c r="E39" s="55">
        <f>_xlfn.XLOOKUP($G39,'.Auxiliar'!$G:$G,'.Auxiliar'!E:E,"-",0)</f>
        <v>405.79500000000002</v>
      </c>
      <c r="F39" s="55">
        <f>_xlfn.XLOOKUP($G39,'.Auxiliar'!$G:$G,'.Auxiliar'!F:F,"-",0)</f>
        <v>1.3100000000000023</v>
      </c>
      <c r="G39" s="59" t="s">
        <v>1600</v>
      </c>
      <c r="H39" s="108" t="s">
        <v>0</v>
      </c>
      <c r="I39" s="109" t="s">
        <v>0</v>
      </c>
      <c r="J39" s="109" t="s">
        <v>0</v>
      </c>
      <c r="K39" s="109" t="s">
        <v>0</v>
      </c>
      <c r="L39" s="109" t="s">
        <v>0</v>
      </c>
      <c r="M39" s="109" t="s">
        <v>0</v>
      </c>
      <c r="N39" s="110" t="s">
        <v>363</v>
      </c>
      <c r="O39" s="94"/>
      <c r="P39" s="95"/>
      <c r="Q39" s="95"/>
      <c r="R39" s="95"/>
      <c r="S39" s="95"/>
      <c r="T39" s="95"/>
      <c r="U39" s="95" t="str">
        <f t="shared" si="0"/>
        <v/>
      </c>
      <c r="V39" s="95"/>
      <c r="W39" s="95"/>
      <c r="X39" s="96">
        <v>100</v>
      </c>
      <c r="Y39" s="96">
        <f t="shared" si="1"/>
        <v>100</v>
      </c>
      <c r="Z39" s="107">
        <f t="shared" si="2"/>
        <v>0</v>
      </c>
    </row>
    <row r="40" spans="1:26" x14ac:dyDescent="0.25">
      <c r="A40" s="55" t="str">
        <f>_xlfn.XLOOKUP($G40,'.Auxiliar'!$G:$G,'.Auxiliar'!A:A,"-",0)</f>
        <v>ARAGUAIA</v>
      </c>
      <c r="B40" s="55" t="str">
        <f>_xlfn.XLOOKUP($G40,'.Auxiliar'!$G:$G,'.Auxiliar'!B:B,"-",0)</f>
        <v>FX ADICIONAL</v>
      </c>
      <c r="C40" s="55" t="str">
        <f>_xlfn.XLOOKUP($G40,'.Auxiliar'!$G:$G,'.Auxiliar'!C:C,"-",0)</f>
        <v>42 (SUL)</v>
      </c>
      <c r="D40" s="55">
        <f>_xlfn.XLOOKUP($G40,'.Auxiliar'!$G:$G,'.Auxiliar'!D:D,"-",0)</f>
        <v>395.89</v>
      </c>
      <c r="E40" s="55">
        <f>_xlfn.XLOOKUP($G40,'.Auxiliar'!$G:$G,'.Auxiliar'!E:E,"-",0)</f>
        <v>398.04</v>
      </c>
      <c r="F40" s="55">
        <f>_xlfn.XLOOKUP($G40,'.Auxiliar'!$G:$G,'.Auxiliar'!F:F,"-",0)</f>
        <v>2.1500000000000341</v>
      </c>
      <c r="G40" s="59" t="s">
        <v>1597</v>
      </c>
      <c r="H40" s="108" t="s">
        <v>0</v>
      </c>
      <c r="I40" s="109" t="s">
        <v>0</v>
      </c>
      <c r="J40" s="109" t="s">
        <v>0</v>
      </c>
      <c r="K40" s="109" t="s">
        <v>0</v>
      </c>
      <c r="L40" s="109" t="s">
        <v>0</v>
      </c>
      <c r="M40" s="109" t="s">
        <v>0</v>
      </c>
      <c r="N40" s="110" t="s">
        <v>363</v>
      </c>
      <c r="O40" s="94"/>
      <c r="P40" s="95"/>
      <c r="Q40" s="95"/>
      <c r="R40" s="95"/>
      <c r="S40" s="95"/>
      <c r="T40" s="95"/>
      <c r="U40" s="95" t="str">
        <f t="shared" si="0"/>
        <v/>
      </c>
      <c r="V40" s="95"/>
      <c r="W40" s="95"/>
      <c r="X40" s="96">
        <v>100</v>
      </c>
      <c r="Y40" s="96">
        <f t="shared" si="1"/>
        <v>100</v>
      </c>
      <c r="Z40" s="107">
        <f t="shared" si="2"/>
        <v>0</v>
      </c>
    </row>
    <row r="41" spans="1:26" x14ac:dyDescent="0.25">
      <c r="A41" s="55" t="str">
        <f>_xlfn.XLOOKUP($G41,'.Auxiliar'!$G:$G,'.Auxiliar'!A:A,"-",0)</f>
        <v>ARAGUAIA</v>
      </c>
      <c r="B41" s="55" t="str">
        <f>_xlfn.XLOOKUP($G41,'.Auxiliar'!$G:$G,'.Auxiliar'!B:B,"-",0)</f>
        <v>FX ADICIONAL</v>
      </c>
      <c r="C41" s="55" t="str">
        <f>_xlfn.XLOOKUP($G41,'.Auxiliar'!$G:$G,'.Auxiliar'!C:C,"-",0)</f>
        <v>42 (SUL)</v>
      </c>
      <c r="D41" s="55">
        <f>_xlfn.XLOOKUP($G41,'.Auxiliar'!$G:$G,'.Auxiliar'!D:D,"-",0)</f>
        <v>401.65100000000001</v>
      </c>
      <c r="E41" s="55">
        <f>_xlfn.XLOOKUP($G41,'.Auxiliar'!$G:$G,'.Auxiliar'!E:E,"-",0)</f>
        <v>404.89499999999998</v>
      </c>
      <c r="F41" s="55">
        <f>_xlfn.XLOOKUP($G41,'.Auxiliar'!$G:$G,'.Auxiliar'!F:F,"-",0)</f>
        <v>3.2439999999999714</v>
      </c>
      <c r="G41" s="59" t="s">
        <v>1599</v>
      </c>
      <c r="H41" s="108" t="s">
        <v>0</v>
      </c>
      <c r="I41" s="109" t="s">
        <v>0</v>
      </c>
      <c r="J41" s="109" t="s">
        <v>0</v>
      </c>
      <c r="K41" s="109" t="s">
        <v>0</v>
      </c>
      <c r="L41" s="109" t="s">
        <v>0</v>
      </c>
      <c r="M41" s="109" t="s">
        <v>0</v>
      </c>
      <c r="N41" s="110" t="s">
        <v>363</v>
      </c>
      <c r="O41" s="94"/>
      <c r="P41" s="95"/>
      <c r="Q41" s="95"/>
      <c r="R41" s="95"/>
      <c r="S41" s="95"/>
      <c r="T41" s="95"/>
      <c r="U41" s="95" t="str">
        <f t="shared" si="0"/>
        <v/>
      </c>
      <c r="V41" s="95"/>
      <c r="W41" s="95"/>
      <c r="X41" s="96">
        <v>100</v>
      </c>
      <c r="Y41" s="96">
        <f t="shared" si="1"/>
        <v>100</v>
      </c>
      <c r="Z41" s="107">
        <f t="shared" si="2"/>
        <v>0</v>
      </c>
    </row>
    <row r="42" spans="1:26" x14ac:dyDescent="0.25">
      <c r="A42" s="55" t="str">
        <f>_xlfn.XLOOKUP($G42,'.Auxiliar'!$G:$G,'.Auxiliar'!A:A,"-",0)</f>
        <v>ARAGUAIA</v>
      </c>
      <c r="B42" s="55" t="str">
        <f>_xlfn.XLOOKUP($G42,'.Auxiliar'!$G:$G,'.Auxiliar'!B:B,"-",0)</f>
        <v>FX ADICIONAL</v>
      </c>
      <c r="C42" s="55" t="str">
        <f>_xlfn.XLOOKUP($G42,'.Auxiliar'!$G:$G,'.Auxiliar'!C:C,"-",0)</f>
        <v>42 (SUL)</v>
      </c>
      <c r="D42" s="55">
        <f>_xlfn.XLOOKUP($G42,'.Auxiliar'!$G:$G,'.Auxiliar'!D:D,"-",0)</f>
        <v>406.67200000000003</v>
      </c>
      <c r="E42" s="55">
        <f>_xlfn.XLOOKUP($G42,'.Auxiliar'!$G:$G,'.Auxiliar'!E:E,"-",0)</f>
        <v>409.05</v>
      </c>
      <c r="F42" s="55">
        <f>_xlfn.XLOOKUP($G42,'.Auxiliar'!$G:$G,'.Auxiliar'!F:F,"-",0)</f>
        <v>2.3779999999999859</v>
      </c>
      <c r="G42" s="59" t="s">
        <v>1601</v>
      </c>
      <c r="H42" s="108" t="s">
        <v>0</v>
      </c>
      <c r="I42" s="109" t="s">
        <v>0</v>
      </c>
      <c r="J42" s="109" t="s">
        <v>0</v>
      </c>
      <c r="K42" s="109" t="s">
        <v>0</v>
      </c>
      <c r="L42" s="109" t="s">
        <v>0</v>
      </c>
      <c r="M42" s="109" t="s">
        <v>0</v>
      </c>
      <c r="N42" s="110" t="s">
        <v>363</v>
      </c>
      <c r="O42" s="94"/>
      <c r="P42" s="95"/>
      <c r="Q42" s="95"/>
      <c r="R42" s="95"/>
      <c r="S42" s="95"/>
      <c r="T42" s="95"/>
      <c r="U42" s="95" t="str">
        <f t="shared" si="0"/>
        <v/>
      </c>
      <c r="V42" s="95"/>
      <c r="W42" s="95"/>
      <c r="X42" s="96">
        <v>100</v>
      </c>
      <c r="Y42" s="96">
        <f t="shared" si="1"/>
        <v>100</v>
      </c>
      <c r="Z42" s="107">
        <f t="shared" si="2"/>
        <v>0</v>
      </c>
    </row>
    <row r="43" spans="1:26" x14ac:dyDescent="0.25">
      <c r="A43" s="55" t="str">
        <f>_xlfn.XLOOKUP($G43,'.Auxiliar'!$G:$G,'.Auxiliar'!A:A,"-",0)</f>
        <v>ARAGUAIA</v>
      </c>
      <c r="B43" s="55" t="str">
        <f>_xlfn.XLOOKUP($G43,'.Auxiliar'!$G:$G,'.Auxiliar'!B:B,"-",0)</f>
        <v>OAE</v>
      </c>
      <c r="C43" s="55" t="str">
        <f>_xlfn.XLOOKUP($G43,'.Auxiliar'!$G:$G,'.Auxiliar'!C:C,"-",0)</f>
        <v>Diamante</v>
      </c>
      <c r="D43" s="55">
        <f>_xlfn.XLOOKUP($G43,'.Auxiliar'!$G:$G,'.Auxiliar'!D:D,"-",0)</f>
        <v>200.8</v>
      </c>
      <c r="E43" s="55">
        <f>_xlfn.XLOOKUP($G43,'.Auxiliar'!$G:$G,'.Auxiliar'!E:E,"-",0)</f>
        <v>200.8</v>
      </c>
      <c r="F43" s="55">
        <f>_xlfn.XLOOKUP($G43,'.Auxiliar'!$G:$G,'.Auxiliar'!F:F,"-",0)</f>
        <v>1</v>
      </c>
      <c r="G43" s="59" t="s">
        <v>1328</v>
      </c>
      <c r="H43" s="108" t="s">
        <v>0</v>
      </c>
      <c r="I43" s="109" t="s">
        <v>0</v>
      </c>
      <c r="J43" s="109" t="s">
        <v>0</v>
      </c>
      <c r="K43" s="109" t="s">
        <v>0</v>
      </c>
      <c r="L43" s="109" t="s">
        <v>0</v>
      </c>
      <c r="M43" s="109" t="s">
        <v>0</v>
      </c>
      <c r="N43" s="110" t="s">
        <v>363</v>
      </c>
      <c r="O43" s="94"/>
      <c r="P43" s="95"/>
      <c r="Q43" s="95"/>
      <c r="R43" s="95"/>
      <c r="S43" s="95"/>
      <c r="T43" s="95"/>
      <c r="U43" s="95" t="str">
        <f t="shared" si="0"/>
        <v/>
      </c>
      <c r="V43" s="95"/>
      <c r="W43" s="95"/>
      <c r="X43" s="96">
        <v>100</v>
      </c>
      <c r="Y43" s="96">
        <f t="shared" si="1"/>
        <v>100</v>
      </c>
      <c r="Z43" s="107">
        <f t="shared" si="2"/>
        <v>0</v>
      </c>
    </row>
    <row r="44" spans="1:26" x14ac:dyDescent="0.25">
      <c r="A44" s="55" t="str">
        <f>_xlfn.XLOOKUP($G44,'.Auxiliar'!$G:$G,'.Auxiliar'!A:A,"-",0)</f>
        <v>ARAGUAIA</v>
      </c>
      <c r="B44" s="55" t="str">
        <f>_xlfn.XLOOKUP($G44,'.Auxiliar'!$G:$G,'.Auxiliar'!B:B,"-",0)</f>
        <v>OAE</v>
      </c>
      <c r="C44" s="55" t="str">
        <f>_xlfn.XLOOKUP($G44,'.Auxiliar'!$G:$G,'.Auxiliar'!C:C,"-",0)</f>
        <v>Diamante</v>
      </c>
      <c r="D44" s="55">
        <f>_xlfn.XLOOKUP($G44,'.Auxiliar'!$G:$G,'.Auxiliar'!D:D,"-",0)</f>
        <v>202.5</v>
      </c>
      <c r="E44" s="55">
        <f>_xlfn.XLOOKUP($G44,'.Auxiliar'!$G:$G,'.Auxiliar'!E:E,"-",0)</f>
        <v>202.5</v>
      </c>
      <c r="F44" s="55">
        <f>_xlfn.XLOOKUP($G44,'.Auxiliar'!$G:$G,'.Auxiliar'!F:F,"-",0)</f>
        <v>1</v>
      </c>
      <c r="G44" s="59" t="s">
        <v>1329</v>
      </c>
      <c r="H44" s="108" t="s">
        <v>0</v>
      </c>
      <c r="I44" s="109" t="s">
        <v>0</v>
      </c>
      <c r="J44" s="109" t="s">
        <v>0</v>
      </c>
      <c r="K44" s="109" t="s">
        <v>0</v>
      </c>
      <c r="L44" s="109" t="s">
        <v>0</v>
      </c>
      <c r="M44" s="109" t="s">
        <v>0</v>
      </c>
      <c r="N44" s="110" t="s">
        <v>363</v>
      </c>
      <c r="O44" s="94"/>
      <c r="P44" s="95"/>
      <c r="Q44" s="95"/>
      <c r="R44" s="95"/>
      <c r="S44" s="95"/>
      <c r="T44" s="95"/>
      <c r="U44" s="95" t="str">
        <f t="shared" si="0"/>
        <v/>
      </c>
      <c r="V44" s="95"/>
      <c r="W44" s="95"/>
      <c r="X44" s="96">
        <v>100</v>
      </c>
      <c r="Y44" s="96">
        <f t="shared" si="1"/>
        <v>100</v>
      </c>
      <c r="Z44" s="107">
        <f t="shared" si="2"/>
        <v>0</v>
      </c>
    </row>
    <row r="45" spans="1:26" x14ac:dyDescent="0.25">
      <c r="A45" s="55" t="str">
        <f>_xlfn.XLOOKUP($G45,'.Auxiliar'!$G:$G,'.Auxiliar'!A:A,"-",0)</f>
        <v>ARAGUAIA</v>
      </c>
      <c r="B45" s="55" t="str">
        <f>_xlfn.XLOOKUP($G45,'.Auxiliar'!$G:$G,'.Auxiliar'!B:B,"-",0)</f>
        <v>OAE</v>
      </c>
      <c r="C45" s="55" t="str">
        <f>_xlfn.XLOOKUP($G45,'.Auxiliar'!$G:$G,'.Auxiliar'!C:C,"-",0)</f>
        <v>Diamante</v>
      </c>
      <c r="D45" s="55">
        <f>_xlfn.XLOOKUP($G45,'.Auxiliar'!$G:$G,'.Auxiliar'!D:D,"-",0)</f>
        <v>284.5</v>
      </c>
      <c r="E45" s="55">
        <f>_xlfn.XLOOKUP($G45,'.Auxiliar'!$G:$G,'.Auxiliar'!E:E,"-",0)</f>
        <v>284.5</v>
      </c>
      <c r="F45" s="55">
        <f>_xlfn.XLOOKUP($G45,'.Auxiliar'!$G:$G,'.Auxiliar'!F:F,"-",0)</f>
        <v>1</v>
      </c>
      <c r="G45" s="59" t="s">
        <v>1284</v>
      </c>
      <c r="H45" s="108" t="s">
        <v>0</v>
      </c>
      <c r="I45" s="109" t="s">
        <v>0</v>
      </c>
      <c r="J45" s="109" t="s">
        <v>0</v>
      </c>
      <c r="K45" s="109" t="s">
        <v>0</v>
      </c>
      <c r="L45" s="109" t="s">
        <v>0</v>
      </c>
      <c r="M45" s="109" t="s">
        <v>363</v>
      </c>
      <c r="N45" s="110" t="s">
        <v>0</v>
      </c>
      <c r="O45" s="94"/>
      <c r="P45" s="95"/>
      <c r="Q45" s="95"/>
      <c r="R45" s="95"/>
      <c r="S45" s="95"/>
      <c r="T45" s="95"/>
      <c r="U45" s="95" t="str">
        <f t="shared" si="0"/>
        <v/>
      </c>
      <c r="V45" s="95"/>
      <c r="W45" s="95">
        <v>100</v>
      </c>
      <c r="X45" s="96"/>
      <c r="Y45" s="96">
        <f t="shared" si="1"/>
        <v>100</v>
      </c>
      <c r="Z45" s="107">
        <f t="shared" si="2"/>
        <v>0</v>
      </c>
    </row>
    <row r="46" spans="1:26" x14ac:dyDescent="0.25">
      <c r="A46" s="55" t="str">
        <f>_xlfn.XLOOKUP($G46,'.Auxiliar'!$G:$G,'.Auxiliar'!A:A,"-",0)</f>
        <v>ARAGUAIA</v>
      </c>
      <c r="B46" s="55" t="str">
        <f>_xlfn.XLOOKUP($G46,'.Auxiliar'!$G:$G,'.Auxiliar'!B:B,"-",0)</f>
        <v>OAE</v>
      </c>
      <c r="C46" s="55" t="str">
        <f>_xlfn.XLOOKUP($G46,'.Auxiliar'!$G:$G,'.Auxiliar'!C:C,"-",0)</f>
        <v>Diamante</v>
      </c>
      <c r="D46" s="55">
        <f>_xlfn.XLOOKUP($G46,'.Auxiliar'!$G:$G,'.Auxiliar'!D:D,"-",0)</f>
        <v>301.3</v>
      </c>
      <c r="E46" s="55">
        <f>_xlfn.XLOOKUP($G46,'.Auxiliar'!$G:$G,'.Auxiliar'!E:E,"-",0)</f>
        <v>284.5</v>
      </c>
      <c r="F46" s="55">
        <f>_xlfn.XLOOKUP($G46,'.Auxiliar'!$G:$G,'.Auxiliar'!F:F,"-",0)</f>
        <v>1</v>
      </c>
      <c r="G46" s="59" t="s">
        <v>1261</v>
      </c>
      <c r="H46" s="108" t="s">
        <v>0</v>
      </c>
      <c r="I46" s="109" t="s">
        <v>0</v>
      </c>
      <c r="J46" s="109" t="s">
        <v>0</v>
      </c>
      <c r="K46" s="109" t="s">
        <v>0</v>
      </c>
      <c r="L46" s="109" t="s">
        <v>363</v>
      </c>
      <c r="M46" s="109" t="s">
        <v>0</v>
      </c>
      <c r="N46" s="110" t="s">
        <v>0</v>
      </c>
      <c r="O46" s="94"/>
      <c r="P46" s="95"/>
      <c r="Q46" s="95"/>
      <c r="R46" s="95"/>
      <c r="S46" s="95"/>
      <c r="T46" s="95"/>
      <c r="U46" s="95" t="str">
        <f t="shared" si="0"/>
        <v/>
      </c>
      <c r="V46" s="95">
        <v>100</v>
      </c>
      <c r="W46" s="95"/>
      <c r="X46" s="96"/>
      <c r="Y46" s="96">
        <f t="shared" si="1"/>
        <v>100</v>
      </c>
      <c r="Z46" s="107">
        <f t="shared" si="2"/>
        <v>0</v>
      </c>
    </row>
    <row r="47" spans="1:26" x14ac:dyDescent="0.25">
      <c r="A47" s="55" t="str">
        <f>_xlfn.XLOOKUP($G47,'.Auxiliar'!$G:$G,'.Auxiliar'!A:A,"-",0)</f>
        <v>ARAGUAIA</v>
      </c>
      <c r="B47" s="55" t="str">
        <f>_xlfn.XLOOKUP($G47,'.Auxiliar'!$G:$G,'.Auxiliar'!B:B,"-",0)</f>
        <v>OAE</v>
      </c>
      <c r="C47" s="55" t="str">
        <f>_xlfn.XLOOKUP($G47,'.Auxiliar'!$G:$G,'.Auxiliar'!C:C,"-",0)</f>
        <v>Diamante</v>
      </c>
      <c r="D47" s="55">
        <f>_xlfn.XLOOKUP($G47,'.Auxiliar'!$G:$G,'.Auxiliar'!D:D,"-",0)</f>
        <v>302.43</v>
      </c>
      <c r="E47" s="55">
        <f>_xlfn.XLOOKUP($G47,'.Auxiliar'!$G:$G,'.Auxiliar'!E:E,"-",0)</f>
        <v>302.43</v>
      </c>
      <c r="F47" s="55">
        <f>_xlfn.XLOOKUP($G47,'.Auxiliar'!$G:$G,'.Auxiliar'!F:F,"-",0)</f>
        <v>1</v>
      </c>
      <c r="G47" s="59" t="s">
        <v>1262</v>
      </c>
      <c r="H47" s="108" t="s">
        <v>0</v>
      </c>
      <c r="I47" s="109" t="s">
        <v>0</v>
      </c>
      <c r="J47" s="109" t="s">
        <v>0</v>
      </c>
      <c r="K47" s="109" t="s">
        <v>0</v>
      </c>
      <c r="L47" s="109" t="s">
        <v>363</v>
      </c>
      <c r="M47" s="109" t="s">
        <v>0</v>
      </c>
      <c r="N47" s="110" t="s">
        <v>0</v>
      </c>
      <c r="O47" s="94"/>
      <c r="P47" s="95"/>
      <c r="Q47" s="95"/>
      <c r="R47" s="95"/>
      <c r="S47" s="95"/>
      <c r="T47" s="95"/>
      <c r="U47" s="95" t="str">
        <f t="shared" si="0"/>
        <v/>
      </c>
      <c r="V47" s="95">
        <v>100</v>
      </c>
      <c r="W47" s="95"/>
      <c r="X47" s="96"/>
      <c r="Y47" s="96">
        <f t="shared" si="1"/>
        <v>100</v>
      </c>
      <c r="Z47" s="107">
        <f t="shared" si="2"/>
        <v>0</v>
      </c>
    </row>
    <row r="48" spans="1:26" x14ac:dyDescent="0.25">
      <c r="A48" s="55" t="str">
        <f>_xlfn.XLOOKUP($G48,'.Auxiliar'!$G:$G,'.Auxiliar'!A:A,"-",0)</f>
        <v>ARAGUAIA</v>
      </c>
      <c r="B48" s="55" t="str">
        <f>_xlfn.XLOOKUP($G48,'.Auxiliar'!$G:$G,'.Auxiliar'!B:B,"-",0)</f>
        <v>OAE</v>
      </c>
      <c r="C48" s="55" t="str">
        <f>_xlfn.XLOOKUP($G48,'.Auxiliar'!$G:$G,'.Auxiliar'!C:C,"-",0)</f>
        <v>Diamante</v>
      </c>
      <c r="D48" s="55">
        <f>_xlfn.XLOOKUP($G48,'.Auxiliar'!$G:$G,'.Auxiliar'!D:D,"-",0)</f>
        <v>319.2</v>
      </c>
      <c r="E48" s="55">
        <f>_xlfn.XLOOKUP($G48,'.Auxiliar'!$G:$G,'.Auxiliar'!E:E,"-",0)</f>
        <v>319.2</v>
      </c>
      <c r="F48" s="55">
        <f>_xlfn.XLOOKUP($G48,'.Auxiliar'!$G:$G,'.Auxiliar'!F:F,"-",0)</f>
        <v>1</v>
      </c>
      <c r="G48" s="59" t="s">
        <v>1285</v>
      </c>
      <c r="H48" s="108" t="s">
        <v>0</v>
      </c>
      <c r="I48" s="109" t="s">
        <v>0</v>
      </c>
      <c r="J48" s="109" t="s">
        <v>0</v>
      </c>
      <c r="K48" s="109" t="s">
        <v>0</v>
      </c>
      <c r="L48" s="109" t="s">
        <v>0</v>
      </c>
      <c r="M48" s="109" t="s">
        <v>363</v>
      </c>
      <c r="N48" s="110" t="s">
        <v>0</v>
      </c>
      <c r="O48" s="94"/>
      <c r="P48" s="95"/>
      <c r="Q48" s="95"/>
      <c r="R48" s="95"/>
      <c r="S48" s="95"/>
      <c r="T48" s="95"/>
      <c r="U48" s="95" t="str">
        <f t="shared" si="0"/>
        <v/>
      </c>
      <c r="V48" s="95"/>
      <c r="W48" s="95">
        <v>100</v>
      </c>
      <c r="X48" s="96"/>
      <c r="Y48" s="96">
        <f t="shared" si="1"/>
        <v>100</v>
      </c>
      <c r="Z48" s="107">
        <f t="shared" si="2"/>
        <v>0</v>
      </c>
    </row>
    <row r="49" spans="1:26" x14ac:dyDescent="0.25">
      <c r="A49" s="55" t="str">
        <f>_xlfn.XLOOKUP($G49,'.Auxiliar'!$G:$G,'.Auxiliar'!A:A,"-",0)</f>
        <v>ARAGUAIA</v>
      </c>
      <c r="B49" s="55" t="str">
        <f>_xlfn.XLOOKUP($G49,'.Auxiliar'!$G:$G,'.Auxiliar'!B:B,"-",0)</f>
        <v>OAE</v>
      </c>
      <c r="C49" s="55" t="str">
        <f>_xlfn.XLOOKUP($G49,'.Auxiliar'!$G:$G,'.Auxiliar'!C:C,"-",0)</f>
        <v>Diamante</v>
      </c>
      <c r="D49" s="55">
        <f>_xlfn.XLOOKUP($G49,'.Auxiliar'!$G:$G,'.Auxiliar'!D:D,"-",0)</f>
        <v>357.3</v>
      </c>
      <c r="E49" s="55">
        <f>_xlfn.XLOOKUP($G49,'.Auxiliar'!$G:$G,'.Auxiliar'!E:E,"-",0)</f>
        <v>357.3</v>
      </c>
      <c r="F49" s="55">
        <f>_xlfn.XLOOKUP($G49,'.Auxiliar'!$G:$G,'.Auxiliar'!F:F,"-",0)</f>
        <v>1</v>
      </c>
      <c r="G49" s="59" t="s">
        <v>1330</v>
      </c>
      <c r="H49" s="108" t="s">
        <v>0</v>
      </c>
      <c r="I49" s="109" t="s">
        <v>0</v>
      </c>
      <c r="J49" s="109" t="s">
        <v>0</v>
      </c>
      <c r="K49" s="109" t="s">
        <v>0</v>
      </c>
      <c r="L49" s="109" t="s">
        <v>0</v>
      </c>
      <c r="M49" s="109" t="s">
        <v>0</v>
      </c>
      <c r="N49" s="110" t="s">
        <v>363</v>
      </c>
      <c r="O49" s="94"/>
      <c r="P49" s="95"/>
      <c r="Q49" s="95"/>
      <c r="R49" s="95"/>
      <c r="S49" s="95"/>
      <c r="T49" s="95"/>
      <c r="U49" s="95" t="str">
        <f t="shared" si="0"/>
        <v/>
      </c>
      <c r="V49" s="95"/>
      <c r="W49" s="95"/>
      <c r="X49" s="96">
        <v>100</v>
      </c>
      <c r="Y49" s="96">
        <f t="shared" si="1"/>
        <v>100</v>
      </c>
      <c r="Z49" s="107">
        <f t="shared" si="2"/>
        <v>0</v>
      </c>
    </row>
    <row r="50" spans="1:26" x14ac:dyDescent="0.25">
      <c r="A50" s="55" t="str">
        <f>_xlfn.XLOOKUP($G50,'.Auxiliar'!$G:$G,'.Auxiliar'!A:A,"-",0)</f>
        <v>ARAGUAIA</v>
      </c>
      <c r="B50" s="55" t="str">
        <f>_xlfn.XLOOKUP($G50,'.Auxiliar'!$G:$G,'.Auxiliar'!B:B,"-",0)</f>
        <v>OAE</v>
      </c>
      <c r="C50" s="55" t="str">
        <f>_xlfn.XLOOKUP($G50,'.Auxiliar'!$G:$G,'.Auxiliar'!C:C,"-",0)</f>
        <v>Diamante</v>
      </c>
      <c r="D50" s="55">
        <f>_xlfn.XLOOKUP($G50,'.Auxiliar'!$G:$G,'.Auxiliar'!D:D,"-",0)</f>
        <v>360.1</v>
      </c>
      <c r="E50" s="55">
        <f>_xlfn.XLOOKUP($G50,'.Auxiliar'!$G:$G,'.Auxiliar'!E:E,"-",0)</f>
        <v>360.1</v>
      </c>
      <c r="F50" s="55">
        <f>_xlfn.XLOOKUP($G50,'.Auxiliar'!$G:$G,'.Auxiliar'!F:F,"-",0)</f>
        <v>1</v>
      </c>
      <c r="G50" s="59" t="s">
        <v>1331</v>
      </c>
      <c r="H50" s="108" t="s">
        <v>0</v>
      </c>
      <c r="I50" s="109" t="s">
        <v>0</v>
      </c>
      <c r="J50" s="109" t="s">
        <v>0</v>
      </c>
      <c r="K50" s="109" t="s">
        <v>0</v>
      </c>
      <c r="L50" s="109" t="s">
        <v>0</v>
      </c>
      <c r="M50" s="109" t="s">
        <v>0</v>
      </c>
      <c r="N50" s="110" t="s">
        <v>363</v>
      </c>
      <c r="O50" s="94"/>
      <c r="P50" s="95"/>
      <c r="Q50" s="95"/>
      <c r="R50" s="95"/>
      <c r="S50" s="95"/>
      <c r="T50" s="95"/>
      <c r="U50" s="95" t="str">
        <f t="shared" si="0"/>
        <v/>
      </c>
      <c r="V50" s="95"/>
      <c r="W50" s="95"/>
      <c r="X50" s="96">
        <v>100</v>
      </c>
      <c r="Y50" s="96">
        <f t="shared" si="1"/>
        <v>100</v>
      </c>
      <c r="Z50" s="107">
        <f t="shared" si="2"/>
        <v>0</v>
      </c>
    </row>
    <row r="51" spans="1:26" x14ac:dyDescent="0.25">
      <c r="A51" s="55" t="str">
        <f>_xlfn.XLOOKUP($G51,'.Auxiliar'!$G:$G,'.Auxiliar'!A:A,"-",0)</f>
        <v>ARAGUAIA</v>
      </c>
      <c r="B51" s="55" t="str">
        <f>_xlfn.XLOOKUP($G51,'.Auxiliar'!$G:$G,'.Auxiliar'!B:B,"-",0)</f>
        <v>OAE</v>
      </c>
      <c r="C51" s="55" t="str">
        <f>_xlfn.XLOOKUP($G51,'.Auxiliar'!$G:$G,'.Auxiliar'!C:C,"-",0)</f>
        <v>Diamante</v>
      </c>
      <c r="D51" s="55">
        <f>_xlfn.XLOOKUP($G51,'.Auxiliar'!$G:$G,'.Auxiliar'!D:D,"-",0)</f>
        <v>392.44</v>
      </c>
      <c r="E51" s="55">
        <f>_xlfn.XLOOKUP($G51,'.Auxiliar'!$G:$G,'.Auxiliar'!E:E,"-",0)</f>
        <v>392.44</v>
      </c>
      <c r="F51" s="55">
        <f>_xlfn.XLOOKUP($G51,'.Auxiliar'!$G:$G,'.Auxiliar'!F:F,"-",0)</f>
        <v>1</v>
      </c>
      <c r="G51" s="59" t="s">
        <v>1337</v>
      </c>
      <c r="H51" s="108" t="s">
        <v>0</v>
      </c>
      <c r="I51" s="109" t="s">
        <v>0</v>
      </c>
      <c r="J51" s="109" t="s">
        <v>0</v>
      </c>
      <c r="K51" s="109" t="s">
        <v>0</v>
      </c>
      <c r="L51" s="109" t="s">
        <v>0</v>
      </c>
      <c r="M51" s="109" t="s">
        <v>0</v>
      </c>
      <c r="N51" s="110" t="s">
        <v>363</v>
      </c>
      <c r="O51" s="94"/>
      <c r="P51" s="95"/>
      <c r="Q51" s="95"/>
      <c r="R51" s="95"/>
      <c r="S51" s="95"/>
      <c r="T51" s="95"/>
      <c r="U51" s="95" t="str">
        <f t="shared" si="0"/>
        <v/>
      </c>
      <c r="V51" s="95"/>
      <c r="W51" s="95"/>
      <c r="X51" s="96">
        <v>100</v>
      </c>
      <c r="Y51" s="96">
        <f t="shared" si="1"/>
        <v>100</v>
      </c>
      <c r="Z51" s="107">
        <f t="shared" si="2"/>
        <v>0</v>
      </c>
    </row>
    <row r="52" spans="1:26" x14ac:dyDescent="0.25">
      <c r="A52" s="55" t="str">
        <f>_xlfn.XLOOKUP($G52,'.Auxiliar'!$G:$G,'.Auxiliar'!A:A,"-",0)</f>
        <v>ARAGUAIA</v>
      </c>
      <c r="B52" s="55" t="str">
        <f>_xlfn.XLOOKUP($G52,'.Auxiliar'!$G:$G,'.Auxiliar'!B:B,"-",0)</f>
        <v>OAE</v>
      </c>
      <c r="C52" s="55" t="str">
        <f>_xlfn.XLOOKUP($G52,'.Auxiliar'!$G:$G,'.Auxiliar'!C:C,"-",0)</f>
        <v>Diamante</v>
      </c>
      <c r="D52" s="55">
        <f>_xlfn.XLOOKUP($G52,'.Auxiliar'!$G:$G,'.Auxiliar'!D:D,"-",0)</f>
        <v>409.34</v>
      </c>
      <c r="E52" s="55">
        <f>_xlfn.XLOOKUP($G52,'.Auxiliar'!$G:$G,'.Auxiliar'!E:E,"-",0)</f>
        <v>409.34</v>
      </c>
      <c r="F52" s="55">
        <f>_xlfn.XLOOKUP($G52,'.Auxiliar'!$G:$G,'.Auxiliar'!F:F,"-",0)</f>
        <v>1</v>
      </c>
      <c r="G52" s="59" t="s">
        <v>1338</v>
      </c>
      <c r="H52" s="108" t="s">
        <v>0</v>
      </c>
      <c r="I52" s="109" t="s">
        <v>0</v>
      </c>
      <c r="J52" s="109" t="s">
        <v>0</v>
      </c>
      <c r="K52" s="109" t="s">
        <v>0</v>
      </c>
      <c r="L52" s="109" t="s">
        <v>0</v>
      </c>
      <c r="M52" s="109" t="s">
        <v>0</v>
      </c>
      <c r="N52" s="110" t="s">
        <v>363</v>
      </c>
      <c r="O52" s="94"/>
      <c r="P52" s="95"/>
      <c r="Q52" s="95"/>
      <c r="R52" s="95"/>
      <c r="S52" s="95"/>
      <c r="T52" s="95"/>
      <c r="U52" s="95" t="str">
        <f t="shared" si="0"/>
        <v/>
      </c>
      <c r="V52" s="95"/>
      <c r="W52" s="95"/>
      <c r="X52" s="96">
        <v>100</v>
      </c>
      <c r="Y52" s="96">
        <f t="shared" si="1"/>
        <v>100</v>
      </c>
      <c r="Z52" s="107">
        <f t="shared" si="2"/>
        <v>0</v>
      </c>
    </row>
    <row r="53" spans="1:26" x14ac:dyDescent="0.25">
      <c r="A53" s="55" t="str">
        <f>_xlfn.XLOOKUP($G53,'.Auxiliar'!$G:$G,'.Auxiliar'!A:A,"-",0)</f>
        <v>ARAGUAIA</v>
      </c>
      <c r="B53" s="55" t="str">
        <f>_xlfn.XLOOKUP($G53,'.Auxiliar'!$G:$G,'.Auxiliar'!B:B,"-",0)</f>
        <v>OAE</v>
      </c>
      <c r="C53" s="55" t="str">
        <f>_xlfn.XLOOKUP($G53,'.Auxiliar'!$G:$G,'.Auxiliar'!C:C,"-",0)</f>
        <v>Diamante</v>
      </c>
      <c r="D53" s="55">
        <f>_xlfn.XLOOKUP($G53,'.Auxiliar'!$G:$G,'.Auxiliar'!D:D,"-",0)</f>
        <v>414.72</v>
      </c>
      <c r="E53" s="55">
        <f>_xlfn.XLOOKUP($G53,'.Auxiliar'!$G:$G,'.Auxiliar'!E:E,"-",0)</f>
        <v>414.72</v>
      </c>
      <c r="F53" s="55">
        <f>_xlfn.XLOOKUP($G53,'.Auxiliar'!$G:$G,'.Auxiliar'!F:F,"-",0)</f>
        <v>1</v>
      </c>
      <c r="G53" s="59" t="s">
        <v>1339</v>
      </c>
      <c r="H53" s="108" t="s">
        <v>0</v>
      </c>
      <c r="I53" s="109" t="s">
        <v>0</v>
      </c>
      <c r="J53" s="109" t="s">
        <v>0</v>
      </c>
      <c r="K53" s="109" t="s">
        <v>0</v>
      </c>
      <c r="L53" s="109" t="s">
        <v>0</v>
      </c>
      <c r="M53" s="109" t="s">
        <v>0</v>
      </c>
      <c r="N53" s="110" t="s">
        <v>363</v>
      </c>
      <c r="O53" s="94"/>
      <c r="P53" s="95"/>
      <c r="Q53" s="95"/>
      <c r="R53" s="95"/>
      <c r="S53" s="95"/>
      <c r="T53" s="95"/>
      <c r="U53" s="95" t="str">
        <f t="shared" si="0"/>
        <v/>
      </c>
      <c r="V53" s="95"/>
      <c r="W53" s="95"/>
      <c r="X53" s="96">
        <v>100</v>
      </c>
      <c r="Y53" s="96">
        <f t="shared" si="1"/>
        <v>100</v>
      </c>
      <c r="Z53" s="107">
        <f t="shared" si="2"/>
        <v>0</v>
      </c>
    </row>
    <row r="54" spans="1:26" x14ac:dyDescent="0.25">
      <c r="A54" s="55" t="str">
        <f>_xlfn.XLOOKUP($G54,'.Auxiliar'!$G:$G,'.Auxiliar'!A:A,"-",0)</f>
        <v>ARAGUAIA</v>
      </c>
      <c r="B54" s="55" t="str">
        <f>_xlfn.XLOOKUP($G54,'.Auxiliar'!$G:$G,'.Auxiliar'!B:B,"-",0)</f>
        <v>OAE</v>
      </c>
      <c r="C54" s="55" t="str">
        <f>_xlfn.XLOOKUP($G54,'.Auxiliar'!$G:$G,'.Auxiliar'!C:C,"-",0)</f>
        <v>Diamante</v>
      </c>
      <c r="D54" s="55">
        <f>_xlfn.XLOOKUP($G54,'.Auxiliar'!$G:$G,'.Auxiliar'!D:D,"-",0)</f>
        <v>444.12200000000001</v>
      </c>
      <c r="E54" s="55">
        <f>_xlfn.XLOOKUP($G54,'.Auxiliar'!$G:$G,'.Auxiliar'!E:E,"-",0)</f>
        <v>444.12200000000001</v>
      </c>
      <c r="F54" s="55">
        <f>_xlfn.XLOOKUP($G54,'.Auxiliar'!$G:$G,'.Auxiliar'!F:F,"-",0)</f>
        <v>1</v>
      </c>
      <c r="G54" s="59" t="s">
        <v>1332</v>
      </c>
      <c r="H54" s="108" t="s">
        <v>0</v>
      </c>
      <c r="I54" s="109" t="s">
        <v>0</v>
      </c>
      <c r="J54" s="109" t="s">
        <v>0</v>
      </c>
      <c r="K54" s="109" t="s">
        <v>0</v>
      </c>
      <c r="L54" s="109" t="s">
        <v>0</v>
      </c>
      <c r="M54" s="109" t="s">
        <v>0</v>
      </c>
      <c r="N54" s="110" t="s">
        <v>363</v>
      </c>
      <c r="O54" s="94"/>
      <c r="P54" s="95"/>
      <c r="Q54" s="95"/>
      <c r="R54" s="95"/>
      <c r="S54" s="95"/>
      <c r="T54" s="95"/>
      <c r="U54" s="95" t="str">
        <f t="shared" si="0"/>
        <v/>
      </c>
      <c r="V54" s="95"/>
      <c r="W54" s="95"/>
      <c r="X54" s="96">
        <v>100</v>
      </c>
      <c r="Y54" s="96">
        <f t="shared" si="1"/>
        <v>100</v>
      </c>
      <c r="Z54" s="107">
        <f t="shared" si="2"/>
        <v>0</v>
      </c>
    </row>
    <row r="55" spans="1:26" x14ac:dyDescent="0.25">
      <c r="A55" s="55" t="str">
        <f>_xlfn.XLOOKUP($G55,'.Auxiliar'!$G:$G,'.Auxiliar'!A:A,"-",0)</f>
        <v>ARAGUAIA</v>
      </c>
      <c r="B55" s="55" t="str">
        <f>_xlfn.XLOOKUP($G55,'.Auxiliar'!$G:$G,'.Auxiliar'!B:B,"-",0)</f>
        <v>OAE</v>
      </c>
      <c r="C55" s="55" t="str">
        <f>_xlfn.XLOOKUP($G55,'.Auxiliar'!$G:$G,'.Auxiliar'!C:C,"-",0)</f>
        <v>Diamante</v>
      </c>
      <c r="D55" s="55">
        <f>_xlfn.XLOOKUP($G55,'.Auxiliar'!$G:$G,'.Auxiliar'!D:D,"-",0)</f>
        <v>671.75</v>
      </c>
      <c r="E55" s="55">
        <f>_xlfn.XLOOKUP($G55,'.Auxiliar'!$G:$G,'.Auxiliar'!E:E,"-",0)</f>
        <v>671.75</v>
      </c>
      <c r="F55" s="55">
        <f>_xlfn.XLOOKUP($G55,'.Auxiliar'!$G:$G,'.Auxiliar'!F:F,"-",0)</f>
        <v>1</v>
      </c>
      <c r="G55" s="59" t="s">
        <v>905</v>
      </c>
      <c r="H55" s="108" t="s">
        <v>0</v>
      </c>
      <c r="I55" s="109" t="s">
        <v>0</v>
      </c>
      <c r="J55" s="109" t="s">
        <v>363</v>
      </c>
      <c r="K55" s="109" t="s">
        <v>0</v>
      </c>
      <c r="L55" s="109" t="s">
        <v>0</v>
      </c>
      <c r="M55" s="109" t="s">
        <v>0</v>
      </c>
      <c r="N55" s="110" t="s">
        <v>0</v>
      </c>
      <c r="O55" s="94"/>
      <c r="P55" s="95"/>
      <c r="Q55" s="95">
        <v>2.5</v>
      </c>
      <c r="R55" s="95">
        <v>3</v>
      </c>
      <c r="S55" s="95">
        <v>97</v>
      </c>
      <c r="T55" s="95">
        <v>73.25</v>
      </c>
      <c r="U55" s="95">
        <f t="shared" si="0"/>
        <v>97</v>
      </c>
      <c r="V55" s="95"/>
      <c r="W55" s="95"/>
      <c r="X55" s="96"/>
      <c r="Y55" s="96">
        <f t="shared" si="1"/>
        <v>100</v>
      </c>
      <c r="Z55" s="107">
        <f t="shared" si="2"/>
        <v>76.25</v>
      </c>
    </row>
    <row r="56" spans="1:26" x14ac:dyDescent="0.25">
      <c r="A56" s="55" t="str">
        <f>_xlfn.XLOOKUP($G56,'.Auxiliar'!$G:$G,'.Auxiliar'!A:A,"-",0)</f>
        <v>ARAGUAIA</v>
      </c>
      <c r="B56" s="55" t="str">
        <f>_xlfn.XLOOKUP($G56,'.Auxiliar'!$G:$G,'.Auxiliar'!B:B,"-",0)</f>
        <v>OAE</v>
      </c>
      <c r="C56" s="55" t="str">
        <f>_xlfn.XLOOKUP($G56,'.Auxiliar'!$G:$G,'.Auxiliar'!C:C,"-",0)</f>
        <v>Diamante</v>
      </c>
      <c r="D56" s="55">
        <f>_xlfn.XLOOKUP($G56,'.Auxiliar'!$G:$G,'.Auxiliar'!D:D,"-",0)</f>
        <v>674.25</v>
      </c>
      <c r="E56" s="55">
        <f>_xlfn.XLOOKUP($G56,'.Auxiliar'!$G:$G,'.Auxiliar'!E:E,"-",0)</f>
        <v>674.25</v>
      </c>
      <c r="F56" s="55">
        <f>_xlfn.XLOOKUP($G56,'.Auxiliar'!$G:$G,'.Auxiliar'!F:F,"-",0)</f>
        <v>1</v>
      </c>
      <c r="G56" s="59" t="s">
        <v>906</v>
      </c>
      <c r="H56" s="108" t="s">
        <v>0</v>
      </c>
      <c r="I56" s="109" t="s">
        <v>0</v>
      </c>
      <c r="J56" s="109" t="s">
        <v>363</v>
      </c>
      <c r="K56" s="109" t="s">
        <v>0</v>
      </c>
      <c r="L56" s="109" t="s">
        <v>0</v>
      </c>
      <c r="M56" s="109" t="s">
        <v>0</v>
      </c>
      <c r="N56" s="110" t="s">
        <v>0</v>
      </c>
      <c r="O56" s="94"/>
      <c r="P56" s="95"/>
      <c r="Q56" s="95">
        <v>2.5</v>
      </c>
      <c r="R56" s="95">
        <v>3</v>
      </c>
      <c r="S56" s="95">
        <v>97</v>
      </c>
      <c r="T56" s="95">
        <v>76.94</v>
      </c>
      <c r="U56" s="95">
        <f t="shared" si="0"/>
        <v>97</v>
      </c>
      <c r="V56" s="95"/>
      <c r="W56" s="95"/>
      <c r="X56" s="96"/>
      <c r="Y56" s="96">
        <f t="shared" si="1"/>
        <v>100</v>
      </c>
      <c r="Z56" s="107">
        <f t="shared" si="2"/>
        <v>79.94</v>
      </c>
    </row>
    <row r="57" spans="1:26" x14ac:dyDescent="0.25">
      <c r="A57" s="55" t="str">
        <f>_xlfn.XLOOKUP($G57,'.Auxiliar'!$G:$G,'.Auxiliar'!A:A,"-",0)</f>
        <v>ARAGUAIA</v>
      </c>
      <c r="B57" s="55" t="str">
        <f>_xlfn.XLOOKUP($G57,'.Auxiliar'!$G:$G,'.Auxiliar'!B:B,"-",0)</f>
        <v>OAE</v>
      </c>
      <c r="C57" s="55" t="str">
        <f>_xlfn.XLOOKUP($G57,'.Auxiliar'!$G:$G,'.Auxiliar'!C:C,"-",0)</f>
        <v>Diamante</v>
      </c>
      <c r="D57" s="55">
        <f>_xlfn.XLOOKUP($G57,'.Auxiliar'!$G:$G,'.Auxiliar'!D:D,"-",0)</f>
        <v>68.25</v>
      </c>
      <c r="E57" s="55">
        <f>_xlfn.XLOOKUP($G57,'.Auxiliar'!$G:$G,'.Auxiliar'!E:E,"-",0)</f>
        <v>68.25</v>
      </c>
      <c r="F57" s="55">
        <f>_xlfn.XLOOKUP($G57,'.Auxiliar'!$G:$G,'.Auxiliar'!F:F,"-",0)</f>
        <v>1</v>
      </c>
      <c r="G57" s="59" t="s">
        <v>1325</v>
      </c>
      <c r="H57" s="108" t="s">
        <v>0</v>
      </c>
      <c r="I57" s="109" t="s">
        <v>0</v>
      </c>
      <c r="J57" s="109" t="s">
        <v>0</v>
      </c>
      <c r="K57" s="109" t="s">
        <v>0</v>
      </c>
      <c r="L57" s="109" t="s">
        <v>0</v>
      </c>
      <c r="M57" s="109" t="s">
        <v>0</v>
      </c>
      <c r="N57" s="110" t="s">
        <v>363</v>
      </c>
      <c r="O57" s="94"/>
      <c r="P57" s="95"/>
      <c r="Q57" s="95"/>
      <c r="R57" s="95"/>
      <c r="S57" s="95"/>
      <c r="T57" s="95"/>
      <c r="U57" s="95" t="str">
        <f t="shared" si="0"/>
        <v/>
      </c>
      <c r="V57" s="95"/>
      <c r="W57" s="95"/>
      <c r="X57" s="96">
        <v>100</v>
      </c>
      <c r="Y57" s="96">
        <f t="shared" si="1"/>
        <v>100</v>
      </c>
      <c r="Z57" s="107">
        <f t="shared" si="2"/>
        <v>0</v>
      </c>
    </row>
    <row r="58" spans="1:26" x14ac:dyDescent="0.25">
      <c r="A58" s="55" t="str">
        <f>_xlfn.XLOOKUP($G58,'.Auxiliar'!$G:$G,'.Auxiliar'!A:A,"-",0)</f>
        <v>ARAGUAIA</v>
      </c>
      <c r="B58" s="55" t="str">
        <f>_xlfn.XLOOKUP($G58,'.Auxiliar'!$G:$G,'.Auxiliar'!B:B,"-",0)</f>
        <v>OAE</v>
      </c>
      <c r="C58" s="55" t="str">
        <f>_xlfn.XLOOKUP($G58,'.Auxiliar'!$G:$G,'.Auxiliar'!C:C,"-",0)</f>
        <v>Diamante</v>
      </c>
      <c r="D58" s="55">
        <f>_xlfn.XLOOKUP($G58,'.Auxiliar'!$G:$G,'.Auxiliar'!D:D,"-",0)</f>
        <v>71.099999999999994</v>
      </c>
      <c r="E58" s="55">
        <f>_xlfn.XLOOKUP($G58,'.Auxiliar'!$G:$G,'.Auxiliar'!E:E,"-",0)</f>
        <v>71.099999999999994</v>
      </c>
      <c r="F58" s="55">
        <f>_xlfn.XLOOKUP($G58,'.Auxiliar'!$G:$G,'.Auxiliar'!F:F,"-",0)</f>
        <v>1</v>
      </c>
      <c r="G58" s="59" t="s">
        <v>1326</v>
      </c>
      <c r="H58" s="108" t="s">
        <v>0</v>
      </c>
      <c r="I58" s="109" t="s">
        <v>0</v>
      </c>
      <c r="J58" s="109" t="s">
        <v>0</v>
      </c>
      <c r="K58" s="109" t="s">
        <v>0</v>
      </c>
      <c r="L58" s="109" t="s">
        <v>0</v>
      </c>
      <c r="M58" s="109" t="s">
        <v>0</v>
      </c>
      <c r="N58" s="110" t="s">
        <v>363</v>
      </c>
      <c r="O58" s="94"/>
      <c r="P58" s="95"/>
      <c r="Q58" s="95"/>
      <c r="R58" s="95"/>
      <c r="S58" s="95"/>
      <c r="T58" s="95"/>
      <c r="U58" s="95" t="str">
        <f t="shared" si="0"/>
        <v/>
      </c>
      <c r="V58" s="95"/>
      <c r="W58" s="95"/>
      <c r="X58" s="96">
        <v>100</v>
      </c>
      <c r="Y58" s="96">
        <f t="shared" si="1"/>
        <v>100</v>
      </c>
      <c r="Z58" s="107">
        <f t="shared" si="2"/>
        <v>0</v>
      </c>
    </row>
    <row r="59" spans="1:26" x14ac:dyDescent="0.25">
      <c r="A59" s="55" t="str">
        <f>_xlfn.XLOOKUP($G59,'.Auxiliar'!$G:$G,'.Auxiliar'!A:A,"-",0)</f>
        <v>ARAGUAIA</v>
      </c>
      <c r="B59" s="55" t="str">
        <f>_xlfn.XLOOKUP($G59,'.Auxiliar'!$G:$G,'.Auxiliar'!B:B,"-",0)</f>
        <v>OAE</v>
      </c>
      <c r="C59" s="55" t="str">
        <f>_xlfn.XLOOKUP($G59,'.Auxiliar'!$G:$G,'.Auxiliar'!C:C,"-",0)</f>
        <v>Diamante</v>
      </c>
      <c r="D59" s="55">
        <f>_xlfn.XLOOKUP($G59,'.Auxiliar'!$G:$G,'.Auxiliar'!D:D,"-",0)</f>
        <v>75.7</v>
      </c>
      <c r="E59" s="55">
        <f>_xlfn.XLOOKUP($G59,'.Auxiliar'!$G:$G,'.Auxiliar'!E:E,"-",0)</f>
        <v>75.7</v>
      </c>
      <c r="F59" s="55">
        <f>_xlfn.XLOOKUP($G59,'.Auxiliar'!$G:$G,'.Auxiliar'!F:F,"-",0)</f>
        <v>1</v>
      </c>
      <c r="G59" s="59" t="s">
        <v>1327</v>
      </c>
      <c r="H59" s="108" t="s">
        <v>0</v>
      </c>
      <c r="I59" s="109" t="s">
        <v>0</v>
      </c>
      <c r="J59" s="109" t="s">
        <v>0</v>
      </c>
      <c r="K59" s="109" t="s">
        <v>0</v>
      </c>
      <c r="L59" s="109" t="s">
        <v>0</v>
      </c>
      <c r="M59" s="109" t="s">
        <v>0</v>
      </c>
      <c r="N59" s="110" t="s">
        <v>363</v>
      </c>
      <c r="O59" s="94"/>
      <c r="P59" s="95"/>
      <c r="Q59" s="95"/>
      <c r="R59" s="95"/>
      <c r="S59" s="95"/>
      <c r="T59" s="95"/>
      <c r="U59" s="95" t="str">
        <f t="shared" si="0"/>
        <v/>
      </c>
      <c r="V59" s="95"/>
      <c r="W59" s="95"/>
      <c r="X59" s="96">
        <v>100</v>
      </c>
      <c r="Y59" s="96">
        <f t="shared" si="1"/>
        <v>100</v>
      </c>
      <c r="Z59" s="107">
        <f t="shared" si="2"/>
        <v>0</v>
      </c>
    </row>
    <row r="60" spans="1:26" x14ac:dyDescent="0.25">
      <c r="A60" s="55" t="str">
        <f>_xlfn.XLOOKUP($G60,'.Auxiliar'!$G:$G,'.Auxiliar'!A:A,"-",0)</f>
        <v>ARAGUAIA</v>
      </c>
      <c r="B60" s="55" t="str">
        <f>_xlfn.XLOOKUP($G60,'.Auxiliar'!$G:$G,'.Auxiliar'!B:B,"-",0)</f>
        <v>OAE</v>
      </c>
      <c r="C60" s="55" t="str">
        <f>_xlfn.XLOOKUP($G60,'.Auxiliar'!$G:$G,'.Auxiliar'!C:C,"-",0)</f>
        <v>Diamante</v>
      </c>
      <c r="D60" s="55">
        <f>_xlfn.XLOOKUP($G60,'.Auxiliar'!$G:$G,'.Auxiliar'!D:D,"-",0)</f>
        <v>759.5</v>
      </c>
      <c r="E60" s="55">
        <f>_xlfn.XLOOKUP($G60,'.Auxiliar'!$G:$G,'.Auxiliar'!E:E,"-",0)</f>
        <v>759.5</v>
      </c>
      <c r="F60" s="55">
        <f>_xlfn.XLOOKUP($G60,'.Auxiliar'!$G:$G,'.Auxiliar'!F:F,"-",0)</f>
        <v>1</v>
      </c>
      <c r="G60" s="59" t="s">
        <v>1259</v>
      </c>
      <c r="H60" s="108" t="s">
        <v>0</v>
      </c>
      <c r="I60" s="109" t="s">
        <v>0</v>
      </c>
      <c r="J60" s="109" t="s">
        <v>0</v>
      </c>
      <c r="K60" s="109" t="s">
        <v>0</v>
      </c>
      <c r="L60" s="109" t="s">
        <v>363</v>
      </c>
      <c r="M60" s="109" t="s">
        <v>0</v>
      </c>
      <c r="N60" s="110" t="s">
        <v>0</v>
      </c>
      <c r="O60" s="94"/>
      <c r="P60" s="95"/>
      <c r="Q60" s="95"/>
      <c r="R60" s="95"/>
      <c r="S60" s="95"/>
      <c r="T60" s="95"/>
      <c r="U60" s="95" t="str">
        <f t="shared" si="0"/>
        <v/>
      </c>
      <c r="V60" s="95">
        <v>100</v>
      </c>
      <c r="W60" s="95"/>
      <c r="X60" s="96"/>
      <c r="Y60" s="96">
        <f t="shared" si="1"/>
        <v>100</v>
      </c>
      <c r="Z60" s="107">
        <f t="shared" si="2"/>
        <v>0</v>
      </c>
    </row>
    <row r="61" spans="1:26" x14ac:dyDescent="0.25">
      <c r="A61" s="55" t="str">
        <f>_xlfn.XLOOKUP($G61,'.Auxiliar'!$G:$G,'.Auxiliar'!A:A,"-",0)</f>
        <v>ARAGUAIA</v>
      </c>
      <c r="B61" s="55" t="str">
        <f>_xlfn.XLOOKUP($G61,'.Auxiliar'!$G:$G,'.Auxiliar'!B:B,"-",0)</f>
        <v>OAE</v>
      </c>
      <c r="C61" s="55" t="str">
        <f>_xlfn.XLOOKUP($G61,'.Auxiliar'!$G:$G,'.Auxiliar'!C:C,"-",0)</f>
        <v>Diamante</v>
      </c>
      <c r="D61" s="55">
        <f>_xlfn.XLOOKUP($G61,'.Auxiliar'!$G:$G,'.Auxiliar'!D:D,"-",0)</f>
        <v>761.8</v>
      </c>
      <c r="E61" s="55">
        <f>_xlfn.XLOOKUP($G61,'.Auxiliar'!$G:$G,'.Auxiliar'!E:E,"-",0)</f>
        <v>761.8</v>
      </c>
      <c r="F61" s="55">
        <f>_xlfn.XLOOKUP($G61,'.Auxiliar'!$G:$G,'.Auxiliar'!F:F,"-",0)</f>
        <v>1</v>
      </c>
      <c r="G61" s="59" t="s">
        <v>1260</v>
      </c>
      <c r="H61" s="108" t="s">
        <v>0</v>
      </c>
      <c r="I61" s="109" t="s">
        <v>0</v>
      </c>
      <c r="J61" s="109" t="s">
        <v>0</v>
      </c>
      <c r="K61" s="109" t="s">
        <v>0</v>
      </c>
      <c r="L61" s="109" t="s">
        <v>363</v>
      </c>
      <c r="M61" s="109" t="s">
        <v>0</v>
      </c>
      <c r="N61" s="110" t="s">
        <v>0</v>
      </c>
      <c r="O61" s="94"/>
      <c r="P61" s="95"/>
      <c r="Q61" s="95"/>
      <c r="R61" s="95"/>
      <c r="S61" s="95"/>
      <c r="T61" s="95"/>
      <c r="U61" s="95" t="str">
        <f t="shared" si="0"/>
        <v/>
      </c>
      <c r="V61" s="95">
        <v>100</v>
      </c>
      <c r="W61" s="95"/>
      <c r="X61" s="96"/>
      <c r="Y61" s="96">
        <f t="shared" si="1"/>
        <v>100</v>
      </c>
      <c r="Z61" s="107">
        <f t="shared" si="2"/>
        <v>0</v>
      </c>
    </row>
    <row r="62" spans="1:26" x14ac:dyDescent="0.25">
      <c r="A62" s="55" t="str">
        <f>_xlfn.XLOOKUP($G62,'.Auxiliar'!$G:$G,'.Auxiliar'!A:A,"-",0)</f>
        <v>ARAGUAIA</v>
      </c>
      <c r="B62" s="55" t="str">
        <f>_xlfn.XLOOKUP($G62,'.Auxiliar'!$G:$G,'.Auxiliar'!B:B,"-",0)</f>
        <v>OAE</v>
      </c>
      <c r="C62" s="55" t="str">
        <f>_xlfn.XLOOKUP($G62,'.Auxiliar'!$G:$G,'.Auxiliar'!C:C,"-",0)</f>
        <v>Passagem Inferior</v>
      </c>
      <c r="D62" s="55">
        <f>_xlfn.XLOOKUP($G62,'.Auxiliar'!$G:$G,'.Auxiliar'!D:D,"-",0)</f>
        <v>107.1</v>
      </c>
      <c r="E62" s="55">
        <f>_xlfn.XLOOKUP($G62,'.Auxiliar'!$G:$G,'.Auxiliar'!E:E,"-",0)</f>
        <v>107.1</v>
      </c>
      <c r="F62" s="55">
        <f>_xlfn.XLOOKUP($G62,'.Auxiliar'!$G:$G,'.Auxiliar'!F:F,"-",0)</f>
        <v>1</v>
      </c>
      <c r="G62" s="59" t="s">
        <v>1319</v>
      </c>
      <c r="H62" s="108" t="s">
        <v>0</v>
      </c>
      <c r="I62" s="109" t="s">
        <v>0</v>
      </c>
      <c r="J62" s="109" t="s">
        <v>0</v>
      </c>
      <c r="K62" s="109" t="s">
        <v>0</v>
      </c>
      <c r="L62" s="109" t="s">
        <v>0</v>
      </c>
      <c r="M62" s="109" t="s">
        <v>0</v>
      </c>
      <c r="N62" s="110" t="s">
        <v>363</v>
      </c>
      <c r="O62" s="94"/>
      <c r="P62" s="95"/>
      <c r="Q62" s="95"/>
      <c r="R62" s="95"/>
      <c r="S62" s="95"/>
      <c r="T62" s="95"/>
      <c r="U62" s="95" t="str">
        <f t="shared" si="0"/>
        <v/>
      </c>
      <c r="V62" s="95"/>
      <c r="W62" s="95"/>
      <c r="X62" s="96">
        <v>100</v>
      </c>
      <c r="Y62" s="96">
        <f t="shared" si="1"/>
        <v>100</v>
      </c>
      <c r="Z62" s="107">
        <f t="shared" si="2"/>
        <v>0</v>
      </c>
    </row>
    <row r="63" spans="1:26" x14ac:dyDescent="0.25">
      <c r="A63" s="55" t="str">
        <f>_xlfn.XLOOKUP($G63,'.Auxiliar'!$G:$G,'.Auxiliar'!A:A,"-",0)</f>
        <v>ARAGUAIA</v>
      </c>
      <c r="B63" s="55" t="str">
        <f>_xlfn.XLOOKUP($G63,'.Auxiliar'!$G:$G,'.Auxiliar'!B:B,"-",0)</f>
        <v>OAE</v>
      </c>
      <c r="C63" s="55" t="str">
        <f>_xlfn.XLOOKUP($G63,'.Auxiliar'!$G:$G,'.Auxiliar'!C:C,"-",0)</f>
        <v>Passagem Inferior</v>
      </c>
      <c r="D63" s="55">
        <f>_xlfn.XLOOKUP($G63,'.Auxiliar'!$G:$G,'.Auxiliar'!D:D,"-",0)</f>
        <v>176</v>
      </c>
      <c r="E63" s="55">
        <f>_xlfn.XLOOKUP($G63,'.Auxiliar'!$G:$G,'.Auxiliar'!E:E,"-",0)</f>
        <v>176</v>
      </c>
      <c r="F63" s="55">
        <f>_xlfn.XLOOKUP($G63,'.Auxiliar'!$G:$G,'.Auxiliar'!F:F,"-",0)</f>
        <v>1</v>
      </c>
      <c r="G63" s="59" t="s">
        <v>1257</v>
      </c>
      <c r="H63" s="108" t="s">
        <v>0</v>
      </c>
      <c r="I63" s="109" t="s">
        <v>0</v>
      </c>
      <c r="J63" s="109" t="s">
        <v>0</v>
      </c>
      <c r="K63" s="109" t="s">
        <v>0</v>
      </c>
      <c r="L63" s="109" t="s">
        <v>363</v>
      </c>
      <c r="M63" s="109" t="s">
        <v>0</v>
      </c>
      <c r="N63" s="110" t="s">
        <v>0</v>
      </c>
      <c r="O63" s="94"/>
      <c r="P63" s="95"/>
      <c r="Q63" s="95"/>
      <c r="R63" s="95"/>
      <c r="S63" s="95"/>
      <c r="T63" s="95"/>
      <c r="U63" s="95" t="str">
        <f t="shared" si="0"/>
        <v/>
      </c>
      <c r="V63" s="95">
        <v>100</v>
      </c>
      <c r="W63" s="95"/>
      <c r="X63" s="96"/>
      <c r="Y63" s="96">
        <f t="shared" si="1"/>
        <v>100</v>
      </c>
      <c r="Z63" s="107">
        <f t="shared" si="2"/>
        <v>0</v>
      </c>
    </row>
    <row r="64" spans="1:26" x14ac:dyDescent="0.25">
      <c r="A64" s="55" t="str">
        <f>_xlfn.XLOOKUP($G64,'.Auxiliar'!$G:$G,'.Auxiliar'!A:A,"-",0)</f>
        <v>ARAGUAIA</v>
      </c>
      <c r="B64" s="55" t="str">
        <f>_xlfn.XLOOKUP($G64,'.Auxiliar'!$G:$G,'.Auxiliar'!B:B,"-",0)</f>
        <v>OAE</v>
      </c>
      <c r="C64" s="55" t="str">
        <f>_xlfn.XLOOKUP($G64,'.Auxiliar'!$G:$G,'.Auxiliar'!C:C,"-",0)</f>
        <v>Passagem Inferior</v>
      </c>
      <c r="D64" s="55">
        <f>_xlfn.XLOOKUP($G64,'.Auxiliar'!$G:$G,'.Auxiliar'!D:D,"-",0)</f>
        <v>199.5</v>
      </c>
      <c r="E64" s="55">
        <f>_xlfn.XLOOKUP($G64,'.Auxiliar'!$G:$G,'.Auxiliar'!E:E,"-",0)</f>
        <v>199.5</v>
      </c>
      <c r="F64" s="55">
        <f>_xlfn.XLOOKUP($G64,'.Auxiliar'!$G:$G,'.Auxiliar'!F:F,"-",0)</f>
        <v>1</v>
      </c>
      <c r="G64" s="59" t="s">
        <v>1320</v>
      </c>
      <c r="H64" s="108" t="s">
        <v>0</v>
      </c>
      <c r="I64" s="109" t="s">
        <v>0</v>
      </c>
      <c r="J64" s="109" t="s">
        <v>0</v>
      </c>
      <c r="K64" s="109" t="s">
        <v>0</v>
      </c>
      <c r="L64" s="109" t="s">
        <v>0</v>
      </c>
      <c r="M64" s="109" t="s">
        <v>0</v>
      </c>
      <c r="N64" s="110" t="s">
        <v>363</v>
      </c>
      <c r="O64" s="94"/>
      <c r="P64" s="95"/>
      <c r="Q64" s="95"/>
      <c r="R64" s="95"/>
      <c r="S64" s="95"/>
      <c r="T64" s="95"/>
      <c r="U64" s="95" t="str">
        <f t="shared" si="0"/>
        <v/>
      </c>
      <c r="V64" s="95"/>
      <c r="W64" s="95"/>
      <c r="X64" s="96">
        <v>100</v>
      </c>
      <c r="Y64" s="96">
        <f t="shared" si="1"/>
        <v>100</v>
      </c>
      <c r="Z64" s="107">
        <f t="shared" si="2"/>
        <v>0</v>
      </c>
    </row>
    <row r="65" spans="1:26" x14ac:dyDescent="0.25">
      <c r="A65" s="55" t="str">
        <f>_xlfn.XLOOKUP($G65,'.Auxiliar'!$G:$G,'.Auxiliar'!A:A,"-",0)</f>
        <v>ARAGUAIA</v>
      </c>
      <c r="B65" s="55" t="str">
        <f>_xlfn.XLOOKUP($G65,'.Auxiliar'!$G:$G,'.Auxiliar'!B:B,"-",0)</f>
        <v>OAE</v>
      </c>
      <c r="C65" s="55" t="str">
        <f>_xlfn.XLOOKUP($G65,'.Auxiliar'!$G:$G,'.Auxiliar'!C:C,"-",0)</f>
        <v>Passagem Inferior</v>
      </c>
      <c r="D65" s="55">
        <f>_xlfn.XLOOKUP($G65,'.Auxiliar'!$G:$G,'.Auxiliar'!D:D,"-",0)</f>
        <v>624</v>
      </c>
      <c r="E65" s="55">
        <f>_xlfn.XLOOKUP($G65,'.Auxiliar'!$G:$G,'.Auxiliar'!E:E,"-",0)</f>
        <v>624</v>
      </c>
      <c r="F65" s="55">
        <f>_xlfn.XLOOKUP($G65,'.Auxiliar'!$G:$G,'.Auxiliar'!F:F,"-",0)</f>
        <v>1</v>
      </c>
      <c r="G65" s="59" t="s">
        <v>903</v>
      </c>
      <c r="H65" s="108" t="s">
        <v>0</v>
      </c>
      <c r="I65" s="109" t="s">
        <v>0</v>
      </c>
      <c r="J65" s="109" t="s">
        <v>363</v>
      </c>
      <c r="K65" s="109" t="s">
        <v>0</v>
      </c>
      <c r="L65" s="109" t="s">
        <v>0</v>
      </c>
      <c r="M65" s="109" t="s">
        <v>0</v>
      </c>
      <c r="N65" s="110" t="s">
        <v>0</v>
      </c>
      <c r="O65" s="94"/>
      <c r="P65" s="95"/>
      <c r="Q65" s="95">
        <v>3</v>
      </c>
      <c r="R65" s="95">
        <v>4.5</v>
      </c>
      <c r="S65" s="95">
        <v>95.5</v>
      </c>
      <c r="T65" s="95">
        <v>72.87</v>
      </c>
      <c r="U65" s="95">
        <f t="shared" si="0"/>
        <v>95.5</v>
      </c>
      <c r="V65" s="95"/>
      <c r="W65" s="95"/>
      <c r="X65" s="96"/>
      <c r="Y65" s="96">
        <f t="shared" si="1"/>
        <v>100</v>
      </c>
      <c r="Z65" s="107">
        <f t="shared" si="2"/>
        <v>77.37</v>
      </c>
    </row>
    <row r="66" spans="1:26" x14ac:dyDescent="0.25">
      <c r="A66" s="55" t="str">
        <f>_xlfn.XLOOKUP($G66,'.Auxiliar'!$G:$G,'.Auxiliar'!A:A,"-",0)</f>
        <v>ARAGUAIA</v>
      </c>
      <c r="B66" s="55" t="str">
        <f>_xlfn.XLOOKUP($G66,'.Auxiliar'!$G:$G,'.Auxiliar'!B:B,"-",0)</f>
        <v>OAE</v>
      </c>
      <c r="C66" s="55" t="str">
        <f>_xlfn.XLOOKUP($G66,'.Auxiliar'!$G:$G,'.Auxiliar'!C:C,"-",0)</f>
        <v>Passagem Inferior</v>
      </c>
      <c r="D66" s="55">
        <f>_xlfn.XLOOKUP($G66,'.Auxiliar'!$G:$G,'.Auxiliar'!D:D,"-",0)</f>
        <v>721.9</v>
      </c>
      <c r="E66" s="55">
        <f>_xlfn.XLOOKUP($G66,'.Auxiliar'!$G:$G,'.Auxiliar'!E:E,"-",0)</f>
        <v>721.9</v>
      </c>
      <c r="F66" s="55">
        <f>_xlfn.XLOOKUP($G66,'.Auxiliar'!$G:$G,'.Auxiliar'!F:F,"-",0)</f>
        <v>1</v>
      </c>
      <c r="G66" s="59" t="s">
        <v>1255</v>
      </c>
      <c r="H66" s="108" t="s">
        <v>0</v>
      </c>
      <c r="I66" s="109" t="s">
        <v>0</v>
      </c>
      <c r="J66" s="109" t="s">
        <v>0</v>
      </c>
      <c r="K66" s="109" t="s">
        <v>0</v>
      </c>
      <c r="L66" s="109" t="s">
        <v>363</v>
      </c>
      <c r="M66" s="109" t="s">
        <v>0</v>
      </c>
      <c r="N66" s="110" t="s">
        <v>0</v>
      </c>
      <c r="O66" s="94"/>
      <c r="P66" s="95"/>
      <c r="Q66" s="95"/>
      <c r="R66" s="95"/>
      <c r="S66" s="95"/>
      <c r="T66" s="95"/>
      <c r="U66" s="95" t="str">
        <f t="shared" si="0"/>
        <v/>
      </c>
      <c r="V66" s="95">
        <v>100</v>
      </c>
      <c r="W66" s="95"/>
      <c r="X66" s="96"/>
      <c r="Y66" s="96">
        <f t="shared" si="1"/>
        <v>100</v>
      </c>
      <c r="Z66" s="107">
        <f t="shared" si="2"/>
        <v>0</v>
      </c>
    </row>
    <row r="67" spans="1:26" x14ac:dyDescent="0.25">
      <c r="A67" s="55" t="str">
        <f>_xlfn.XLOOKUP($G67,'.Auxiliar'!$G:$G,'.Auxiliar'!A:A,"-",0)</f>
        <v>ARAGUAIA</v>
      </c>
      <c r="B67" s="55" t="str">
        <f>_xlfn.XLOOKUP($G67,'.Auxiliar'!$G:$G,'.Auxiliar'!B:B,"-",0)</f>
        <v>OAE</v>
      </c>
      <c r="C67" s="55" t="str">
        <f>_xlfn.XLOOKUP($G67,'.Auxiliar'!$G:$G,'.Auxiliar'!C:C,"-",0)</f>
        <v>Passagem Inferior</v>
      </c>
      <c r="D67" s="55">
        <f>_xlfn.XLOOKUP($G67,'.Auxiliar'!$G:$G,'.Auxiliar'!D:D,"-",0)</f>
        <v>723.5</v>
      </c>
      <c r="E67" s="55">
        <f>_xlfn.XLOOKUP($G67,'.Auxiliar'!$G:$G,'.Auxiliar'!E:E,"-",0)</f>
        <v>723.5</v>
      </c>
      <c r="F67" s="55">
        <f>_xlfn.XLOOKUP($G67,'.Auxiliar'!$G:$G,'.Auxiliar'!F:F,"-",0)</f>
        <v>1</v>
      </c>
      <c r="G67" s="59" t="s">
        <v>1256</v>
      </c>
      <c r="H67" s="108" t="s">
        <v>0</v>
      </c>
      <c r="I67" s="109" t="s">
        <v>0</v>
      </c>
      <c r="J67" s="109" t="s">
        <v>0</v>
      </c>
      <c r="K67" s="109" t="s">
        <v>0</v>
      </c>
      <c r="L67" s="109" t="s">
        <v>363</v>
      </c>
      <c r="M67" s="109" t="s">
        <v>0</v>
      </c>
      <c r="N67" s="110" t="s">
        <v>0</v>
      </c>
      <c r="O67" s="94"/>
      <c r="P67" s="95"/>
      <c r="Q67" s="95"/>
      <c r="R67" s="95"/>
      <c r="S67" s="95"/>
      <c r="T67" s="95"/>
      <c r="U67" s="95" t="str">
        <f t="shared" ref="U67:U130" si="3">IF(SUM(V67:X67)=100,"",100-(P67+R67))</f>
        <v/>
      </c>
      <c r="V67" s="95">
        <v>100</v>
      </c>
      <c r="W67" s="95"/>
      <c r="X67" s="96"/>
      <c r="Y67" s="96">
        <f t="shared" ref="Y67:Y130" si="4">SUM(P67,R67,S67,V67,W67,X67)</f>
        <v>100</v>
      </c>
      <c r="Z67" s="107">
        <f t="shared" ref="Z67:Z130" si="5">SUM(P67,R67,T67)</f>
        <v>0</v>
      </c>
    </row>
    <row r="68" spans="1:26" x14ac:dyDescent="0.25">
      <c r="A68" s="55" t="str">
        <f>_xlfn.XLOOKUP($G68,'.Auxiliar'!$G:$G,'.Auxiliar'!A:A,"-",0)</f>
        <v>ARAGUAIA</v>
      </c>
      <c r="B68" s="55" t="str">
        <f>_xlfn.XLOOKUP($G68,'.Auxiliar'!$G:$G,'.Auxiliar'!B:B,"-",0)</f>
        <v>OAE</v>
      </c>
      <c r="C68" s="55" t="str">
        <f>_xlfn.XLOOKUP($G68,'.Auxiliar'!$G:$G,'.Auxiliar'!C:C,"-",0)</f>
        <v>Trombeta</v>
      </c>
      <c r="D68" s="55">
        <f>_xlfn.XLOOKUP($G68,'.Auxiliar'!$G:$G,'.Auxiliar'!D:D,"-",0)</f>
        <v>109</v>
      </c>
      <c r="E68" s="55">
        <f>_xlfn.XLOOKUP($G68,'.Auxiliar'!$G:$G,'.Auxiliar'!E:E,"-",0)</f>
        <v>109</v>
      </c>
      <c r="F68" s="55">
        <f>_xlfn.XLOOKUP($G68,'.Auxiliar'!$G:$G,'.Auxiliar'!F:F,"-",0)</f>
        <v>1</v>
      </c>
      <c r="G68" s="59" t="s">
        <v>1321</v>
      </c>
      <c r="H68" s="108" t="s">
        <v>0</v>
      </c>
      <c r="I68" s="109" t="s">
        <v>0</v>
      </c>
      <c r="J68" s="109" t="s">
        <v>0</v>
      </c>
      <c r="K68" s="109" t="s">
        <v>0</v>
      </c>
      <c r="L68" s="109" t="s">
        <v>0</v>
      </c>
      <c r="M68" s="109" t="s">
        <v>0</v>
      </c>
      <c r="N68" s="110" t="s">
        <v>363</v>
      </c>
      <c r="O68" s="94"/>
      <c r="P68" s="95"/>
      <c r="Q68" s="95"/>
      <c r="R68" s="95"/>
      <c r="S68" s="95"/>
      <c r="T68" s="95"/>
      <c r="U68" s="95" t="str">
        <f t="shared" si="3"/>
        <v/>
      </c>
      <c r="V68" s="95"/>
      <c r="W68" s="95"/>
      <c r="X68" s="96">
        <v>100</v>
      </c>
      <c r="Y68" s="96">
        <f t="shared" si="4"/>
        <v>100</v>
      </c>
      <c r="Z68" s="107">
        <f t="shared" si="5"/>
        <v>0</v>
      </c>
    </row>
    <row r="69" spans="1:26" x14ac:dyDescent="0.25">
      <c r="A69" s="55" t="str">
        <f>_xlfn.XLOOKUP($G69,'.Auxiliar'!$G:$G,'.Auxiliar'!A:A,"-",0)</f>
        <v>ARAGUAIA</v>
      </c>
      <c r="B69" s="55" t="str">
        <f>_xlfn.XLOOKUP($G69,'.Auxiliar'!$G:$G,'.Auxiliar'!B:B,"-",0)</f>
        <v>OAE</v>
      </c>
      <c r="C69" s="55" t="str">
        <f>_xlfn.XLOOKUP($G69,'.Auxiliar'!$G:$G,'.Auxiliar'!C:C,"-",0)</f>
        <v>Trombeta</v>
      </c>
      <c r="D69" s="55">
        <f>_xlfn.XLOOKUP($G69,'.Auxiliar'!$G:$G,'.Auxiliar'!D:D,"-",0)</f>
        <v>212.55</v>
      </c>
      <c r="E69" s="55">
        <f>_xlfn.XLOOKUP($G69,'.Auxiliar'!$G:$G,'.Auxiliar'!E:E,"-",0)</f>
        <v>212.55</v>
      </c>
      <c r="F69" s="55">
        <f>_xlfn.XLOOKUP($G69,'.Auxiliar'!$G:$G,'.Auxiliar'!F:F,"-",0)</f>
        <v>1</v>
      </c>
      <c r="G69" s="59" t="s">
        <v>1322</v>
      </c>
      <c r="H69" s="108" t="s">
        <v>0</v>
      </c>
      <c r="I69" s="109" t="s">
        <v>0</v>
      </c>
      <c r="J69" s="109" t="s">
        <v>0</v>
      </c>
      <c r="K69" s="109" t="s">
        <v>0</v>
      </c>
      <c r="L69" s="109" t="s">
        <v>0</v>
      </c>
      <c r="M69" s="109" t="s">
        <v>0</v>
      </c>
      <c r="N69" s="110" t="s">
        <v>363</v>
      </c>
      <c r="O69" s="94"/>
      <c r="P69" s="95"/>
      <c r="Q69" s="95"/>
      <c r="R69" s="95"/>
      <c r="S69" s="95"/>
      <c r="T69" s="95"/>
      <c r="U69" s="95" t="str">
        <f t="shared" si="3"/>
        <v/>
      </c>
      <c r="V69" s="95"/>
      <c r="W69" s="95"/>
      <c r="X69" s="96">
        <v>100</v>
      </c>
      <c r="Y69" s="96">
        <f t="shared" si="4"/>
        <v>100</v>
      </c>
      <c r="Z69" s="107">
        <f t="shared" si="5"/>
        <v>0</v>
      </c>
    </row>
    <row r="70" spans="1:26" x14ac:dyDescent="0.25">
      <c r="A70" s="55" t="str">
        <f>_xlfn.XLOOKUP($G70,'.Auxiliar'!$G:$G,'.Auxiliar'!A:A,"-",0)</f>
        <v>ARAGUAIA</v>
      </c>
      <c r="B70" s="55" t="str">
        <f>_xlfn.XLOOKUP($G70,'.Auxiliar'!$G:$G,'.Auxiliar'!B:B,"-",0)</f>
        <v>OAE</v>
      </c>
      <c r="C70" s="55" t="str">
        <f>_xlfn.XLOOKUP($G70,'.Auxiliar'!$G:$G,'.Auxiliar'!C:C,"-",0)</f>
        <v>Trombeta</v>
      </c>
      <c r="D70" s="55">
        <f>_xlfn.XLOOKUP($G70,'.Auxiliar'!$G:$G,'.Auxiliar'!D:D,"-",0)</f>
        <v>242.5</v>
      </c>
      <c r="E70" s="55">
        <f>_xlfn.XLOOKUP($G70,'.Auxiliar'!$G:$G,'.Auxiliar'!E:E,"-",0)</f>
        <v>242.5</v>
      </c>
      <c r="F70" s="55">
        <f>_xlfn.XLOOKUP($G70,'.Auxiliar'!$G:$G,'.Auxiliar'!F:F,"-",0)</f>
        <v>1</v>
      </c>
      <c r="G70" s="59" t="s">
        <v>1323</v>
      </c>
      <c r="H70" s="108" t="s">
        <v>0</v>
      </c>
      <c r="I70" s="109" t="s">
        <v>0</v>
      </c>
      <c r="J70" s="109" t="s">
        <v>0</v>
      </c>
      <c r="K70" s="109" t="s">
        <v>0</v>
      </c>
      <c r="L70" s="109" t="s">
        <v>0</v>
      </c>
      <c r="M70" s="109" t="s">
        <v>0</v>
      </c>
      <c r="N70" s="110" t="s">
        <v>363</v>
      </c>
      <c r="O70" s="94"/>
      <c r="P70" s="95"/>
      <c r="Q70" s="95"/>
      <c r="R70" s="95"/>
      <c r="S70" s="95"/>
      <c r="T70" s="95"/>
      <c r="U70" s="95" t="str">
        <f t="shared" si="3"/>
        <v/>
      </c>
      <c r="V70" s="95"/>
      <c r="W70" s="95"/>
      <c r="X70" s="96">
        <v>100</v>
      </c>
      <c r="Y70" s="96">
        <f t="shared" si="4"/>
        <v>100</v>
      </c>
      <c r="Z70" s="107">
        <f t="shared" si="5"/>
        <v>0</v>
      </c>
    </row>
    <row r="71" spans="1:26" x14ac:dyDescent="0.25">
      <c r="A71" s="55" t="str">
        <f>_xlfn.XLOOKUP($G71,'.Auxiliar'!$G:$G,'.Auxiliar'!A:A,"-",0)</f>
        <v>ARAGUAIA</v>
      </c>
      <c r="B71" s="55" t="str">
        <f>_xlfn.XLOOKUP($G71,'.Auxiliar'!$G:$G,'.Auxiliar'!B:B,"-",0)</f>
        <v>OAE</v>
      </c>
      <c r="C71" s="55" t="str">
        <f>_xlfn.XLOOKUP($G71,'.Auxiliar'!$G:$G,'.Auxiliar'!C:C,"-",0)</f>
        <v>Trombeta</v>
      </c>
      <c r="D71" s="55">
        <f>_xlfn.XLOOKUP($G71,'.Auxiliar'!$G:$G,'.Auxiliar'!D:D,"-",0)</f>
        <v>389.4</v>
      </c>
      <c r="E71" s="55">
        <f>_xlfn.XLOOKUP($G71,'.Auxiliar'!$G:$G,'.Auxiliar'!E:E,"-",0)</f>
        <v>389.4</v>
      </c>
      <c r="F71" s="55">
        <f>_xlfn.XLOOKUP($G71,'.Auxiliar'!$G:$G,'.Auxiliar'!F:F,"-",0)</f>
        <v>1</v>
      </c>
      <c r="G71" s="59" t="s">
        <v>1333</v>
      </c>
      <c r="H71" s="108" t="s">
        <v>0</v>
      </c>
      <c r="I71" s="109" t="s">
        <v>0</v>
      </c>
      <c r="J71" s="109" t="s">
        <v>0</v>
      </c>
      <c r="K71" s="109" t="s">
        <v>0</v>
      </c>
      <c r="L71" s="109" t="s">
        <v>0</v>
      </c>
      <c r="M71" s="109" t="s">
        <v>0</v>
      </c>
      <c r="N71" s="110" t="s">
        <v>363</v>
      </c>
      <c r="O71" s="94"/>
      <c r="P71" s="95"/>
      <c r="Q71" s="95"/>
      <c r="R71" s="95"/>
      <c r="S71" s="95"/>
      <c r="T71" s="95"/>
      <c r="U71" s="95" t="str">
        <f t="shared" si="3"/>
        <v/>
      </c>
      <c r="V71" s="95"/>
      <c r="W71" s="95"/>
      <c r="X71" s="96">
        <v>100</v>
      </c>
      <c r="Y71" s="96">
        <f t="shared" si="4"/>
        <v>100</v>
      </c>
      <c r="Z71" s="107">
        <f t="shared" si="5"/>
        <v>0</v>
      </c>
    </row>
    <row r="72" spans="1:26" x14ac:dyDescent="0.25">
      <c r="A72" s="55" t="str">
        <f>_xlfn.XLOOKUP($G72,'.Auxiliar'!$G:$G,'.Auxiliar'!A:A,"-",0)</f>
        <v>ARAGUAIA</v>
      </c>
      <c r="B72" s="55" t="str">
        <f>_xlfn.XLOOKUP($G72,'.Auxiliar'!$G:$G,'.Auxiliar'!B:B,"-",0)</f>
        <v>OAE</v>
      </c>
      <c r="C72" s="55" t="str">
        <f>_xlfn.XLOOKUP($G72,'.Auxiliar'!$G:$G,'.Auxiliar'!C:C,"-",0)</f>
        <v>Trombeta</v>
      </c>
      <c r="D72" s="55">
        <f>_xlfn.XLOOKUP($G72,'.Auxiliar'!$G:$G,'.Auxiliar'!D:D,"-",0)</f>
        <v>395.88</v>
      </c>
      <c r="E72" s="55">
        <f>_xlfn.XLOOKUP($G72,'.Auxiliar'!$G:$G,'.Auxiliar'!E:E,"-",0)</f>
        <v>395.88</v>
      </c>
      <c r="F72" s="55">
        <f>_xlfn.XLOOKUP($G72,'.Auxiliar'!$G:$G,'.Auxiliar'!F:F,"-",0)</f>
        <v>1</v>
      </c>
      <c r="G72" s="59" t="s">
        <v>1334</v>
      </c>
      <c r="H72" s="108" t="s">
        <v>0</v>
      </c>
      <c r="I72" s="109" t="s">
        <v>0</v>
      </c>
      <c r="J72" s="109" t="s">
        <v>0</v>
      </c>
      <c r="K72" s="109" t="s">
        <v>0</v>
      </c>
      <c r="L72" s="109" t="s">
        <v>0</v>
      </c>
      <c r="M72" s="109" t="s">
        <v>0</v>
      </c>
      <c r="N72" s="110" t="s">
        <v>363</v>
      </c>
      <c r="O72" s="94"/>
      <c r="P72" s="95"/>
      <c r="Q72" s="95"/>
      <c r="R72" s="95"/>
      <c r="S72" s="95"/>
      <c r="T72" s="95"/>
      <c r="U72" s="95" t="str">
        <f t="shared" si="3"/>
        <v/>
      </c>
      <c r="V72" s="95"/>
      <c r="W72" s="95"/>
      <c r="X72" s="96">
        <v>100</v>
      </c>
      <c r="Y72" s="96">
        <f t="shared" si="4"/>
        <v>100</v>
      </c>
      <c r="Z72" s="107">
        <f t="shared" si="5"/>
        <v>0</v>
      </c>
    </row>
    <row r="73" spans="1:26" x14ac:dyDescent="0.25">
      <c r="A73" s="55" t="str">
        <f>_xlfn.XLOOKUP($G73,'.Auxiliar'!$G:$G,'.Auxiliar'!A:A,"-",0)</f>
        <v>ARAGUAIA</v>
      </c>
      <c r="B73" s="55" t="str">
        <f>_xlfn.XLOOKUP($G73,'.Auxiliar'!$G:$G,'.Auxiliar'!B:B,"-",0)</f>
        <v>OAE</v>
      </c>
      <c r="C73" s="55" t="str">
        <f>_xlfn.XLOOKUP($G73,'.Auxiliar'!$G:$G,'.Auxiliar'!C:C,"-",0)</f>
        <v>Trombeta</v>
      </c>
      <c r="D73" s="55">
        <f>_xlfn.XLOOKUP($G73,'.Auxiliar'!$G:$G,'.Auxiliar'!D:D,"-",0)</f>
        <v>402</v>
      </c>
      <c r="E73" s="55">
        <f>_xlfn.XLOOKUP($G73,'.Auxiliar'!$G:$G,'.Auxiliar'!E:E,"-",0)</f>
        <v>402</v>
      </c>
      <c r="F73" s="55">
        <f>_xlfn.XLOOKUP($G73,'.Auxiliar'!$G:$G,'.Auxiliar'!F:F,"-",0)</f>
        <v>1</v>
      </c>
      <c r="G73" s="59" t="s">
        <v>1324</v>
      </c>
      <c r="H73" s="108" t="s">
        <v>0</v>
      </c>
      <c r="I73" s="109" t="s">
        <v>0</v>
      </c>
      <c r="J73" s="109" t="s">
        <v>0</v>
      </c>
      <c r="K73" s="109" t="s">
        <v>0</v>
      </c>
      <c r="L73" s="109" t="s">
        <v>0</v>
      </c>
      <c r="M73" s="109" t="s">
        <v>0</v>
      </c>
      <c r="N73" s="110" t="s">
        <v>363</v>
      </c>
      <c r="O73" s="94"/>
      <c r="P73" s="95"/>
      <c r="Q73" s="95"/>
      <c r="R73" s="95"/>
      <c r="S73" s="95"/>
      <c r="T73" s="95"/>
      <c r="U73" s="95" t="str">
        <f t="shared" si="3"/>
        <v/>
      </c>
      <c r="V73" s="95"/>
      <c r="W73" s="95"/>
      <c r="X73" s="96">
        <v>100</v>
      </c>
      <c r="Y73" s="96">
        <f t="shared" si="4"/>
        <v>100</v>
      </c>
      <c r="Z73" s="107">
        <f t="shared" si="5"/>
        <v>0</v>
      </c>
    </row>
    <row r="74" spans="1:26" x14ac:dyDescent="0.25">
      <c r="A74" s="55" t="str">
        <f>_xlfn.XLOOKUP($G74,'.Auxiliar'!$G:$G,'.Auxiliar'!A:A,"-",0)</f>
        <v>ARAGUAIA</v>
      </c>
      <c r="B74" s="55" t="str">
        <f>_xlfn.XLOOKUP($G74,'.Auxiliar'!$G:$G,'.Auxiliar'!B:B,"-",0)</f>
        <v>OAE</v>
      </c>
      <c r="C74" s="55" t="str">
        <f>_xlfn.XLOOKUP($G74,'.Auxiliar'!$G:$G,'.Auxiliar'!C:C,"-",0)</f>
        <v>Trombeta</v>
      </c>
      <c r="D74" s="55">
        <f>_xlfn.XLOOKUP($G74,'.Auxiliar'!$G:$G,'.Auxiliar'!D:D,"-",0)</f>
        <v>410.56</v>
      </c>
      <c r="E74" s="55">
        <f>_xlfn.XLOOKUP($G74,'.Auxiliar'!$G:$G,'.Auxiliar'!E:E,"-",0)</f>
        <v>410.56</v>
      </c>
      <c r="F74" s="55">
        <f>_xlfn.XLOOKUP($G74,'.Auxiliar'!$G:$G,'.Auxiliar'!F:F,"-",0)</f>
        <v>1</v>
      </c>
      <c r="G74" s="59" t="s">
        <v>1335</v>
      </c>
      <c r="H74" s="108" t="s">
        <v>0</v>
      </c>
      <c r="I74" s="109" t="s">
        <v>0</v>
      </c>
      <c r="J74" s="109" t="s">
        <v>0</v>
      </c>
      <c r="K74" s="109" t="s">
        <v>0</v>
      </c>
      <c r="L74" s="109" t="s">
        <v>0</v>
      </c>
      <c r="M74" s="109" t="s">
        <v>0</v>
      </c>
      <c r="N74" s="110" t="s">
        <v>363</v>
      </c>
      <c r="O74" s="94"/>
      <c r="P74" s="95"/>
      <c r="Q74" s="95"/>
      <c r="R74" s="95"/>
      <c r="S74" s="95"/>
      <c r="T74" s="95"/>
      <c r="U74" s="95" t="str">
        <f t="shared" si="3"/>
        <v/>
      </c>
      <c r="V74" s="95"/>
      <c r="W74" s="95"/>
      <c r="X74" s="96">
        <v>100</v>
      </c>
      <c r="Y74" s="96">
        <f t="shared" si="4"/>
        <v>100</v>
      </c>
      <c r="Z74" s="107">
        <f t="shared" si="5"/>
        <v>0</v>
      </c>
    </row>
    <row r="75" spans="1:26" x14ac:dyDescent="0.25">
      <c r="A75" s="55" t="str">
        <f>_xlfn.XLOOKUP($G75,'.Auxiliar'!$G:$G,'.Auxiliar'!A:A,"-",0)</f>
        <v>ARAGUAIA</v>
      </c>
      <c r="B75" s="55" t="str">
        <f>_xlfn.XLOOKUP($G75,'.Auxiliar'!$G:$G,'.Auxiliar'!B:B,"-",0)</f>
        <v>OAE</v>
      </c>
      <c r="C75" s="55" t="str">
        <f>_xlfn.XLOOKUP($G75,'.Auxiliar'!$G:$G,'.Auxiliar'!C:C,"-",0)</f>
        <v>Trombeta</v>
      </c>
      <c r="D75" s="55">
        <f>_xlfn.XLOOKUP($G75,'.Auxiliar'!$G:$G,'.Auxiliar'!D:D,"-",0)</f>
        <v>436.6</v>
      </c>
      <c r="E75" s="55">
        <f>_xlfn.XLOOKUP($G75,'.Auxiliar'!$G:$G,'.Auxiliar'!E:E,"-",0)</f>
        <v>436.6</v>
      </c>
      <c r="F75" s="55">
        <f>_xlfn.XLOOKUP($G75,'.Auxiliar'!$G:$G,'.Auxiliar'!F:F,"-",0)</f>
        <v>1</v>
      </c>
      <c r="G75" s="59" t="s">
        <v>1336</v>
      </c>
      <c r="H75" s="108" t="s">
        <v>0</v>
      </c>
      <c r="I75" s="109" t="s">
        <v>0</v>
      </c>
      <c r="J75" s="109" t="s">
        <v>0</v>
      </c>
      <c r="K75" s="109" t="s">
        <v>0</v>
      </c>
      <c r="L75" s="109" t="s">
        <v>0</v>
      </c>
      <c r="M75" s="109" t="s">
        <v>0</v>
      </c>
      <c r="N75" s="110" t="s">
        <v>363</v>
      </c>
      <c r="O75" s="94"/>
      <c r="P75" s="95"/>
      <c r="Q75" s="95"/>
      <c r="R75" s="95"/>
      <c r="S75" s="95"/>
      <c r="T75" s="95"/>
      <c r="U75" s="95" t="str">
        <f t="shared" si="3"/>
        <v/>
      </c>
      <c r="V75" s="95"/>
      <c r="W75" s="95"/>
      <c r="X75" s="96">
        <v>100</v>
      </c>
      <c r="Y75" s="96">
        <f t="shared" si="4"/>
        <v>100</v>
      </c>
      <c r="Z75" s="107">
        <f t="shared" si="5"/>
        <v>0</v>
      </c>
    </row>
    <row r="76" spans="1:26" x14ac:dyDescent="0.25">
      <c r="A76" s="55" t="str">
        <f>_xlfn.XLOOKUP($G76,'.Auxiliar'!$G:$G,'.Auxiliar'!A:A,"-",0)</f>
        <v>ARAGUAIA</v>
      </c>
      <c r="B76" s="55" t="str">
        <f>_xlfn.XLOOKUP($G76,'.Auxiliar'!$G:$G,'.Auxiliar'!B:B,"-",0)</f>
        <v>OAE</v>
      </c>
      <c r="C76" s="55" t="str">
        <f>_xlfn.XLOOKUP($G76,'.Auxiliar'!$G:$G,'.Auxiliar'!C:C,"-",0)</f>
        <v>Trombeta</v>
      </c>
      <c r="D76" s="55">
        <f>_xlfn.XLOOKUP($G76,'.Auxiliar'!$G:$G,'.Auxiliar'!D:D,"-",0)</f>
        <v>622.70000000000005</v>
      </c>
      <c r="E76" s="55">
        <f>_xlfn.XLOOKUP($G76,'.Auxiliar'!$G:$G,'.Auxiliar'!E:E,"-",0)</f>
        <v>622.70000000000005</v>
      </c>
      <c r="F76" s="55">
        <f>_xlfn.XLOOKUP($G76,'.Auxiliar'!$G:$G,'.Auxiliar'!F:F,"-",0)</f>
        <v>1</v>
      </c>
      <c r="G76" s="59" t="s">
        <v>904</v>
      </c>
      <c r="H76" s="108" t="s">
        <v>0</v>
      </c>
      <c r="I76" s="109" t="s">
        <v>0</v>
      </c>
      <c r="J76" s="109" t="s">
        <v>363</v>
      </c>
      <c r="K76" s="109" t="s">
        <v>0</v>
      </c>
      <c r="L76" s="109" t="s">
        <v>0</v>
      </c>
      <c r="M76" s="109" t="s">
        <v>0</v>
      </c>
      <c r="N76" s="110" t="s">
        <v>0</v>
      </c>
      <c r="O76" s="94"/>
      <c r="P76" s="95"/>
      <c r="Q76" s="95">
        <v>4.5</v>
      </c>
      <c r="R76" s="95">
        <v>5.5</v>
      </c>
      <c r="S76" s="95">
        <v>94.5</v>
      </c>
      <c r="T76" s="95">
        <v>74.5</v>
      </c>
      <c r="U76" s="95">
        <f t="shared" si="3"/>
        <v>94.5</v>
      </c>
      <c r="V76" s="95"/>
      <c r="W76" s="95"/>
      <c r="X76" s="96"/>
      <c r="Y76" s="96">
        <f t="shared" si="4"/>
        <v>100</v>
      </c>
      <c r="Z76" s="107">
        <f t="shared" si="5"/>
        <v>80</v>
      </c>
    </row>
    <row r="77" spans="1:26" x14ac:dyDescent="0.25">
      <c r="A77" s="55" t="str">
        <f>_xlfn.XLOOKUP($G77,'.Auxiliar'!$G:$G,'.Auxiliar'!A:A,"-",0)</f>
        <v>ARAGUAIA</v>
      </c>
      <c r="B77" s="55" t="str">
        <f>_xlfn.XLOOKUP($G77,'.Auxiliar'!$G:$G,'.Auxiliar'!B:B,"-",0)</f>
        <v>OAE</v>
      </c>
      <c r="C77" s="55" t="str">
        <f>_xlfn.XLOOKUP($G77,'.Auxiliar'!$G:$G,'.Auxiliar'!C:C,"-",0)</f>
        <v>Trombeta</v>
      </c>
      <c r="D77" s="55">
        <f>_xlfn.XLOOKUP($G77,'.Auxiliar'!$G:$G,'.Auxiliar'!D:D,"-",0)</f>
        <v>701.9</v>
      </c>
      <c r="E77" s="55">
        <f>_xlfn.XLOOKUP($G77,'.Auxiliar'!$G:$G,'.Auxiliar'!E:E,"-",0)</f>
        <v>701.9</v>
      </c>
      <c r="F77" s="55">
        <f>_xlfn.XLOOKUP($G77,'.Auxiliar'!$G:$G,'.Auxiliar'!F:F,"-",0)</f>
        <v>1</v>
      </c>
      <c r="G77" s="59" t="s">
        <v>1283</v>
      </c>
      <c r="H77" s="108" t="s">
        <v>0</v>
      </c>
      <c r="I77" s="109" t="s">
        <v>0</v>
      </c>
      <c r="J77" s="109" t="s">
        <v>0</v>
      </c>
      <c r="K77" s="109" t="s">
        <v>0</v>
      </c>
      <c r="L77" s="109" t="s">
        <v>0</v>
      </c>
      <c r="M77" s="109" t="s">
        <v>363</v>
      </c>
      <c r="N77" s="110" t="s">
        <v>0</v>
      </c>
      <c r="O77" s="94"/>
      <c r="P77" s="95"/>
      <c r="Q77" s="95"/>
      <c r="R77" s="95"/>
      <c r="S77" s="95"/>
      <c r="T77" s="95"/>
      <c r="U77" s="95" t="str">
        <f t="shared" si="3"/>
        <v/>
      </c>
      <c r="V77" s="95"/>
      <c r="W77" s="95">
        <v>100</v>
      </c>
      <c r="X77" s="96"/>
      <c r="Y77" s="96">
        <f t="shared" si="4"/>
        <v>100</v>
      </c>
      <c r="Z77" s="107">
        <f t="shared" si="5"/>
        <v>0</v>
      </c>
    </row>
    <row r="78" spans="1:26" x14ac:dyDescent="0.25">
      <c r="A78" s="55" t="str">
        <f>_xlfn.XLOOKUP($G78,'.Auxiliar'!$G:$G,'.Auxiliar'!A:A,"-",0)</f>
        <v>ARAGUAIA</v>
      </c>
      <c r="B78" s="55" t="str">
        <f>_xlfn.XLOOKUP($G78,'.Auxiliar'!$G:$G,'.Auxiliar'!B:B,"-",0)</f>
        <v>OAE</v>
      </c>
      <c r="C78" s="55" t="str">
        <f>_xlfn.XLOOKUP($G78,'.Auxiliar'!$G:$G,'.Auxiliar'!C:C,"-",0)</f>
        <v>Trombeta</v>
      </c>
      <c r="D78" s="55">
        <f>_xlfn.XLOOKUP($G78,'.Auxiliar'!$G:$G,'.Auxiliar'!D:D,"-",0)</f>
        <v>797.3</v>
      </c>
      <c r="E78" s="55">
        <f>_xlfn.XLOOKUP($G78,'.Auxiliar'!$G:$G,'.Auxiliar'!E:E,"-",0)</f>
        <v>797.3</v>
      </c>
      <c r="F78" s="55">
        <f>_xlfn.XLOOKUP($G78,'.Auxiliar'!$G:$G,'.Auxiliar'!F:F,"-",0)</f>
        <v>1</v>
      </c>
      <c r="G78" s="59" t="s">
        <v>1258</v>
      </c>
      <c r="H78" s="108" t="s">
        <v>0</v>
      </c>
      <c r="I78" s="109" t="s">
        <v>0</v>
      </c>
      <c r="J78" s="109" t="s">
        <v>0</v>
      </c>
      <c r="K78" s="109" t="s">
        <v>0</v>
      </c>
      <c r="L78" s="109" t="s">
        <v>363</v>
      </c>
      <c r="M78" s="109" t="s">
        <v>0</v>
      </c>
      <c r="N78" s="110" t="s">
        <v>0</v>
      </c>
      <c r="O78" s="94"/>
      <c r="P78" s="95"/>
      <c r="Q78" s="95"/>
      <c r="R78" s="95"/>
      <c r="S78" s="95"/>
      <c r="T78" s="95"/>
      <c r="U78" s="95" t="str">
        <f t="shared" si="3"/>
        <v/>
      </c>
      <c r="V78" s="95">
        <v>100</v>
      </c>
      <c r="W78" s="95"/>
      <c r="X78" s="96"/>
      <c r="Y78" s="96">
        <f t="shared" si="4"/>
        <v>100</v>
      </c>
      <c r="Z78" s="107">
        <f t="shared" si="5"/>
        <v>0</v>
      </c>
    </row>
    <row r="79" spans="1:26" x14ac:dyDescent="0.25">
      <c r="A79" s="55" t="str">
        <f>_xlfn.XLOOKUP($G79,'.Auxiliar'!$G:$G,'.Auxiliar'!A:A,"-",0)</f>
        <v>ARAGUAIA</v>
      </c>
      <c r="B79" s="55" t="str">
        <f>_xlfn.XLOOKUP($G79,'.Auxiliar'!$G:$G,'.Auxiliar'!B:B,"-",0)</f>
        <v>PAVIMENTAÇÃO</v>
      </c>
      <c r="C79" s="55" t="str">
        <f>_xlfn.XLOOKUP($G79,'.Auxiliar'!$G:$G,'.Auxiliar'!C:C,"-",0)</f>
        <v>Não Consta (Crescente)</v>
      </c>
      <c r="D79" s="55">
        <f>_xlfn.XLOOKUP($G79,'.Auxiliar'!$G:$G,'.Auxiliar'!D:D,"-",0)</f>
        <v>173.8</v>
      </c>
      <c r="E79" s="55">
        <f>_xlfn.XLOOKUP($G79,'.Auxiliar'!$G:$G,'.Auxiliar'!E:E,"-",0)</f>
        <v>178.8</v>
      </c>
      <c r="F79" s="55">
        <f>_xlfn.XLOOKUP($G79,'.Auxiliar'!$G:$G,'.Auxiliar'!F:F,"-",0)</f>
        <v>5</v>
      </c>
      <c r="G79" s="59" t="s">
        <v>1103</v>
      </c>
      <c r="H79" s="108" t="s">
        <v>0</v>
      </c>
      <c r="I79" s="109" t="s">
        <v>0</v>
      </c>
      <c r="J79" s="109" t="s">
        <v>0</v>
      </c>
      <c r="K79" s="109" t="s">
        <v>0</v>
      </c>
      <c r="L79" s="109" t="s">
        <v>0</v>
      </c>
      <c r="M79" s="109" t="s">
        <v>0</v>
      </c>
      <c r="N79" s="110" t="s">
        <v>363</v>
      </c>
      <c r="O79" s="94"/>
      <c r="P79" s="95"/>
      <c r="Q79" s="95"/>
      <c r="R79" s="95"/>
      <c r="S79" s="95"/>
      <c r="T79" s="95"/>
      <c r="U79" s="95" t="str">
        <f t="shared" si="3"/>
        <v/>
      </c>
      <c r="V79" s="95"/>
      <c r="W79" s="95"/>
      <c r="X79" s="96">
        <v>100</v>
      </c>
      <c r="Y79" s="96">
        <f t="shared" si="4"/>
        <v>100</v>
      </c>
      <c r="Z79" s="107">
        <f t="shared" si="5"/>
        <v>0</v>
      </c>
    </row>
    <row r="80" spans="1:26" x14ac:dyDescent="0.25">
      <c r="A80" s="55" t="str">
        <f>_xlfn.XLOOKUP($G80,'.Auxiliar'!$G:$G,'.Auxiliar'!A:A,"-",0)</f>
        <v>ARAGUAIA</v>
      </c>
      <c r="B80" s="55" t="str">
        <f>_xlfn.XLOOKUP($G80,'.Auxiliar'!$G:$G,'.Auxiliar'!B:B,"-",0)</f>
        <v>PAVIMENTAÇÃO</v>
      </c>
      <c r="C80" s="55" t="str">
        <f>_xlfn.XLOOKUP($G80,'.Auxiliar'!$G:$G,'.Auxiliar'!C:C,"-",0)</f>
        <v>Não Consta (Crescente)</v>
      </c>
      <c r="D80" s="55">
        <f>_xlfn.XLOOKUP($G80,'.Auxiliar'!$G:$G,'.Auxiliar'!D:D,"-",0)</f>
        <v>197.9</v>
      </c>
      <c r="E80" s="55">
        <f>_xlfn.XLOOKUP($G80,'.Auxiliar'!$G:$G,'.Auxiliar'!E:E,"-",0)</f>
        <v>202.5</v>
      </c>
      <c r="F80" s="55">
        <f>_xlfn.XLOOKUP($G80,'.Auxiliar'!$G:$G,'.Auxiliar'!F:F,"-",0)</f>
        <v>4.5999999999999943</v>
      </c>
      <c r="G80" s="59" t="s">
        <v>996</v>
      </c>
      <c r="H80" s="108" t="s">
        <v>0</v>
      </c>
      <c r="I80" s="109" t="s">
        <v>0</v>
      </c>
      <c r="J80" s="109" t="s">
        <v>0</v>
      </c>
      <c r="K80" s="109" t="s">
        <v>0</v>
      </c>
      <c r="L80" s="109" t="s">
        <v>363</v>
      </c>
      <c r="M80" s="109" t="s">
        <v>0</v>
      </c>
      <c r="N80" s="110" t="s">
        <v>0</v>
      </c>
      <c r="O80" s="94"/>
      <c r="P80" s="95"/>
      <c r="Q80" s="95"/>
      <c r="R80" s="95"/>
      <c r="S80" s="95"/>
      <c r="T80" s="95"/>
      <c r="U80" s="95" t="str">
        <f t="shared" si="3"/>
        <v/>
      </c>
      <c r="V80" s="95">
        <v>100</v>
      </c>
      <c r="W80" s="95"/>
      <c r="X80" s="96"/>
      <c r="Y80" s="96">
        <f t="shared" si="4"/>
        <v>100</v>
      </c>
      <c r="Z80" s="107">
        <f t="shared" si="5"/>
        <v>0</v>
      </c>
    </row>
    <row r="81" spans="1:26" x14ac:dyDescent="0.25">
      <c r="A81" s="55" t="str">
        <f>_xlfn.XLOOKUP($G81,'.Auxiliar'!$G:$G,'.Auxiliar'!A:A,"-",0)</f>
        <v>ARAGUAIA</v>
      </c>
      <c r="B81" s="55" t="str">
        <f>_xlfn.XLOOKUP($G81,'.Auxiliar'!$G:$G,'.Auxiliar'!B:B,"-",0)</f>
        <v>PAVIMENTAÇÃO</v>
      </c>
      <c r="C81" s="55" t="str">
        <f>_xlfn.XLOOKUP($G81,'.Auxiliar'!$G:$G,'.Auxiliar'!C:C,"-",0)</f>
        <v>Não Consta (Crescente)</v>
      </c>
      <c r="D81" s="55">
        <f>_xlfn.XLOOKUP($G81,'.Auxiliar'!$G:$G,'.Auxiliar'!D:D,"-",0)</f>
        <v>241.5</v>
      </c>
      <c r="E81" s="55">
        <f>_xlfn.XLOOKUP($G81,'.Auxiliar'!$G:$G,'.Auxiliar'!E:E,"-",0)</f>
        <v>243.7</v>
      </c>
      <c r="F81" s="55">
        <f>_xlfn.XLOOKUP($G81,'.Auxiliar'!$G:$G,'.Auxiliar'!F:F,"-",0)</f>
        <v>2.1999999999999886</v>
      </c>
      <c r="G81" s="59" t="s">
        <v>1105</v>
      </c>
      <c r="H81" s="108" t="s">
        <v>0</v>
      </c>
      <c r="I81" s="109" t="s">
        <v>0</v>
      </c>
      <c r="J81" s="109" t="s">
        <v>0</v>
      </c>
      <c r="K81" s="109" t="s">
        <v>0</v>
      </c>
      <c r="L81" s="109" t="s">
        <v>0</v>
      </c>
      <c r="M81" s="109" t="s">
        <v>0</v>
      </c>
      <c r="N81" s="110" t="s">
        <v>363</v>
      </c>
      <c r="O81" s="94"/>
      <c r="P81" s="95"/>
      <c r="Q81" s="95"/>
      <c r="R81" s="95"/>
      <c r="S81" s="95"/>
      <c r="T81" s="95"/>
      <c r="U81" s="95" t="str">
        <f t="shared" si="3"/>
        <v/>
      </c>
      <c r="V81" s="95"/>
      <c r="W81" s="95"/>
      <c r="X81" s="96">
        <v>100</v>
      </c>
      <c r="Y81" s="96">
        <f t="shared" si="4"/>
        <v>100</v>
      </c>
      <c r="Z81" s="107">
        <f t="shared" si="5"/>
        <v>0</v>
      </c>
    </row>
    <row r="82" spans="1:26" x14ac:dyDescent="0.25">
      <c r="A82" s="55" t="str">
        <f>_xlfn.XLOOKUP($G82,'.Auxiliar'!$G:$G,'.Auxiliar'!A:A,"-",0)</f>
        <v>ARAGUAIA</v>
      </c>
      <c r="B82" s="55" t="str">
        <f>_xlfn.XLOOKUP($G82,'.Auxiliar'!$G:$G,'.Auxiliar'!B:B,"-",0)</f>
        <v>PAVIMENTAÇÃO</v>
      </c>
      <c r="C82" s="55" t="str">
        <f>_xlfn.XLOOKUP($G82,'.Auxiliar'!$G:$G,'.Auxiliar'!C:C,"-",0)</f>
        <v>Não Consta (Crescente)</v>
      </c>
      <c r="D82" s="55">
        <f>_xlfn.XLOOKUP($G82,'.Auxiliar'!$G:$G,'.Auxiliar'!D:D,"-",0)</f>
        <v>265</v>
      </c>
      <c r="E82" s="55">
        <f>_xlfn.XLOOKUP($G82,'.Auxiliar'!$G:$G,'.Auxiliar'!E:E,"-",0)</f>
        <v>265.89999999999998</v>
      </c>
      <c r="F82" s="55">
        <f>_xlfn.XLOOKUP($G82,'.Auxiliar'!$G:$G,'.Auxiliar'!F:F,"-",0)</f>
        <v>0.89999999999997726</v>
      </c>
      <c r="G82" s="59" t="s">
        <v>1107</v>
      </c>
      <c r="H82" s="108" t="s">
        <v>0</v>
      </c>
      <c r="I82" s="109" t="s">
        <v>0</v>
      </c>
      <c r="J82" s="109" t="s">
        <v>0</v>
      </c>
      <c r="K82" s="109" t="s">
        <v>0</v>
      </c>
      <c r="L82" s="109" t="s">
        <v>0</v>
      </c>
      <c r="M82" s="109" t="s">
        <v>0</v>
      </c>
      <c r="N82" s="110" t="s">
        <v>363</v>
      </c>
      <c r="O82" s="94"/>
      <c r="P82" s="95"/>
      <c r="Q82" s="95"/>
      <c r="R82" s="95"/>
      <c r="S82" s="95"/>
      <c r="T82" s="95"/>
      <c r="U82" s="95" t="str">
        <f t="shared" si="3"/>
        <v/>
      </c>
      <c r="V82" s="95"/>
      <c r="W82" s="95"/>
      <c r="X82" s="96">
        <v>100</v>
      </c>
      <c r="Y82" s="96">
        <f t="shared" si="4"/>
        <v>100</v>
      </c>
      <c r="Z82" s="107">
        <f t="shared" si="5"/>
        <v>0</v>
      </c>
    </row>
    <row r="83" spans="1:26" x14ac:dyDescent="0.25">
      <c r="A83" s="55" t="str">
        <f>_xlfn.XLOOKUP($G83,'.Auxiliar'!$G:$G,'.Auxiliar'!A:A,"-",0)</f>
        <v>ARAGUAIA</v>
      </c>
      <c r="B83" s="55" t="str">
        <f>_xlfn.XLOOKUP($G83,'.Auxiliar'!$G:$G,'.Auxiliar'!B:B,"-",0)</f>
        <v>PAVIMENTAÇÃO</v>
      </c>
      <c r="C83" s="55" t="str">
        <f>_xlfn.XLOOKUP($G83,'.Auxiliar'!$G:$G,'.Auxiliar'!C:C,"-",0)</f>
        <v>Não Consta (Crescente)</v>
      </c>
      <c r="D83" s="55">
        <f>_xlfn.XLOOKUP($G83,'.Auxiliar'!$G:$G,'.Auxiliar'!D:D,"-",0)</f>
        <v>284.10000000000002</v>
      </c>
      <c r="E83" s="55">
        <f>_xlfn.XLOOKUP($G83,'.Auxiliar'!$G:$G,'.Auxiliar'!E:E,"-",0)</f>
        <v>284.8</v>
      </c>
      <c r="F83" s="55">
        <f>_xlfn.XLOOKUP($G83,'.Auxiliar'!$G:$G,'.Auxiliar'!F:F,"-",0)</f>
        <v>0.69999999999998863</v>
      </c>
      <c r="G83" s="59" t="s">
        <v>1028</v>
      </c>
      <c r="H83" s="108" t="s">
        <v>0</v>
      </c>
      <c r="I83" s="109" t="s">
        <v>0</v>
      </c>
      <c r="J83" s="109" t="s">
        <v>0</v>
      </c>
      <c r="K83" s="109" t="s">
        <v>0</v>
      </c>
      <c r="L83" s="109" t="s">
        <v>0</v>
      </c>
      <c r="M83" s="109" t="s">
        <v>363</v>
      </c>
      <c r="N83" s="110" t="s">
        <v>0</v>
      </c>
      <c r="O83" s="94"/>
      <c r="P83" s="95"/>
      <c r="Q83" s="95"/>
      <c r="R83" s="95"/>
      <c r="S83" s="95"/>
      <c r="T83" s="95"/>
      <c r="U83" s="95" t="str">
        <f t="shared" si="3"/>
        <v/>
      </c>
      <c r="V83" s="95"/>
      <c r="W83" s="95">
        <v>100</v>
      </c>
      <c r="X83" s="96"/>
      <c r="Y83" s="96">
        <f t="shared" si="4"/>
        <v>100</v>
      </c>
      <c r="Z83" s="107">
        <f t="shared" si="5"/>
        <v>0</v>
      </c>
    </row>
    <row r="84" spans="1:26" x14ac:dyDescent="0.25">
      <c r="A84" s="55" t="str">
        <f>_xlfn.XLOOKUP($G84,'.Auxiliar'!$G:$G,'.Auxiliar'!A:A,"-",0)</f>
        <v>ARAGUAIA</v>
      </c>
      <c r="B84" s="55" t="str">
        <f>_xlfn.XLOOKUP($G84,'.Auxiliar'!$G:$G,'.Auxiliar'!B:B,"-",0)</f>
        <v>PAVIMENTAÇÃO</v>
      </c>
      <c r="C84" s="55" t="str">
        <f>_xlfn.XLOOKUP($G84,'.Auxiliar'!$G:$G,'.Auxiliar'!C:C,"-",0)</f>
        <v>Não Consta (Crescente)</v>
      </c>
      <c r="D84" s="55">
        <f>_xlfn.XLOOKUP($G84,'.Auxiliar'!$G:$G,'.Auxiliar'!D:D,"-",0)</f>
        <v>301.3</v>
      </c>
      <c r="E84" s="55">
        <f>_xlfn.XLOOKUP($G84,'.Auxiliar'!$G:$G,'.Auxiliar'!E:E,"-",0)</f>
        <v>303.82</v>
      </c>
      <c r="F84" s="55">
        <f>_xlfn.XLOOKUP($G84,'.Auxiliar'!$G:$G,'.Auxiliar'!F:F,"-",0)</f>
        <v>2.5199999999999818</v>
      </c>
      <c r="G84" s="59" t="s">
        <v>998</v>
      </c>
      <c r="H84" s="108" t="s">
        <v>0</v>
      </c>
      <c r="I84" s="109" t="s">
        <v>0</v>
      </c>
      <c r="J84" s="109" t="s">
        <v>0</v>
      </c>
      <c r="K84" s="109" t="s">
        <v>0</v>
      </c>
      <c r="L84" s="109" t="s">
        <v>363</v>
      </c>
      <c r="M84" s="109" t="s">
        <v>0</v>
      </c>
      <c r="N84" s="110" t="s">
        <v>0</v>
      </c>
      <c r="O84" s="94"/>
      <c r="P84" s="95"/>
      <c r="Q84" s="95"/>
      <c r="R84" s="95"/>
      <c r="S84" s="95"/>
      <c r="T84" s="95"/>
      <c r="U84" s="95" t="str">
        <f t="shared" si="3"/>
        <v/>
      </c>
      <c r="V84" s="95">
        <v>100</v>
      </c>
      <c r="W84" s="95"/>
      <c r="X84" s="96"/>
      <c r="Y84" s="96">
        <f t="shared" si="4"/>
        <v>100</v>
      </c>
      <c r="Z84" s="107">
        <f t="shared" si="5"/>
        <v>0</v>
      </c>
    </row>
    <row r="85" spans="1:26" x14ac:dyDescent="0.25">
      <c r="A85" s="55" t="str">
        <f>_xlfn.XLOOKUP($G85,'.Auxiliar'!$G:$G,'.Auxiliar'!A:A,"-",0)</f>
        <v>ARAGUAIA</v>
      </c>
      <c r="B85" s="55" t="str">
        <f>_xlfn.XLOOKUP($G85,'.Auxiliar'!$G:$G,'.Auxiliar'!B:B,"-",0)</f>
        <v>PAVIMENTAÇÃO</v>
      </c>
      <c r="C85" s="55" t="str">
        <f>_xlfn.XLOOKUP($G85,'.Auxiliar'!$G:$G,'.Auxiliar'!C:C,"-",0)</f>
        <v>Não Consta (Crescente)</v>
      </c>
      <c r="D85" s="55">
        <f>_xlfn.XLOOKUP($G85,'.Auxiliar'!$G:$G,'.Auxiliar'!D:D,"-",0)</f>
        <v>318.3</v>
      </c>
      <c r="E85" s="55">
        <f>_xlfn.XLOOKUP($G85,'.Auxiliar'!$G:$G,'.Auxiliar'!E:E,"-",0)</f>
        <v>319.5</v>
      </c>
      <c r="F85" s="55">
        <f>_xlfn.XLOOKUP($G85,'.Auxiliar'!$G:$G,'.Auxiliar'!F:F,"-",0)</f>
        <v>1.1999999999999886</v>
      </c>
      <c r="G85" s="59" t="s">
        <v>999</v>
      </c>
      <c r="H85" s="108" t="s">
        <v>0</v>
      </c>
      <c r="I85" s="109" t="s">
        <v>0</v>
      </c>
      <c r="J85" s="109" t="s">
        <v>0</v>
      </c>
      <c r="K85" s="109" t="s">
        <v>0</v>
      </c>
      <c r="L85" s="109" t="s">
        <v>363</v>
      </c>
      <c r="M85" s="109" t="s">
        <v>0</v>
      </c>
      <c r="N85" s="110" t="s">
        <v>0</v>
      </c>
      <c r="O85" s="94"/>
      <c r="P85" s="95"/>
      <c r="Q85" s="95"/>
      <c r="R85" s="95"/>
      <c r="S85" s="95"/>
      <c r="T85" s="95"/>
      <c r="U85" s="95" t="str">
        <f t="shared" si="3"/>
        <v/>
      </c>
      <c r="V85" s="95">
        <v>100</v>
      </c>
      <c r="W85" s="95"/>
      <c r="X85" s="96"/>
      <c r="Y85" s="96">
        <f t="shared" si="4"/>
        <v>100</v>
      </c>
      <c r="Z85" s="107">
        <f t="shared" si="5"/>
        <v>0</v>
      </c>
    </row>
    <row r="86" spans="1:26" x14ac:dyDescent="0.25">
      <c r="A86" s="55" t="str">
        <f>_xlfn.XLOOKUP($G86,'.Auxiliar'!$G:$G,'.Auxiliar'!A:A,"-",0)</f>
        <v>ARAGUAIA</v>
      </c>
      <c r="B86" s="55" t="str">
        <f>_xlfn.XLOOKUP($G86,'.Auxiliar'!$G:$G,'.Auxiliar'!B:B,"-",0)</f>
        <v>PAVIMENTAÇÃO</v>
      </c>
      <c r="C86" s="55" t="str">
        <f>_xlfn.XLOOKUP($G86,'.Auxiliar'!$G:$G,'.Auxiliar'!C:C,"-",0)</f>
        <v>Não Consta (Crescente)</v>
      </c>
      <c r="D86" s="55">
        <f>_xlfn.XLOOKUP($G86,'.Auxiliar'!$G:$G,'.Auxiliar'!D:D,"-",0)</f>
        <v>356.1</v>
      </c>
      <c r="E86" s="55">
        <f>_xlfn.XLOOKUP($G86,'.Auxiliar'!$G:$G,'.Auxiliar'!E:E,"-",0)</f>
        <v>360.1</v>
      </c>
      <c r="F86" s="55">
        <f>_xlfn.XLOOKUP($G86,'.Auxiliar'!$G:$G,'.Auxiliar'!F:F,"-",0)</f>
        <v>4</v>
      </c>
      <c r="G86" s="59" t="s">
        <v>1108</v>
      </c>
      <c r="H86" s="108" t="s">
        <v>0</v>
      </c>
      <c r="I86" s="109" t="s">
        <v>0</v>
      </c>
      <c r="J86" s="109" t="s">
        <v>0</v>
      </c>
      <c r="K86" s="109" t="s">
        <v>0</v>
      </c>
      <c r="L86" s="109" t="s">
        <v>0</v>
      </c>
      <c r="M86" s="109" t="s">
        <v>0</v>
      </c>
      <c r="N86" s="110" t="s">
        <v>363</v>
      </c>
      <c r="O86" s="94"/>
      <c r="P86" s="95"/>
      <c r="Q86" s="95"/>
      <c r="R86" s="95"/>
      <c r="S86" s="95"/>
      <c r="T86" s="95"/>
      <c r="U86" s="95" t="str">
        <f t="shared" si="3"/>
        <v/>
      </c>
      <c r="V86" s="95"/>
      <c r="W86" s="95"/>
      <c r="X86" s="96">
        <v>100</v>
      </c>
      <c r="Y86" s="96">
        <f t="shared" si="4"/>
        <v>100</v>
      </c>
      <c r="Z86" s="107">
        <f t="shared" si="5"/>
        <v>0</v>
      </c>
    </row>
    <row r="87" spans="1:26" x14ac:dyDescent="0.25">
      <c r="A87" s="55" t="str">
        <f>_xlfn.XLOOKUP($G87,'.Auxiliar'!$G:$G,'.Auxiliar'!A:A,"-",0)</f>
        <v>ARAGUAIA</v>
      </c>
      <c r="B87" s="55" t="str">
        <f>_xlfn.XLOOKUP($G87,'.Auxiliar'!$G:$G,'.Auxiliar'!B:B,"-",0)</f>
        <v>PAVIMENTAÇÃO</v>
      </c>
      <c r="C87" s="55" t="str">
        <f>_xlfn.XLOOKUP($G87,'.Auxiliar'!$G:$G,'.Auxiliar'!C:C,"-",0)</f>
        <v>Não Consta (Crescente)</v>
      </c>
      <c r="D87" s="55">
        <f>_xlfn.XLOOKUP($G87,'.Auxiliar'!$G:$G,'.Auxiliar'!D:D,"-",0)</f>
        <v>396.2</v>
      </c>
      <c r="E87" s="55">
        <f>_xlfn.XLOOKUP($G87,'.Auxiliar'!$G:$G,'.Auxiliar'!E:E,"-",0)</f>
        <v>396.7</v>
      </c>
      <c r="F87" s="55">
        <f>_xlfn.XLOOKUP($G87,'.Auxiliar'!$G:$G,'.Auxiliar'!F:F,"-",0)</f>
        <v>0.5</v>
      </c>
      <c r="G87" s="59" t="s">
        <v>1109</v>
      </c>
      <c r="H87" s="108" t="s">
        <v>0</v>
      </c>
      <c r="I87" s="109" t="s">
        <v>0</v>
      </c>
      <c r="J87" s="109" t="s">
        <v>0</v>
      </c>
      <c r="K87" s="109" t="s">
        <v>0</v>
      </c>
      <c r="L87" s="109" t="s">
        <v>0</v>
      </c>
      <c r="M87" s="109" t="s">
        <v>0</v>
      </c>
      <c r="N87" s="110" t="s">
        <v>363</v>
      </c>
      <c r="O87" s="94"/>
      <c r="P87" s="95"/>
      <c r="Q87" s="95"/>
      <c r="R87" s="95"/>
      <c r="S87" s="95"/>
      <c r="T87" s="95"/>
      <c r="U87" s="95" t="str">
        <f t="shared" si="3"/>
        <v/>
      </c>
      <c r="V87" s="95"/>
      <c r="W87" s="95"/>
      <c r="X87" s="96">
        <v>100</v>
      </c>
      <c r="Y87" s="96">
        <f t="shared" si="4"/>
        <v>100</v>
      </c>
      <c r="Z87" s="107">
        <f t="shared" si="5"/>
        <v>0</v>
      </c>
    </row>
    <row r="88" spans="1:26" x14ac:dyDescent="0.25">
      <c r="A88" s="55" t="str">
        <f>_xlfn.XLOOKUP($G88,'.Auxiliar'!$G:$G,'.Auxiliar'!A:A,"-",0)</f>
        <v>ARAGUAIA</v>
      </c>
      <c r="B88" s="55" t="str">
        <f>_xlfn.XLOOKUP($G88,'.Auxiliar'!$G:$G,'.Auxiliar'!B:B,"-",0)</f>
        <v>PAVIMENTAÇÃO</v>
      </c>
      <c r="C88" s="55" t="str">
        <f>_xlfn.XLOOKUP($G88,'.Auxiliar'!$G:$G,'.Auxiliar'!C:C,"-",0)</f>
        <v>Não Consta (Crescente)</v>
      </c>
      <c r="D88" s="55">
        <f>_xlfn.XLOOKUP($G88,'.Auxiliar'!$G:$G,'.Auxiliar'!D:D,"-",0)</f>
        <v>409.5</v>
      </c>
      <c r="E88" s="55">
        <f>_xlfn.XLOOKUP($G88,'.Auxiliar'!$G:$G,'.Auxiliar'!E:E,"-",0)</f>
        <v>410.6</v>
      </c>
      <c r="F88" s="55">
        <f>_xlfn.XLOOKUP($G88,'.Auxiliar'!$G:$G,'.Auxiliar'!F:F,"-",0)</f>
        <v>1.1000000000000227</v>
      </c>
      <c r="G88" s="59" t="s">
        <v>1117</v>
      </c>
      <c r="H88" s="108" t="s">
        <v>0</v>
      </c>
      <c r="I88" s="109" t="s">
        <v>0</v>
      </c>
      <c r="J88" s="109" t="s">
        <v>0</v>
      </c>
      <c r="K88" s="109" t="s">
        <v>0</v>
      </c>
      <c r="L88" s="109" t="s">
        <v>0</v>
      </c>
      <c r="M88" s="109" t="s">
        <v>0</v>
      </c>
      <c r="N88" s="110" t="s">
        <v>363</v>
      </c>
      <c r="O88" s="94"/>
      <c r="P88" s="95"/>
      <c r="Q88" s="95"/>
      <c r="R88" s="95"/>
      <c r="S88" s="95"/>
      <c r="T88" s="95"/>
      <c r="U88" s="95" t="str">
        <f t="shared" si="3"/>
        <v/>
      </c>
      <c r="V88" s="95"/>
      <c r="W88" s="95"/>
      <c r="X88" s="96">
        <v>100</v>
      </c>
      <c r="Y88" s="96">
        <f t="shared" si="4"/>
        <v>100</v>
      </c>
      <c r="Z88" s="107">
        <f t="shared" si="5"/>
        <v>0</v>
      </c>
    </row>
    <row r="89" spans="1:26" x14ac:dyDescent="0.25">
      <c r="A89" s="55" t="str">
        <f>_xlfn.XLOOKUP($G89,'.Auxiliar'!$G:$G,'.Auxiliar'!A:A,"-",0)</f>
        <v>ARAGUAIA</v>
      </c>
      <c r="B89" s="55" t="str">
        <f>_xlfn.XLOOKUP($G89,'.Auxiliar'!$G:$G,'.Auxiliar'!B:B,"-",0)</f>
        <v>PAVIMENTAÇÃO</v>
      </c>
      <c r="C89" s="55" t="str">
        <f>_xlfn.XLOOKUP($G89,'.Auxiliar'!$G:$G,'.Auxiliar'!C:C,"-",0)</f>
        <v>Não Consta (Crescente)</v>
      </c>
      <c r="D89" s="55">
        <f>_xlfn.XLOOKUP($G89,'.Auxiliar'!$G:$G,'.Auxiliar'!D:D,"-",0)</f>
        <v>429.72500000000002</v>
      </c>
      <c r="E89" s="55">
        <f>_xlfn.XLOOKUP($G89,'.Auxiliar'!$G:$G,'.Auxiliar'!E:E,"-",0)</f>
        <v>431.5</v>
      </c>
      <c r="F89" s="55">
        <f>_xlfn.XLOOKUP($G89,'.Auxiliar'!$G:$G,'.Auxiliar'!F:F,"-",0)</f>
        <v>1.7749999999999773</v>
      </c>
      <c r="G89" s="59" t="s">
        <v>1110</v>
      </c>
      <c r="H89" s="108" t="s">
        <v>0</v>
      </c>
      <c r="I89" s="109" t="s">
        <v>0</v>
      </c>
      <c r="J89" s="109" t="s">
        <v>0</v>
      </c>
      <c r="K89" s="109" t="s">
        <v>0</v>
      </c>
      <c r="L89" s="109" t="s">
        <v>0</v>
      </c>
      <c r="M89" s="109" t="s">
        <v>0</v>
      </c>
      <c r="N89" s="110" t="s">
        <v>363</v>
      </c>
      <c r="O89" s="94"/>
      <c r="P89" s="95"/>
      <c r="Q89" s="95"/>
      <c r="R89" s="95"/>
      <c r="S89" s="95"/>
      <c r="T89" s="95"/>
      <c r="U89" s="95" t="str">
        <f t="shared" si="3"/>
        <v/>
      </c>
      <c r="V89" s="95"/>
      <c r="W89" s="95"/>
      <c r="X89" s="96">
        <v>100</v>
      </c>
      <c r="Y89" s="96">
        <f t="shared" si="4"/>
        <v>100</v>
      </c>
      <c r="Z89" s="107">
        <f t="shared" si="5"/>
        <v>0</v>
      </c>
    </row>
    <row r="90" spans="1:26" x14ac:dyDescent="0.25">
      <c r="A90" s="55" t="str">
        <f>_xlfn.XLOOKUP($G90,'.Auxiliar'!$G:$G,'.Auxiliar'!A:A,"-",0)</f>
        <v>ARAGUAIA</v>
      </c>
      <c r="B90" s="55" t="str">
        <f>_xlfn.XLOOKUP($G90,'.Auxiliar'!$G:$G,'.Auxiliar'!B:B,"-",0)</f>
        <v>PAVIMENTAÇÃO</v>
      </c>
      <c r="C90" s="55" t="str">
        <f>_xlfn.XLOOKUP($G90,'.Auxiliar'!$G:$G,'.Auxiliar'!C:C,"-",0)</f>
        <v>Não Consta (Crescente)</v>
      </c>
      <c r="D90" s="55">
        <f>_xlfn.XLOOKUP($G90,'.Auxiliar'!$G:$G,'.Auxiliar'!D:D,"-",0)</f>
        <v>432</v>
      </c>
      <c r="E90" s="55">
        <f>_xlfn.XLOOKUP($G90,'.Auxiliar'!$G:$G,'.Auxiliar'!E:E,"-",0)</f>
        <v>436</v>
      </c>
      <c r="F90" s="55">
        <f>_xlfn.XLOOKUP($G90,'.Auxiliar'!$G:$G,'.Auxiliar'!F:F,"-",0)</f>
        <v>4</v>
      </c>
      <c r="G90" s="59" t="s">
        <v>1111</v>
      </c>
      <c r="H90" s="108" t="s">
        <v>0</v>
      </c>
      <c r="I90" s="109" t="s">
        <v>0</v>
      </c>
      <c r="J90" s="109" t="s">
        <v>0</v>
      </c>
      <c r="K90" s="109" t="s">
        <v>0</v>
      </c>
      <c r="L90" s="109" t="s">
        <v>0</v>
      </c>
      <c r="M90" s="109" t="s">
        <v>0</v>
      </c>
      <c r="N90" s="110" t="s">
        <v>363</v>
      </c>
      <c r="O90" s="94"/>
      <c r="P90" s="95"/>
      <c r="Q90" s="95"/>
      <c r="R90" s="95"/>
      <c r="S90" s="95"/>
      <c r="T90" s="95"/>
      <c r="U90" s="95" t="str">
        <f t="shared" si="3"/>
        <v/>
      </c>
      <c r="V90" s="95"/>
      <c r="W90" s="95"/>
      <c r="X90" s="96">
        <v>100</v>
      </c>
      <c r="Y90" s="96">
        <f t="shared" si="4"/>
        <v>100</v>
      </c>
      <c r="Z90" s="107">
        <f t="shared" si="5"/>
        <v>0</v>
      </c>
    </row>
    <row r="91" spans="1:26" x14ac:dyDescent="0.25">
      <c r="A91" s="55" t="str">
        <f>_xlfn.XLOOKUP($G91,'.Auxiliar'!$G:$G,'.Auxiliar'!A:A,"-",0)</f>
        <v>ARAGUAIA</v>
      </c>
      <c r="B91" s="55" t="str">
        <f>_xlfn.XLOOKUP($G91,'.Auxiliar'!$G:$G,'.Auxiliar'!B:B,"-",0)</f>
        <v>PAVIMENTAÇÃO</v>
      </c>
      <c r="C91" s="55" t="str">
        <f>_xlfn.XLOOKUP($G91,'.Auxiliar'!$G:$G,'.Auxiliar'!C:C,"-",0)</f>
        <v>Não Consta (Crescente)</v>
      </c>
      <c r="D91" s="55">
        <f>_xlfn.XLOOKUP($G91,'.Auxiliar'!$G:$G,'.Auxiliar'!D:D,"-",0)</f>
        <v>435.35599999999999</v>
      </c>
      <c r="E91" s="55">
        <f>_xlfn.XLOOKUP($G91,'.Auxiliar'!$G:$G,'.Auxiliar'!E:E,"-",0)</f>
        <v>435.476</v>
      </c>
      <c r="F91" s="55">
        <f>_xlfn.XLOOKUP($G91,'.Auxiliar'!$G:$G,'.Auxiliar'!F:F,"-",0)</f>
        <v>0.12000000000000455</v>
      </c>
      <c r="G91" s="59" t="s">
        <v>1119</v>
      </c>
      <c r="H91" s="108" t="s">
        <v>0</v>
      </c>
      <c r="I91" s="109" t="s">
        <v>0</v>
      </c>
      <c r="J91" s="109" t="s">
        <v>0</v>
      </c>
      <c r="K91" s="109" t="s">
        <v>0</v>
      </c>
      <c r="L91" s="109" t="s">
        <v>0</v>
      </c>
      <c r="M91" s="109" t="s">
        <v>0</v>
      </c>
      <c r="N91" s="110" t="s">
        <v>363</v>
      </c>
      <c r="O91" s="94"/>
      <c r="P91" s="95"/>
      <c r="Q91" s="95"/>
      <c r="R91" s="95"/>
      <c r="S91" s="95"/>
      <c r="T91" s="95"/>
      <c r="U91" s="95" t="str">
        <f t="shared" si="3"/>
        <v/>
      </c>
      <c r="V91" s="95"/>
      <c r="W91" s="95"/>
      <c r="X91" s="96">
        <v>100</v>
      </c>
      <c r="Y91" s="96">
        <f t="shared" si="4"/>
        <v>100</v>
      </c>
      <c r="Z91" s="107">
        <f t="shared" si="5"/>
        <v>0</v>
      </c>
    </row>
    <row r="92" spans="1:26" x14ac:dyDescent="0.25">
      <c r="A92" s="55" t="str">
        <f>_xlfn.XLOOKUP($G92,'.Auxiliar'!$G:$G,'.Auxiliar'!A:A,"-",0)</f>
        <v>ARAGUAIA</v>
      </c>
      <c r="B92" s="55" t="str">
        <f>_xlfn.XLOOKUP($G92,'.Auxiliar'!$G:$G,'.Auxiliar'!B:B,"-",0)</f>
        <v>PAVIMENTAÇÃO</v>
      </c>
      <c r="C92" s="55" t="str">
        <f>_xlfn.XLOOKUP($G92,'.Auxiliar'!$G:$G,'.Auxiliar'!C:C,"-",0)</f>
        <v>Não Consta (Crescente)</v>
      </c>
      <c r="D92" s="55">
        <f>_xlfn.XLOOKUP($G92,'.Auxiliar'!$G:$G,'.Auxiliar'!D:D,"-",0)</f>
        <v>436.8</v>
      </c>
      <c r="E92" s="55">
        <f>_xlfn.XLOOKUP($G92,'.Auxiliar'!$G:$G,'.Auxiliar'!E:E,"-",0)</f>
        <v>438.5</v>
      </c>
      <c r="F92" s="55">
        <f>_xlfn.XLOOKUP($G92,'.Auxiliar'!$G:$G,'.Auxiliar'!F:F,"-",0)</f>
        <v>1.6999999999999886</v>
      </c>
      <c r="G92" s="59" t="s">
        <v>1113</v>
      </c>
      <c r="H92" s="108" t="s">
        <v>0</v>
      </c>
      <c r="I92" s="109" t="s">
        <v>0</v>
      </c>
      <c r="J92" s="109" t="s">
        <v>0</v>
      </c>
      <c r="K92" s="109" t="s">
        <v>0</v>
      </c>
      <c r="L92" s="109" t="s">
        <v>0</v>
      </c>
      <c r="M92" s="109" t="s">
        <v>0</v>
      </c>
      <c r="N92" s="110" t="s">
        <v>363</v>
      </c>
      <c r="O92" s="94"/>
      <c r="P92" s="95"/>
      <c r="Q92" s="95"/>
      <c r="R92" s="95"/>
      <c r="S92" s="95"/>
      <c r="T92" s="95"/>
      <c r="U92" s="95" t="str">
        <f t="shared" si="3"/>
        <v/>
      </c>
      <c r="V92" s="95"/>
      <c r="W92" s="95"/>
      <c r="X92" s="96">
        <v>100</v>
      </c>
      <c r="Y92" s="96">
        <f t="shared" si="4"/>
        <v>100</v>
      </c>
      <c r="Z92" s="107">
        <f t="shared" si="5"/>
        <v>0</v>
      </c>
    </row>
    <row r="93" spans="1:26" x14ac:dyDescent="0.25">
      <c r="A93" s="55" t="str">
        <f>_xlfn.XLOOKUP($G93,'.Auxiliar'!$G:$G,'.Auxiliar'!A:A,"-",0)</f>
        <v>ARAGUAIA</v>
      </c>
      <c r="B93" s="55" t="str">
        <f>_xlfn.XLOOKUP($G93,'.Auxiliar'!$G:$G,'.Auxiliar'!B:B,"-",0)</f>
        <v>PAVIMENTAÇÃO</v>
      </c>
      <c r="C93" s="55" t="str">
        <f>_xlfn.XLOOKUP($G93,'.Auxiliar'!$G:$G,'.Auxiliar'!C:C,"-",0)</f>
        <v>Não Consta (Crescente)</v>
      </c>
      <c r="D93" s="55">
        <f>_xlfn.XLOOKUP($G93,'.Auxiliar'!$G:$G,'.Auxiliar'!D:D,"-",0)</f>
        <v>438.3</v>
      </c>
      <c r="E93" s="55">
        <f>_xlfn.XLOOKUP($G93,'.Auxiliar'!$G:$G,'.Auxiliar'!E:E,"-",0)</f>
        <v>438.8</v>
      </c>
      <c r="F93" s="55">
        <f>_xlfn.XLOOKUP($G93,'.Auxiliar'!$G:$G,'.Auxiliar'!F:F,"-",0)</f>
        <v>0.5</v>
      </c>
      <c r="G93" s="59" t="s">
        <v>1120</v>
      </c>
      <c r="H93" s="108" t="s">
        <v>0</v>
      </c>
      <c r="I93" s="109" t="s">
        <v>0</v>
      </c>
      <c r="J93" s="109" t="s">
        <v>0</v>
      </c>
      <c r="K93" s="109" t="s">
        <v>0</v>
      </c>
      <c r="L93" s="109" t="s">
        <v>0</v>
      </c>
      <c r="M93" s="109" t="s">
        <v>0</v>
      </c>
      <c r="N93" s="110" t="s">
        <v>363</v>
      </c>
      <c r="O93" s="94"/>
      <c r="P93" s="95"/>
      <c r="Q93" s="95"/>
      <c r="R93" s="95"/>
      <c r="S93" s="95"/>
      <c r="T93" s="95"/>
      <c r="U93" s="95" t="str">
        <f t="shared" si="3"/>
        <v/>
      </c>
      <c r="V93" s="95"/>
      <c r="W93" s="95"/>
      <c r="X93" s="96">
        <v>100</v>
      </c>
      <c r="Y93" s="96">
        <f t="shared" si="4"/>
        <v>100</v>
      </c>
      <c r="Z93" s="107">
        <f t="shared" si="5"/>
        <v>0</v>
      </c>
    </row>
    <row r="94" spans="1:26" x14ac:dyDescent="0.25">
      <c r="A94" s="55" t="str">
        <f>_xlfn.XLOOKUP($G94,'.Auxiliar'!$G:$G,'.Auxiliar'!A:A,"-",0)</f>
        <v>ARAGUAIA</v>
      </c>
      <c r="B94" s="55" t="str">
        <f>_xlfn.XLOOKUP($G94,'.Auxiliar'!$G:$G,'.Auxiliar'!B:B,"-",0)</f>
        <v>PAVIMENTAÇÃO</v>
      </c>
      <c r="C94" s="55" t="str">
        <f>_xlfn.XLOOKUP($G94,'.Auxiliar'!$G:$G,'.Auxiliar'!C:C,"-",0)</f>
        <v>Não Consta (Crescente)</v>
      </c>
      <c r="D94" s="55">
        <f>_xlfn.XLOOKUP($G94,'.Auxiliar'!$G:$G,'.Auxiliar'!D:D,"-",0)</f>
        <v>440</v>
      </c>
      <c r="E94" s="55">
        <f>_xlfn.XLOOKUP($G94,'.Auxiliar'!$G:$G,'.Auxiliar'!E:E,"-",0)</f>
        <v>444.1</v>
      </c>
      <c r="F94" s="55">
        <f>_xlfn.XLOOKUP($G94,'.Auxiliar'!$G:$G,'.Auxiliar'!F:F,"-",0)</f>
        <v>4.1000000000000227</v>
      </c>
      <c r="G94" s="59" t="s">
        <v>1115</v>
      </c>
      <c r="H94" s="108" t="s">
        <v>0</v>
      </c>
      <c r="I94" s="109" t="s">
        <v>0</v>
      </c>
      <c r="J94" s="109" t="s">
        <v>0</v>
      </c>
      <c r="K94" s="109" t="s">
        <v>0</v>
      </c>
      <c r="L94" s="109" t="s">
        <v>0</v>
      </c>
      <c r="M94" s="109" t="s">
        <v>0</v>
      </c>
      <c r="N94" s="110" t="s">
        <v>363</v>
      </c>
      <c r="O94" s="94"/>
      <c r="P94" s="95"/>
      <c r="Q94" s="95"/>
      <c r="R94" s="95"/>
      <c r="S94" s="95"/>
      <c r="T94" s="95"/>
      <c r="U94" s="95" t="str">
        <f t="shared" si="3"/>
        <v/>
      </c>
      <c r="V94" s="95"/>
      <c r="W94" s="95"/>
      <c r="X94" s="96">
        <v>100</v>
      </c>
      <c r="Y94" s="96">
        <f t="shared" si="4"/>
        <v>100</v>
      </c>
      <c r="Z94" s="107">
        <f t="shared" si="5"/>
        <v>0</v>
      </c>
    </row>
    <row r="95" spans="1:26" x14ac:dyDescent="0.25">
      <c r="A95" s="55" t="str">
        <f>_xlfn.XLOOKUP($G95,'.Auxiliar'!$G:$G,'.Auxiliar'!A:A,"-",0)</f>
        <v>ARAGUAIA</v>
      </c>
      <c r="B95" s="55" t="str">
        <f>_xlfn.XLOOKUP($G95,'.Auxiliar'!$G:$G,'.Auxiliar'!B:B,"-",0)</f>
        <v>PAVIMENTAÇÃO</v>
      </c>
      <c r="C95" s="55" t="str">
        <f>_xlfn.XLOOKUP($G95,'.Auxiliar'!$G:$G,'.Auxiliar'!C:C,"-",0)</f>
        <v>Não Consta (Crescente)</v>
      </c>
      <c r="D95" s="55">
        <f>_xlfn.XLOOKUP($G95,'.Auxiliar'!$G:$G,'.Auxiliar'!D:D,"-",0)</f>
        <v>622.70000000000005</v>
      </c>
      <c r="E95" s="55">
        <f>_xlfn.XLOOKUP($G95,'.Auxiliar'!$G:$G,'.Auxiliar'!E:E,"-",0)</f>
        <v>624.29999999999995</v>
      </c>
      <c r="F95" s="55">
        <f>_xlfn.XLOOKUP($G95,'.Auxiliar'!$G:$G,'.Auxiliar'!F:F,"-",0)</f>
        <v>1.5999999999999091</v>
      </c>
      <c r="G95" s="59" t="s">
        <v>876</v>
      </c>
      <c r="H95" s="108" t="s">
        <v>0</v>
      </c>
      <c r="I95" s="109" t="s">
        <v>0</v>
      </c>
      <c r="J95" s="109" t="s">
        <v>363</v>
      </c>
      <c r="K95" s="109" t="s">
        <v>0</v>
      </c>
      <c r="L95" s="109" t="s">
        <v>0</v>
      </c>
      <c r="M95" s="109" t="s">
        <v>0</v>
      </c>
      <c r="N95" s="110" t="s">
        <v>0</v>
      </c>
      <c r="O95" s="94"/>
      <c r="P95" s="95"/>
      <c r="Q95" s="95">
        <v>3.5</v>
      </c>
      <c r="R95" s="95">
        <v>3.5</v>
      </c>
      <c r="S95" s="95">
        <v>96.5</v>
      </c>
      <c r="T95" s="95">
        <v>0</v>
      </c>
      <c r="U95" s="95">
        <f t="shared" si="3"/>
        <v>96.5</v>
      </c>
      <c r="V95" s="95"/>
      <c r="W95" s="95"/>
      <c r="X95" s="96"/>
      <c r="Y95" s="96">
        <f t="shared" si="4"/>
        <v>100</v>
      </c>
      <c r="Z95" s="107">
        <f t="shared" si="5"/>
        <v>3.5</v>
      </c>
    </row>
    <row r="96" spans="1:26" x14ac:dyDescent="0.25">
      <c r="A96" s="55" t="str">
        <f>_xlfn.XLOOKUP($G96,'.Auxiliar'!$G:$G,'.Auxiliar'!A:A,"-",0)</f>
        <v>ARAGUAIA</v>
      </c>
      <c r="B96" s="55" t="str">
        <f>_xlfn.XLOOKUP($G96,'.Auxiliar'!$G:$G,'.Auxiliar'!B:B,"-",0)</f>
        <v>PAVIMENTAÇÃO</v>
      </c>
      <c r="C96" s="55" t="str">
        <f>_xlfn.XLOOKUP($G96,'.Auxiliar'!$G:$G,'.Auxiliar'!C:C,"-",0)</f>
        <v>Não Consta (Crescente)</v>
      </c>
      <c r="D96" s="55">
        <f>_xlfn.XLOOKUP($G96,'.Auxiliar'!$G:$G,'.Auxiliar'!D:D,"-",0)</f>
        <v>671.4</v>
      </c>
      <c r="E96" s="55">
        <f>_xlfn.XLOOKUP($G96,'.Auxiliar'!$G:$G,'.Auxiliar'!E:E,"-",0)</f>
        <v>676.8</v>
      </c>
      <c r="F96" s="55">
        <f>_xlfn.XLOOKUP($G96,'.Auxiliar'!$G:$G,'.Auxiliar'!F:F,"-",0)</f>
        <v>5.3999999999999773</v>
      </c>
      <c r="G96" s="59" t="s">
        <v>878</v>
      </c>
      <c r="H96" s="108" t="s">
        <v>0</v>
      </c>
      <c r="I96" s="109" t="s">
        <v>0</v>
      </c>
      <c r="J96" s="109" t="s">
        <v>363</v>
      </c>
      <c r="K96" s="109" t="s">
        <v>0</v>
      </c>
      <c r="L96" s="109" t="s">
        <v>0</v>
      </c>
      <c r="M96" s="109" t="s">
        <v>0</v>
      </c>
      <c r="N96" s="110" t="s">
        <v>0</v>
      </c>
      <c r="O96" s="94"/>
      <c r="P96" s="95"/>
      <c r="Q96" s="95">
        <v>3.5</v>
      </c>
      <c r="R96" s="95">
        <v>3.5</v>
      </c>
      <c r="S96" s="95">
        <v>96.5</v>
      </c>
      <c r="T96" s="95">
        <v>0</v>
      </c>
      <c r="U96" s="95">
        <f t="shared" si="3"/>
        <v>96.5</v>
      </c>
      <c r="V96" s="95"/>
      <c r="W96" s="95"/>
      <c r="X96" s="96"/>
      <c r="Y96" s="96">
        <f t="shared" si="4"/>
        <v>100</v>
      </c>
      <c r="Z96" s="107">
        <f t="shared" si="5"/>
        <v>3.5</v>
      </c>
    </row>
    <row r="97" spans="1:26" x14ac:dyDescent="0.25">
      <c r="A97" s="55" t="str">
        <f>_xlfn.XLOOKUP($G97,'.Auxiliar'!$G:$G,'.Auxiliar'!A:A,"-",0)</f>
        <v>ARAGUAIA</v>
      </c>
      <c r="B97" s="55" t="str">
        <f>_xlfn.XLOOKUP($G97,'.Auxiliar'!$G:$G,'.Auxiliar'!B:B,"-",0)</f>
        <v>PAVIMENTAÇÃO</v>
      </c>
      <c r="C97" s="55" t="str">
        <f>_xlfn.XLOOKUP($G97,'.Auxiliar'!$G:$G,'.Auxiliar'!C:C,"-",0)</f>
        <v>Não Consta (Crescente)</v>
      </c>
      <c r="D97" s="55">
        <f>_xlfn.XLOOKUP($G97,'.Auxiliar'!$G:$G,'.Auxiliar'!D:D,"-",0)</f>
        <v>68.400000000000006</v>
      </c>
      <c r="E97" s="55">
        <f>_xlfn.XLOOKUP($G97,'.Auxiliar'!$G:$G,'.Auxiliar'!E:E,"-",0)</f>
        <v>75.8</v>
      </c>
      <c r="F97" s="55">
        <f>_xlfn.XLOOKUP($G97,'.Auxiliar'!$G:$G,'.Auxiliar'!F:F,"-",0)</f>
        <v>7.3999999999999915</v>
      </c>
      <c r="G97" s="59" t="s">
        <v>1101</v>
      </c>
      <c r="H97" s="108" t="s">
        <v>0</v>
      </c>
      <c r="I97" s="109" t="s">
        <v>0</v>
      </c>
      <c r="J97" s="109" t="s">
        <v>0</v>
      </c>
      <c r="K97" s="109" t="s">
        <v>0</v>
      </c>
      <c r="L97" s="109" t="s">
        <v>0</v>
      </c>
      <c r="M97" s="109" t="s">
        <v>0</v>
      </c>
      <c r="N97" s="110" t="s">
        <v>363</v>
      </c>
      <c r="O97" s="94"/>
      <c r="P97" s="95"/>
      <c r="Q97" s="95"/>
      <c r="R97" s="95"/>
      <c r="S97" s="95"/>
      <c r="T97" s="95"/>
      <c r="U97" s="95" t="str">
        <f t="shared" si="3"/>
        <v/>
      </c>
      <c r="V97" s="95"/>
      <c r="W97" s="95"/>
      <c r="X97" s="96">
        <v>100</v>
      </c>
      <c r="Y97" s="96">
        <f t="shared" si="4"/>
        <v>100</v>
      </c>
      <c r="Z97" s="107">
        <f t="shared" si="5"/>
        <v>0</v>
      </c>
    </row>
    <row r="98" spans="1:26" x14ac:dyDescent="0.25">
      <c r="A98" s="55" t="str">
        <f>_xlfn.XLOOKUP($G98,'.Auxiliar'!$G:$G,'.Auxiliar'!A:A,"-",0)</f>
        <v>ARAGUAIA</v>
      </c>
      <c r="B98" s="55" t="str">
        <f>_xlfn.XLOOKUP($G98,'.Auxiliar'!$G:$G,'.Auxiliar'!B:B,"-",0)</f>
        <v>PAVIMENTAÇÃO</v>
      </c>
      <c r="C98" s="55" t="str">
        <f>_xlfn.XLOOKUP($G98,'.Auxiliar'!$G:$G,'.Auxiliar'!C:C,"-",0)</f>
        <v>Não Consta (Crescente)</v>
      </c>
      <c r="D98" s="55">
        <f>_xlfn.XLOOKUP($G98,'.Auxiliar'!$G:$G,'.Auxiliar'!D:D,"-",0)</f>
        <v>720.8</v>
      </c>
      <c r="E98" s="55">
        <f>_xlfn.XLOOKUP($G98,'.Auxiliar'!$G:$G,'.Auxiliar'!E:E,"-",0)</f>
        <v>723.9</v>
      </c>
      <c r="F98" s="55">
        <f>_xlfn.XLOOKUP($G98,'.Auxiliar'!$G:$G,'.Auxiliar'!F:F,"-",0)</f>
        <v>3.1000000000000227</v>
      </c>
      <c r="G98" s="59" t="s">
        <v>991</v>
      </c>
      <c r="H98" s="108" t="s">
        <v>0</v>
      </c>
      <c r="I98" s="109" t="s">
        <v>0</v>
      </c>
      <c r="J98" s="109" t="s">
        <v>0</v>
      </c>
      <c r="K98" s="109" t="s">
        <v>0</v>
      </c>
      <c r="L98" s="109" t="s">
        <v>363</v>
      </c>
      <c r="M98" s="109" t="s">
        <v>0</v>
      </c>
      <c r="N98" s="110" t="s">
        <v>0</v>
      </c>
      <c r="O98" s="94"/>
      <c r="P98" s="95"/>
      <c r="Q98" s="95"/>
      <c r="R98" s="95"/>
      <c r="S98" s="95"/>
      <c r="T98" s="95"/>
      <c r="U98" s="95" t="str">
        <f t="shared" si="3"/>
        <v/>
      </c>
      <c r="V98" s="95">
        <v>100</v>
      </c>
      <c r="W98" s="95"/>
      <c r="X98" s="96"/>
      <c r="Y98" s="96">
        <f t="shared" si="4"/>
        <v>100</v>
      </c>
      <c r="Z98" s="107">
        <f t="shared" si="5"/>
        <v>0</v>
      </c>
    </row>
    <row r="99" spans="1:26" x14ac:dyDescent="0.25">
      <c r="A99" s="55" t="str">
        <f>_xlfn.XLOOKUP($G99,'.Auxiliar'!$G:$G,'.Auxiliar'!A:A,"-",0)</f>
        <v>ARAGUAIA</v>
      </c>
      <c r="B99" s="55" t="str">
        <f>_xlfn.XLOOKUP($G99,'.Auxiliar'!$G:$G,'.Auxiliar'!B:B,"-",0)</f>
        <v>PAVIMENTAÇÃO</v>
      </c>
      <c r="C99" s="55" t="str">
        <f>_xlfn.XLOOKUP($G99,'.Auxiliar'!$G:$G,'.Auxiliar'!C:C,"-",0)</f>
        <v>Não Consta (Crescente)</v>
      </c>
      <c r="D99" s="55">
        <f>_xlfn.XLOOKUP($G99,'.Auxiliar'!$G:$G,'.Auxiliar'!D:D,"-",0)</f>
        <v>759.7</v>
      </c>
      <c r="E99" s="55">
        <f>_xlfn.XLOOKUP($G99,'.Auxiliar'!$G:$G,'.Auxiliar'!E:E,"-",0)</f>
        <v>762.9</v>
      </c>
      <c r="F99" s="55">
        <f>_xlfn.XLOOKUP($G99,'.Auxiliar'!$G:$G,'.Auxiliar'!F:F,"-",0)</f>
        <v>3.1999999999999318</v>
      </c>
      <c r="G99" s="59" t="s">
        <v>993</v>
      </c>
      <c r="H99" s="108" t="s">
        <v>0</v>
      </c>
      <c r="I99" s="109" t="s">
        <v>0</v>
      </c>
      <c r="J99" s="109" t="s">
        <v>0</v>
      </c>
      <c r="K99" s="109" t="s">
        <v>0</v>
      </c>
      <c r="L99" s="109" t="s">
        <v>363</v>
      </c>
      <c r="M99" s="109" t="s">
        <v>0</v>
      </c>
      <c r="N99" s="110" t="s">
        <v>0</v>
      </c>
      <c r="O99" s="94"/>
      <c r="P99" s="95"/>
      <c r="Q99" s="95"/>
      <c r="R99" s="95"/>
      <c r="S99" s="95"/>
      <c r="T99" s="95"/>
      <c r="U99" s="95" t="str">
        <f t="shared" si="3"/>
        <v/>
      </c>
      <c r="V99" s="95">
        <v>100</v>
      </c>
      <c r="W99" s="95"/>
      <c r="X99" s="96"/>
      <c r="Y99" s="96">
        <f t="shared" si="4"/>
        <v>100</v>
      </c>
      <c r="Z99" s="107">
        <f t="shared" si="5"/>
        <v>0</v>
      </c>
    </row>
    <row r="100" spans="1:26" x14ac:dyDescent="0.25">
      <c r="A100" s="55" t="str">
        <f>_xlfn.XLOOKUP($G100,'.Auxiliar'!$G:$G,'.Auxiliar'!A:A,"-",0)</f>
        <v>ARAGUAIA</v>
      </c>
      <c r="B100" s="55" t="str">
        <f>_xlfn.XLOOKUP($G100,'.Auxiliar'!$G:$G,'.Auxiliar'!B:B,"-",0)</f>
        <v>PAVIMENTAÇÃO</v>
      </c>
      <c r="C100" s="55" t="str">
        <f>_xlfn.XLOOKUP($G100,'.Auxiliar'!$G:$G,'.Auxiliar'!C:C,"-",0)</f>
        <v>Não Consta (Decrescente)</v>
      </c>
      <c r="D100" s="55">
        <f>_xlfn.XLOOKUP($G100,'.Auxiliar'!$G:$G,'.Auxiliar'!D:D,"-",0)</f>
        <v>175</v>
      </c>
      <c r="E100" s="55">
        <f>_xlfn.XLOOKUP($G100,'.Auxiliar'!$G:$G,'.Auxiliar'!E:E,"-",0)</f>
        <v>175.8</v>
      </c>
      <c r="F100" s="55">
        <f>_xlfn.XLOOKUP($G100,'.Auxiliar'!$G:$G,'.Auxiliar'!F:F,"-",0)</f>
        <v>0.80000000000001137</v>
      </c>
      <c r="G100" s="59" t="s">
        <v>1104</v>
      </c>
      <c r="H100" s="108" t="s">
        <v>0</v>
      </c>
      <c r="I100" s="109" t="s">
        <v>0</v>
      </c>
      <c r="J100" s="109" t="s">
        <v>0</v>
      </c>
      <c r="K100" s="109" t="s">
        <v>0</v>
      </c>
      <c r="L100" s="109" t="s">
        <v>0</v>
      </c>
      <c r="M100" s="109" t="s">
        <v>0</v>
      </c>
      <c r="N100" s="110" t="s">
        <v>363</v>
      </c>
      <c r="O100" s="94"/>
      <c r="P100" s="95"/>
      <c r="Q100" s="95"/>
      <c r="R100" s="95"/>
      <c r="S100" s="95"/>
      <c r="T100" s="95"/>
      <c r="U100" s="95" t="str">
        <f t="shared" si="3"/>
        <v/>
      </c>
      <c r="V100" s="95"/>
      <c r="W100" s="95"/>
      <c r="X100" s="96">
        <v>100</v>
      </c>
      <c r="Y100" s="96">
        <f t="shared" si="4"/>
        <v>100</v>
      </c>
      <c r="Z100" s="107">
        <f t="shared" si="5"/>
        <v>0</v>
      </c>
    </row>
    <row r="101" spans="1:26" x14ac:dyDescent="0.25">
      <c r="A101" s="55" t="str">
        <f>_xlfn.XLOOKUP($G101,'.Auxiliar'!$G:$G,'.Auxiliar'!A:A,"-",0)</f>
        <v>ARAGUAIA</v>
      </c>
      <c r="B101" s="55" t="str">
        <f>_xlfn.XLOOKUP($G101,'.Auxiliar'!$G:$G,'.Auxiliar'!B:B,"-",0)</f>
        <v>PAVIMENTAÇÃO</v>
      </c>
      <c r="C101" s="55" t="str">
        <f>_xlfn.XLOOKUP($G101,'.Auxiliar'!$G:$G,'.Auxiliar'!C:C,"-",0)</f>
        <v>Não Consta (Decrescente)</v>
      </c>
      <c r="D101" s="55">
        <f>_xlfn.XLOOKUP($G101,'.Auxiliar'!$G:$G,'.Auxiliar'!D:D,"-",0)</f>
        <v>197.9</v>
      </c>
      <c r="E101" s="55">
        <f>_xlfn.XLOOKUP($G101,'.Auxiliar'!$G:$G,'.Auxiliar'!E:E,"-",0)</f>
        <v>202.5</v>
      </c>
      <c r="F101" s="55">
        <f>_xlfn.XLOOKUP($G101,'.Auxiliar'!$G:$G,'.Auxiliar'!F:F,"-",0)</f>
        <v>4.5999999999999943</v>
      </c>
      <c r="G101" s="59" t="s">
        <v>995</v>
      </c>
      <c r="H101" s="108" t="s">
        <v>0</v>
      </c>
      <c r="I101" s="109" t="s">
        <v>0</v>
      </c>
      <c r="J101" s="109" t="s">
        <v>0</v>
      </c>
      <c r="K101" s="109" t="s">
        <v>0</v>
      </c>
      <c r="L101" s="109" t="s">
        <v>363</v>
      </c>
      <c r="M101" s="109" t="s">
        <v>0</v>
      </c>
      <c r="N101" s="110" t="s">
        <v>0</v>
      </c>
      <c r="O101" s="94"/>
      <c r="P101" s="95"/>
      <c r="Q101" s="95"/>
      <c r="R101" s="95"/>
      <c r="S101" s="95"/>
      <c r="T101" s="95"/>
      <c r="U101" s="95" t="str">
        <f t="shared" si="3"/>
        <v/>
      </c>
      <c r="V101" s="95">
        <v>100</v>
      </c>
      <c r="W101" s="95"/>
      <c r="X101" s="96"/>
      <c r="Y101" s="96">
        <f t="shared" si="4"/>
        <v>100</v>
      </c>
      <c r="Z101" s="107">
        <f t="shared" si="5"/>
        <v>0</v>
      </c>
    </row>
    <row r="102" spans="1:26" x14ac:dyDescent="0.25">
      <c r="A102" s="55" t="str">
        <f>_xlfn.XLOOKUP($G102,'.Auxiliar'!$G:$G,'.Auxiliar'!A:A,"-",0)</f>
        <v>ARAGUAIA</v>
      </c>
      <c r="B102" s="55" t="str">
        <f>_xlfn.XLOOKUP($G102,'.Auxiliar'!$G:$G,'.Auxiliar'!B:B,"-",0)</f>
        <v>PAVIMENTAÇÃO</v>
      </c>
      <c r="C102" s="55" t="str">
        <f>_xlfn.XLOOKUP($G102,'.Auxiliar'!$G:$G,'.Auxiliar'!C:C,"-",0)</f>
        <v>Não Consta (Decrescente)</v>
      </c>
      <c r="D102" s="55">
        <f>_xlfn.XLOOKUP($G102,'.Auxiliar'!$G:$G,'.Auxiliar'!D:D,"-",0)</f>
        <v>265</v>
      </c>
      <c r="E102" s="55">
        <f>_xlfn.XLOOKUP($G102,'.Auxiliar'!$G:$G,'.Auxiliar'!E:E,"-",0)</f>
        <v>265.3</v>
      </c>
      <c r="F102" s="55">
        <f>_xlfn.XLOOKUP($G102,'.Auxiliar'!$G:$G,'.Auxiliar'!F:F,"-",0)</f>
        <v>0.30000000000001137</v>
      </c>
      <c r="G102" s="59" t="s">
        <v>1106</v>
      </c>
      <c r="H102" s="108" t="s">
        <v>0</v>
      </c>
      <c r="I102" s="109" t="s">
        <v>0</v>
      </c>
      <c r="J102" s="109" t="s">
        <v>0</v>
      </c>
      <c r="K102" s="109" t="s">
        <v>0</v>
      </c>
      <c r="L102" s="109" t="s">
        <v>0</v>
      </c>
      <c r="M102" s="109" t="s">
        <v>0</v>
      </c>
      <c r="N102" s="110" t="s">
        <v>363</v>
      </c>
      <c r="O102" s="94"/>
      <c r="P102" s="95"/>
      <c r="Q102" s="95"/>
      <c r="R102" s="95"/>
      <c r="S102" s="95"/>
      <c r="T102" s="95"/>
      <c r="U102" s="95" t="str">
        <f t="shared" si="3"/>
        <v/>
      </c>
      <c r="V102" s="95"/>
      <c r="W102" s="95"/>
      <c r="X102" s="96">
        <v>100</v>
      </c>
      <c r="Y102" s="96">
        <f t="shared" si="4"/>
        <v>100</v>
      </c>
      <c r="Z102" s="107">
        <f t="shared" si="5"/>
        <v>0</v>
      </c>
    </row>
    <row r="103" spans="1:26" x14ac:dyDescent="0.25">
      <c r="A103" s="55" t="str">
        <f>_xlfn.XLOOKUP($G103,'.Auxiliar'!$G:$G,'.Auxiliar'!A:A,"-",0)</f>
        <v>ARAGUAIA</v>
      </c>
      <c r="B103" s="55" t="str">
        <f>_xlfn.XLOOKUP($G103,'.Auxiliar'!$G:$G,'.Auxiliar'!B:B,"-",0)</f>
        <v>PAVIMENTAÇÃO</v>
      </c>
      <c r="C103" s="55" t="str">
        <f>_xlfn.XLOOKUP($G103,'.Auxiliar'!$G:$G,'.Auxiliar'!C:C,"-",0)</f>
        <v>Não Consta (Decrescente)</v>
      </c>
      <c r="D103" s="55">
        <f>_xlfn.XLOOKUP($G103,'.Auxiliar'!$G:$G,'.Auxiliar'!D:D,"-",0)</f>
        <v>284.2</v>
      </c>
      <c r="E103" s="55">
        <f>_xlfn.XLOOKUP($G103,'.Auxiliar'!$G:$G,'.Auxiliar'!E:E,"-",0)</f>
        <v>284.8</v>
      </c>
      <c r="F103" s="55">
        <f>_xlfn.XLOOKUP($G103,'.Auxiliar'!$G:$G,'.Auxiliar'!F:F,"-",0)</f>
        <v>0.60000000000002274</v>
      </c>
      <c r="G103" s="59" t="s">
        <v>1029</v>
      </c>
      <c r="H103" s="108" t="s">
        <v>0</v>
      </c>
      <c r="I103" s="109" t="s">
        <v>0</v>
      </c>
      <c r="J103" s="109" t="s">
        <v>0</v>
      </c>
      <c r="K103" s="109" t="s">
        <v>0</v>
      </c>
      <c r="L103" s="109" t="s">
        <v>0</v>
      </c>
      <c r="M103" s="109" t="s">
        <v>363</v>
      </c>
      <c r="N103" s="110" t="s">
        <v>0</v>
      </c>
      <c r="O103" s="94"/>
      <c r="P103" s="95"/>
      <c r="Q103" s="95"/>
      <c r="R103" s="95"/>
      <c r="S103" s="95"/>
      <c r="T103" s="95"/>
      <c r="U103" s="95" t="str">
        <f t="shared" si="3"/>
        <v/>
      </c>
      <c r="V103" s="95"/>
      <c r="W103" s="95">
        <v>100</v>
      </c>
      <c r="X103" s="96"/>
      <c r="Y103" s="96">
        <f t="shared" si="4"/>
        <v>100</v>
      </c>
      <c r="Z103" s="107">
        <f t="shared" si="5"/>
        <v>0</v>
      </c>
    </row>
    <row r="104" spans="1:26" x14ac:dyDescent="0.25">
      <c r="A104" s="55" t="str">
        <f>_xlfn.XLOOKUP($G104,'.Auxiliar'!$G:$G,'.Auxiliar'!A:A,"-",0)</f>
        <v>ARAGUAIA</v>
      </c>
      <c r="B104" s="55" t="str">
        <f>_xlfn.XLOOKUP($G104,'.Auxiliar'!$G:$G,'.Auxiliar'!B:B,"-",0)</f>
        <v>PAVIMENTAÇÃO</v>
      </c>
      <c r="C104" s="55" t="str">
        <f>_xlfn.XLOOKUP($G104,'.Auxiliar'!$G:$G,'.Auxiliar'!C:C,"-",0)</f>
        <v>Não Consta (Decrescente)</v>
      </c>
      <c r="D104" s="55">
        <f>_xlfn.XLOOKUP($G104,'.Auxiliar'!$G:$G,'.Auxiliar'!D:D,"-",0)</f>
        <v>300.5</v>
      </c>
      <c r="E104" s="55">
        <f>_xlfn.XLOOKUP($G104,'.Auxiliar'!$G:$G,'.Auxiliar'!E:E,"-",0)</f>
        <v>302.39999999999998</v>
      </c>
      <c r="F104" s="55">
        <f>_xlfn.XLOOKUP($G104,'.Auxiliar'!$G:$G,'.Auxiliar'!F:F,"-",0)</f>
        <v>1.8999999999999773</v>
      </c>
      <c r="G104" s="59" t="s">
        <v>997</v>
      </c>
      <c r="H104" s="108" t="s">
        <v>0</v>
      </c>
      <c r="I104" s="109" t="s">
        <v>0</v>
      </c>
      <c r="J104" s="109" t="s">
        <v>0</v>
      </c>
      <c r="K104" s="109" t="s">
        <v>0</v>
      </c>
      <c r="L104" s="109" t="s">
        <v>363</v>
      </c>
      <c r="M104" s="109" t="s">
        <v>0</v>
      </c>
      <c r="N104" s="110" t="s">
        <v>0</v>
      </c>
      <c r="O104" s="94"/>
      <c r="P104" s="95"/>
      <c r="Q104" s="95"/>
      <c r="R104" s="95"/>
      <c r="S104" s="95"/>
      <c r="T104" s="95"/>
      <c r="U104" s="95" t="str">
        <f t="shared" si="3"/>
        <v/>
      </c>
      <c r="V104" s="95">
        <v>100</v>
      </c>
      <c r="W104" s="95"/>
      <c r="X104" s="96"/>
      <c r="Y104" s="96">
        <f t="shared" si="4"/>
        <v>100</v>
      </c>
      <c r="Z104" s="107">
        <f t="shared" si="5"/>
        <v>0</v>
      </c>
    </row>
    <row r="105" spans="1:26" x14ac:dyDescent="0.25">
      <c r="A105" s="55" t="str">
        <f>_xlfn.XLOOKUP($G105,'.Auxiliar'!$G:$G,'.Auxiliar'!A:A,"-",0)</f>
        <v>ARAGUAIA</v>
      </c>
      <c r="B105" s="55" t="str">
        <f>_xlfn.XLOOKUP($G105,'.Auxiliar'!$G:$G,'.Auxiliar'!B:B,"-",0)</f>
        <v>PAVIMENTAÇÃO</v>
      </c>
      <c r="C105" s="55" t="str">
        <f>_xlfn.XLOOKUP($G105,'.Auxiliar'!$G:$G,'.Auxiliar'!C:C,"-",0)</f>
        <v>Não Consta (Decrescente)</v>
      </c>
      <c r="D105" s="55">
        <f>_xlfn.XLOOKUP($G105,'.Auxiliar'!$G:$G,'.Auxiliar'!D:D,"-",0)</f>
        <v>318.8</v>
      </c>
      <c r="E105" s="55">
        <f>_xlfn.XLOOKUP($G105,'.Auxiliar'!$G:$G,'.Auxiliar'!E:E,"-",0)</f>
        <v>319.39999999999998</v>
      </c>
      <c r="F105" s="55">
        <f>_xlfn.XLOOKUP($G105,'.Auxiliar'!$G:$G,'.Auxiliar'!F:F,"-",0)</f>
        <v>0.59999999999996589</v>
      </c>
      <c r="G105" s="59" t="s">
        <v>1000</v>
      </c>
      <c r="H105" s="108" t="s">
        <v>0</v>
      </c>
      <c r="I105" s="109" t="s">
        <v>0</v>
      </c>
      <c r="J105" s="109" t="s">
        <v>0</v>
      </c>
      <c r="K105" s="109" t="s">
        <v>0</v>
      </c>
      <c r="L105" s="109" t="s">
        <v>363</v>
      </c>
      <c r="M105" s="109" t="s">
        <v>0</v>
      </c>
      <c r="N105" s="110" t="s">
        <v>0</v>
      </c>
      <c r="O105" s="94"/>
      <c r="P105" s="95"/>
      <c r="Q105" s="95"/>
      <c r="R105" s="95"/>
      <c r="S105" s="95"/>
      <c r="T105" s="95"/>
      <c r="U105" s="95" t="str">
        <f t="shared" si="3"/>
        <v/>
      </c>
      <c r="V105" s="95">
        <v>100</v>
      </c>
      <c r="W105" s="95"/>
      <c r="X105" s="96"/>
      <c r="Y105" s="96">
        <f t="shared" si="4"/>
        <v>100</v>
      </c>
      <c r="Z105" s="107">
        <f t="shared" si="5"/>
        <v>0</v>
      </c>
    </row>
    <row r="106" spans="1:26" x14ac:dyDescent="0.25">
      <c r="A106" s="55" t="str">
        <f>_xlfn.XLOOKUP($G106,'.Auxiliar'!$G:$G,'.Auxiliar'!A:A,"-",0)</f>
        <v>ARAGUAIA</v>
      </c>
      <c r="B106" s="55" t="str">
        <f>_xlfn.XLOOKUP($G106,'.Auxiliar'!$G:$G,'.Auxiliar'!B:B,"-",0)</f>
        <v>PAVIMENTAÇÃO</v>
      </c>
      <c r="C106" s="55" t="str">
        <f>_xlfn.XLOOKUP($G106,'.Auxiliar'!$G:$G,'.Auxiliar'!C:C,"-",0)</f>
        <v>Não Consta (Decrescente)</v>
      </c>
      <c r="D106" s="55">
        <f>_xlfn.XLOOKUP($G106,'.Auxiliar'!$G:$G,'.Auxiliar'!D:D,"-",0)</f>
        <v>409.4</v>
      </c>
      <c r="E106" s="55">
        <f>_xlfn.XLOOKUP($G106,'.Auxiliar'!$G:$G,'.Auxiliar'!E:E,"-",0)</f>
        <v>410.56</v>
      </c>
      <c r="F106" s="55">
        <f>_xlfn.XLOOKUP($G106,'.Auxiliar'!$G:$G,'.Auxiliar'!F:F,"-",0)</f>
        <v>1.160000000000025</v>
      </c>
      <c r="G106" s="59" t="s">
        <v>1116</v>
      </c>
      <c r="H106" s="108" t="s">
        <v>0</v>
      </c>
      <c r="I106" s="109" t="s">
        <v>0</v>
      </c>
      <c r="J106" s="109" t="s">
        <v>0</v>
      </c>
      <c r="K106" s="109" t="s">
        <v>0</v>
      </c>
      <c r="L106" s="109" t="s">
        <v>0</v>
      </c>
      <c r="M106" s="109" t="s">
        <v>0</v>
      </c>
      <c r="N106" s="110" t="s">
        <v>363</v>
      </c>
      <c r="O106" s="94"/>
      <c r="P106" s="95"/>
      <c r="Q106" s="95"/>
      <c r="R106" s="95"/>
      <c r="S106" s="95"/>
      <c r="T106" s="95"/>
      <c r="U106" s="95" t="str">
        <f t="shared" si="3"/>
        <v/>
      </c>
      <c r="V106" s="95"/>
      <c r="W106" s="95"/>
      <c r="X106" s="96">
        <v>100</v>
      </c>
      <c r="Y106" s="96">
        <f t="shared" si="4"/>
        <v>100</v>
      </c>
      <c r="Z106" s="107">
        <f t="shared" si="5"/>
        <v>0</v>
      </c>
    </row>
    <row r="107" spans="1:26" x14ac:dyDescent="0.25">
      <c r="A107" s="55" t="str">
        <f>_xlfn.XLOOKUP($G107,'.Auxiliar'!$G:$G,'.Auxiliar'!A:A,"-",0)</f>
        <v>ARAGUAIA</v>
      </c>
      <c r="B107" s="55" t="str">
        <f>_xlfn.XLOOKUP($G107,'.Auxiliar'!$G:$G,'.Auxiliar'!B:B,"-",0)</f>
        <v>PAVIMENTAÇÃO</v>
      </c>
      <c r="C107" s="55" t="str">
        <f>_xlfn.XLOOKUP($G107,'.Auxiliar'!$G:$G,'.Auxiliar'!C:C,"-",0)</f>
        <v>Não Consta (Decrescente)</v>
      </c>
      <c r="D107" s="55">
        <f>_xlfn.XLOOKUP($G107,'.Auxiliar'!$G:$G,'.Auxiliar'!D:D,"-",0)</f>
        <v>432</v>
      </c>
      <c r="E107" s="55">
        <f>_xlfn.XLOOKUP($G107,'.Auxiliar'!$G:$G,'.Auxiliar'!E:E,"-",0)</f>
        <v>436.5</v>
      </c>
      <c r="F107" s="55">
        <f>_xlfn.XLOOKUP($G107,'.Auxiliar'!$G:$G,'.Auxiliar'!F:F,"-",0)</f>
        <v>4.5</v>
      </c>
      <c r="G107" s="59" t="s">
        <v>1112</v>
      </c>
      <c r="H107" s="108" t="s">
        <v>0</v>
      </c>
      <c r="I107" s="109" t="s">
        <v>0</v>
      </c>
      <c r="J107" s="109" t="s">
        <v>0</v>
      </c>
      <c r="K107" s="109" t="s">
        <v>0</v>
      </c>
      <c r="L107" s="109" t="s">
        <v>0</v>
      </c>
      <c r="M107" s="109" t="s">
        <v>0</v>
      </c>
      <c r="N107" s="110" t="s">
        <v>363</v>
      </c>
      <c r="O107" s="94"/>
      <c r="P107" s="95"/>
      <c r="Q107" s="95"/>
      <c r="R107" s="95"/>
      <c r="S107" s="95"/>
      <c r="T107" s="95"/>
      <c r="U107" s="95" t="str">
        <f t="shared" si="3"/>
        <v/>
      </c>
      <c r="V107" s="95"/>
      <c r="W107" s="95"/>
      <c r="X107" s="96">
        <v>100</v>
      </c>
      <c r="Y107" s="96">
        <f t="shared" si="4"/>
        <v>100</v>
      </c>
      <c r="Z107" s="107">
        <f t="shared" si="5"/>
        <v>0</v>
      </c>
    </row>
    <row r="108" spans="1:26" x14ac:dyDescent="0.25">
      <c r="A108" s="55" t="str">
        <f>_xlfn.XLOOKUP($G108,'.Auxiliar'!$G:$G,'.Auxiliar'!A:A,"-",0)</f>
        <v>ARAGUAIA</v>
      </c>
      <c r="B108" s="55" t="str">
        <f>_xlfn.XLOOKUP($G108,'.Auxiliar'!$G:$G,'.Auxiliar'!B:B,"-",0)</f>
        <v>PAVIMENTAÇÃO</v>
      </c>
      <c r="C108" s="55" t="str">
        <f>_xlfn.XLOOKUP($G108,'.Auxiliar'!$G:$G,'.Auxiliar'!C:C,"-",0)</f>
        <v>Não Consta (Decrescente)</v>
      </c>
      <c r="D108" s="55">
        <f>_xlfn.XLOOKUP($G108,'.Auxiliar'!$G:$G,'.Auxiliar'!D:D,"-",0)</f>
        <v>435.35500000000002</v>
      </c>
      <c r="E108" s="55">
        <f>_xlfn.XLOOKUP($G108,'.Auxiliar'!$G:$G,'.Auxiliar'!E:E,"-",0)</f>
        <v>435.976</v>
      </c>
      <c r="F108" s="55">
        <f>_xlfn.XLOOKUP($G108,'.Auxiliar'!$G:$G,'.Auxiliar'!F:F,"-",0)</f>
        <v>0.6209999999999809</v>
      </c>
      <c r="G108" s="59" t="s">
        <v>1118</v>
      </c>
      <c r="H108" s="108" t="s">
        <v>0</v>
      </c>
      <c r="I108" s="109" t="s">
        <v>0</v>
      </c>
      <c r="J108" s="109" t="s">
        <v>0</v>
      </c>
      <c r="K108" s="109" t="s">
        <v>0</v>
      </c>
      <c r="L108" s="109" t="s">
        <v>0</v>
      </c>
      <c r="M108" s="109" t="s">
        <v>0</v>
      </c>
      <c r="N108" s="110" t="s">
        <v>363</v>
      </c>
      <c r="O108" s="94"/>
      <c r="P108" s="95"/>
      <c r="Q108" s="95"/>
      <c r="R108" s="95"/>
      <c r="S108" s="95"/>
      <c r="T108" s="95"/>
      <c r="U108" s="95" t="str">
        <f t="shared" si="3"/>
        <v/>
      </c>
      <c r="V108" s="95"/>
      <c r="W108" s="95"/>
      <c r="X108" s="96">
        <v>100</v>
      </c>
      <c r="Y108" s="96">
        <f t="shared" si="4"/>
        <v>100</v>
      </c>
      <c r="Z108" s="107">
        <f t="shared" si="5"/>
        <v>0</v>
      </c>
    </row>
    <row r="109" spans="1:26" x14ac:dyDescent="0.25">
      <c r="A109" s="55" t="str">
        <f>_xlfn.XLOOKUP($G109,'.Auxiliar'!$G:$G,'.Auxiliar'!A:A,"-",0)</f>
        <v>ARAGUAIA</v>
      </c>
      <c r="B109" s="55" t="str">
        <f>_xlfn.XLOOKUP($G109,'.Auxiliar'!$G:$G,'.Auxiliar'!B:B,"-",0)</f>
        <v>PAVIMENTAÇÃO</v>
      </c>
      <c r="C109" s="55" t="str">
        <f>_xlfn.XLOOKUP($G109,'.Auxiliar'!$G:$G,'.Auxiliar'!C:C,"-",0)</f>
        <v>Não Consta (Decrescente)</v>
      </c>
      <c r="D109" s="55">
        <f>_xlfn.XLOOKUP($G109,'.Auxiliar'!$G:$G,'.Auxiliar'!D:D,"-",0)</f>
        <v>439.05</v>
      </c>
      <c r="E109" s="55">
        <f>_xlfn.XLOOKUP($G109,'.Auxiliar'!$G:$G,'.Auxiliar'!E:E,"-",0)</f>
        <v>444.05</v>
      </c>
      <c r="F109" s="55">
        <f>_xlfn.XLOOKUP($G109,'.Auxiliar'!$G:$G,'.Auxiliar'!F:F,"-",0)</f>
        <v>5</v>
      </c>
      <c r="G109" s="59" t="s">
        <v>1114</v>
      </c>
      <c r="H109" s="108" t="s">
        <v>0</v>
      </c>
      <c r="I109" s="109" t="s">
        <v>0</v>
      </c>
      <c r="J109" s="109" t="s">
        <v>0</v>
      </c>
      <c r="K109" s="109" t="s">
        <v>0</v>
      </c>
      <c r="L109" s="109" t="s">
        <v>0</v>
      </c>
      <c r="M109" s="109" t="s">
        <v>0</v>
      </c>
      <c r="N109" s="110" t="s">
        <v>363</v>
      </c>
      <c r="O109" s="94"/>
      <c r="P109" s="95"/>
      <c r="Q109" s="95"/>
      <c r="R109" s="95"/>
      <c r="S109" s="95"/>
      <c r="T109" s="95"/>
      <c r="U109" s="95" t="str">
        <f t="shared" si="3"/>
        <v/>
      </c>
      <c r="V109" s="95"/>
      <c r="W109" s="95"/>
      <c r="X109" s="96">
        <v>100</v>
      </c>
      <c r="Y109" s="96">
        <f t="shared" si="4"/>
        <v>100</v>
      </c>
      <c r="Z109" s="107">
        <f t="shared" si="5"/>
        <v>0</v>
      </c>
    </row>
    <row r="110" spans="1:26" x14ac:dyDescent="0.25">
      <c r="A110" s="55" t="str">
        <f>_xlfn.XLOOKUP($G110,'.Auxiliar'!$G:$G,'.Auxiliar'!A:A,"-",0)</f>
        <v>ARAGUAIA</v>
      </c>
      <c r="B110" s="55" t="str">
        <f>_xlfn.XLOOKUP($G110,'.Auxiliar'!$G:$G,'.Auxiliar'!B:B,"-",0)</f>
        <v>PAVIMENTAÇÃO</v>
      </c>
      <c r="C110" s="55" t="str">
        <f>_xlfn.XLOOKUP($G110,'.Auxiliar'!$G:$G,'.Auxiliar'!C:C,"-",0)</f>
        <v>Não Consta (Decrescente)</v>
      </c>
      <c r="D110" s="55">
        <f>_xlfn.XLOOKUP($G110,'.Auxiliar'!$G:$G,'.Auxiliar'!D:D,"-",0)</f>
        <v>622.70000000000005</v>
      </c>
      <c r="E110" s="55">
        <f>_xlfn.XLOOKUP($G110,'.Auxiliar'!$G:$G,'.Auxiliar'!E:E,"-",0)</f>
        <v>624.29999999999995</v>
      </c>
      <c r="F110" s="55">
        <f>_xlfn.XLOOKUP($G110,'.Auxiliar'!$G:$G,'.Auxiliar'!F:F,"-",0)</f>
        <v>1.5999999999999091</v>
      </c>
      <c r="G110" s="59" t="s">
        <v>875</v>
      </c>
      <c r="H110" s="108" t="s">
        <v>0</v>
      </c>
      <c r="I110" s="109" t="s">
        <v>0</v>
      </c>
      <c r="J110" s="109" t="s">
        <v>363</v>
      </c>
      <c r="K110" s="109" t="s">
        <v>0</v>
      </c>
      <c r="L110" s="109" t="s">
        <v>0</v>
      </c>
      <c r="M110" s="109" t="s">
        <v>0</v>
      </c>
      <c r="N110" s="110" t="s">
        <v>0</v>
      </c>
      <c r="O110" s="94"/>
      <c r="P110" s="95"/>
      <c r="Q110" s="95">
        <v>3.5</v>
      </c>
      <c r="R110" s="95">
        <v>3.5</v>
      </c>
      <c r="S110" s="95">
        <v>96.5</v>
      </c>
      <c r="T110" s="95">
        <v>0</v>
      </c>
      <c r="U110" s="95">
        <f t="shared" si="3"/>
        <v>96.5</v>
      </c>
      <c r="V110" s="95"/>
      <c r="W110" s="95"/>
      <c r="X110" s="96"/>
      <c r="Y110" s="96">
        <f t="shared" si="4"/>
        <v>100</v>
      </c>
      <c r="Z110" s="107">
        <f t="shared" si="5"/>
        <v>3.5</v>
      </c>
    </row>
    <row r="111" spans="1:26" x14ac:dyDescent="0.25">
      <c r="A111" s="55" t="str">
        <f>_xlfn.XLOOKUP($G111,'.Auxiliar'!$G:$G,'.Auxiliar'!A:A,"-",0)</f>
        <v>ARAGUAIA</v>
      </c>
      <c r="B111" s="55" t="str">
        <f>_xlfn.XLOOKUP($G111,'.Auxiliar'!$G:$G,'.Auxiliar'!B:B,"-",0)</f>
        <v>PAVIMENTAÇÃO</v>
      </c>
      <c r="C111" s="55" t="str">
        <f>_xlfn.XLOOKUP($G111,'.Auxiliar'!$G:$G,'.Auxiliar'!C:C,"-",0)</f>
        <v>Não Consta (Decrescente)</v>
      </c>
      <c r="D111" s="55">
        <f>_xlfn.XLOOKUP($G111,'.Auxiliar'!$G:$G,'.Auxiliar'!D:D,"-",0)</f>
        <v>671.2</v>
      </c>
      <c r="E111" s="55">
        <f>_xlfn.XLOOKUP($G111,'.Auxiliar'!$G:$G,'.Auxiliar'!E:E,"-",0)</f>
        <v>676.8</v>
      </c>
      <c r="F111" s="55">
        <f>_xlfn.XLOOKUP($G111,'.Auxiliar'!$G:$G,'.Auxiliar'!F:F,"-",0)</f>
        <v>5.5999999999999091</v>
      </c>
      <c r="G111" s="59" t="s">
        <v>877</v>
      </c>
      <c r="H111" s="108" t="s">
        <v>0</v>
      </c>
      <c r="I111" s="109" t="s">
        <v>0</v>
      </c>
      <c r="J111" s="109" t="s">
        <v>363</v>
      </c>
      <c r="K111" s="109" t="s">
        <v>0</v>
      </c>
      <c r="L111" s="109" t="s">
        <v>0</v>
      </c>
      <c r="M111" s="109" t="s">
        <v>0</v>
      </c>
      <c r="N111" s="110" t="s">
        <v>0</v>
      </c>
      <c r="O111" s="94"/>
      <c r="P111" s="95"/>
      <c r="Q111" s="95">
        <v>3.5</v>
      </c>
      <c r="R111" s="95">
        <v>3.5</v>
      </c>
      <c r="S111" s="95">
        <v>96.5</v>
      </c>
      <c r="T111" s="95">
        <v>0</v>
      </c>
      <c r="U111" s="95">
        <f t="shared" si="3"/>
        <v>96.5</v>
      </c>
      <c r="V111" s="95"/>
      <c r="W111" s="95"/>
      <c r="X111" s="96"/>
      <c r="Y111" s="96">
        <f t="shared" si="4"/>
        <v>100</v>
      </c>
      <c r="Z111" s="107">
        <f t="shared" si="5"/>
        <v>3.5</v>
      </c>
    </row>
    <row r="112" spans="1:26" x14ac:dyDescent="0.25">
      <c r="A112" s="55" t="str">
        <f>_xlfn.XLOOKUP($G112,'.Auxiliar'!$G:$G,'.Auxiliar'!A:A,"-",0)</f>
        <v>ARAGUAIA</v>
      </c>
      <c r="B112" s="55" t="str">
        <f>_xlfn.XLOOKUP($G112,'.Auxiliar'!$G:$G,'.Auxiliar'!B:B,"-",0)</f>
        <v>PAVIMENTAÇÃO</v>
      </c>
      <c r="C112" s="55" t="str">
        <f>_xlfn.XLOOKUP($G112,'.Auxiliar'!$G:$G,'.Auxiliar'!C:C,"-",0)</f>
        <v>Não Consta (Decrescente)</v>
      </c>
      <c r="D112" s="55">
        <f>_xlfn.XLOOKUP($G112,'.Auxiliar'!$G:$G,'.Auxiliar'!D:D,"-",0)</f>
        <v>692.5</v>
      </c>
      <c r="E112" s="55">
        <f>_xlfn.XLOOKUP($G112,'.Auxiliar'!$G:$G,'.Auxiliar'!E:E,"-",0)</f>
        <v>693.5</v>
      </c>
      <c r="F112" s="55">
        <f>_xlfn.XLOOKUP($G112,'.Auxiliar'!$G:$G,'.Auxiliar'!F:F,"-",0)</f>
        <v>1</v>
      </c>
      <c r="G112" s="59" t="s">
        <v>1027</v>
      </c>
      <c r="H112" s="108" t="s">
        <v>0</v>
      </c>
      <c r="I112" s="109" t="s">
        <v>0</v>
      </c>
      <c r="J112" s="109" t="s">
        <v>0</v>
      </c>
      <c r="K112" s="109" t="s">
        <v>0</v>
      </c>
      <c r="L112" s="109" t="s">
        <v>0</v>
      </c>
      <c r="M112" s="109" t="s">
        <v>363</v>
      </c>
      <c r="N112" s="110" t="s">
        <v>0</v>
      </c>
      <c r="O112" s="94"/>
      <c r="P112" s="95"/>
      <c r="Q112" s="95"/>
      <c r="R112" s="95"/>
      <c r="S112" s="95"/>
      <c r="T112" s="95"/>
      <c r="U112" s="95" t="str">
        <f t="shared" si="3"/>
        <v/>
      </c>
      <c r="V112" s="95"/>
      <c r="W112" s="95">
        <v>100</v>
      </c>
      <c r="X112" s="96"/>
      <c r="Y112" s="96">
        <f t="shared" si="4"/>
        <v>100</v>
      </c>
      <c r="Z112" s="107">
        <f t="shared" si="5"/>
        <v>0</v>
      </c>
    </row>
    <row r="113" spans="1:26" x14ac:dyDescent="0.25">
      <c r="A113" s="55" t="str">
        <f>_xlfn.XLOOKUP($G113,'.Auxiliar'!$G:$G,'.Auxiliar'!A:A,"-",0)</f>
        <v>ARAGUAIA</v>
      </c>
      <c r="B113" s="55" t="str">
        <f>_xlfn.XLOOKUP($G113,'.Auxiliar'!$G:$G,'.Auxiliar'!B:B,"-",0)</f>
        <v>PAVIMENTAÇÃO</v>
      </c>
      <c r="C113" s="55" t="str">
        <f>_xlfn.XLOOKUP($G113,'.Auxiliar'!$G:$G,'.Auxiliar'!C:C,"-",0)</f>
        <v>Não Consta (Decrescente)</v>
      </c>
      <c r="D113" s="55">
        <f>_xlfn.XLOOKUP($G113,'.Auxiliar'!$G:$G,'.Auxiliar'!D:D,"-",0)</f>
        <v>71.2</v>
      </c>
      <c r="E113" s="55">
        <f>_xlfn.XLOOKUP($G113,'.Auxiliar'!$G:$G,'.Auxiliar'!E:E,"-",0)</f>
        <v>71.7</v>
      </c>
      <c r="F113" s="55">
        <f>_xlfn.XLOOKUP($G113,'.Auxiliar'!$G:$G,'.Auxiliar'!F:F,"-",0)</f>
        <v>0.5</v>
      </c>
      <c r="G113" s="59" t="s">
        <v>1102</v>
      </c>
      <c r="H113" s="108" t="s">
        <v>0</v>
      </c>
      <c r="I113" s="109" t="s">
        <v>0</v>
      </c>
      <c r="J113" s="109" t="s">
        <v>0</v>
      </c>
      <c r="K113" s="109" t="s">
        <v>0</v>
      </c>
      <c r="L113" s="109" t="s">
        <v>0</v>
      </c>
      <c r="M113" s="109" t="s">
        <v>0</v>
      </c>
      <c r="N113" s="110" t="s">
        <v>363</v>
      </c>
      <c r="O113" s="94"/>
      <c r="P113" s="95"/>
      <c r="Q113" s="95"/>
      <c r="R113" s="95"/>
      <c r="S113" s="95"/>
      <c r="T113" s="95"/>
      <c r="U113" s="95" t="str">
        <f t="shared" si="3"/>
        <v/>
      </c>
      <c r="V113" s="95"/>
      <c r="W113" s="95"/>
      <c r="X113" s="96">
        <v>100</v>
      </c>
      <c r="Y113" s="96">
        <f t="shared" si="4"/>
        <v>100</v>
      </c>
      <c r="Z113" s="107">
        <f t="shared" si="5"/>
        <v>0</v>
      </c>
    </row>
    <row r="114" spans="1:26" x14ac:dyDescent="0.25">
      <c r="A114" s="55" t="str">
        <f>_xlfn.XLOOKUP($G114,'.Auxiliar'!$G:$G,'.Auxiliar'!A:A,"-",0)</f>
        <v>ARAGUAIA</v>
      </c>
      <c r="B114" s="55" t="str">
        <f>_xlfn.XLOOKUP($G114,'.Auxiliar'!$G:$G,'.Auxiliar'!B:B,"-",0)</f>
        <v>PAVIMENTAÇÃO</v>
      </c>
      <c r="C114" s="55" t="str">
        <f>_xlfn.XLOOKUP($G114,'.Auxiliar'!$G:$G,'.Auxiliar'!C:C,"-",0)</f>
        <v>Não Consta (Decrescente)</v>
      </c>
      <c r="D114" s="55">
        <f>_xlfn.XLOOKUP($G114,'.Auxiliar'!$G:$G,'.Auxiliar'!D:D,"-",0)</f>
        <v>720.8</v>
      </c>
      <c r="E114" s="55">
        <f>_xlfn.XLOOKUP($G114,'.Auxiliar'!$G:$G,'.Auxiliar'!E:E,"-",0)</f>
        <v>723.9</v>
      </c>
      <c r="F114" s="55">
        <f>_xlfn.XLOOKUP($G114,'.Auxiliar'!$G:$G,'.Auxiliar'!F:F,"-",0)</f>
        <v>3.1000000000000227</v>
      </c>
      <c r="G114" s="59" t="s">
        <v>992</v>
      </c>
      <c r="H114" s="108" t="s">
        <v>0</v>
      </c>
      <c r="I114" s="109" t="s">
        <v>0</v>
      </c>
      <c r="J114" s="109" t="s">
        <v>0</v>
      </c>
      <c r="K114" s="109" t="s">
        <v>0</v>
      </c>
      <c r="L114" s="109" t="s">
        <v>363</v>
      </c>
      <c r="M114" s="109" t="s">
        <v>0</v>
      </c>
      <c r="N114" s="110" t="s">
        <v>0</v>
      </c>
      <c r="O114" s="94"/>
      <c r="P114" s="95"/>
      <c r="Q114" s="95"/>
      <c r="R114" s="95"/>
      <c r="S114" s="95"/>
      <c r="T114" s="95"/>
      <c r="U114" s="95" t="str">
        <f t="shared" si="3"/>
        <v/>
      </c>
      <c r="V114" s="95">
        <v>100</v>
      </c>
      <c r="W114" s="95"/>
      <c r="X114" s="96"/>
      <c r="Y114" s="96">
        <f t="shared" si="4"/>
        <v>100</v>
      </c>
      <c r="Z114" s="107">
        <f t="shared" si="5"/>
        <v>0</v>
      </c>
    </row>
    <row r="115" spans="1:26" x14ac:dyDescent="0.25">
      <c r="A115" s="55" t="str">
        <f>_xlfn.XLOOKUP($G115,'.Auxiliar'!$G:$G,'.Auxiliar'!A:A,"-",0)</f>
        <v>ARAGUAIA</v>
      </c>
      <c r="B115" s="55" t="str">
        <f>_xlfn.XLOOKUP($G115,'.Auxiliar'!$G:$G,'.Auxiliar'!B:B,"-",0)</f>
        <v>PAVIMENTAÇÃO</v>
      </c>
      <c r="C115" s="55" t="str">
        <f>_xlfn.XLOOKUP($G115,'.Auxiliar'!$G:$G,'.Auxiliar'!C:C,"-",0)</f>
        <v>Não Consta (Decrescente)</v>
      </c>
      <c r="D115" s="55">
        <f>_xlfn.XLOOKUP($G115,'.Auxiliar'!$G:$G,'.Auxiliar'!D:D,"-",0)</f>
        <v>797.3</v>
      </c>
      <c r="E115" s="55">
        <f>_xlfn.XLOOKUP($G115,'.Auxiliar'!$G:$G,'.Auxiliar'!E:E,"-",0)</f>
        <v>799.7</v>
      </c>
      <c r="F115" s="55">
        <f>_xlfn.XLOOKUP($G115,'.Auxiliar'!$G:$G,'.Auxiliar'!F:F,"-",0)</f>
        <v>2.4000000000000909</v>
      </c>
      <c r="G115" s="59" t="s">
        <v>994</v>
      </c>
      <c r="H115" s="108" t="s">
        <v>0</v>
      </c>
      <c r="I115" s="109" t="s">
        <v>0</v>
      </c>
      <c r="J115" s="109" t="s">
        <v>0</v>
      </c>
      <c r="K115" s="109" t="s">
        <v>0</v>
      </c>
      <c r="L115" s="109" t="s">
        <v>363</v>
      </c>
      <c r="M115" s="109" t="s">
        <v>0</v>
      </c>
      <c r="N115" s="110" t="s">
        <v>0</v>
      </c>
      <c r="O115" s="94"/>
      <c r="P115" s="95"/>
      <c r="Q115" s="95"/>
      <c r="R115" s="95"/>
      <c r="S115" s="95"/>
      <c r="T115" s="95"/>
      <c r="U115" s="95" t="str">
        <f t="shared" si="3"/>
        <v/>
      </c>
      <c r="V115" s="95">
        <v>100</v>
      </c>
      <c r="W115" s="95"/>
      <c r="X115" s="96"/>
      <c r="Y115" s="96">
        <f t="shared" si="4"/>
        <v>100</v>
      </c>
      <c r="Z115" s="107">
        <f t="shared" si="5"/>
        <v>0</v>
      </c>
    </row>
    <row r="116" spans="1:26" x14ac:dyDescent="0.25">
      <c r="A116" s="55" t="str">
        <f>_xlfn.XLOOKUP($G116,'.Auxiliar'!$G:$G,'.Auxiliar'!A:A,"-",0)</f>
        <v>CERRADO</v>
      </c>
      <c r="B116" s="55" t="str">
        <f>_xlfn.XLOOKUP($G116,'.Auxiliar'!$G:$G,'.Auxiliar'!B:B,"-",0)</f>
        <v>DUPLICAÇÃO</v>
      </c>
      <c r="C116" s="55" t="str">
        <f>_xlfn.XLOOKUP($G116,'.Auxiliar'!$G:$G,'.Auxiliar'!C:C,"-",0)</f>
        <v>Trecho 13</v>
      </c>
      <c r="D116" s="55">
        <f>_xlfn.XLOOKUP($G116,'.Auxiliar'!$G:$G,'.Auxiliar'!D:D,"-",0)</f>
        <v>709</v>
      </c>
      <c r="E116" s="55">
        <f>_xlfn.XLOOKUP($G116,'.Auxiliar'!$G:$G,'.Auxiliar'!E:E,"-",0)</f>
        <v>735.6</v>
      </c>
      <c r="F116" s="55">
        <f>_xlfn.XLOOKUP($G116,'.Auxiliar'!$G:$G,'.Auxiliar'!F:F,"-",0)</f>
        <v>26.600000000000023</v>
      </c>
      <c r="G116" s="59" t="s">
        <v>1202</v>
      </c>
      <c r="H116" s="108" t="s">
        <v>0</v>
      </c>
      <c r="I116" s="109" t="s">
        <v>0</v>
      </c>
      <c r="J116" s="109" t="s">
        <v>0</v>
      </c>
      <c r="K116" s="109" t="s">
        <v>0</v>
      </c>
      <c r="L116" s="109" t="s">
        <v>0</v>
      </c>
      <c r="M116" s="109" t="s">
        <v>0</v>
      </c>
      <c r="N116" s="110" t="s">
        <v>363</v>
      </c>
      <c r="O116" s="94"/>
      <c r="P116" s="95"/>
      <c r="Q116" s="95"/>
      <c r="R116" s="95"/>
      <c r="S116" s="95"/>
      <c r="T116" s="95"/>
      <c r="U116" s="95" t="str">
        <f t="shared" si="3"/>
        <v/>
      </c>
      <c r="V116" s="95"/>
      <c r="W116" s="95"/>
      <c r="X116" s="96">
        <v>100</v>
      </c>
      <c r="Y116" s="96">
        <f t="shared" si="4"/>
        <v>100</v>
      </c>
      <c r="Z116" s="107">
        <f t="shared" si="5"/>
        <v>0</v>
      </c>
    </row>
    <row r="117" spans="1:26" x14ac:dyDescent="0.25">
      <c r="A117" s="55" t="str">
        <f>_xlfn.XLOOKUP($G117,'.Auxiliar'!$G:$G,'.Auxiliar'!A:A,"-",0)</f>
        <v>CERRADO</v>
      </c>
      <c r="B117" s="55" t="str">
        <f>_xlfn.XLOOKUP($G117,'.Auxiliar'!$G:$G,'.Auxiliar'!B:B,"-",0)</f>
        <v>DUPLICAÇÃO</v>
      </c>
      <c r="C117" s="55" t="str">
        <f>_xlfn.XLOOKUP($G117,'.Auxiliar'!$G:$G,'.Auxiliar'!C:C,"-",0)</f>
        <v>Trecho 14</v>
      </c>
      <c r="D117" s="55">
        <f>_xlfn.XLOOKUP($G117,'.Auxiliar'!$G:$G,'.Auxiliar'!D:D,"-",0)</f>
        <v>735.6</v>
      </c>
      <c r="E117" s="55">
        <f>_xlfn.XLOOKUP($G117,'.Auxiliar'!$G:$G,'.Auxiliar'!E:E,"-",0)</f>
        <v>751.6</v>
      </c>
      <c r="F117" s="55">
        <f>_xlfn.XLOOKUP($G117,'.Auxiliar'!$G:$G,'.Auxiliar'!F:F,"-",0)</f>
        <v>16</v>
      </c>
      <c r="G117" s="59" t="s">
        <v>1203</v>
      </c>
      <c r="H117" s="108" t="s">
        <v>0</v>
      </c>
      <c r="I117" s="109" t="s">
        <v>0</v>
      </c>
      <c r="J117" s="109" t="s">
        <v>0</v>
      </c>
      <c r="K117" s="109" t="s">
        <v>0</v>
      </c>
      <c r="L117" s="109" t="s">
        <v>0</v>
      </c>
      <c r="M117" s="109" t="s">
        <v>0</v>
      </c>
      <c r="N117" s="110" t="s">
        <v>363</v>
      </c>
      <c r="O117" s="94"/>
      <c r="P117" s="95"/>
      <c r="Q117" s="95"/>
      <c r="R117" s="95"/>
      <c r="S117" s="95"/>
      <c r="T117" s="95"/>
      <c r="U117" s="95" t="str">
        <f t="shared" si="3"/>
        <v/>
      </c>
      <c r="V117" s="95"/>
      <c r="W117" s="95"/>
      <c r="X117" s="96">
        <v>100</v>
      </c>
      <c r="Y117" s="96">
        <f t="shared" si="4"/>
        <v>100</v>
      </c>
      <c r="Z117" s="107">
        <f t="shared" si="5"/>
        <v>0</v>
      </c>
    </row>
    <row r="118" spans="1:26" x14ac:dyDescent="0.25">
      <c r="A118" s="55" t="str">
        <f>_xlfn.XLOOKUP($G118,'.Auxiliar'!$G:$G,'.Auxiliar'!A:A,"-",0)</f>
        <v>CERRADO</v>
      </c>
      <c r="B118" s="55" t="str">
        <f>_xlfn.XLOOKUP($G118,'.Auxiliar'!$G:$G,'.Auxiliar'!B:B,"-",0)</f>
        <v>FX ADICIONAL</v>
      </c>
      <c r="C118" s="55" t="str">
        <f>_xlfn.XLOOKUP($G118,'.Auxiliar'!$G:$G,'.Auxiliar'!C:C,"-",0)</f>
        <v>Implantação de 3ª Faixa</v>
      </c>
      <c r="D118" s="55">
        <f>_xlfn.XLOOKUP($G118,'.Auxiliar'!$G:$G,'.Auxiliar'!D:D,"-",0)</f>
        <v>0</v>
      </c>
      <c r="E118" s="55">
        <f>_xlfn.XLOOKUP($G118,'.Auxiliar'!$G:$G,'.Auxiliar'!E:E,"-",0)</f>
        <v>4.9000000000000004</v>
      </c>
      <c r="F118" s="131">
        <v>3.33</v>
      </c>
      <c r="G118" s="59" t="s">
        <v>1582</v>
      </c>
      <c r="H118" s="108" t="s">
        <v>0</v>
      </c>
      <c r="I118" s="109" t="s">
        <v>0</v>
      </c>
      <c r="J118" s="109" t="s">
        <v>0</v>
      </c>
      <c r="K118" s="109" t="s">
        <v>0</v>
      </c>
      <c r="L118" s="109" t="s">
        <v>0</v>
      </c>
      <c r="M118" s="109" t="s">
        <v>0</v>
      </c>
      <c r="N118" s="110" t="s">
        <v>363</v>
      </c>
      <c r="O118" s="94"/>
      <c r="P118" s="95"/>
      <c r="Q118" s="95"/>
      <c r="R118" s="95"/>
      <c r="S118" s="95"/>
      <c r="T118" s="95"/>
      <c r="U118" s="95" t="str">
        <f t="shared" si="3"/>
        <v/>
      </c>
      <c r="V118" s="95"/>
      <c r="W118" s="95"/>
      <c r="X118" s="96">
        <v>100</v>
      </c>
      <c r="Y118" s="96">
        <f t="shared" si="4"/>
        <v>100</v>
      </c>
      <c r="Z118" s="107">
        <f t="shared" si="5"/>
        <v>0</v>
      </c>
    </row>
    <row r="119" spans="1:26" x14ac:dyDescent="0.25">
      <c r="A119" s="55" t="str">
        <f>_xlfn.XLOOKUP($G119,'.Auxiliar'!$G:$G,'.Auxiliar'!A:A,"-",0)</f>
        <v>CERRADO</v>
      </c>
      <c r="B119" s="55" t="str">
        <f>_xlfn.XLOOKUP($G119,'.Auxiliar'!$G:$G,'.Auxiliar'!B:B,"-",0)</f>
        <v>FX ADICIONAL</v>
      </c>
      <c r="C119" s="55" t="str">
        <f>_xlfn.XLOOKUP($G119,'.Auxiliar'!$G:$G,'.Auxiliar'!C:C,"-",0)</f>
        <v>Implantação de 3ª Faixa</v>
      </c>
      <c r="D119" s="55">
        <f>_xlfn.XLOOKUP($G119,'.Auxiliar'!$G:$G,'.Auxiliar'!D:D,"-",0)</f>
        <v>115.2</v>
      </c>
      <c r="E119" s="55">
        <f>_xlfn.XLOOKUP($G119,'.Auxiliar'!$G:$G,'.Auxiliar'!E:E,"-",0)</f>
        <v>159.9</v>
      </c>
      <c r="F119" s="131">
        <v>1.35</v>
      </c>
      <c r="G119" s="59" t="s">
        <v>471</v>
      </c>
      <c r="H119" s="108" t="s">
        <v>363</v>
      </c>
      <c r="I119" s="109" t="s">
        <v>0</v>
      </c>
      <c r="J119" s="109" t="s">
        <v>0</v>
      </c>
      <c r="K119" s="109" t="s">
        <v>0</v>
      </c>
      <c r="L119" s="109" t="s">
        <v>0</v>
      </c>
      <c r="M119" s="109" t="s">
        <v>0</v>
      </c>
      <c r="N119" s="110" t="s">
        <v>0</v>
      </c>
      <c r="O119" s="94">
        <v>100</v>
      </c>
      <c r="P119" s="95">
        <v>100</v>
      </c>
      <c r="Q119" s="95"/>
      <c r="R119" s="95"/>
      <c r="S119" s="95"/>
      <c r="T119" s="95"/>
      <c r="U119" s="95">
        <f t="shared" si="3"/>
        <v>0</v>
      </c>
      <c r="V119" s="95"/>
      <c r="W119" s="95"/>
      <c r="X119" s="96"/>
      <c r="Y119" s="96">
        <f t="shared" si="4"/>
        <v>100</v>
      </c>
      <c r="Z119" s="107">
        <f t="shared" si="5"/>
        <v>100</v>
      </c>
    </row>
    <row r="120" spans="1:26" x14ac:dyDescent="0.25">
      <c r="A120" s="55" t="str">
        <f>_xlfn.XLOOKUP($G120,'.Auxiliar'!$G:$G,'.Auxiliar'!A:A,"-",0)</f>
        <v>CERRADO</v>
      </c>
      <c r="B120" s="55" t="str">
        <f>_xlfn.XLOOKUP($G120,'.Auxiliar'!$G:$G,'.Auxiliar'!B:B,"-",0)</f>
        <v>FX ADICIONAL</v>
      </c>
      <c r="C120" s="55" t="str">
        <f>_xlfn.XLOOKUP($G120,'.Auxiliar'!$G:$G,'.Auxiliar'!C:C,"-",0)</f>
        <v>Implantação de 3ª Faixa</v>
      </c>
      <c r="D120" s="55">
        <f>_xlfn.XLOOKUP($G120,'.Auxiliar'!$G:$G,'.Auxiliar'!D:D,"-",0)</f>
        <v>16</v>
      </c>
      <c r="E120" s="55">
        <f>_xlfn.XLOOKUP($G120,'.Auxiliar'!$G:$G,'.Auxiliar'!E:E,"-",0)</f>
        <v>64.7</v>
      </c>
      <c r="F120" s="131">
        <v>21.13</v>
      </c>
      <c r="G120" s="59" t="s">
        <v>1585</v>
      </c>
      <c r="H120" s="108" t="s">
        <v>0</v>
      </c>
      <c r="I120" s="109" t="s">
        <v>0</v>
      </c>
      <c r="J120" s="109" t="s">
        <v>0</v>
      </c>
      <c r="K120" s="109" t="s">
        <v>0</v>
      </c>
      <c r="L120" s="109" t="s">
        <v>0</v>
      </c>
      <c r="M120" s="109" t="s">
        <v>0</v>
      </c>
      <c r="N120" s="110" t="s">
        <v>363</v>
      </c>
      <c r="O120" s="111"/>
      <c r="P120" s="112"/>
      <c r="Q120" s="112"/>
      <c r="R120" s="112"/>
      <c r="S120" s="112"/>
      <c r="T120" s="112"/>
      <c r="U120" s="95" t="str">
        <f t="shared" si="3"/>
        <v/>
      </c>
      <c r="V120" s="112"/>
      <c r="W120" s="112"/>
      <c r="X120" s="107">
        <v>100</v>
      </c>
      <c r="Y120" s="107">
        <f t="shared" si="4"/>
        <v>100</v>
      </c>
      <c r="Z120" s="107">
        <f t="shared" si="5"/>
        <v>0</v>
      </c>
    </row>
    <row r="121" spans="1:26" x14ac:dyDescent="0.25">
      <c r="A121" s="55" t="str">
        <f>_xlfn.XLOOKUP($G121,'.Auxiliar'!$G:$G,'.Auxiliar'!A:A,"-",0)</f>
        <v>CERRADO</v>
      </c>
      <c r="B121" s="55" t="str">
        <f>_xlfn.XLOOKUP($G121,'.Auxiliar'!$G:$G,'.Auxiliar'!B:B,"-",0)</f>
        <v>FX ADICIONAL</v>
      </c>
      <c r="C121" s="55" t="str">
        <f>_xlfn.XLOOKUP($G121,'.Auxiliar'!$G:$G,'.Auxiliar'!C:C,"-",0)</f>
        <v>Implantação de 3ª Faixa</v>
      </c>
      <c r="D121" s="55">
        <f>_xlfn.XLOOKUP($G121,'.Auxiliar'!$G:$G,'.Auxiliar'!D:D,"-",0)</f>
        <v>162.4</v>
      </c>
      <c r="E121" s="55">
        <f>_xlfn.XLOOKUP($G121,'.Auxiliar'!$G:$G,'.Auxiliar'!E:E,"-",0)</f>
        <v>192.7</v>
      </c>
      <c r="F121" s="131">
        <f>2.23+6.1</f>
        <v>8.33</v>
      </c>
      <c r="G121" s="59" t="s">
        <v>472</v>
      </c>
      <c r="H121" s="108" t="s">
        <v>363</v>
      </c>
      <c r="I121" s="109" t="s">
        <v>0</v>
      </c>
      <c r="J121" s="109" t="s">
        <v>0</v>
      </c>
      <c r="K121" s="109" t="s">
        <v>0</v>
      </c>
      <c r="L121" s="109" t="s">
        <v>0</v>
      </c>
      <c r="M121" s="109" t="s">
        <v>0</v>
      </c>
      <c r="N121" s="110" t="s">
        <v>363</v>
      </c>
      <c r="O121" s="111">
        <f>2.23/8.33*100</f>
        <v>26.770708283313326</v>
      </c>
      <c r="P121" s="112">
        <f>2.23/8.33*100</f>
        <v>26.770708283313326</v>
      </c>
      <c r="Q121" s="112"/>
      <c r="R121" s="112"/>
      <c r="S121" s="112"/>
      <c r="T121" s="112"/>
      <c r="U121" s="95">
        <f t="shared" si="3"/>
        <v>73.229291716686674</v>
      </c>
      <c r="V121" s="112"/>
      <c r="W121" s="112"/>
      <c r="X121" s="107">
        <v>73.23</v>
      </c>
      <c r="Y121" s="107">
        <f t="shared" si="4"/>
        <v>100.00070828331333</v>
      </c>
      <c r="Z121" s="107">
        <f t="shared" si="5"/>
        <v>26.770708283313326</v>
      </c>
    </row>
    <row r="122" spans="1:26" x14ac:dyDescent="0.25">
      <c r="A122" s="55" t="str">
        <f>_xlfn.XLOOKUP($G122,'.Auxiliar'!$G:$G,'.Auxiliar'!A:A,"-",0)</f>
        <v>CERRADO</v>
      </c>
      <c r="B122" s="55" t="str">
        <f>_xlfn.XLOOKUP($G122,'.Auxiliar'!$G:$G,'.Auxiliar'!B:B,"-",0)</f>
        <v>FX ADICIONAL</v>
      </c>
      <c r="C122" s="55" t="str">
        <f>_xlfn.XLOOKUP($G122,'.Auxiliar'!$G:$G,'.Auxiliar'!C:C,"-",0)</f>
        <v>Implantação de 3ª Faixa</v>
      </c>
      <c r="D122" s="55">
        <f>_xlfn.XLOOKUP($G122,'.Auxiliar'!$G:$G,'.Auxiliar'!D:D,"-",0)</f>
        <v>4.9000000000000004</v>
      </c>
      <c r="E122" s="55">
        <f>_xlfn.XLOOKUP($G122,'.Auxiliar'!$G:$G,'.Auxiliar'!E:E,"-",0)</f>
        <v>9.3000000000000007</v>
      </c>
      <c r="F122" s="131">
        <v>2.74</v>
      </c>
      <c r="G122" s="59" t="s">
        <v>1583</v>
      </c>
      <c r="H122" s="108" t="s">
        <v>0</v>
      </c>
      <c r="I122" s="109" t="s">
        <v>0</v>
      </c>
      <c r="J122" s="109" t="s">
        <v>0</v>
      </c>
      <c r="K122" s="109" t="s">
        <v>0</v>
      </c>
      <c r="L122" s="109" t="s">
        <v>0</v>
      </c>
      <c r="M122" s="109" t="s">
        <v>0</v>
      </c>
      <c r="N122" s="110" t="s">
        <v>363</v>
      </c>
      <c r="O122" s="111"/>
      <c r="P122" s="112"/>
      <c r="Q122" s="112"/>
      <c r="R122" s="112"/>
      <c r="S122" s="112"/>
      <c r="T122" s="112"/>
      <c r="U122" s="95" t="str">
        <f t="shared" si="3"/>
        <v/>
      </c>
      <c r="V122" s="112"/>
      <c r="W122" s="112"/>
      <c r="X122" s="107">
        <v>100</v>
      </c>
      <c r="Y122" s="107">
        <f t="shared" si="4"/>
        <v>100</v>
      </c>
      <c r="Z122" s="107">
        <f t="shared" si="5"/>
        <v>0</v>
      </c>
    </row>
    <row r="123" spans="1:26" x14ac:dyDescent="0.25">
      <c r="A123" s="55" t="str">
        <f>_xlfn.XLOOKUP($G123,'.Auxiliar'!$G:$G,'.Auxiliar'!A:A,"-",0)</f>
        <v>CERRADO</v>
      </c>
      <c r="B123" s="55" t="str">
        <f>_xlfn.XLOOKUP($G123,'.Auxiliar'!$G:$G,'.Auxiliar'!B:B,"-",0)</f>
        <v>FX ADICIONAL</v>
      </c>
      <c r="C123" s="55" t="str">
        <f>_xlfn.XLOOKUP($G123,'.Auxiliar'!$G:$G,'.Auxiliar'!C:C,"-",0)</f>
        <v>Implantação de 3ª Faixa</v>
      </c>
      <c r="D123" s="55">
        <f>_xlfn.XLOOKUP($G123,'.Auxiliar'!$G:$G,'.Auxiliar'!D:D,"-",0)</f>
        <v>64.7</v>
      </c>
      <c r="E123" s="55">
        <f>_xlfn.XLOOKUP($G123,'.Auxiliar'!$G:$G,'.Auxiliar'!E:E,"-",0)</f>
        <v>113.2</v>
      </c>
      <c r="F123" s="131">
        <v>27.76</v>
      </c>
      <c r="G123" s="59" t="s">
        <v>1548</v>
      </c>
      <c r="H123" s="108" t="s">
        <v>0</v>
      </c>
      <c r="I123" s="109" t="s">
        <v>0</v>
      </c>
      <c r="J123" s="109" t="s">
        <v>0</v>
      </c>
      <c r="K123" s="109" t="s">
        <v>0</v>
      </c>
      <c r="L123" s="109" t="s">
        <v>0</v>
      </c>
      <c r="M123" s="109" t="s">
        <v>363</v>
      </c>
      <c r="N123" s="110" t="s">
        <v>363</v>
      </c>
      <c r="O123" s="111"/>
      <c r="P123" s="112"/>
      <c r="Q123" s="112"/>
      <c r="R123" s="112"/>
      <c r="S123" s="112"/>
      <c r="T123" s="112"/>
      <c r="U123" s="95" t="str">
        <f t="shared" si="3"/>
        <v/>
      </c>
      <c r="V123" s="112"/>
      <c r="W123" s="112"/>
      <c r="X123" s="107">
        <v>100</v>
      </c>
      <c r="Y123" s="107">
        <f t="shared" si="4"/>
        <v>100</v>
      </c>
      <c r="Z123" s="107">
        <f t="shared" si="5"/>
        <v>0</v>
      </c>
    </row>
    <row r="124" spans="1:26" x14ac:dyDescent="0.25">
      <c r="A124" s="55" t="str">
        <f>_xlfn.XLOOKUP($G124,'.Auxiliar'!$G:$G,'.Auxiliar'!A:A,"-",0)</f>
        <v>CERRADO</v>
      </c>
      <c r="B124" s="55" t="str">
        <f>_xlfn.XLOOKUP($G124,'.Auxiliar'!$G:$G,'.Auxiliar'!B:B,"-",0)</f>
        <v>FX ADICIONAL</v>
      </c>
      <c r="C124" s="55" t="str">
        <f>_xlfn.XLOOKUP($G124,'.Auxiliar'!$G:$G,'.Auxiliar'!C:C,"-",0)</f>
        <v>Implantação de 3ª Faixa</v>
      </c>
      <c r="D124" s="55">
        <f>_xlfn.XLOOKUP($G124,'.Auxiliar'!$G:$G,'.Auxiliar'!D:D,"-",0)</f>
        <v>753.2</v>
      </c>
      <c r="E124" s="55">
        <f>_xlfn.XLOOKUP($G124,'.Auxiliar'!$G:$G,'.Auxiliar'!E:E,"-",0)</f>
        <v>793.4</v>
      </c>
      <c r="F124" s="131">
        <v>21.19</v>
      </c>
      <c r="G124" s="59" t="s">
        <v>856</v>
      </c>
      <c r="H124" s="113" t="s">
        <v>1881</v>
      </c>
      <c r="I124" s="109" t="s">
        <v>363</v>
      </c>
      <c r="J124" s="109" t="s">
        <v>0</v>
      </c>
      <c r="K124" s="109" t="s">
        <v>0</v>
      </c>
      <c r="L124" s="109" t="s">
        <v>0</v>
      </c>
      <c r="M124" s="109" t="s">
        <v>0</v>
      </c>
      <c r="N124" s="110" t="s">
        <v>0</v>
      </c>
      <c r="O124" s="114">
        <v>34</v>
      </c>
      <c r="P124" s="90">
        <v>34</v>
      </c>
      <c r="Q124" s="90">
        <f>100-P124</f>
        <v>66</v>
      </c>
      <c r="R124" s="90">
        <v>66</v>
      </c>
      <c r="S124" s="112"/>
      <c r="T124" s="112"/>
      <c r="U124" s="95">
        <f t="shared" si="3"/>
        <v>0</v>
      </c>
      <c r="V124" s="112"/>
      <c r="W124" s="112"/>
      <c r="X124" s="107"/>
      <c r="Y124" s="107">
        <f t="shared" si="4"/>
        <v>100</v>
      </c>
      <c r="Z124" s="107">
        <f t="shared" si="5"/>
        <v>100</v>
      </c>
    </row>
    <row r="125" spans="1:26" x14ac:dyDescent="0.25">
      <c r="A125" s="55" t="str">
        <f>_xlfn.XLOOKUP($G125,'.Auxiliar'!$G:$G,'.Auxiliar'!A:A,"-",0)</f>
        <v>CERRADO</v>
      </c>
      <c r="B125" s="55" t="str">
        <f>_xlfn.XLOOKUP($G125,'.Auxiliar'!$G:$G,'.Auxiliar'!B:B,"-",0)</f>
        <v>FX ADICIONAL</v>
      </c>
      <c r="C125" s="55" t="str">
        <f>_xlfn.XLOOKUP($G125,'.Auxiliar'!$G:$G,'.Auxiliar'!C:C,"-",0)</f>
        <v>Implantação de 3ª Faixa</v>
      </c>
      <c r="D125" s="55">
        <f>_xlfn.XLOOKUP($G125,'.Auxiliar'!$G:$G,'.Auxiliar'!D:D,"-",0)</f>
        <v>793.4</v>
      </c>
      <c r="E125" s="55">
        <f>_xlfn.XLOOKUP($G125,'.Auxiliar'!$G:$G,'.Auxiliar'!E:E,"-",0)</f>
        <v>795.9</v>
      </c>
      <c r="F125" s="131">
        <v>1.21</v>
      </c>
      <c r="G125" s="59" t="s">
        <v>1581</v>
      </c>
      <c r="H125" s="108" t="s">
        <v>0</v>
      </c>
      <c r="I125" s="109" t="s">
        <v>0</v>
      </c>
      <c r="J125" s="109" t="s">
        <v>0</v>
      </c>
      <c r="K125" s="109" t="s">
        <v>0</v>
      </c>
      <c r="L125" s="109" t="s">
        <v>0</v>
      </c>
      <c r="M125" s="109" t="s">
        <v>0</v>
      </c>
      <c r="N125" s="110" t="s">
        <v>363</v>
      </c>
      <c r="O125" s="111"/>
      <c r="P125" s="112"/>
      <c r="Q125" s="112"/>
      <c r="R125" s="112"/>
      <c r="S125" s="112"/>
      <c r="T125" s="112"/>
      <c r="U125" s="95" t="str">
        <f t="shared" si="3"/>
        <v/>
      </c>
      <c r="V125" s="112"/>
      <c r="W125" s="112"/>
      <c r="X125" s="107">
        <v>100</v>
      </c>
      <c r="Y125" s="107">
        <f t="shared" si="4"/>
        <v>100</v>
      </c>
      <c r="Z125" s="107">
        <f t="shared" si="5"/>
        <v>0</v>
      </c>
    </row>
    <row r="126" spans="1:26" x14ac:dyDescent="0.25">
      <c r="A126" s="55" t="str">
        <f>_xlfn.XLOOKUP($G126,'.Auxiliar'!$G:$G,'.Auxiliar'!A:A,"-",0)</f>
        <v>CERRADO</v>
      </c>
      <c r="B126" s="55" t="str">
        <f>_xlfn.XLOOKUP($G126,'.Auxiliar'!$G:$G,'.Auxiliar'!B:B,"-",0)</f>
        <v>FX ADICIONAL</v>
      </c>
      <c r="C126" s="55" t="str">
        <f>_xlfn.XLOOKUP($G126,'.Auxiliar'!$G:$G,'.Auxiliar'!C:C,"-",0)</f>
        <v>Implantação de 3ª Faixa</v>
      </c>
      <c r="D126" s="55">
        <f>_xlfn.XLOOKUP($G126,'.Auxiliar'!$G:$G,'.Auxiliar'!D:D,"-",0)</f>
        <v>795.9</v>
      </c>
      <c r="E126" s="55">
        <f>_xlfn.XLOOKUP($G126,'.Auxiliar'!$G:$G,'.Auxiliar'!E:E,"-",0)</f>
        <v>871.1</v>
      </c>
      <c r="F126" s="131">
        <v>43.94</v>
      </c>
      <c r="G126" s="59" t="s">
        <v>923</v>
      </c>
      <c r="H126" s="108" t="s">
        <v>0</v>
      </c>
      <c r="I126" s="109" t="s">
        <v>0</v>
      </c>
      <c r="J126" s="109" t="s">
        <v>363</v>
      </c>
      <c r="K126" s="109" t="s">
        <v>0</v>
      </c>
      <c r="L126" s="109" t="s">
        <v>0</v>
      </c>
      <c r="M126" s="109" t="s">
        <v>0</v>
      </c>
      <c r="N126" s="110" t="s">
        <v>363</v>
      </c>
      <c r="O126" s="111"/>
      <c r="P126" s="112"/>
      <c r="Q126" s="112"/>
      <c r="R126" s="112"/>
      <c r="S126" s="112"/>
      <c r="T126" s="112"/>
      <c r="U126" s="95" t="str">
        <f t="shared" si="3"/>
        <v/>
      </c>
      <c r="V126" s="112"/>
      <c r="W126" s="112"/>
      <c r="X126" s="107">
        <v>100</v>
      </c>
      <c r="Y126" s="107">
        <f t="shared" si="4"/>
        <v>100</v>
      </c>
      <c r="Z126" s="107">
        <f t="shared" si="5"/>
        <v>0</v>
      </c>
    </row>
    <row r="127" spans="1:26" x14ac:dyDescent="0.25">
      <c r="A127" s="55" t="str">
        <f>_xlfn.XLOOKUP($G127,'.Auxiliar'!$G:$G,'.Auxiliar'!A:A,"-",0)</f>
        <v>CERRADO</v>
      </c>
      <c r="B127" s="55" t="str">
        <f>_xlfn.XLOOKUP($G127,'.Auxiliar'!$G:$G,'.Auxiliar'!B:B,"-",0)</f>
        <v>FX ADICIONAL</v>
      </c>
      <c r="C127" s="55" t="str">
        <f>_xlfn.XLOOKUP($G127,'.Auxiliar'!$G:$G,'.Auxiliar'!C:C,"-",0)</f>
        <v>Implantação de 3ª Faixa</v>
      </c>
      <c r="D127" s="55">
        <f>_xlfn.XLOOKUP($G127,'.Auxiliar'!$G:$G,'.Auxiliar'!D:D,"-",0)</f>
        <v>871.1</v>
      </c>
      <c r="E127" s="55">
        <f>_xlfn.XLOOKUP($G127,'.Auxiliar'!$G:$G,'.Auxiliar'!E:E,"-",0)</f>
        <v>873.3</v>
      </c>
      <c r="F127" s="131">
        <v>2.19</v>
      </c>
      <c r="G127" s="59" t="s">
        <v>924</v>
      </c>
      <c r="H127" s="108" t="s">
        <v>0</v>
      </c>
      <c r="I127" s="109" t="s">
        <v>0</v>
      </c>
      <c r="J127" s="109" t="s">
        <v>363</v>
      </c>
      <c r="K127" s="109" t="s">
        <v>0</v>
      </c>
      <c r="L127" s="109" t="s">
        <v>0</v>
      </c>
      <c r="M127" s="109" t="s">
        <v>0</v>
      </c>
      <c r="N127" s="110" t="s">
        <v>0</v>
      </c>
      <c r="O127" s="111"/>
      <c r="P127" s="112"/>
      <c r="Q127" s="112">
        <v>100</v>
      </c>
      <c r="R127" s="112">
        <v>100</v>
      </c>
      <c r="S127" s="112"/>
      <c r="T127" s="112"/>
      <c r="U127" s="95">
        <f t="shared" si="3"/>
        <v>0</v>
      </c>
      <c r="V127" s="112"/>
      <c r="W127" s="112"/>
      <c r="X127" s="107"/>
      <c r="Y127" s="107">
        <f t="shared" si="4"/>
        <v>100</v>
      </c>
      <c r="Z127" s="107">
        <f t="shared" si="5"/>
        <v>100</v>
      </c>
    </row>
    <row r="128" spans="1:26" x14ac:dyDescent="0.25">
      <c r="A128" s="55" t="str">
        <f>_xlfn.XLOOKUP($G128,'.Auxiliar'!$G:$G,'.Auxiliar'!A:A,"-",0)</f>
        <v>CERRADO</v>
      </c>
      <c r="B128" s="55" t="str">
        <f>_xlfn.XLOOKUP($G128,'.Auxiliar'!$G:$G,'.Auxiliar'!B:B,"-",0)</f>
        <v>FX ADICIONAL</v>
      </c>
      <c r="C128" s="55" t="str">
        <f>_xlfn.XLOOKUP($G128,'.Auxiliar'!$G:$G,'.Auxiliar'!C:C,"-",0)</f>
        <v>Implantação de 3ª Faixa</v>
      </c>
      <c r="D128" s="55">
        <f>_xlfn.XLOOKUP($G128,'.Auxiliar'!$G:$G,'.Auxiliar'!D:D,"-",0)</f>
        <v>9.3000000000000007</v>
      </c>
      <c r="E128" s="55">
        <f>_xlfn.XLOOKUP($G128,'.Auxiliar'!$G:$G,'.Auxiliar'!E:E,"-",0)</f>
        <v>16</v>
      </c>
      <c r="F128" s="131">
        <v>1.17</v>
      </c>
      <c r="G128" s="59" t="s">
        <v>1584</v>
      </c>
      <c r="H128" s="108" t="s">
        <v>0</v>
      </c>
      <c r="I128" s="109" t="s">
        <v>0</v>
      </c>
      <c r="J128" s="109" t="s">
        <v>0</v>
      </c>
      <c r="K128" s="109" t="s">
        <v>0</v>
      </c>
      <c r="L128" s="109" t="s">
        <v>0</v>
      </c>
      <c r="M128" s="109" t="s">
        <v>0</v>
      </c>
      <c r="N128" s="110" t="s">
        <v>363</v>
      </c>
      <c r="O128" s="111"/>
      <c r="P128" s="112"/>
      <c r="Q128" s="112"/>
      <c r="R128" s="112"/>
      <c r="S128" s="112"/>
      <c r="T128" s="112"/>
      <c r="U128" s="95" t="str">
        <f t="shared" si="3"/>
        <v/>
      </c>
      <c r="V128" s="112"/>
      <c r="W128" s="112"/>
      <c r="X128" s="107">
        <v>100</v>
      </c>
      <c r="Y128" s="107">
        <f t="shared" si="4"/>
        <v>100</v>
      </c>
      <c r="Z128" s="107">
        <f t="shared" si="5"/>
        <v>0</v>
      </c>
    </row>
    <row r="129" spans="1:26" x14ac:dyDescent="0.25">
      <c r="A129" s="55" t="str">
        <f>_xlfn.XLOOKUP($G129,'.Auxiliar'!$G:$G,'.Auxiliar'!A:A,"-",0)</f>
        <v>CERRADO</v>
      </c>
      <c r="B129" s="55" t="str">
        <f>_xlfn.XLOOKUP($G129,'.Auxiliar'!$G:$G,'.Auxiliar'!B:B,"-",0)</f>
        <v>OAE</v>
      </c>
      <c r="C129" s="55" t="str">
        <f>_xlfn.XLOOKUP($G129,'.Auxiliar'!$G:$G,'.Auxiliar'!C:C,"-",0)</f>
        <v>Dispositivo de Interseção no entroncamento de Xapetuba (Xapetuba)</v>
      </c>
      <c r="D129" s="55">
        <f>_xlfn.XLOOKUP($G129,'.Auxiliar'!$G:$G,'.Auxiliar'!D:D,"-",0)</f>
        <v>656.3</v>
      </c>
      <c r="E129" s="55">
        <f>_xlfn.XLOOKUP($G129,'.Auxiliar'!$G:$G,'.Auxiliar'!E:E,"-",0)</f>
        <v>656.3</v>
      </c>
      <c r="F129" s="55">
        <f>_xlfn.XLOOKUP($G129,'.Auxiliar'!$G:$G,'.Auxiliar'!F:F,"-",0)</f>
        <v>1</v>
      </c>
      <c r="G129" s="59" t="s">
        <v>470</v>
      </c>
      <c r="H129" s="108" t="s">
        <v>363</v>
      </c>
      <c r="I129" s="109" t="s">
        <v>0</v>
      </c>
      <c r="J129" s="109" t="s">
        <v>0</v>
      </c>
      <c r="K129" s="109" t="s">
        <v>0</v>
      </c>
      <c r="L129" s="109" t="s">
        <v>0</v>
      </c>
      <c r="M129" s="109" t="s">
        <v>0</v>
      </c>
      <c r="N129" s="110" t="s">
        <v>0</v>
      </c>
      <c r="O129" s="111">
        <v>100</v>
      </c>
      <c r="P129" s="112">
        <v>100</v>
      </c>
      <c r="Q129" s="112"/>
      <c r="R129" s="112"/>
      <c r="S129" s="112"/>
      <c r="T129" s="112"/>
      <c r="U129" s="95">
        <f t="shared" si="3"/>
        <v>0</v>
      </c>
      <c r="V129" s="112"/>
      <c r="W129" s="112"/>
      <c r="X129" s="107"/>
      <c r="Y129" s="107">
        <f t="shared" si="4"/>
        <v>100</v>
      </c>
      <c r="Z129" s="107">
        <f t="shared" si="5"/>
        <v>100</v>
      </c>
    </row>
    <row r="130" spans="1:26" x14ac:dyDescent="0.25">
      <c r="A130" s="55" t="str">
        <f>_xlfn.XLOOKUP($G130,'.Auxiliar'!$G:$G,'.Auxiliar'!A:A,"-",0)</f>
        <v>CERRADO</v>
      </c>
      <c r="B130" s="55" t="str">
        <f>_xlfn.XLOOKUP($G130,'.Auxiliar'!$G:$G,'.Auxiliar'!B:B,"-",0)</f>
        <v>OAE</v>
      </c>
      <c r="C130" s="55" t="str">
        <f>_xlfn.XLOOKUP($G130,'.Auxiliar'!$G:$G,'.Auxiliar'!C:C,"-",0)</f>
        <v>Trevo para o entroncamento da Rodovia BR-365/MG com a Rodovia
BR-153/MG (Trevão)</v>
      </c>
      <c r="D130" s="55">
        <f>_xlfn.XLOOKUP($G130,'.Auxiliar'!$G:$G,'.Auxiliar'!D:D,"-",0)</f>
        <v>709</v>
      </c>
      <c r="E130" s="55">
        <f>_xlfn.XLOOKUP($G130,'.Auxiliar'!$G:$G,'.Auxiliar'!E:E,"-",0)</f>
        <v>709</v>
      </c>
      <c r="F130" s="55">
        <f>_xlfn.XLOOKUP($G130,'.Auxiliar'!$G:$G,'.Auxiliar'!F:F,"-",0)</f>
        <v>1</v>
      </c>
      <c r="G130" s="59" t="s">
        <v>469</v>
      </c>
      <c r="H130" s="108" t="s">
        <v>363</v>
      </c>
      <c r="I130" s="115" t="s">
        <v>1881</v>
      </c>
      <c r="J130" s="109" t="s">
        <v>0</v>
      </c>
      <c r="K130" s="109" t="s">
        <v>363</v>
      </c>
      <c r="L130" s="109" t="s">
        <v>0</v>
      </c>
      <c r="M130" s="109" t="s">
        <v>0</v>
      </c>
      <c r="N130" s="110" t="s">
        <v>0</v>
      </c>
      <c r="O130" s="111">
        <v>100</v>
      </c>
      <c r="P130" s="112">
        <v>31</v>
      </c>
      <c r="Q130" s="112">
        <v>100</v>
      </c>
      <c r="R130" s="112">
        <v>47.1</v>
      </c>
      <c r="S130" s="112">
        <f>100-(P130+R130)</f>
        <v>21.900000000000006</v>
      </c>
      <c r="T130" s="112">
        <v>21.9</v>
      </c>
      <c r="U130" s="95">
        <f t="shared" si="3"/>
        <v>21.900000000000006</v>
      </c>
      <c r="V130" s="112"/>
      <c r="W130" s="112"/>
      <c r="X130" s="107"/>
      <c r="Y130" s="107">
        <f t="shared" si="4"/>
        <v>100</v>
      </c>
      <c r="Z130" s="107">
        <f t="shared" si="5"/>
        <v>100</v>
      </c>
    </row>
    <row r="131" spans="1:26" x14ac:dyDescent="0.25">
      <c r="A131" s="55" t="str">
        <f>_xlfn.XLOOKUP($G131,'.Auxiliar'!$G:$G,'.Auxiliar'!A:A,"-",0)</f>
        <v>CERRADO</v>
      </c>
      <c r="B131" s="55" t="str">
        <f>_xlfn.XLOOKUP($G131,'.Auxiliar'!$G:$G,'.Auxiliar'!B:B,"-",0)</f>
        <v>PAVIMENTAÇÃO</v>
      </c>
      <c r="C131" s="55" t="str">
        <f>_xlfn.XLOOKUP($G131,'.Auxiliar'!$G:$G,'.Auxiliar'!C:C,"-",0)</f>
        <v>*Vias Marginais LD (Monte Alegre de Minas)</v>
      </c>
      <c r="D131" s="55">
        <f>_xlfn.XLOOKUP($G131,'.Auxiliar'!$G:$G,'.Auxiliar'!D:D,"-",0)</f>
        <v>628.9</v>
      </c>
      <c r="E131" s="55">
        <f>_xlfn.XLOOKUP($G131,'.Auxiliar'!$G:$G,'.Auxiliar'!E:E,"-",0)</f>
        <v>631.16</v>
      </c>
      <c r="F131" s="55">
        <f>_xlfn.XLOOKUP($G131,'.Auxiliar'!$G:$G,'.Auxiliar'!F:F,"-",0)</f>
        <v>2.2599999999999909</v>
      </c>
      <c r="G131" s="59" t="s">
        <v>467</v>
      </c>
      <c r="H131" s="108" t="s">
        <v>363</v>
      </c>
      <c r="I131" s="109" t="s">
        <v>0</v>
      </c>
      <c r="J131" s="109" t="s">
        <v>0</v>
      </c>
      <c r="K131" s="109" t="s">
        <v>363</v>
      </c>
      <c r="L131" s="109" t="s">
        <v>0</v>
      </c>
      <c r="M131" s="109" t="s">
        <v>0</v>
      </c>
      <c r="N131" s="110" t="s">
        <v>0</v>
      </c>
      <c r="O131" s="111">
        <v>100</v>
      </c>
      <c r="P131" s="112">
        <v>0</v>
      </c>
      <c r="Q131" s="112"/>
      <c r="R131" s="112"/>
      <c r="S131" s="116">
        <v>100</v>
      </c>
      <c r="T131" s="112"/>
      <c r="U131" s="95">
        <f t="shared" ref="U131:U194" si="6">IF(SUM(V131:X131)=100,"",100-(P131+R131))</f>
        <v>100</v>
      </c>
      <c r="V131" s="112"/>
      <c r="W131" s="112"/>
      <c r="X131" s="117"/>
      <c r="Y131" s="107">
        <f t="shared" ref="Y131:Y194" si="7">SUM(P131,R131,S131,V131,W131,X131)</f>
        <v>100</v>
      </c>
      <c r="Z131" s="107">
        <f t="shared" ref="Z131:Z194" si="8">SUM(P131,R131,T131)</f>
        <v>0</v>
      </c>
    </row>
    <row r="132" spans="1:26" x14ac:dyDescent="0.25">
      <c r="A132" s="55" t="str">
        <f>_xlfn.XLOOKUP($G132,'.Auxiliar'!$G:$G,'.Auxiliar'!A:A,"-",0)</f>
        <v>CERRADO</v>
      </c>
      <c r="B132" s="55" t="str">
        <f>_xlfn.XLOOKUP($G132,'.Auxiliar'!$G:$G,'.Auxiliar'!B:B,"-",0)</f>
        <v>PAVIMENTAÇÃO</v>
      </c>
      <c r="C132" s="55" t="str">
        <f>_xlfn.XLOOKUP($G132,'.Auxiliar'!$G:$G,'.Auxiliar'!C:C,"-",0)</f>
        <v>*Vias Marginais LE (Monte Alegre de Minas)</v>
      </c>
      <c r="D132" s="55">
        <f>_xlfn.XLOOKUP($G132,'.Auxiliar'!$G:$G,'.Auxiliar'!D:D,"-",0)</f>
        <v>628.9</v>
      </c>
      <c r="E132" s="55">
        <f>_xlfn.XLOOKUP($G132,'.Auxiliar'!$G:$G,'.Auxiliar'!E:E,"-",0)</f>
        <v>631.16</v>
      </c>
      <c r="F132" s="55">
        <f>_xlfn.XLOOKUP($G132,'.Auxiliar'!$G:$G,'.Auxiliar'!F:F,"-",0)</f>
        <v>2.2599999999999909</v>
      </c>
      <c r="G132" s="59" t="s">
        <v>468</v>
      </c>
      <c r="H132" s="108" t="s">
        <v>363</v>
      </c>
      <c r="I132" s="115" t="s">
        <v>1881</v>
      </c>
      <c r="J132" s="109" t="s">
        <v>0</v>
      </c>
      <c r="K132" s="109" t="s">
        <v>363</v>
      </c>
      <c r="L132" s="109" t="s">
        <v>0</v>
      </c>
      <c r="M132" s="109" t="s">
        <v>0</v>
      </c>
      <c r="N132" s="110" t="s">
        <v>0</v>
      </c>
      <c r="O132" s="111">
        <v>100</v>
      </c>
      <c r="P132" s="112">
        <v>10</v>
      </c>
      <c r="Q132" s="112">
        <f>91-P132</f>
        <v>81</v>
      </c>
      <c r="R132" s="112">
        <v>81</v>
      </c>
      <c r="S132" s="95">
        <v>9</v>
      </c>
      <c r="T132" s="95">
        <v>9</v>
      </c>
      <c r="U132" s="95">
        <f t="shared" si="6"/>
        <v>9</v>
      </c>
      <c r="V132" s="112"/>
      <c r="W132" s="112"/>
      <c r="X132" s="107"/>
      <c r="Y132" s="107">
        <f t="shared" si="7"/>
        <v>100</v>
      </c>
      <c r="Z132" s="107">
        <f t="shared" si="8"/>
        <v>100</v>
      </c>
    </row>
    <row r="133" spans="1:26" x14ac:dyDescent="0.25">
      <c r="A133" s="55" t="str">
        <f>_xlfn.XLOOKUP($G133,'.Auxiliar'!$G:$G,'.Auxiliar'!A:A,"-",0)</f>
        <v>CERRADO</v>
      </c>
      <c r="B133" s="55" t="str">
        <f>_xlfn.XLOOKUP($G133,'.Auxiliar'!$G:$G,'.Auxiliar'!B:B,"-",0)</f>
        <v>PAVIMENTAÇÃO</v>
      </c>
      <c r="C133" s="55" t="str">
        <f>_xlfn.XLOOKUP($G133,'.Auxiliar'!$G:$G,'.Auxiliar'!C:C,"-",0)</f>
        <v>Vias Marginais  (Chaveslândia)</v>
      </c>
      <c r="D133" s="55">
        <f>_xlfn.XLOOKUP($G133,'.Auxiliar'!$G:$G,'.Auxiliar'!D:D,"-",0)</f>
        <v>870.7</v>
      </c>
      <c r="E133" s="55">
        <f>_xlfn.XLOOKUP($G133,'.Auxiliar'!$G:$G,'.Auxiliar'!E:E,"-",0)</f>
        <v>872.3</v>
      </c>
      <c r="F133" s="55">
        <f>_xlfn.XLOOKUP($G133,'.Auxiliar'!$G:$G,'.Auxiliar'!F:F,"-",0)</f>
        <v>1.5999999999999091</v>
      </c>
      <c r="G133" s="59" t="s">
        <v>810</v>
      </c>
      <c r="H133" s="113" t="s">
        <v>1881</v>
      </c>
      <c r="I133" s="109" t="s">
        <v>363</v>
      </c>
      <c r="J133" s="109" t="s">
        <v>0</v>
      </c>
      <c r="K133" s="109" t="s">
        <v>0</v>
      </c>
      <c r="L133" s="109" t="s">
        <v>0</v>
      </c>
      <c r="M133" s="109" t="s">
        <v>0</v>
      </c>
      <c r="N133" s="110" t="s">
        <v>0</v>
      </c>
      <c r="O133" s="111">
        <v>81</v>
      </c>
      <c r="P133" s="112">
        <v>81</v>
      </c>
      <c r="Q133" s="112">
        <v>19</v>
      </c>
      <c r="R133" s="112">
        <v>19</v>
      </c>
      <c r="S133" s="112"/>
      <c r="T133" s="112"/>
      <c r="U133" s="95">
        <f t="shared" si="6"/>
        <v>0</v>
      </c>
      <c r="V133" s="112"/>
      <c r="W133" s="112"/>
      <c r="X133" s="107"/>
      <c r="Y133" s="107">
        <f t="shared" si="7"/>
        <v>100</v>
      </c>
      <c r="Z133" s="107">
        <f t="shared" si="8"/>
        <v>100</v>
      </c>
    </row>
    <row r="134" spans="1:26" x14ac:dyDescent="0.25">
      <c r="A134" s="55" t="str">
        <f>_xlfn.XLOOKUP($G134,'.Auxiliar'!$G:$G,'.Auxiliar'!A:A,"-",0)</f>
        <v>CERRADO</v>
      </c>
      <c r="B134" s="55" t="str">
        <f>_xlfn.XLOOKUP($G134,'.Auxiliar'!$G:$G,'.Auxiliar'!B:B,"-",0)</f>
        <v>PAVIMENTAÇÃO</v>
      </c>
      <c r="C134" s="55" t="str">
        <f>_xlfn.XLOOKUP($G134,'.Auxiliar'!$G:$G,'.Auxiliar'!C:C,"-",0)</f>
        <v>Vias Marginais LD (Aparecida do Rio Doce)</v>
      </c>
      <c r="D134" s="55">
        <f>_xlfn.XLOOKUP($G134,'.Auxiliar'!$G:$G,'.Auxiliar'!D:D,"-",0)</f>
        <v>113.9</v>
      </c>
      <c r="E134" s="55">
        <f>_xlfn.XLOOKUP($G134,'.Auxiliar'!$G:$G,'.Auxiliar'!E:E,"-",0)</f>
        <v>114.6</v>
      </c>
      <c r="F134" s="55">
        <f>_xlfn.XLOOKUP($G134,'.Auxiliar'!$G:$G,'.Auxiliar'!F:F,"-",0)</f>
        <v>0.69999999999998863</v>
      </c>
      <c r="G134" s="59" t="s">
        <v>867</v>
      </c>
      <c r="H134" s="108" t="s">
        <v>0</v>
      </c>
      <c r="I134" s="109" t="s">
        <v>0</v>
      </c>
      <c r="J134" s="109" t="s">
        <v>363</v>
      </c>
      <c r="K134" s="109" t="s">
        <v>0</v>
      </c>
      <c r="L134" s="109" t="s">
        <v>0</v>
      </c>
      <c r="M134" s="109" t="s">
        <v>0</v>
      </c>
      <c r="N134" s="110" t="s">
        <v>0</v>
      </c>
      <c r="O134" s="111"/>
      <c r="P134" s="112"/>
      <c r="Q134" s="112"/>
      <c r="R134" s="112"/>
      <c r="S134" s="112">
        <v>100</v>
      </c>
      <c r="T134" s="112">
        <v>0</v>
      </c>
      <c r="U134" s="95">
        <f t="shared" si="6"/>
        <v>100</v>
      </c>
      <c r="V134" s="112"/>
      <c r="W134" s="112"/>
      <c r="X134" s="107"/>
      <c r="Y134" s="107">
        <f t="shared" si="7"/>
        <v>100</v>
      </c>
      <c r="Z134" s="107">
        <f t="shared" si="8"/>
        <v>0</v>
      </c>
    </row>
    <row r="135" spans="1:26" x14ac:dyDescent="0.25">
      <c r="A135" s="55" t="str">
        <f>_xlfn.XLOOKUP($G135,'.Auxiliar'!$G:$G,'.Auxiliar'!A:A,"-",0)</f>
        <v>CERRADO</v>
      </c>
      <c r="B135" s="55" t="str">
        <f>_xlfn.XLOOKUP($G135,'.Auxiliar'!$G:$G,'.Auxiliar'!B:B,"-",0)</f>
        <v>PAVIMENTAÇÃO</v>
      </c>
      <c r="C135" s="55" t="str">
        <f>_xlfn.XLOOKUP($G135,'.Auxiliar'!$G:$G,'.Auxiliar'!C:C,"-",0)</f>
        <v>Vias Marginais LD (Cachoeira Alta)</v>
      </c>
      <c r="D135" s="55">
        <f>_xlfn.XLOOKUP($G135,'.Auxiliar'!$G:$G,'.Auxiliar'!D:D,"-",0)</f>
        <v>57</v>
      </c>
      <c r="E135" s="55">
        <f>_xlfn.XLOOKUP($G135,'.Auxiliar'!$G:$G,'.Auxiliar'!E:E,"-",0)</f>
        <v>58</v>
      </c>
      <c r="F135" s="55">
        <f>_xlfn.XLOOKUP($G135,'.Auxiliar'!$G:$G,'.Auxiliar'!F:F,"-",0)</f>
        <v>1</v>
      </c>
      <c r="G135" s="59" t="s">
        <v>812</v>
      </c>
      <c r="H135" s="108" t="s">
        <v>0</v>
      </c>
      <c r="I135" s="109" t="s">
        <v>368</v>
      </c>
      <c r="J135" s="109" t="s">
        <v>0</v>
      </c>
      <c r="K135" s="109" t="s">
        <v>363</v>
      </c>
      <c r="L135" s="109" t="s">
        <v>0</v>
      </c>
      <c r="M135" s="109" t="s">
        <v>0</v>
      </c>
      <c r="N135" s="110" t="s">
        <v>0</v>
      </c>
      <c r="O135" s="111"/>
      <c r="P135" s="112"/>
      <c r="Q135" s="112">
        <v>87.8</v>
      </c>
      <c r="R135" s="112">
        <v>87.8</v>
      </c>
      <c r="S135" s="112">
        <v>12.2</v>
      </c>
      <c r="T135" s="112">
        <v>12.2</v>
      </c>
      <c r="U135" s="95">
        <f t="shared" si="6"/>
        <v>12.200000000000003</v>
      </c>
      <c r="V135" s="112"/>
      <c r="W135" s="112"/>
      <c r="X135" s="107"/>
      <c r="Y135" s="107">
        <f t="shared" si="7"/>
        <v>100</v>
      </c>
      <c r="Z135" s="107">
        <f t="shared" si="8"/>
        <v>100</v>
      </c>
    </row>
    <row r="136" spans="1:26" x14ac:dyDescent="0.25">
      <c r="A136" s="55" t="str">
        <f>_xlfn.XLOOKUP($G136,'.Auxiliar'!$G:$G,'.Auxiliar'!A:A,"-",0)</f>
        <v>CERRADO</v>
      </c>
      <c r="B136" s="55" t="str">
        <f>_xlfn.XLOOKUP($G136,'.Auxiliar'!$G:$G,'.Auxiliar'!B:B,"-",0)</f>
        <v>PAVIMENTAÇÃO</v>
      </c>
      <c r="C136" s="55" t="str">
        <f>_xlfn.XLOOKUP($G136,'.Auxiliar'!$G:$G,'.Auxiliar'!C:C,"-",0)</f>
        <v>Vias Marginais LD (Ituiutaba)</v>
      </c>
      <c r="D136" s="55">
        <f>_xlfn.XLOOKUP($G136,'.Auxiliar'!$G:$G,'.Auxiliar'!D:D,"-",0)</f>
        <v>752.6</v>
      </c>
      <c r="E136" s="55">
        <f>_xlfn.XLOOKUP($G136,'.Auxiliar'!$G:$G,'.Auxiliar'!E:E,"-",0)</f>
        <v>753.2</v>
      </c>
      <c r="F136" s="55">
        <f>_xlfn.XLOOKUP($G136,'.Auxiliar'!$G:$G,'.Auxiliar'!F:F,"-",0)</f>
        <v>0.60000000000002274</v>
      </c>
      <c r="G136" s="59" t="s">
        <v>863</v>
      </c>
      <c r="H136" s="108" t="s">
        <v>0</v>
      </c>
      <c r="I136" s="109" t="s">
        <v>0</v>
      </c>
      <c r="J136" s="109" t="s">
        <v>363</v>
      </c>
      <c r="K136" s="109" t="s">
        <v>0</v>
      </c>
      <c r="L136" s="109" t="s">
        <v>0</v>
      </c>
      <c r="M136" s="109" t="s">
        <v>0</v>
      </c>
      <c r="N136" s="110" t="s">
        <v>0</v>
      </c>
      <c r="O136" s="111"/>
      <c r="P136" s="112"/>
      <c r="Q136" s="112"/>
      <c r="R136" s="112"/>
      <c r="S136" s="112">
        <v>100</v>
      </c>
      <c r="T136" s="112">
        <v>4.43</v>
      </c>
      <c r="U136" s="95">
        <f t="shared" si="6"/>
        <v>100</v>
      </c>
      <c r="V136" s="112"/>
      <c r="W136" s="112"/>
      <c r="X136" s="107"/>
      <c r="Y136" s="107">
        <f t="shared" si="7"/>
        <v>100</v>
      </c>
      <c r="Z136" s="107">
        <f t="shared" si="8"/>
        <v>4.43</v>
      </c>
    </row>
    <row r="137" spans="1:26" x14ac:dyDescent="0.25">
      <c r="A137" s="55" t="str">
        <f>_xlfn.XLOOKUP($G137,'.Auxiliar'!$G:$G,'.Auxiliar'!A:A,"-",0)</f>
        <v>CERRADO</v>
      </c>
      <c r="B137" s="55" t="str">
        <f>_xlfn.XLOOKUP($G137,'.Auxiliar'!$G:$G,'.Auxiliar'!B:B,"-",0)</f>
        <v>PAVIMENTAÇÃO</v>
      </c>
      <c r="C137" s="55" t="str">
        <f>_xlfn.XLOOKUP($G137,'.Auxiliar'!$G:$G,'.Auxiliar'!C:C,"-",0)</f>
        <v>Vias Marginais LD (Ituiutaba)</v>
      </c>
      <c r="D137" s="55">
        <f>_xlfn.XLOOKUP($G137,'.Auxiliar'!$G:$G,'.Auxiliar'!D:D,"-",0)</f>
        <v>753.2</v>
      </c>
      <c r="E137" s="55">
        <f>_xlfn.XLOOKUP($G137,'.Auxiliar'!$G:$G,'.Auxiliar'!E:E,"-",0)</f>
        <v>754.5</v>
      </c>
      <c r="F137" s="55">
        <f>_xlfn.XLOOKUP($G137,'.Auxiliar'!$G:$G,'.Auxiliar'!F:F,"-",0)</f>
        <v>1.2999999999999545</v>
      </c>
      <c r="G137" s="59" t="s">
        <v>865</v>
      </c>
      <c r="H137" s="108" t="s">
        <v>0</v>
      </c>
      <c r="I137" s="109" t="s">
        <v>0</v>
      </c>
      <c r="J137" s="109" t="s">
        <v>363</v>
      </c>
      <c r="K137" s="109" t="s">
        <v>0</v>
      </c>
      <c r="L137" s="109" t="s">
        <v>0</v>
      </c>
      <c r="M137" s="109" t="s">
        <v>0</v>
      </c>
      <c r="N137" s="110" t="s">
        <v>0</v>
      </c>
      <c r="O137" s="111"/>
      <c r="P137" s="112"/>
      <c r="Q137" s="112"/>
      <c r="R137" s="112"/>
      <c r="S137" s="112">
        <v>100</v>
      </c>
      <c r="T137" s="112">
        <v>0</v>
      </c>
      <c r="U137" s="95">
        <f t="shared" si="6"/>
        <v>100</v>
      </c>
      <c r="V137" s="112"/>
      <c r="W137" s="112"/>
      <c r="X137" s="107"/>
      <c r="Y137" s="107">
        <f t="shared" si="7"/>
        <v>100</v>
      </c>
      <c r="Z137" s="107">
        <f t="shared" si="8"/>
        <v>0</v>
      </c>
    </row>
    <row r="138" spans="1:26" x14ac:dyDescent="0.25">
      <c r="A138" s="55" t="str">
        <f>_xlfn.XLOOKUP($G138,'.Auxiliar'!$G:$G,'.Auxiliar'!A:A,"-",0)</f>
        <v>CERRADO</v>
      </c>
      <c r="B138" s="55" t="str">
        <f>_xlfn.XLOOKUP($G138,'.Auxiliar'!$G:$G,'.Auxiliar'!B:B,"-",0)</f>
        <v>PAVIMENTAÇÃO</v>
      </c>
      <c r="C138" s="55" t="str">
        <f>_xlfn.XLOOKUP($G138,'.Auxiliar'!$G:$G,'.Auxiliar'!C:C,"-",0)</f>
        <v>Vias Marginais LD (São Simão)</v>
      </c>
      <c r="D138" s="55">
        <f>_xlfn.XLOOKUP($G138,'.Auxiliar'!$G:$G,'.Auxiliar'!D:D,"-",0)</f>
        <v>5</v>
      </c>
      <c r="E138" s="55">
        <f>_xlfn.XLOOKUP($G138,'.Auxiliar'!$G:$G,'.Auxiliar'!E:E,"-",0)</f>
        <v>8.5</v>
      </c>
      <c r="F138" s="55">
        <f>_xlfn.XLOOKUP($G138,'.Auxiliar'!$G:$G,'.Auxiliar'!F:F,"-",0)</f>
        <v>3.5</v>
      </c>
      <c r="G138" s="59" t="s">
        <v>811</v>
      </c>
      <c r="H138" s="108" t="s">
        <v>0</v>
      </c>
      <c r="I138" s="109" t="s">
        <v>368</v>
      </c>
      <c r="J138" s="109" t="s">
        <v>0</v>
      </c>
      <c r="K138" s="109" t="s">
        <v>363</v>
      </c>
      <c r="L138" s="109" t="s">
        <v>0</v>
      </c>
      <c r="M138" s="109" t="s">
        <v>0</v>
      </c>
      <c r="N138" s="110" t="s">
        <v>0</v>
      </c>
      <c r="O138" s="111"/>
      <c r="P138" s="112"/>
      <c r="Q138" s="112"/>
      <c r="R138" s="112"/>
      <c r="S138" s="112">
        <v>100</v>
      </c>
      <c r="T138" s="112">
        <v>0</v>
      </c>
      <c r="U138" s="95">
        <f t="shared" si="6"/>
        <v>100</v>
      </c>
      <c r="V138" s="112"/>
      <c r="W138" s="112"/>
      <c r="X138" s="107"/>
      <c r="Y138" s="107">
        <f t="shared" si="7"/>
        <v>100</v>
      </c>
      <c r="Z138" s="107">
        <f t="shared" si="8"/>
        <v>0</v>
      </c>
    </row>
    <row r="139" spans="1:26" x14ac:dyDescent="0.25">
      <c r="A139" s="55" t="str">
        <f>_xlfn.XLOOKUP($G139,'.Auxiliar'!$G:$G,'.Auxiliar'!A:A,"-",0)</f>
        <v>CERRADO</v>
      </c>
      <c r="B139" s="55" t="str">
        <f>_xlfn.XLOOKUP($G139,'.Auxiliar'!$G:$G,'.Auxiliar'!B:B,"-",0)</f>
        <v>PAVIMENTAÇÃO</v>
      </c>
      <c r="C139" s="55" t="str">
        <f>_xlfn.XLOOKUP($G139,'.Auxiliar'!$G:$G,'.Auxiliar'!C:C,"-",0)</f>
        <v>Vias Marginais LE (Aparecida do Rio Doce)</v>
      </c>
      <c r="D139" s="55">
        <f>_xlfn.XLOOKUP($G139,'.Auxiliar'!$G:$G,'.Auxiliar'!D:D,"-",0)</f>
        <v>113.8</v>
      </c>
      <c r="E139" s="55">
        <f>_xlfn.XLOOKUP($G139,'.Auxiliar'!$G:$G,'.Auxiliar'!E:E,"-",0)</f>
        <v>114.6</v>
      </c>
      <c r="F139" s="55">
        <f>_xlfn.XLOOKUP($G139,'.Auxiliar'!$G:$G,'.Auxiliar'!F:F,"-",0)</f>
        <v>0.79999999999999716</v>
      </c>
      <c r="G139" s="59" t="s">
        <v>868</v>
      </c>
      <c r="H139" s="108" t="s">
        <v>0</v>
      </c>
      <c r="I139" s="109" t="s">
        <v>0</v>
      </c>
      <c r="J139" s="109" t="s">
        <v>363</v>
      </c>
      <c r="K139" s="109" t="s">
        <v>0</v>
      </c>
      <c r="L139" s="109" t="s">
        <v>0</v>
      </c>
      <c r="M139" s="109" t="s">
        <v>0</v>
      </c>
      <c r="N139" s="110" t="s">
        <v>0</v>
      </c>
      <c r="O139" s="111"/>
      <c r="P139" s="112"/>
      <c r="Q139" s="112"/>
      <c r="R139" s="112"/>
      <c r="S139" s="112">
        <v>100</v>
      </c>
      <c r="T139" s="112">
        <v>0</v>
      </c>
      <c r="U139" s="95">
        <f t="shared" si="6"/>
        <v>100</v>
      </c>
      <c r="V139" s="112"/>
      <c r="W139" s="112"/>
      <c r="X139" s="107"/>
      <c r="Y139" s="107">
        <f t="shared" si="7"/>
        <v>100</v>
      </c>
      <c r="Z139" s="107">
        <f t="shared" si="8"/>
        <v>0</v>
      </c>
    </row>
    <row r="140" spans="1:26" x14ac:dyDescent="0.25">
      <c r="A140" s="55" t="str">
        <f>_xlfn.XLOOKUP($G140,'.Auxiliar'!$G:$G,'.Auxiliar'!A:A,"-",0)</f>
        <v>CERRADO</v>
      </c>
      <c r="B140" s="55" t="str">
        <f>_xlfn.XLOOKUP($G140,'.Auxiliar'!$G:$G,'.Auxiliar'!B:B,"-",0)</f>
        <v>PAVIMENTAÇÃO</v>
      </c>
      <c r="C140" s="55" t="str">
        <f>_xlfn.XLOOKUP($G140,'.Auxiliar'!$G:$G,'.Auxiliar'!C:C,"-",0)</f>
        <v>Vias Marginais LE (Cachoeira Alta)</v>
      </c>
      <c r="D140" s="55">
        <f>_xlfn.XLOOKUP($G140,'.Auxiliar'!$G:$G,'.Auxiliar'!D:D,"-",0)</f>
        <v>57</v>
      </c>
      <c r="E140" s="55">
        <f>_xlfn.XLOOKUP($G140,'.Auxiliar'!$G:$G,'.Auxiliar'!E:E,"-",0)</f>
        <v>58</v>
      </c>
      <c r="F140" s="55">
        <f>_xlfn.XLOOKUP($G140,'.Auxiliar'!$G:$G,'.Auxiliar'!F:F,"-",0)</f>
        <v>1</v>
      </c>
      <c r="G140" s="59" t="s">
        <v>813</v>
      </c>
      <c r="H140" s="108" t="s">
        <v>0</v>
      </c>
      <c r="I140" s="109" t="s">
        <v>368</v>
      </c>
      <c r="J140" s="109" t="s">
        <v>0</v>
      </c>
      <c r="K140" s="109" t="s">
        <v>363</v>
      </c>
      <c r="L140" s="109" t="s">
        <v>0</v>
      </c>
      <c r="M140" s="109" t="s">
        <v>0</v>
      </c>
      <c r="N140" s="110" t="s">
        <v>0</v>
      </c>
      <c r="O140" s="111"/>
      <c r="P140" s="112"/>
      <c r="Q140" s="112">
        <v>84.7</v>
      </c>
      <c r="R140" s="112">
        <v>84.7</v>
      </c>
      <c r="S140" s="112">
        <v>15.3</v>
      </c>
      <c r="T140" s="112">
        <v>15.3</v>
      </c>
      <c r="U140" s="95">
        <f t="shared" si="6"/>
        <v>15.299999999999997</v>
      </c>
      <c r="V140" s="112"/>
      <c r="W140" s="112"/>
      <c r="X140" s="107"/>
      <c r="Y140" s="107">
        <f t="shared" si="7"/>
        <v>100</v>
      </c>
      <c r="Z140" s="107">
        <f t="shared" si="8"/>
        <v>100</v>
      </c>
    </row>
    <row r="141" spans="1:26" x14ac:dyDescent="0.25">
      <c r="A141" s="55" t="str">
        <f>_xlfn.XLOOKUP($G141,'.Auxiliar'!$G:$G,'.Auxiliar'!A:A,"-",0)</f>
        <v>CERRADO</v>
      </c>
      <c r="B141" s="55" t="str">
        <f>_xlfn.XLOOKUP($G141,'.Auxiliar'!$G:$G,'.Auxiliar'!B:B,"-",0)</f>
        <v>PAVIMENTAÇÃO</v>
      </c>
      <c r="C141" s="55" t="str">
        <f>_xlfn.XLOOKUP($G141,'.Auxiliar'!$G:$G,'.Auxiliar'!C:C,"-",0)</f>
        <v>Vias Marginais LE (Ituiutaba)</v>
      </c>
      <c r="D141" s="55">
        <f>_xlfn.XLOOKUP($G141,'.Auxiliar'!$G:$G,'.Auxiliar'!D:D,"-",0)</f>
        <v>752.6</v>
      </c>
      <c r="E141" s="55">
        <f>_xlfn.XLOOKUP($G141,'.Auxiliar'!$G:$G,'.Auxiliar'!E:E,"-",0)</f>
        <v>753.2</v>
      </c>
      <c r="F141" s="55">
        <f>_xlfn.XLOOKUP($G141,'.Auxiliar'!$G:$G,'.Auxiliar'!F:F,"-",0)</f>
        <v>0.60000000000002274</v>
      </c>
      <c r="G141" s="59" t="s">
        <v>864</v>
      </c>
      <c r="H141" s="108" t="s">
        <v>0</v>
      </c>
      <c r="I141" s="109" t="s">
        <v>0</v>
      </c>
      <c r="J141" s="109" t="s">
        <v>363</v>
      </c>
      <c r="K141" s="109" t="s">
        <v>0</v>
      </c>
      <c r="L141" s="109" t="s">
        <v>0</v>
      </c>
      <c r="M141" s="109" t="s">
        <v>0</v>
      </c>
      <c r="N141" s="110" t="s">
        <v>0</v>
      </c>
      <c r="O141" s="111"/>
      <c r="P141" s="112"/>
      <c r="Q141" s="112"/>
      <c r="R141" s="112"/>
      <c r="S141" s="112">
        <v>100</v>
      </c>
      <c r="T141" s="112">
        <v>4.22</v>
      </c>
      <c r="U141" s="95">
        <f t="shared" si="6"/>
        <v>100</v>
      </c>
      <c r="V141" s="112"/>
      <c r="W141" s="112"/>
      <c r="X141" s="107"/>
      <c r="Y141" s="107">
        <f t="shared" si="7"/>
        <v>100</v>
      </c>
      <c r="Z141" s="107">
        <f t="shared" si="8"/>
        <v>4.22</v>
      </c>
    </row>
    <row r="142" spans="1:26" x14ac:dyDescent="0.25">
      <c r="A142" s="55" t="str">
        <f>_xlfn.XLOOKUP($G142,'.Auxiliar'!$G:$G,'.Auxiliar'!A:A,"-",0)</f>
        <v>CERRADO</v>
      </c>
      <c r="B142" s="55" t="str">
        <f>_xlfn.XLOOKUP($G142,'.Auxiliar'!$G:$G,'.Auxiliar'!B:B,"-",0)</f>
        <v>PAVIMENTAÇÃO</v>
      </c>
      <c r="C142" s="55" t="str">
        <f>_xlfn.XLOOKUP($G142,'.Auxiliar'!$G:$G,'.Auxiliar'!C:C,"-",0)</f>
        <v>Vias Marginais LE (Ituiutaba)</v>
      </c>
      <c r="D142" s="55">
        <f>_xlfn.XLOOKUP($G142,'.Auxiliar'!$G:$G,'.Auxiliar'!D:D,"-",0)</f>
        <v>753.2</v>
      </c>
      <c r="E142" s="55">
        <f>_xlfn.XLOOKUP($G142,'.Auxiliar'!$G:$G,'.Auxiliar'!E:E,"-",0)</f>
        <v>754.5</v>
      </c>
      <c r="F142" s="55">
        <f>_xlfn.XLOOKUP($G142,'.Auxiliar'!$G:$G,'.Auxiliar'!F:F,"-",0)</f>
        <v>1.2999999999999545</v>
      </c>
      <c r="G142" s="59" t="s">
        <v>866</v>
      </c>
      <c r="H142" s="108" t="s">
        <v>0</v>
      </c>
      <c r="I142" s="109" t="s">
        <v>0</v>
      </c>
      <c r="J142" s="109" t="s">
        <v>363</v>
      </c>
      <c r="K142" s="109" t="s">
        <v>0</v>
      </c>
      <c r="L142" s="109" t="s">
        <v>0</v>
      </c>
      <c r="M142" s="109" t="s">
        <v>0</v>
      </c>
      <c r="N142" s="110" t="s">
        <v>0</v>
      </c>
      <c r="O142" s="111"/>
      <c r="P142" s="112"/>
      <c r="Q142" s="112"/>
      <c r="R142" s="112"/>
      <c r="S142" s="112">
        <v>100</v>
      </c>
      <c r="T142" s="112">
        <v>0</v>
      </c>
      <c r="U142" s="95">
        <f t="shared" si="6"/>
        <v>100</v>
      </c>
      <c r="V142" s="112"/>
      <c r="W142" s="112"/>
      <c r="X142" s="107"/>
      <c r="Y142" s="107">
        <f t="shared" si="7"/>
        <v>100</v>
      </c>
      <c r="Z142" s="107">
        <f t="shared" si="8"/>
        <v>0</v>
      </c>
    </row>
    <row r="143" spans="1:26" x14ac:dyDescent="0.25">
      <c r="A143" s="55" t="str">
        <f>_xlfn.XLOOKUP($G143,'.Auxiliar'!$G:$G,'.Auxiliar'!A:A,"-",0)</f>
        <v>CONCESSÃO VIA SUL</v>
      </c>
      <c r="B143" s="55" t="str">
        <f>_xlfn.XLOOKUP($G143,'.Auxiliar'!$G:$G,'.Auxiliar'!B:B,"-",0)</f>
        <v>DUPLICAÇÃO</v>
      </c>
      <c r="C143" s="55" t="str">
        <f>_xlfn.XLOOKUP($G143,'.Auxiliar'!$G:$G,'.Auxiliar'!C:C,"-",0)</f>
        <v>Carazinho - Tio Hugo</v>
      </c>
      <c r="D143" s="55">
        <f>_xlfn.XLOOKUP($G143,'.Auxiliar'!$G:$G,'.Auxiliar'!D:D,"-",0)</f>
        <v>178.5</v>
      </c>
      <c r="E143" s="55">
        <f>_xlfn.XLOOKUP($G143,'.Auxiliar'!$G:$G,'.Auxiliar'!E:E,"-",0)</f>
        <v>213.1</v>
      </c>
      <c r="F143" s="55">
        <f>_xlfn.XLOOKUP($G143,'.Auxiliar'!$G:$G,'.Auxiliar'!F:F,"-",0)</f>
        <v>34.6</v>
      </c>
      <c r="G143" s="59" t="s">
        <v>1200</v>
      </c>
      <c r="H143" s="108" t="s">
        <v>0</v>
      </c>
      <c r="I143" s="109" t="s">
        <v>0</v>
      </c>
      <c r="J143" s="109" t="s">
        <v>0</v>
      </c>
      <c r="K143" s="109" t="s">
        <v>0</v>
      </c>
      <c r="L143" s="109" t="s">
        <v>0</v>
      </c>
      <c r="M143" s="109" t="s">
        <v>0</v>
      </c>
      <c r="N143" s="110" t="s">
        <v>363</v>
      </c>
      <c r="O143" s="111"/>
      <c r="P143" s="112"/>
      <c r="Q143" s="112"/>
      <c r="R143" s="112"/>
      <c r="S143" s="112"/>
      <c r="T143" s="112"/>
      <c r="U143" s="95" t="str">
        <f t="shared" si="6"/>
        <v/>
      </c>
      <c r="V143" s="112"/>
      <c r="W143" s="112"/>
      <c r="X143" s="107">
        <v>100</v>
      </c>
      <c r="Y143" s="107">
        <f t="shared" si="7"/>
        <v>100</v>
      </c>
      <c r="Z143" s="107">
        <f t="shared" si="8"/>
        <v>0</v>
      </c>
    </row>
    <row r="144" spans="1:26" x14ac:dyDescent="0.25">
      <c r="A144" s="55" t="str">
        <f>_xlfn.XLOOKUP($G144,'.Auxiliar'!$G:$G,'.Auxiliar'!A:A,"-",0)</f>
        <v>CONCESSÃO VIA SUL</v>
      </c>
      <c r="B144" s="55" t="str">
        <f>_xlfn.XLOOKUP($G144,'.Auxiliar'!$G:$G,'.Auxiliar'!B:B,"-",0)</f>
        <v>DUPLICAÇÃO</v>
      </c>
      <c r="C144" s="55" t="str">
        <f>_xlfn.XLOOKUP($G144,'.Auxiliar'!$G:$G,'.Auxiliar'!C:C,"-",0)</f>
        <v>Duplicação - Marques de Souza/ Lajeado - Subtrecho 01</v>
      </c>
      <c r="D144" s="55">
        <f>_xlfn.XLOOKUP($G144,'.Auxiliar'!$G:$G,'.Auxiliar'!D:D,"-",0)</f>
        <v>324.10000000000002</v>
      </c>
      <c r="E144" s="55">
        <f>_xlfn.XLOOKUP($G144,'.Auxiliar'!$G:$G,'.Auxiliar'!E:E,"-",0)</f>
        <v>324.60000000000002</v>
      </c>
      <c r="F144" s="55">
        <f>_xlfn.XLOOKUP($G144,'.Auxiliar'!$G:$G,'.Auxiliar'!F:F,"-",0)</f>
        <v>0.5</v>
      </c>
      <c r="G144" s="59" t="s">
        <v>415</v>
      </c>
      <c r="H144" s="108" t="s">
        <v>363</v>
      </c>
      <c r="I144" s="109" t="s">
        <v>0</v>
      </c>
      <c r="J144" s="109" t="s">
        <v>0</v>
      </c>
      <c r="K144" s="109" t="s">
        <v>0</v>
      </c>
      <c r="L144" s="109" t="s">
        <v>0</v>
      </c>
      <c r="M144" s="109" t="s">
        <v>0</v>
      </c>
      <c r="N144" s="110" t="s">
        <v>0</v>
      </c>
      <c r="O144" s="111">
        <v>100</v>
      </c>
      <c r="P144" s="112">
        <v>100</v>
      </c>
      <c r="Q144" s="112"/>
      <c r="R144" s="112"/>
      <c r="S144" s="112"/>
      <c r="T144" s="112"/>
      <c r="U144" s="95">
        <f t="shared" si="6"/>
        <v>0</v>
      </c>
      <c r="V144" s="112"/>
      <c r="W144" s="112"/>
      <c r="X144" s="107"/>
      <c r="Y144" s="107">
        <f t="shared" si="7"/>
        <v>100</v>
      </c>
      <c r="Z144" s="107">
        <f t="shared" si="8"/>
        <v>100</v>
      </c>
    </row>
    <row r="145" spans="1:26" x14ac:dyDescent="0.25">
      <c r="A145" s="55" t="str">
        <f>_xlfn.XLOOKUP($G145,'.Auxiliar'!$G:$G,'.Auxiliar'!A:A,"-",0)</f>
        <v>CONCESSÃO VIA SUL</v>
      </c>
      <c r="B145" s="55" t="str">
        <f>_xlfn.XLOOKUP($G145,'.Auxiliar'!$G:$G,'.Auxiliar'!B:B,"-",0)</f>
        <v>DUPLICAÇÃO</v>
      </c>
      <c r="C145" s="55" t="str">
        <f>_xlfn.XLOOKUP($G145,'.Auxiliar'!$G:$G,'.Auxiliar'!C:C,"-",0)</f>
        <v>Duplicação - Marques de Souza/ Lajeado - Subtrecho 02 - OAE km 326+100  SNV*</v>
      </c>
      <c r="D145" s="55">
        <f>_xlfn.XLOOKUP($G145,'.Auxiliar'!$G:$G,'.Auxiliar'!D:D,"-",0)</f>
        <v>324.60000000000002</v>
      </c>
      <c r="E145" s="55">
        <f>_xlfn.XLOOKUP($G145,'.Auxiliar'!$G:$G,'.Auxiliar'!E:E,"-",0)</f>
        <v>324.654</v>
      </c>
      <c r="F145" s="55">
        <f>_xlfn.XLOOKUP($G145,'.Auxiliar'!$G:$G,'.Auxiliar'!F:F,"-",0)</f>
        <v>5.3999999999973625E-2</v>
      </c>
      <c r="G145" s="59" t="s">
        <v>416</v>
      </c>
      <c r="H145" s="108" t="s">
        <v>363</v>
      </c>
      <c r="I145" s="109" t="s">
        <v>0</v>
      </c>
      <c r="J145" s="109" t="s">
        <v>0</v>
      </c>
      <c r="K145" s="109" t="s">
        <v>0</v>
      </c>
      <c r="L145" s="109" t="s">
        <v>0</v>
      </c>
      <c r="M145" s="109" t="s">
        <v>0</v>
      </c>
      <c r="N145" s="110" t="s">
        <v>0</v>
      </c>
      <c r="O145" s="111">
        <v>100</v>
      </c>
      <c r="P145" s="112">
        <v>100</v>
      </c>
      <c r="Q145" s="112"/>
      <c r="R145" s="112"/>
      <c r="S145" s="112"/>
      <c r="T145" s="112"/>
      <c r="U145" s="95">
        <f t="shared" si="6"/>
        <v>0</v>
      </c>
      <c r="V145" s="112"/>
      <c r="W145" s="112"/>
      <c r="X145" s="107"/>
      <c r="Y145" s="107">
        <f t="shared" si="7"/>
        <v>100</v>
      </c>
      <c r="Z145" s="107">
        <f t="shared" si="8"/>
        <v>100</v>
      </c>
    </row>
    <row r="146" spans="1:26" x14ac:dyDescent="0.25">
      <c r="A146" s="55" t="str">
        <f>_xlfn.XLOOKUP($G146,'.Auxiliar'!$G:$G,'.Auxiliar'!A:A,"-",0)</f>
        <v>CONCESSÃO VIA SUL</v>
      </c>
      <c r="B146" s="55" t="str">
        <f>_xlfn.XLOOKUP($G146,'.Auxiliar'!$G:$G,'.Auxiliar'!B:B,"-",0)</f>
        <v>DUPLICAÇÃO</v>
      </c>
      <c r="C146" s="55" t="str">
        <f>_xlfn.XLOOKUP($G146,'.Auxiliar'!$G:$G,'.Auxiliar'!C:C,"-",0)</f>
        <v>Duplicação - Marques de Souza/ Lajeado - Subtrecho 03</v>
      </c>
      <c r="D146" s="55">
        <f>_xlfn.XLOOKUP($G146,'.Auxiliar'!$G:$G,'.Auxiliar'!D:D,"-",0)</f>
        <v>324.654</v>
      </c>
      <c r="E146" s="55">
        <f>_xlfn.XLOOKUP($G146,'.Auxiliar'!$G:$G,'.Auxiliar'!E:E,"-",0)</f>
        <v>328.3</v>
      </c>
      <c r="F146" s="55">
        <f>_xlfn.XLOOKUP($G146,'.Auxiliar'!$G:$G,'.Auxiliar'!F:F,"-",0)</f>
        <v>3.646000000000015</v>
      </c>
      <c r="G146" s="59" t="s">
        <v>417</v>
      </c>
      <c r="H146" s="108" t="s">
        <v>363</v>
      </c>
      <c r="I146" s="109" t="s">
        <v>0</v>
      </c>
      <c r="J146" s="109" t="s">
        <v>0</v>
      </c>
      <c r="K146" s="109" t="s">
        <v>0</v>
      </c>
      <c r="L146" s="109" t="s">
        <v>0</v>
      </c>
      <c r="M146" s="109" t="s">
        <v>0</v>
      </c>
      <c r="N146" s="110" t="s">
        <v>0</v>
      </c>
      <c r="O146" s="111">
        <v>100</v>
      </c>
      <c r="P146" s="112">
        <v>100</v>
      </c>
      <c r="Q146" s="112"/>
      <c r="R146" s="112"/>
      <c r="S146" s="112"/>
      <c r="T146" s="112"/>
      <c r="U146" s="95">
        <f t="shared" si="6"/>
        <v>0</v>
      </c>
      <c r="V146" s="112"/>
      <c r="W146" s="112"/>
      <c r="X146" s="107"/>
      <c r="Y146" s="107">
        <f t="shared" si="7"/>
        <v>100</v>
      </c>
      <c r="Z146" s="107">
        <f t="shared" si="8"/>
        <v>100</v>
      </c>
    </row>
    <row r="147" spans="1:26" x14ac:dyDescent="0.25">
      <c r="A147" s="55" t="str">
        <f>_xlfn.XLOOKUP($G147,'.Auxiliar'!$G:$G,'.Auxiliar'!A:A,"-",0)</f>
        <v>CONCESSÃO VIA SUL</v>
      </c>
      <c r="B147" s="55" t="str">
        <f>_xlfn.XLOOKUP($G147,'.Auxiliar'!$G:$G,'.Auxiliar'!B:B,"-",0)</f>
        <v>DUPLICAÇÃO</v>
      </c>
      <c r="C147" s="55" t="str">
        <f>_xlfn.XLOOKUP($G147,'.Auxiliar'!$G:$G,'.Auxiliar'!C:C,"-",0)</f>
        <v>Duplicação - Marques de Souza/ Lajeado - Subtrecho 04 - OAE km 329+700 SNV*</v>
      </c>
      <c r="D147" s="55">
        <f>_xlfn.XLOOKUP($G147,'.Auxiliar'!$G:$G,'.Auxiliar'!D:D,"-",0)</f>
        <v>328.3</v>
      </c>
      <c r="E147" s="55">
        <f>_xlfn.XLOOKUP($G147,'.Auxiliar'!$G:$G,'.Auxiliar'!E:E,"-",0)</f>
        <v>328.35399999999998</v>
      </c>
      <c r="F147" s="55">
        <f>_xlfn.XLOOKUP($G147,'.Auxiliar'!$G:$G,'.Auxiliar'!F:F,"-",0)</f>
        <v>5.3999999999973625E-2</v>
      </c>
      <c r="G147" s="59" t="s">
        <v>418</v>
      </c>
      <c r="H147" s="108" t="s">
        <v>363</v>
      </c>
      <c r="I147" s="109" t="s">
        <v>0</v>
      </c>
      <c r="J147" s="109" t="s">
        <v>0</v>
      </c>
      <c r="K147" s="109" t="s">
        <v>0</v>
      </c>
      <c r="L147" s="109" t="s">
        <v>0</v>
      </c>
      <c r="M147" s="109" t="s">
        <v>0</v>
      </c>
      <c r="N147" s="110" t="s">
        <v>0</v>
      </c>
      <c r="O147" s="111">
        <v>100</v>
      </c>
      <c r="P147" s="112">
        <v>100</v>
      </c>
      <c r="Q147" s="112"/>
      <c r="R147" s="112"/>
      <c r="S147" s="112"/>
      <c r="T147" s="112"/>
      <c r="U147" s="95">
        <f t="shared" si="6"/>
        <v>0</v>
      </c>
      <c r="V147" s="112"/>
      <c r="W147" s="112"/>
      <c r="X147" s="107"/>
      <c r="Y147" s="107">
        <f t="shared" si="7"/>
        <v>100</v>
      </c>
      <c r="Z147" s="107">
        <f t="shared" si="8"/>
        <v>100</v>
      </c>
    </row>
    <row r="148" spans="1:26" x14ac:dyDescent="0.25">
      <c r="A148" s="55" t="str">
        <f>_xlfn.XLOOKUP($G148,'.Auxiliar'!$G:$G,'.Auxiliar'!A:A,"-",0)</f>
        <v>CONCESSÃO VIA SUL</v>
      </c>
      <c r="B148" s="55" t="str">
        <f>_xlfn.XLOOKUP($G148,'.Auxiliar'!$G:$G,'.Auxiliar'!B:B,"-",0)</f>
        <v>DUPLICAÇÃO</v>
      </c>
      <c r="C148" s="55" t="str">
        <f>_xlfn.XLOOKUP($G148,'.Auxiliar'!$G:$G,'.Auxiliar'!C:C,"-",0)</f>
        <v>Duplicação - Marques de Souza/ Lajeado - Subtrecho 05</v>
      </c>
      <c r="D148" s="55">
        <f>_xlfn.XLOOKUP($G148,'.Auxiliar'!$G:$G,'.Auxiliar'!D:D,"-",0)</f>
        <v>328.35399999999998</v>
      </c>
      <c r="E148" s="55">
        <f>_xlfn.XLOOKUP($G148,'.Auxiliar'!$G:$G,'.Auxiliar'!E:E,"-",0)</f>
        <v>328.75</v>
      </c>
      <c r="F148" s="55">
        <f>_xlfn.XLOOKUP($G148,'.Auxiliar'!$G:$G,'.Auxiliar'!F:F,"-",0)</f>
        <v>0.39600000000001501</v>
      </c>
      <c r="G148" s="59" t="s">
        <v>419</v>
      </c>
      <c r="H148" s="108" t="s">
        <v>363</v>
      </c>
      <c r="I148" s="109" t="s">
        <v>0</v>
      </c>
      <c r="J148" s="109" t="s">
        <v>0</v>
      </c>
      <c r="K148" s="109" t="s">
        <v>0</v>
      </c>
      <c r="L148" s="109" t="s">
        <v>0</v>
      </c>
      <c r="M148" s="109" t="s">
        <v>0</v>
      </c>
      <c r="N148" s="110" t="s">
        <v>0</v>
      </c>
      <c r="O148" s="111">
        <v>100</v>
      </c>
      <c r="P148" s="112">
        <v>100</v>
      </c>
      <c r="Q148" s="112"/>
      <c r="R148" s="112"/>
      <c r="S148" s="112"/>
      <c r="T148" s="112"/>
      <c r="U148" s="95">
        <f t="shared" si="6"/>
        <v>0</v>
      </c>
      <c r="V148" s="112"/>
      <c r="W148" s="112"/>
      <c r="X148" s="107"/>
      <c r="Y148" s="107">
        <f t="shared" si="7"/>
        <v>100</v>
      </c>
      <c r="Z148" s="107">
        <f t="shared" si="8"/>
        <v>100</v>
      </c>
    </row>
    <row r="149" spans="1:26" x14ac:dyDescent="0.25">
      <c r="A149" s="55" t="str">
        <f>_xlfn.XLOOKUP($G149,'.Auxiliar'!$G:$G,'.Auxiliar'!A:A,"-",0)</f>
        <v>CONCESSÃO VIA SUL</v>
      </c>
      <c r="B149" s="55" t="str">
        <f>_xlfn.XLOOKUP($G149,'.Auxiliar'!$G:$G,'.Auxiliar'!B:B,"-",0)</f>
        <v>DUPLICAÇÃO</v>
      </c>
      <c r="C149" s="55" t="str">
        <f>_xlfn.XLOOKUP($G149,'.Auxiliar'!$G:$G,'.Auxiliar'!C:C,"-",0)</f>
        <v>Duplicação - Marques de Souza/ Lajeado - Subtrecho 06 - OAE km 330+200 SNV*</v>
      </c>
      <c r="D149" s="55">
        <f>_xlfn.XLOOKUP($G149,'.Auxiliar'!$G:$G,'.Auxiliar'!D:D,"-",0)</f>
        <v>328.75</v>
      </c>
      <c r="E149" s="55">
        <f>_xlfn.XLOOKUP($G149,'.Auxiliar'!$G:$G,'.Auxiliar'!E:E,"-",0)</f>
        <v>328.79399999999998</v>
      </c>
      <c r="F149" s="55">
        <f>_xlfn.XLOOKUP($G149,'.Auxiliar'!$G:$G,'.Auxiliar'!F:F,"-",0)</f>
        <v>4.399999999998272E-2</v>
      </c>
      <c r="G149" s="59" t="s">
        <v>420</v>
      </c>
      <c r="H149" s="108" t="s">
        <v>363</v>
      </c>
      <c r="I149" s="109" t="s">
        <v>0</v>
      </c>
      <c r="J149" s="109" t="s">
        <v>0</v>
      </c>
      <c r="K149" s="109" t="s">
        <v>0</v>
      </c>
      <c r="L149" s="109" t="s">
        <v>0</v>
      </c>
      <c r="M149" s="109" t="s">
        <v>0</v>
      </c>
      <c r="N149" s="110" t="s">
        <v>0</v>
      </c>
      <c r="O149" s="111">
        <v>100</v>
      </c>
      <c r="P149" s="112">
        <v>100</v>
      </c>
      <c r="Q149" s="112"/>
      <c r="R149" s="112"/>
      <c r="S149" s="112"/>
      <c r="T149" s="112"/>
      <c r="U149" s="95">
        <f t="shared" si="6"/>
        <v>0</v>
      </c>
      <c r="V149" s="112"/>
      <c r="W149" s="112"/>
      <c r="X149" s="107"/>
      <c r="Y149" s="107">
        <f t="shared" si="7"/>
        <v>100</v>
      </c>
      <c r="Z149" s="107">
        <f t="shared" si="8"/>
        <v>100</v>
      </c>
    </row>
    <row r="150" spans="1:26" x14ac:dyDescent="0.25">
      <c r="A150" s="55" t="str">
        <f>_xlfn.XLOOKUP($G150,'.Auxiliar'!$G:$G,'.Auxiliar'!A:A,"-",0)</f>
        <v>CONCESSÃO VIA SUL</v>
      </c>
      <c r="B150" s="55" t="str">
        <f>_xlfn.XLOOKUP($G150,'.Auxiliar'!$G:$G,'.Auxiliar'!B:B,"-",0)</f>
        <v>DUPLICAÇÃO</v>
      </c>
      <c r="C150" s="55" t="str">
        <f>_xlfn.XLOOKUP($G150,'.Auxiliar'!$G:$G,'.Auxiliar'!C:C,"-",0)</f>
        <v>Duplicação - Marques de Souza/ Lajeado - Subtrecho 07</v>
      </c>
      <c r="D150" s="55">
        <f>_xlfn.XLOOKUP($G150,'.Auxiliar'!$G:$G,'.Auxiliar'!D:D,"-",0)</f>
        <v>328.79399999999998</v>
      </c>
      <c r="E150" s="55">
        <f>_xlfn.XLOOKUP($G150,'.Auxiliar'!$G:$G,'.Auxiliar'!E:E,"-",0)</f>
        <v>329.5</v>
      </c>
      <c r="F150" s="55">
        <f>_xlfn.XLOOKUP($G150,'.Auxiliar'!$G:$G,'.Auxiliar'!F:F,"-",0)</f>
        <v>0.70600000000001728</v>
      </c>
      <c r="G150" s="59" t="s">
        <v>421</v>
      </c>
      <c r="H150" s="108" t="s">
        <v>363</v>
      </c>
      <c r="I150" s="109" t="s">
        <v>0</v>
      </c>
      <c r="J150" s="109" t="s">
        <v>0</v>
      </c>
      <c r="K150" s="109" t="s">
        <v>0</v>
      </c>
      <c r="L150" s="109" t="s">
        <v>0</v>
      </c>
      <c r="M150" s="109" t="s">
        <v>0</v>
      </c>
      <c r="N150" s="110" t="s">
        <v>0</v>
      </c>
      <c r="O150" s="111">
        <v>100</v>
      </c>
      <c r="P150" s="112">
        <v>100</v>
      </c>
      <c r="Q150" s="112"/>
      <c r="R150" s="112"/>
      <c r="S150" s="112"/>
      <c r="T150" s="112"/>
      <c r="U150" s="95">
        <f t="shared" si="6"/>
        <v>0</v>
      </c>
      <c r="V150" s="112"/>
      <c r="W150" s="112"/>
      <c r="X150" s="107"/>
      <c r="Y150" s="107">
        <f t="shared" si="7"/>
        <v>100</v>
      </c>
      <c r="Z150" s="107">
        <f t="shared" si="8"/>
        <v>100</v>
      </c>
    </row>
    <row r="151" spans="1:26" x14ac:dyDescent="0.25">
      <c r="A151" s="55" t="str">
        <f>_xlfn.XLOOKUP($G151,'.Auxiliar'!$G:$G,'.Auxiliar'!A:A,"-",0)</f>
        <v>CONCESSÃO VIA SUL</v>
      </c>
      <c r="B151" s="55" t="str">
        <f>_xlfn.XLOOKUP($G151,'.Auxiliar'!$G:$G,'.Auxiliar'!B:B,"-",0)</f>
        <v>DUPLICAÇÃO</v>
      </c>
      <c r="C151" s="55" t="str">
        <f>_xlfn.XLOOKUP($G151,'.Auxiliar'!$G:$G,'.Auxiliar'!C:C,"-",0)</f>
        <v>Duplicação - Marques de Souza/ Lajeado - Subtrecho 08 - km 331+000 SNV*</v>
      </c>
      <c r="D151" s="55">
        <f>_xlfn.XLOOKUP($G151,'.Auxiliar'!$G:$G,'.Auxiliar'!D:D,"-",0)</f>
        <v>329.5</v>
      </c>
      <c r="E151" s="55">
        <f>_xlfn.XLOOKUP($G151,'.Auxiliar'!$G:$G,'.Auxiliar'!E:E,"-",0)</f>
        <v>329.54399999999998</v>
      </c>
      <c r="F151" s="55">
        <f>_xlfn.XLOOKUP($G151,'.Auxiliar'!$G:$G,'.Auxiliar'!F:F,"-",0)</f>
        <v>4.399999999998272E-2</v>
      </c>
      <c r="G151" s="59" t="s">
        <v>422</v>
      </c>
      <c r="H151" s="108" t="s">
        <v>363</v>
      </c>
      <c r="I151" s="109" t="s">
        <v>0</v>
      </c>
      <c r="J151" s="109" t="s">
        <v>0</v>
      </c>
      <c r="K151" s="109" t="s">
        <v>0</v>
      </c>
      <c r="L151" s="109" t="s">
        <v>0</v>
      </c>
      <c r="M151" s="109" t="s">
        <v>0</v>
      </c>
      <c r="N151" s="110" t="s">
        <v>0</v>
      </c>
      <c r="O151" s="111">
        <v>100</v>
      </c>
      <c r="P151" s="112">
        <v>100</v>
      </c>
      <c r="Q151" s="112"/>
      <c r="R151" s="112"/>
      <c r="S151" s="112"/>
      <c r="T151" s="112"/>
      <c r="U151" s="95">
        <f t="shared" si="6"/>
        <v>0</v>
      </c>
      <c r="V151" s="112"/>
      <c r="W151" s="112"/>
      <c r="X151" s="107"/>
      <c r="Y151" s="107">
        <f t="shared" si="7"/>
        <v>100</v>
      </c>
      <c r="Z151" s="107">
        <f t="shared" si="8"/>
        <v>100</v>
      </c>
    </row>
    <row r="152" spans="1:26" x14ac:dyDescent="0.25">
      <c r="A152" s="55" t="str">
        <f>_xlfn.XLOOKUP($G152,'.Auxiliar'!$G:$G,'.Auxiliar'!A:A,"-",0)</f>
        <v>CONCESSÃO VIA SUL</v>
      </c>
      <c r="B152" s="55" t="str">
        <f>_xlfn.XLOOKUP($G152,'.Auxiliar'!$G:$G,'.Auxiliar'!B:B,"-",0)</f>
        <v>DUPLICAÇÃO</v>
      </c>
      <c r="C152" s="55" t="str">
        <f>_xlfn.XLOOKUP($G152,'.Auxiliar'!$G:$G,'.Auxiliar'!C:C,"-",0)</f>
        <v>Duplicação - Marques de Souza/ Lajeado - Subtrecho 09</v>
      </c>
      <c r="D152" s="55">
        <f>_xlfn.XLOOKUP($G152,'.Auxiliar'!$G:$G,'.Auxiliar'!D:D,"-",0)</f>
        <v>329.54399999999998</v>
      </c>
      <c r="E152" s="55">
        <f>_xlfn.XLOOKUP($G152,'.Auxiliar'!$G:$G,'.Auxiliar'!E:E,"-",0)</f>
        <v>330.03</v>
      </c>
      <c r="F152" s="55">
        <f>_xlfn.XLOOKUP($G152,'.Auxiliar'!$G:$G,'.Auxiliar'!F:F,"-",0)</f>
        <v>0.48599999999999</v>
      </c>
      <c r="G152" s="59" t="s">
        <v>423</v>
      </c>
      <c r="H152" s="108" t="s">
        <v>363</v>
      </c>
      <c r="I152" s="109" t="s">
        <v>0</v>
      </c>
      <c r="J152" s="109" t="s">
        <v>0</v>
      </c>
      <c r="K152" s="109" t="s">
        <v>0</v>
      </c>
      <c r="L152" s="109" t="s">
        <v>0</v>
      </c>
      <c r="M152" s="109" t="s">
        <v>0</v>
      </c>
      <c r="N152" s="110" t="s">
        <v>0</v>
      </c>
      <c r="O152" s="111">
        <v>100</v>
      </c>
      <c r="P152" s="112">
        <v>100</v>
      </c>
      <c r="Q152" s="112"/>
      <c r="R152" s="112"/>
      <c r="S152" s="112"/>
      <c r="T152" s="112"/>
      <c r="U152" s="95">
        <f t="shared" si="6"/>
        <v>0</v>
      </c>
      <c r="V152" s="112"/>
      <c r="W152" s="112"/>
      <c r="X152" s="107"/>
      <c r="Y152" s="107">
        <f t="shared" si="7"/>
        <v>100</v>
      </c>
      <c r="Z152" s="107">
        <f t="shared" si="8"/>
        <v>100</v>
      </c>
    </row>
    <row r="153" spans="1:26" x14ac:dyDescent="0.25">
      <c r="A153" s="55" t="str">
        <f>_xlfn.XLOOKUP($G153,'.Auxiliar'!$G:$G,'.Auxiliar'!A:A,"-",0)</f>
        <v>CONCESSÃO VIA SUL</v>
      </c>
      <c r="B153" s="55" t="str">
        <f>_xlfn.XLOOKUP($G153,'.Auxiliar'!$G:$G,'.Auxiliar'!B:B,"-",0)</f>
        <v>DUPLICAÇÃO</v>
      </c>
      <c r="C153" s="55" t="str">
        <f>_xlfn.XLOOKUP($G153,'.Auxiliar'!$G:$G,'.Auxiliar'!C:C,"-",0)</f>
        <v>Duplicação - Marques de Souza/ Lajeado - Subtrecho 10 - km 331+400 SNV*</v>
      </c>
      <c r="D153" s="55">
        <f>_xlfn.XLOOKUP($G153,'.Auxiliar'!$G:$G,'.Auxiliar'!D:D,"-",0)</f>
        <v>330.03</v>
      </c>
      <c r="E153" s="55">
        <f>_xlfn.XLOOKUP($G153,'.Auxiliar'!$G:$G,'.Auxiliar'!E:E,"-",0)</f>
        <v>330.07400000000001</v>
      </c>
      <c r="F153" s="55">
        <f>_xlfn.XLOOKUP($G153,'.Auxiliar'!$G:$G,'.Auxiliar'!F:F,"-",0)</f>
        <v>4.4000000000039563E-2</v>
      </c>
      <c r="G153" s="59" t="s">
        <v>424</v>
      </c>
      <c r="H153" s="108" t="s">
        <v>363</v>
      </c>
      <c r="I153" s="109" t="s">
        <v>0</v>
      </c>
      <c r="J153" s="109" t="s">
        <v>0</v>
      </c>
      <c r="K153" s="109" t="s">
        <v>0</v>
      </c>
      <c r="L153" s="109" t="s">
        <v>0</v>
      </c>
      <c r="M153" s="109" t="s">
        <v>0</v>
      </c>
      <c r="N153" s="110" t="s">
        <v>0</v>
      </c>
      <c r="O153" s="111">
        <v>100</v>
      </c>
      <c r="P153" s="112">
        <v>100</v>
      </c>
      <c r="Q153" s="112"/>
      <c r="R153" s="112"/>
      <c r="S153" s="112"/>
      <c r="T153" s="112"/>
      <c r="U153" s="95">
        <f t="shared" si="6"/>
        <v>0</v>
      </c>
      <c r="V153" s="112"/>
      <c r="W153" s="112"/>
      <c r="X153" s="107"/>
      <c r="Y153" s="107">
        <f t="shared" si="7"/>
        <v>100</v>
      </c>
      <c r="Z153" s="107">
        <f t="shared" si="8"/>
        <v>100</v>
      </c>
    </row>
    <row r="154" spans="1:26" x14ac:dyDescent="0.25">
      <c r="A154" s="55" t="str">
        <f>_xlfn.XLOOKUP($G154,'.Auxiliar'!$G:$G,'.Auxiliar'!A:A,"-",0)</f>
        <v>CONCESSÃO VIA SUL</v>
      </c>
      <c r="B154" s="55" t="str">
        <f>_xlfn.XLOOKUP($G154,'.Auxiliar'!$G:$G,'.Auxiliar'!B:B,"-",0)</f>
        <v>DUPLICAÇÃO</v>
      </c>
      <c r="C154" s="55" t="str">
        <f>_xlfn.XLOOKUP($G154,'.Auxiliar'!$G:$G,'.Auxiliar'!C:C,"-",0)</f>
        <v>Duplicação - Marques de Souza/ Lajeado - Subtrecho 11</v>
      </c>
      <c r="D154" s="55">
        <f>_xlfn.XLOOKUP($G154,'.Auxiliar'!$G:$G,'.Auxiliar'!D:D,"-",0)</f>
        <v>330.07400000000001</v>
      </c>
      <c r="E154" s="55">
        <f>_xlfn.XLOOKUP($G154,'.Auxiliar'!$G:$G,'.Auxiliar'!E:E,"-",0)</f>
        <v>331.6</v>
      </c>
      <c r="F154" s="55">
        <f>_xlfn.XLOOKUP($G154,'.Auxiliar'!$G:$G,'.Auxiliar'!F:F,"-",0)</f>
        <v>1.5260000000000105</v>
      </c>
      <c r="G154" s="59" t="s">
        <v>425</v>
      </c>
      <c r="H154" s="108" t="s">
        <v>363</v>
      </c>
      <c r="I154" s="109" t="s">
        <v>0</v>
      </c>
      <c r="J154" s="109" t="s">
        <v>0</v>
      </c>
      <c r="K154" s="109" t="s">
        <v>0</v>
      </c>
      <c r="L154" s="109" t="s">
        <v>0</v>
      </c>
      <c r="M154" s="109" t="s">
        <v>0</v>
      </c>
      <c r="N154" s="110" t="s">
        <v>0</v>
      </c>
      <c r="O154" s="111">
        <v>100</v>
      </c>
      <c r="P154" s="112">
        <v>100</v>
      </c>
      <c r="Q154" s="90"/>
      <c r="R154" s="112"/>
      <c r="S154" s="112"/>
      <c r="T154" s="112"/>
      <c r="U154" s="95">
        <f t="shared" si="6"/>
        <v>0</v>
      </c>
      <c r="V154" s="112"/>
      <c r="W154" s="112"/>
      <c r="X154" s="107"/>
      <c r="Y154" s="107">
        <f t="shared" si="7"/>
        <v>100</v>
      </c>
      <c r="Z154" s="107">
        <f t="shared" si="8"/>
        <v>100</v>
      </c>
    </row>
    <row r="155" spans="1:26" x14ac:dyDescent="0.25">
      <c r="A155" s="55" t="str">
        <f>_xlfn.XLOOKUP($G155,'.Auxiliar'!$G:$G,'.Auxiliar'!A:A,"-",0)</f>
        <v>CONCESSÃO VIA SUL</v>
      </c>
      <c r="B155" s="55" t="str">
        <f>_xlfn.XLOOKUP($G155,'.Auxiliar'!$G:$G,'.Auxiliar'!B:B,"-",0)</f>
        <v>DUPLICAÇÃO</v>
      </c>
      <c r="C155" s="55" t="str">
        <f>_xlfn.XLOOKUP($G155,'.Auxiliar'!$G:$G,'.Auxiliar'!C:C,"-",0)</f>
        <v>Duplicação - Marques de Souza/ Lajeado - Subtrecho 12</v>
      </c>
      <c r="D155" s="55">
        <f>_xlfn.XLOOKUP($G155,'.Auxiliar'!$G:$G,'.Auxiliar'!D:D,"-",0)</f>
        <v>331.6</v>
      </c>
      <c r="E155" s="55">
        <f>_xlfn.XLOOKUP($G155,'.Auxiliar'!$G:$G,'.Auxiliar'!E:E,"-",0)</f>
        <v>332.95</v>
      </c>
      <c r="F155" s="55">
        <f>_xlfn.XLOOKUP($G155,'.Auxiliar'!$G:$G,'.Auxiliar'!F:F,"-",0)</f>
        <v>1.3499999999999659</v>
      </c>
      <c r="G155" s="59" t="s">
        <v>426</v>
      </c>
      <c r="H155" s="108" t="s">
        <v>363</v>
      </c>
      <c r="I155" s="109" t="s">
        <v>0</v>
      </c>
      <c r="J155" s="109" t="s">
        <v>0</v>
      </c>
      <c r="K155" s="109" t="s">
        <v>0</v>
      </c>
      <c r="L155" s="109" t="s">
        <v>0</v>
      </c>
      <c r="M155" s="109" t="s">
        <v>0</v>
      </c>
      <c r="N155" s="110" t="s">
        <v>0</v>
      </c>
      <c r="O155" s="111">
        <v>100</v>
      </c>
      <c r="P155" s="112">
        <v>100</v>
      </c>
      <c r="Q155" s="112"/>
      <c r="R155" s="112"/>
      <c r="S155" s="112"/>
      <c r="T155" s="112"/>
      <c r="U155" s="95">
        <f t="shared" si="6"/>
        <v>0</v>
      </c>
      <c r="V155" s="112"/>
      <c r="W155" s="112"/>
      <c r="X155" s="107"/>
      <c r="Y155" s="107">
        <f t="shared" si="7"/>
        <v>100</v>
      </c>
      <c r="Z155" s="107">
        <f t="shared" si="8"/>
        <v>100</v>
      </c>
    </row>
    <row r="156" spans="1:26" x14ac:dyDescent="0.25">
      <c r="A156" s="55" t="str">
        <f>_xlfn.XLOOKUP($G156,'.Auxiliar'!$G:$G,'.Auxiliar'!A:A,"-",0)</f>
        <v>CONCESSÃO VIA SUL</v>
      </c>
      <c r="B156" s="55" t="str">
        <f>_xlfn.XLOOKUP($G156,'.Auxiliar'!$G:$G,'.Auxiliar'!B:B,"-",0)</f>
        <v>DUPLICAÇÃO</v>
      </c>
      <c r="C156" s="55" t="str">
        <f>_xlfn.XLOOKUP($G156,'.Auxiliar'!$G:$G,'.Auxiliar'!C:C,"-",0)</f>
        <v>Duplicação - Marques de Souza/ Lajeado - Subtrecho 13</v>
      </c>
      <c r="D156" s="55">
        <f>_xlfn.XLOOKUP($G156,'.Auxiliar'!$G:$G,'.Auxiliar'!D:D,"-",0)</f>
        <v>332.95</v>
      </c>
      <c r="E156" s="55">
        <f>_xlfn.XLOOKUP($G156,'.Auxiliar'!$G:$G,'.Auxiliar'!E:E,"-",0)</f>
        <v>335.67700000000002</v>
      </c>
      <c r="F156" s="55">
        <f>_xlfn.XLOOKUP($G156,'.Auxiliar'!$G:$G,'.Auxiliar'!F:F,"-",0)</f>
        <v>2.7270000000000323</v>
      </c>
      <c r="G156" s="59" t="s">
        <v>427</v>
      </c>
      <c r="H156" s="108" t="s">
        <v>363</v>
      </c>
      <c r="I156" s="115" t="s">
        <v>1881</v>
      </c>
      <c r="J156" s="109" t="s">
        <v>0</v>
      </c>
      <c r="K156" s="109" t="s">
        <v>363</v>
      </c>
      <c r="L156" s="109" t="s">
        <v>0</v>
      </c>
      <c r="M156" s="109" t="s">
        <v>0</v>
      </c>
      <c r="N156" s="110" t="s">
        <v>0</v>
      </c>
      <c r="O156" s="111">
        <v>59.09</v>
      </c>
      <c r="P156" s="112">
        <v>59.07</v>
      </c>
      <c r="Q156" s="112">
        <v>21.13</v>
      </c>
      <c r="R156" s="112">
        <v>21.13</v>
      </c>
      <c r="S156" s="112">
        <v>19.8</v>
      </c>
      <c r="T156" s="112">
        <v>0.1</v>
      </c>
      <c r="U156" s="95">
        <f t="shared" si="6"/>
        <v>19.799999999999997</v>
      </c>
      <c r="V156" s="112"/>
      <c r="W156" s="112"/>
      <c r="X156" s="107"/>
      <c r="Y156" s="107">
        <f t="shared" si="7"/>
        <v>100</v>
      </c>
      <c r="Z156" s="107">
        <f t="shared" si="8"/>
        <v>80.3</v>
      </c>
    </row>
    <row r="157" spans="1:26" x14ac:dyDescent="0.25">
      <c r="A157" s="55" t="str">
        <f>_xlfn.XLOOKUP($G157,'.Auxiliar'!$G:$G,'.Auxiliar'!A:A,"-",0)</f>
        <v>CONCESSÃO VIA SUL</v>
      </c>
      <c r="B157" s="55" t="str">
        <f>_xlfn.XLOOKUP($G157,'.Auxiliar'!$G:$G,'.Auxiliar'!B:B,"-",0)</f>
        <v>DUPLICAÇÃO</v>
      </c>
      <c r="C157" s="55" t="str">
        <f>_xlfn.XLOOKUP($G157,'.Auxiliar'!$G:$G,'.Auxiliar'!C:C,"-",0)</f>
        <v>Duplicação - Marques de Souza/ Lajeado - Subtrecho 14</v>
      </c>
      <c r="D157" s="55">
        <f>_xlfn.XLOOKUP($G157,'.Auxiliar'!$G:$G,'.Auxiliar'!D:D,"-",0)</f>
        <v>335.67700000000002</v>
      </c>
      <c r="E157" s="55">
        <f>_xlfn.XLOOKUP($G157,'.Auxiliar'!$G:$G,'.Auxiliar'!E:E,"-",0)</f>
        <v>337.7</v>
      </c>
      <c r="F157" s="55">
        <f>_xlfn.XLOOKUP($G157,'.Auxiliar'!$G:$G,'.Auxiliar'!F:F,"-",0)</f>
        <v>2.0229999999999677</v>
      </c>
      <c r="G157" s="59" t="s">
        <v>428</v>
      </c>
      <c r="H157" s="108" t="s">
        <v>363</v>
      </c>
      <c r="I157" s="115" t="s">
        <v>1881</v>
      </c>
      <c r="J157" s="109" t="s">
        <v>0</v>
      </c>
      <c r="K157" s="109" t="s">
        <v>363</v>
      </c>
      <c r="L157" s="109" t="s">
        <v>0</v>
      </c>
      <c r="M157" s="109" t="s">
        <v>0</v>
      </c>
      <c r="N157" s="110" t="s">
        <v>0</v>
      </c>
      <c r="O157" s="111">
        <v>76.709999999999994</v>
      </c>
      <c r="P157" s="112">
        <v>76.7</v>
      </c>
      <c r="Q157" s="112">
        <v>15.2</v>
      </c>
      <c r="R157" s="112">
        <v>15.2</v>
      </c>
      <c r="S157" s="112">
        <v>8.1</v>
      </c>
      <c r="T157" s="112">
        <v>8.1</v>
      </c>
      <c r="U157" s="95">
        <f t="shared" si="6"/>
        <v>8.0999999999999943</v>
      </c>
      <c r="V157" s="112"/>
      <c r="W157" s="112"/>
      <c r="X157" s="107"/>
      <c r="Y157" s="107">
        <f t="shared" si="7"/>
        <v>100</v>
      </c>
      <c r="Z157" s="107">
        <f t="shared" si="8"/>
        <v>100</v>
      </c>
    </row>
    <row r="158" spans="1:26" x14ac:dyDescent="0.25">
      <c r="A158" s="55" t="str">
        <f>_xlfn.XLOOKUP($G158,'.Auxiliar'!$G:$G,'.Auxiliar'!A:A,"-",0)</f>
        <v>CONCESSÃO VIA SUL</v>
      </c>
      <c r="B158" s="55" t="str">
        <f>_xlfn.XLOOKUP($G158,'.Auxiliar'!$G:$G,'.Auxiliar'!B:B,"-",0)</f>
        <v>DUPLICAÇÃO</v>
      </c>
      <c r="C158" s="55" t="str">
        <f>_xlfn.XLOOKUP($G158,'.Auxiliar'!$G:$G,'.Auxiliar'!C:C,"-",0)</f>
        <v>Duplicação - Marques de Souza/ Lajeado - Subtrecho 15 - OAE km 339+100 SNV*</v>
      </c>
      <c r="D158" s="55">
        <f>_xlfn.XLOOKUP($G158,'.Auxiliar'!$G:$G,'.Auxiliar'!D:D,"-",0)</f>
        <v>337.79199999999997</v>
      </c>
      <c r="E158" s="55">
        <f>_xlfn.XLOOKUP($G158,'.Auxiliar'!$G:$G,'.Auxiliar'!E:E,"-",0)</f>
        <v>337.92500000000001</v>
      </c>
      <c r="F158" s="55">
        <f>_xlfn.XLOOKUP($G158,'.Auxiliar'!$G:$G,'.Auxiliar'!F:F,"-",0)</f>
        <v>0.1330000000000382</v>
      </c>
      <c r="G158" s="59" t="s">
        <v>429</v>
      </c>
      <c r="H158" s="108" t="s">
        <v>363</v>
      </c>
      <c r="I158" s="115" t="s">
        <v>1881</v>
      </c>
      <c r="J158" s="109" t="s">
        <v>0</v>
      </c>
      <c r="K158" s="109" t="s">
        <v>0</v>
      </c>
      <c r="L158" s="109" t="s">
        <v>0</v>
      </c>
      <c r="M158" s="109" t="s">
        <v>0</v>
      </c>
      <c r="N158" s="110" t="s">
        <v>0</v>
      </c>
      <c r="O158" s="111">
        <v>87.94</v>
      </c>
      <c r="P158" s="112">
        <v>87.81</v>
      </c>
      <c r="Q158" s="112">
        <v>12.06</v>
      </c>
      <c r="R158" s="112">
        <v>12.19</v>
      </c>
      <c r="S158" s="95"/>
      <c r="T158" s="112"/>
      <c r="U158" s="95">
        <f t="shared" si="6"/>
        <v>0</v>
      </c>
      <c r="V158" s="112"/>
      <c r="W158" s="112"/>
      <c r="X158" s="107"/>
      <c r="Y158" s="107">
        <f t="shared" si="7"/>
        <v>100</v>
      </c>
      <c r="Z158" s="107">
        <f t="shared" si="8"/>
        <v>100</v>
      </c>
    </row>
    <row r="159" spans="1:26" x14ac:dyDescent="0.25">
      <c r="A159" s="55" t="str">
        <f>_xlfn.XLOOKUP($G159,'.Auxiliar'!$G:$G,'.Auxiliar'!A:A,"-",0)</f>
        <v>CONCESSÃO VIA SUL</v>
      </c>
      <c r="B159" s="55" t="str">
        <f>_xlfn.XLOOKUP($G159,'.Auxiliar'!$G:$G,'.Auxiliar'!B:B,"-",0)</f>
        <v>DUPLICAÇÃO</v>
      </c>
      <c r="C159" s="55" t="str">
        <f>_xlfn.XLOOKUP($G159,'.Auxiliar'!$G:$G,'.Auxiliar'!C:C,"-",0)</f>
        <v>Duplicação - Marques de Souza/ Lajeado - Subtrecho 16 - OAE km 339+100 SNV*</v>
      </c>
      <c r="D159" s="55">
        <f>_xlfn.XLOOKUP($G159,'.Auxiliar'!$G:$G,'.Auxiliar'!D:D,"-",0)</f>
        <v>337.78199999999998</v>
      </c>
      <c r="E159" s="55">
        <f>_xlfn.XLOOKUP($G159,'.Auxiliar'!$G:$G,'.Auxiliar'!E:E,"-",0)</f>
        <v>340.35</v>
      </c>
      <c r="F159" s="55">
        <f>_xlfn.XLOOKUP($G159,'.Auxiliar'!$G:$G,'.Auxiliar'!F:F,"-",0)</f>
        <v>2.5680000000000405</v>
      </c>
      <c r="G159" s="59" t="s">
        <v>430</v>
      </c>
      <c r="H159" s="108" t="s">
        <v>363</v>
      </c>
      <c r="I159" s="115" t="s">
        <v>1881</v>
      </c>
      <c r="J159" s="109" t="s">
        <v>0</v>
      </c>
      <c r="K159" s="109" t="s">
        <v>363</v>
      </c>
      <c r="L159" s="109" t="s">
        <v>0</v>
      </c>
      <c r="M159" s="109" t="s">
        <v>0</v>
      </c>
      <c r="N159" s="110" t="s">
        <v>0</v>
      </c>
      <c r="O159" s="111">
        <v>48.26</v>
      </c>
      <c r="P159" s="112">
        <v>48.26</v>
      </c>
      <c r="Q159" s="112">
        <v>35.46</v>
      </c>
      <c r="R159" s="112">
        <v>35.46</v>
      </c>
      <c r="S159" s="112">
        <v>16.28</v>
      </c>
      <c r="T159" s="112">
        <v>16.28</v>
      </c>
      <c r="U159" s="95">
        <f t="shared" si="6"/>
        <v>16.28</v>
      </c>
      <c r="V159" s="112"/>
      <c r="W159" s="112"/>
      <c r="X159" s="107"/>
      <c r="Y159" s="107">
        <f t="shared" si="7"/>
        <v>100</v>
      </c>
      <c r="Z159" s="107">
        <f t="shared" si="8"/>
        <v>100</v>
      </c>
    </row>
    <row r="160" spans="1:26" x14ac:dyDescent="0.25">
      <c r="A160" s="55" t="str">
        <f>_xlfn.XLOOKUP($G160,'.Auxiliar'!$G:$G,'.Auxiliar'!A:A,"-",0)</f>
        <v>CONCESSÃO VIA SUL</v>
      </c>
      <c r="B160" s="55" t="str">
        <f>_xlfn.XLOOKUP($G160,'.Auxiliar'!$G:$G,'.Auxiliar'!B:B,"-",0)</f>
        <v>DUPLICAÇÃO</v>
      </c>
      <c r="C160" s="55" t="str">
        <f>_xlfn.XLOOKUP($G160,'.Auxiliar'!$G:$G,'.Auxiliar'!C:C,"-",0)</f>
        <v>Duplicação - Marques de Souza/ Lajeado - Subtrecho 17</v>
      </c>
      <c r="D160" s="55">
        <f>_xlfn.XLOOKUP($G160,'.Auxiliar'!$G:$G,'.Auxiliar'!D:D,"-",0)</f>
        <v>340.35</v>
      </c>
      <c r="E160" s="55">
        <f>_xlfn.XLOOKUP($G160,'.Auxiliar'!$G:$G,'.Auxiliar'!E:E,"-",0)</f>
        <v>343.9</v>
      </c>
      <c r="F160" s="55">
        <f>_xlfn.XLOOKUP($G160,'.Auxiliar'!$G:$G,'.Auxiliar'!F:F,"-",0)</f>
        <v>3.5499999999999545</v>
      </c>
      <c r="G160" s="59" t="s">
        <v>431</v>
      </c>
      <c r="H160" s="108" t="s">
        <v>363</v>
      </c>
      <c r="I160" s="115" t="s">
        <v>1881</v>
      </c>
      <c r="J160" s="109" t="s">
        <v>0</v>
      </c>
      <c r="K160" s="109" t="s">
        <v>363</v>
      </c>
      <c r="L160" s="109" t="s">
        <v>0</v>
      </c>
      <c r="M160" s="109" t="s">
        <v>0</v>
      </c>
      <c r="N160" s="110" t="s">
        <v>0</v>
      </c>
      <c r="O160" s="111">
        <v>37.54</v>
      </c>
      <c r="P160" s="112">
        <v>37.54</v>
      </c>
      <c r="Q160" s="112">
        <v>40.880000000000003</v>
      </c>
      <c r="R160" s="112">
        <v>40.880000000000003</v>
      </c>
      <c r="S160" s="112">
        <v>21.58</v>
      </c>
      <c r="T160" s="112">
        <v>0</v>
      </c>
      <c r="U160" s="95">
        <f t="shared" si="6"/>
        <v>21.58</v>
      </c>
      <c r="V160" s="112"/>
      <c r="W160" s="112"/>
      <c r="X160" s="107"/>
      <c r="Y160" s="107">
        <f t="shared" si="7"/>
        <v>100</v>
      </c>
      <c r="Z160" s="107">
        <f t="shared" si="8"/>
        <v>78.42</v>
      </c>
    </row>
    <row r="161" spans="1:26" x14ac:dyDescent="0.25">
      <c r="A161" s="55" t="str">
        <f>_xlfn.XLOOKUP($G161,'.Auxiliar'!$G:$G,'.Auxiliar'!A:A,"-",0)</f>
        <v>CONCESSÃO VIA SUL</v>
      </c>
      <c r="B161" s="55" t="str">
        <f>_xlfn.XLOOKUP($G161,'.Auxiliar'!$G:$G,'.Auxiliar'!B:B,"-",0)</f>
        <v>DUPLICAÇÃO</v>
      </c>
      <c r="C161" s="55" t="str">
        <f>_xlfn.XLOOKUP($G161,'.Auxiliar'!$G:$G,'.Auxiliar'!C:C,"-",0)</f>
        <v>Duplicação - Marques de Souza/ Lajeado - Subtrecho 18</v>
      </c>
      <c r="D161" s="55">
        <f>_xlfn.XLOOKUP($G161,'.Auxiliar'!$G:$G,'.Auxiliar'!D:D,"-",0)</f>
        <v>343.9</v>
      </c>
      <c r="E161" s="55">
        <f>_xlfn.XLOOKUP($G161,'.Auxiliar'!$G:$G,'.Auxiliar'!E:E,"-",0)</f>
        <v>344.4</v>
      </c>
      <c r="F161" s="55">
        <f>_xlfn.XLOOKUP($G161,'.Auxiliar'!$G:$G,'.Auxiliar'!F:F,"-",0)</f>
        <v>0.5</v>
      </c>
      <c r="G161" s="59" t="s">
        <v>432</v>
      </c>
      <c r="H161" s="108" t="s">
        <v>363</v>
      </c>
      <c r="I161" s="115" t="s">
        <v>1881</v>
      </c>
      <c r="J161" s="109" t="s">
        <v>0</v>
      </c>
      <c r="K161" s="109" t="s">
        <v>363</v>
      </c>
      <c r="L161" s="109" t="s">
        <v>0</v>
      </c>
      <c r="M161" s="109" t="s">
        <v>0</v>
      </c>
      <c r="N161" s="110" t="s">
        <v>0</v>
      </c>
      <c r="O161" s="111">
        <v>25.4</v>
      </c>
      <c r="P161" s="112">
        <v>25.4</v>
      </c>
      <c r="Q161" s="112">
        <v>23.73</v>
      </c>
      <c r="R161" s="112">
        <v>23.73</v>
      </c>
      <c r="S161" s="112">
        <v>50.87</v>
      </c>
      <c r="T161" s="112">
        <v>0</v>
      </c>
      <c r="U161" s="95">
        <f t="shared" si="6"/>
        <v>50.870000000000005</v>
      </c>
      <c r="V161" s="112"/>
      <c r="W161" s="112"/>
      <c r="X161" s="107"/>
      <c r="Y161" s="107">
        <f t="shared" si="7"/>
        <v>100</v>
      </c>
      <c r="Z161" s="107">
        <f t="shared" si="8"/>
        <v>49.129999999999995</v>
      </c>
    </row>
    <row r="162" spans="1:26" x14ac:dyDescent="0.25">
      <c r="A162" s="55" t="str">
        <f>_xlfn.XLOOKUP($G162,'.Auxiliar'!$G:$G,'.Auxiliar'!A:A,"-",0)</f>
        <v>CONCESSÃO VIA SUL</v>
      </c>
      <c r="B162" s="55" t="str">
        <f>_xlfn.XLOOKUP($G162,'.Auxiliar'!$G:$G,'.Auxiliar'!B:B,"-",0)</f>
        <v>DUPLICAÇÃO</v>
      </c>
      <c r="C162" s="55" t="str">
        <f>_xlfn.XLOOKUP($G162,'.Auxiliar'!$G:$G,'.Auxiliar'!C:C,"-",0)</f>
        <v>Duplicacões - km 243+600 ao km 269+200 - Soledade e Fontoura Xavier</v>
      </c>
      <c r="D162" s="55">
        <f>_xlfn.XLOOKUP($G162,'.Auxiliar'!$G:$G,'.Auxiliar'!D:D,"-",0)</f>
        <v>243.6</v>
      </c>
      <c r="E162" s="55">
        <f>_xlfn.XLOOKUP($G162,'.Auxiliar'!$G:$G,'.Auxiliar'!E:E,"-",0)</f>
        <v>269.2</v>
      </c>
      <c r="F162" s="55">
        <f>_xlfn.XLOOKUP($G162,'.Auxiliar'!$G:$G,'.Auxiliar'!F:F,"-",0)</f>
        <v>25.599999999999994</v>
      </c>
      <c r="G162" s="59" t="s">
        <v>831</v>
      </c>
      <c r="H162" s="108" t="s">
        <v>0</v>
      </c>
      <c r="I162" s="109" t="s">
        <v>368</v>
      </c>
      <c r="J162" s="109" t="s">
        <v>363</v>
      </c>
      <c r="K162" s="109" t="s">
        <v>363</v>
      </c>
      <c r="L162" s="109" t="s">
        <v>0</v>
      </c>
      <c r="M162" s="109" t="s">
        <v>0</v>
      </c>
      <c r="N162" s="110" t="s">
        <v>0</v>
      </c>
      <c r="O162" s="111"/>
      <c r="P162" s="112"/>
      <c r="Q162" s="112">
        <v>2.4700000000000002</v>
      </c>
      <c r="R162" s="112">
        <v>2.4700000000000002</v>
      </c>
      <c r="S162" s="112">
        <v>82.9</v>
      </c>
      <c r="T162" s="112">
        <v>12.24</v>
      </c>
      <c r="U162" s="95">
        <f t="shared" si="6"/>
        <v>97.53</v>
      </c>
      <c r="V162" s="112">
        <v>14.63</v>
      </c>
      <c r="W162" s="112"/>
      <c r="X162" s="107"/>
      <c r="Y162" s="107">
        <f t="shared" si="7"/>
        <v>100</v>
      </c>
      <c r="Z162" s="107">
        <f t="shared" si="8"/>
        <v>14.71</v>
      </c>
    </row>
    <row r="163" spans="1:26" x14ac:dyDescent="0.25">
      <c r="A163" s="55" t="str">
        <f>_xlfn.XLOOKUP($G163,'.Auxiliar'!$G:$G,'.Auxiliar'!A:A,"-",0)</f>
        <v>CONCESSÃO VIA SUL</v>
      </c>
      <c r="B163" s="55" t="str">
        <f>_xlfn.XLOOKUP($G163,'.Auxiliar'!$G:$G,'.Auxiliar'!B:B,"-",0)</f>
        <v>DUPLICAÇÃO</v>
      </c>
      <c r="C163" s="55" t="str">
        <f>_xlfn.XLOOKUP($G163,'.Auxiliar'!$G:$G,'.Auxiliar'!C:C,"-",0)</f>
        <v>Fontoura Xavier / Marques de Souza</v>
      </c>
      <c r="D163" s="55">
        <f>_xlfn.XLOOKUP($G163,'.Auxiliar'!$G:$G,'.Auxiliar'!D:D,"-",0)</f>
        <v>269.2</v>
      </c>
      <c r="E163" s="55">
        <f>_xlfn.XLOOKUP($G163,'.Auxiliar'!$G:$G,'.Auxiliar'!E:E,"-",0)</f>
        <v>324.10000000000002</v>
      </c>
      <c r="F163" s="55">
        <f>_xlfn.XLOOKUP($G163,'.Auxiliar'!$G:$G,'.Auxiliar'!F:F,"-",0)</f>
        <v>54.9</v>
      </c>
      <c r="G163" s="59" t="s">
        <v>1188</v>
      </c>
      <c r="H163" s="108" t="s">
        <v>0</v>
      </c>
      <c r="I163" s="109" t="s">
        <v>0</v>
      </c>
      <c r="J163" s="109" t="s">
        <v>0</v>
      </c>
      <c r="K163" s="109" t="s">
        <v>0</v>
      </c>
      <c r="L163" s="109" t="s">
        <v>0</v>
      </c>
      <c r="M163" s="109" t="s">
        <v>363</v>
      </c>
      <c r="N163" s="110" t="s">
        <v>363</v>
      </c>
      <c r="O163" s="111"/>
      <c r="P163" s="112"/>
      <c r="Q163" s="112"/>
      <c r="R163" s="112"/>
      <c r="S163" s="112"/>
      <c r="T163" s="112"/>
      <c r="U163" s="95" t="str">
        <f t="shared" si="6"/>
        <v/>
      </c>
      <c r="V163" s="112"/>
      <c r="W163" s="112">
        <v>33</v>
      </c>
      <c r="X163" s="107">
        <v>67</v>
      </c>
      <c r="Y163" s="107">
        <f t="shared" si="7"/>
        <v>100</v>
      </c>
      <c r="Z163" s="107">
        <f t="shared" si="8"/>
        <v>0</v>
      </c>
    </row>
    <row r="164" spans="1:26" x14ac:dyDescent="0.25">
      <c r="A164" s="55" t="str">
        <f>_xlfn.XLOOKUP($G164,'.Auxiliar'!$G:$G,'.Auxiliar'!A:A,"-",0)</f>
        <v>CONCESSÃO VIA SUL</v>
      </c>
      <c r="B164" s="55" t="str">
        <f>_xlfn.XLOOKUP($G164,'.Auxiliar'!$G:$G,'.Auxiliar'!B:B,"-",0)</f>
        <v>DUPLICAÇÃO</v>
      </c>
      <c r="C164" s="55" t="str">
        <f>_xlfn.XLOOKUP($G164,'.Auxiliar'!$G:$G,'.Auxiliar'!C:C,"-",0)</f>
        <v>Tabaí - Canoas</v>
      </c>
      <c r="D164" s="55">
        <f>_xlfn.XLOOKUP($G164,'.Auxiliar'!$G:$G,'.Auxiliar'!D:D,"-",0)</f>
        <v>385</v>
      </c>
      <c r="E164" s="55">
        <f>_xlfn.XLOOKUP($G164,'.Auxiliar'!$G:$G,'.Auxiliar'!E:E,"-",0)</f>
        <v>444.3</v>
      </c>
      <c r="F164" s="55">
        <f>_xlfn.XLOOKUP($G164,'.Auxiliar'!$G:$G,'.Auxiliar'!F:F,"-",0)</f>
        <v>59.3</v>
      </c>
      <c r="G164" s="59" t="s">
        <v>1201</v>
      </c>
      <c r="H164" s="108" t="s">
        <v>0</v>
      </c>
      <c r="I164" s="109" t="s">
        <v>0</v>
      </c>
      <c r="J164" s="109" t="s">
        <v>0</v>
      </c>
      <c r="K164" s="109" t="s">
        <v>0</v>
      </c>
      <c r="L164" s="109" t="s">
        <v>0</v>
      </c>
      <c r="M164" s="109" t="s">
        <v>0</v>
      </c>
      <c r="N164" s="110" t="s">
        <v>363</v>
      </c>
      <c r="O164" s="111"/>
      <c r="P164" s="112"/>
      <c r="Q164" s="112"/>
      <c r="R164" s="112"/>
      <c r="S164" s="112"/>
      <c r="T164" s="112"/>
      <c r="U164" s="95" t="str">
        <f t="shared" si="6"/>
        <v/>
      </c>
      <c r="V164" s="112"/>
      <c r="W164" s="112"/>
      <c r="X164" s="107">
        <v>100</v>
      </c>
      <c r="Y164" s="107">
        <f t="shared" si="7"/>
        <v>100</v>
      </c>
      <c r="Z164" s="107">
        <f t="shared" si="8"/>
        <v>0</v>
      </c>
    </row>
    <row r="165" spans="1:26" x14ac:dyDescent="0.25">
      <c r="A165" s="55" t="str">
        <f>_xlfn.XLOOKUP($G165,'.Auxiliar'!$G:$G,'.Auxiliar'!A:A,"-",0)</f>
        <v>CONCESSÃO VIA SUL</v>
      </c>
      <c r="B165" s="55" t="str">
        <f>_xlfn.XLOOKUP($G165,'.Auxiliar'!$G:$G,'.Auxiliar'!B:B,"-",0)</f>
        <v>DUPLICAÇÃO</v>
      </c>
      <c r="C165" s="55" t="str">
        <f>_xlfn.XLOOKUP($G165,'.Auxiliar'!$G:$G,'.Auxiliar'!C:C,"-",0)</f>
        <v>Tio Hugo - Soledade</v>
      </c>
      <c r="D165" s="55">
        <f>_xlfn.XLOOKUP($G165,'.Auxiliar'!$G:$G,'.Auxiliar'!D:D,"-",0)</f>
        <v>213.1</v>
      </c>
      <c r="E165" s="55">
        <f>_xlfn.XLOOKUP($G165,'.Auxiliar'!$G:$G,'.Auxiliar'!E:E,"-",0)</f>
        <v>243.6</v>
      </c>
      <c r="F165" s="55">
        <f>_xlfn.XLOOKUP($G165,'.Auxiliar'!$G:$G,'.Auxiliar'!F:F,"-",0)</f>
        <v>30.5</v>
      </c>
      <c r="G165" s="59" t="s">
        <v>893</v>
      </c>
      <c r="H165" s="108" t="s">
        <v>0</v>
      </c>
      <c r="I165" s="109" t="s">
        <v>0</v>
      </c>
      <c r="J165" s="109" t="s">
        <v>363</v>
      </c>
      <c r="K165" s="109" t="s">
        <v>0</v>
      </c>
      <c r="L165" s="109" t="s">
        <v>363</v>
      </c>
      <c r="M165" s="109" t="s">
        <v>0</v>
      </c>
      <c r="N165" s="110" t="s">
        <v>0</v>
      </c>
      <c r="O165" s="111"/>
      <c r="P165" s="112"/>
      <c r="Q165" s="112"/>
      <c r="R165" s="112"/>
      <c r="S165" s="112">
        <v>24.54</v>
      </c>
      <c r="T165" s="112">
        <v>0.55000000000000004</v>
      </c>
      <c r="U165" s="95">
        <f t="shared" si="6"/>
        <v>100</v>
      </c>
      <c r="V165" s="112">
        <f>100-S165</f>
        <v>75.460000000000008</v>
      </c>
      <c r="W165" s="112"/>
      <c r="X165" s="107"/>
      <c r="Y165" s="107">
        <f t="shared" si="7"/>
        <v>100</v>
      </c>
      <c r="Z165" s="107">
        <f t="shared" si="8"/>
        <v>0.55000000000000004</v>
      </c>
    </row>
    <row r="166" spans="1:26" x14ac:dyDescent="0.25">
      <c r="A166" s="55" t="str">
        <f>_xlfn.XLOOKUP($G166,'.Auxiliar'!$G:$G,'.Auxiliar'!A:A,"-",0)</f>
        <v>CONCESSÃO VIA SUL</v>
      </c>
      <c r="B166" s="55" t="str">
        <f>_xlfn.XLOOKUP($G166,'.Auxiliar'!$G:$G,'.Auxiliar'!B:B,"-",0)</f>
        <v>FX ADICIONAL</v>
      </c>
      <c r="C166" s="55" t="str">
        <f>_xlfn.XLOOKUP($G166,'.Auxiliar'!$G:$G,'.Auxiliar'!C:C,"-",0)</f>
        <v>AcessoRS 030 - Entr. RS-118</v>
      </c>
      <c r="D166" s="55">
        <f>_xlfn.XLOOKUP($G166,'.Auxiliar'!$G:$G,'.Auxiliar'!D:D,"-",0)</f>
        <v>1.5</v>
      </c>
      <c r="E166" s="55">
        <f>_xlfn.XLOOKUP($G166,'.Auxiliar'!$G:$G,'.Auxiliar'!E:E,"-",0)</f>
        <v>74.400000000000006</v>
      </c>
      <c r="F166" s="55">
        <f>_xlfn.XLOOKUP($G166,'.Auxiliar'!$G:$G,'.Auxiliar'!F:F,"-",0)</f>
        <v>72.900000000000006</v>
      </c>
      <c r="G166" s="59" t="s">
        <v>1580</v>
      </c>
      <c r="H166" s="108" t="s">
        <v>0</v>
      </c>
      <c r="I166" s="109" t="s">
        <v>0</v>
      </c>
      <c r="J166" s="109" t="s">
        <v>0</v>
      </c>
      <c r="K166" s="109" t="s">
        <v>0</v>
      </c>
      <c r="L166" s="109" t="s">
        <v>0</v>
      </c>
      <c r="M166" s="109" t="s">
        <v>0</v>
      </c>
      <c r="N166" s="110" t="s">
        <v>363</v>
      </c>
      <c r="O166" s="111"/>
      <c r="P166" s="112"/>
      <c r="Q166" s="112"/>
      <c r="R166" s="112"/>
      <c r="S166" s="112"/>
      <c r="T166" s="112"/>
      <c r="U166" s="95" t="str">
        <f t="shared" si="6"/>
        <v/>
      </c>
      <c r="V166" s="112"/>
      <c r="W166" s="112"/>
      <c r="X166" s="107">
        <v>100</v>
      </c>
      <c r="Y166" s="107">
        <f t="shared" si="7"/>
        <v>100</v>
      </c>
      <c r="Z166" s="107">
        <f t="shared" si="8"/>
        <v>0</v>
      </c>
    </row>
    <row r="167" spans="1:26" x14ac:dyDescent="0.25">
      <c r="A167" s="55" t="str">
        <f>_xlfn.XLOOKUP($G167,'.Auxiliar'!$G:$G,'.Auxiliar'!A:A,"-",0)</f>
        <v>CONCESSÃO VIA SUL</v>
      </c>
      <c r="B167" s="55" t="str">
        <f>_xlfn.XLOOKUP($G167,'.Auxiliar'!$G:$G,'.Auxiliar'!B:B,"-",0)</f>
        <v>FX ADICIONAL</v>
      </c>
      <c r="C167" s="55" t="str">
        <f>_xlfn.XLOOKUP($G167,'.Auxiliar'!$G:$G,'.Auxiliar'!C:C,"-",0)</f>
        <v>Entr. RS 030 - Acesso RS - 030</v>
      </c>
      <c r="D167" s="55">
        <f>_xlfn.XLOOKUP($G167,'.Auxiliar'!$G:$G,'.Auxiliar'!D:D,"-",0)</f>
        <v>0.7</v>
      </c>
      <c r="E167" s="55">
        <f>_xlfn.XLOOKUP($G167,'.Auxiliar'!$G:$G,'.Auxiliar'!E:E,"-",0)</f>
        <v>1.5</v>
      </c>
      <c r="F167" s="55">
        <f>_xlfn.XLOOKUP($G167,'.Auxiliar'!$G:$G,'.Auxiliar'!F:F,"-",0)</f>
        <v>0.8</v>
      </c>
      <c r="G167" s="59" t="s">
        <v>1579</v>
      </c>
      <c r="H167" s="108" t="s">
        <v>0</v>
      </c>
      <c r="I167" s="109" t="s">
        <v>0</v>
      </c>
      <c r="J167" s="109" t="s">
        <v>0</v>
      </c>
      <c r="K167" s="109" t="s">
        <v>0</v>
      </c>
      <c r="L167" s="109" t="s">
        <v>0</v>
      </c>
      <c r="M167" s="109" t="s">
        <v>0</v>
      </c>
      <c r="N167" s="110" t="s">
        <v>363</v>
      </c>
      <c r="O167" s="111"/>
      <c r="P167" s="112"/>
      <c r="Q167" s="112"/>
      <c r="R167" s="112"/>
      <c r="S167" s="112"/>
      <c r="T167" s="112"/>
      <c r="U167" s="95" t="str">
        <f t="shared" si="6"/>
        <v/>
      </c>
      <c r="V167" s="112"/>
      <c r="W167" s="112"/>
      <c r="X167" s="107">
        <v>100</v>
      </c>
      <c r="Y167" s="107">
        <f t="shared" si="7"/>
        <v>100</v>
      </c>
      <c r="Z167" s="107">
        <f t="shared" si="8"/>
        <v>0</v>
      </c>
    </row>
    <row r="168" spans="1:26" x14ac:dyDescent="0.25">
      <c r="A168" s="55" t="str">
        <f>_xlfn.XLOOKUP($G168,'.Auxiliar'!$G:$G,'.Auxiliar'!A:A,"-",0)</f>
        <v>CONCESSÃO VIA SUL</v>
      </c>
      <c r="B168" s="55" t="str">
        <f>_xlfn.XLOOKUP($G168,'.Auxiliar'!$G:$G,'.Auxiliar'!B:B,"-",0)</f>
        <v>FX ADICIONAL</v>
      </c>
      <c r="C168" s="55" t="str">
        <f>_xlfn.XLOOKUP($G168,'.Auxiliar'!$G:$G,'.Auxiliar'!C:C,"-",0)</f>
        <v>Faixa Adicional Lajeado / Estrela- Subtrecho 1</v>
      </c>
      <c r="D168" s="55">
        <f>_xlfn.XLOOKUP($G168,'.Auxiliar'!$G:$G,'.Auxiliar'!D:D,"-",0)</f>
        <v>344.4</v>
      </c>
      <c r="E168" s="55">
        <f>_xlfn.XLOOKUP($G168,'.Auxiliar'!$G:$G,'.Auxiliar'!E:E,"-",0)</f>
        <v>344.64</v>
      </c>
      <c r="F168" s="55">
        <f>_xlfn.XLOOKUP($G168,'.Auxiliar'!$G:$G,'.Auxiliar'!F:F,"-",0)</f>
        <v>0.24000000000000909</v>
      </c>
      <c r="G168" s="59" t="s">
        <v>458</v>
      </c>
      <c r="H168" s="108" t="s">
        <v>363</v>
      </c>
      <c r="I168" s="115" t="s">
        <v>1881</v>
      </c>
      <c r="J168" s="109" t="s">
        <v>0</v>
      </c>
      <c r="K168" s="109" t="s">
        <v>363</v>
      </c>
      <c r="L168" s="109" t="s">
        <v>0</v>
      </c>
      <c r="M168" s="109" t="s">
        <v>0</v>
      </c>
      <c r="N168" s="110" t="s">
        <v>0</v>
      </c>
      <c r="O168" s="111">
        <v>74</v>
      </c>
      <c r="P168" s="112">
        <v>86.14</v>
      </c>
      <c r="Q168" s="112">
        <v>26</v>
      </c>
      <c r="R168" s="112">
        <v>13.86</v>
      </c>
      <c r="S168" s="95"/>
      <c r="T168" s="112"/>
      <c r="U168" s="95">
        <f t="shared" si="6"/>
        <v>0</v>
      </c>
      <c r="V168" s="112"/>
      <c r="W168" s="112"/>
      <c r="X168" s="107"/>
      <c r="Y168" s="107">
        <f t="shared" si="7"/>
        <v>100</v>
      </c>
      <c r="Z168" s="107">
        <f t="shared" si="8"/>
        <v>100</v>
      </c>
    </row>
    <row r="169" spans="1:26" x14ac:dyDescent="0.25">
      <c r="A169" s="55" t="str">
        <f>_xlfn.XLOOKUP($G169,'.Auxiliar'!$G:$G,'.Auxiliar'!A:A,"-",0)</f>
        <v>CONCESSÃO VIA SUL</v>
      </c>
      <c r="B169" s="55" t="str">
        <f>_xlfn.XLOOKUP($G169,'.Auxiliar'!$G:$G,'.Auxiliar'!B:B,"-",0)</f>
        <v>FX ADICIONAL</v>
      </c>
      <c r="C169" s="55" t="str">
        <f>_xlfn.XLOOKUP($G169,'.Auxiliar'!$G:$G,'.Auxiliar'!C:C,"-",0)</f>
        <v>Faixa Adicional Lajeado / Estrela- Subtrecho 2</v>
      </c>
      <c r="D169" s="55">
        <f>_xlfn.XLOOKUP($G169,'.Auxiliar'!$G:$G,'.Auxiliar'!D:D,"-",0)</f>
        <v>344.64</v>
      </c>
      <c r="E169" s="55">
        <f>_xlfn.XLOOKUP($G169,'.Auxiliar'!$G:$G,'.Auxiliar'!E:E,"-",0)</f>
        <v>345</v>
      </c>
      <c r="F169" s="55">
        <f>_xlfn.XLOOKUP($G169,'.Auxiliar'!$G:$G,'.Auxiliar'!F:F,"-",0)</f>
        <v>0.36000000000001364</v>
      </c>
      <c r="G169" s="59" t="s">
        <v>459</v>
      </c>
      <c r="H169" s="108" t="s">
        <v>363</v>
      </c>
      <c r="I169" s="115" t="s">
        <v>1881</v>
      </c>
      <c r="J169" s="109" t="s">
        <v>0</v>
      </c>
      <c r="K169" s="109" t="s">
        <v>363</v>
      </c>
      <c r="L169" s="109" t="s">
        <v>0</v>
      </c>
      <c r="M169" s="109" t="s">
        <v>0</v>
      </c>
      <c r="N169" s="110" t="s">
        <v>0</v>
      </c>
      <c r="O169" s="111">
        <v>74</v>
      </c>
      <c r="P169" s="112">
        <v>82.48</v>
      </c>
      <c r="Q169" s="112">
        <v>26</v>
      </c>
      <c r="R169" s="112">
        <v>17.52</v>
      </c>
      <c r="S169" s="95"/>
      <c r="T169" s="112"/>
      <c r="U169" s="95">
        <f t="shared" si="6"/>
        <v>0</v>
      </c>
      <c r="V169" s="112"/>
      <c r="W169" s="112"/>
      <c r="X169" s="107"/>
      <c r="Y169" s="107">
        <f t="shared" si="7"/>
        <v>100</v>
      </c>
      <c r="Z169" s="107">
        <f t="shared" si="8"/>
        <v>100</v>
      </c>
    </row>
    <row r="170" spans="1:26" x14ac:dyDescent="0.25">
      <c r="A170" s="55" t="str">
        <f>_xlfn.XLOOKUP($G170,'.Auxiliar'!$G:$G,'.Auxiliar'!A:A,"-",0)</f>
        <v>CONCESSÃO VIA SUL</v>
      </c>
      <c r="B170" s="55" t="str">
        <f>_xlfn.XLOOKUP($G170,'.Auxiliar'!$G:$G,'.Auxiliar'!B:B,"-",0)</f>
        <v>FX ADICIONAL</v>
      </c>
      <c r="C170" s="55" t="str">
        <f>_xlfn.XLOOKUP($G170,'.Auxiliar'!$G:$G,'.Auxiliar'!C:C,"-",0)</f>
        <v>Faixa Adicional Lajeado / Estrela- Subtrecho 3</v>
      </c>
      <c r="D170" s="55">
        <f>_xlfn.XLOOKUP($G170,'.Auxiliar'!$G:$G,'.Auxiliar'!D:D,"-",0)</f>
        <v>345</v>
      </c>
      <c r="E170" s="55">
        <f>_xlfn.XLOOKUP($G170,'.Auxiliar'!$G:$G,'.Auxiliar'!E:E,"-",0)</f>
        <v>345.58</v>
      </c>
      <c r="F170" s="55">
        <f>_xlfn.XLOOKUP($G170,'.Auxiliar'!$G:$G,'.Auxiliar'!F:F,"-",0)</f>
        <v>0.57999999999998408</v>
      </c>
      <c r="G170" s="59" t="s">
        <v>460</v>
      </c>
      <c r="H170" s="108" t="s">
        <v>363</v>
      </c>
      <c r="I170" s="115" t="s">
        <v>1881</v>
      </c>
      <c r="J170" s="109" t="s">
        <v>0</v>
      </c>
      <c r="K170" s="109" t="s">
        <v>363</v>
      </c>
      <c r="L170" s="109" t="s">
        <v>0</v>
      </c>
      <c r="M170" s="109" t="s">
        <v>0</v>
      </c>
      <c r="N170" s="110" t="s">
        <v>0</v>
      </c>
      <c r="O170" s="111">
        <v>74</v>
      </c>
      <c r="P170" s="112">
        <v>75.010000000000005</v>
      </c>
      <c r="Q170" s="112">
        <v>26</v>
      </c>
      <c r="R170" s="112">
        <v>24.99</v>
      </c>
      <c r="S170" s="95"/>
      <c r="T170" s="112"/>
      <c r="U170" s="95">
        <f t="shared" si="6"/>
        <v>0</v>
      </c>
      <c r="V170" s="112"/>
      <c r="W170" s="112"/>
      <c r="X170" s="107"/>
      <c r="Y170" s="107">
        <f t="shared" si="7"/>
        <v>100</v>
      </c>
      <c r="Z170" s="107">
        <f t="shared" si="8"/>
        <v>100</v>
      </c>
    </row>
    <row r="171" spans="1:26" x14ac:dyDescent="0.25">
      <c r="A171" s="55" t="str">
        <f>_xlfn.XLOOKUP($G171,'.Auxiliar'!$G:$G,'.Auxiliar'!A:A,"-",0)</f>
        <v>CONCESSÃO VIA SUL</v>
      </c>
      <c r="B171" s="55" t="str">
        <f>_xlfn.XLOOKUP($G171,'.Auxiliar'!$G:$G,'.Auxiliar'!B:B,"-",0)</f>
        <v>FX ADICIONAL</v>
      </c>
      <c r="C171" s="55" t="str">
        <f>_xlfn.XLOOKUP($G171,'.Auxiliar'!$G:$G,'.Auxiliar'!C:C,"-",0)</f>
        <v>Faixa Adicional Lajeado / Estrela- Subtrecho 4</v>
      </c>
      <c r="D171" s="55">
        <f>_xlfn.XLOOKUP($G171,'.Auxiliar'!$G:$G,'.Auxiliar'!D:D,"-",0)</f>
        <v>345.58</v>
      </c>
      <c r="E171" s="55">
        <f>_xlfn.XLOOKUP($G171,'.Auxiliar'!$G:$G,'.Auxiliar'!E:E,"-",0)</f>
        <v>347.06</v>
      </c>
      <c r="F171" s="55">
        <f>_xlfn.XLOOKUP($G171,'.Auxiliar'!$G:$G,'.Auxiliar'!F:F,"-",0)</f>
        <v>1.4800000000000182</v>
      </c>
      <c r="G171" s="59" t="s">
        <v>461</v>
      </c>
      <c r="H171" s="108" t="s">
        <v>363</v>
      </c>
      <c r="I171" s="115" t="s">
        <v>1881</v>
      </c>
      <c r="J171" s="109" t="s">
        <v>0</v>
      </c>
      <c r="K171" s="109" t="s">
        <v>363</v>
      </c>
      <c r="L171" s="109" t="s">
        <v>0</v>
      </c>
      <c r="M171" s="109" t="s">
        <v>0</v>
      </c>
      <c r="N171" s="110" t="s">
        <v>0</v>
      </c>
      <c r="O171" s="111">
        <v>74</v>
      </c>
      <c r="P171" s="112">
        <v>64.5</v>
      </c>
      <c r="Q171" s="112">
        <v>26</v>
      </c>
      <c r="R171" s="112">
        <v>35.5</v>
      </c>
      <c r="S171" s="95"/>
      <c r="T171" s="112"/>
      <c r="U171" s="95">
        <f t="shared" si="6"/>
        <v>0</v>
      </c>
      <c r="V171" s="112"/>
      <c r="W171" s="112"/>
      <c r="X171" s="107"/>
      <c r="Y171" s="107">
        <f t="shared" si="7"/>
        <v>100</v>
      </c>
      <c r="Z171" s="107">
        <f t="shared" si="8"/>
        <v>100</v>
      </c>
    </row>
    <row r="172" spans="1:26" x14ac:dyDescent="0.25">
      <c r="A172" s="55" t="str">
        <f>_xlfn.XLOOKUP($G172,'.Auxiliar'!$G:$G,'.Auxiliar'!A:A,"-",0)</f>
        <v>CONCESSÃO VIA SUL</v>
      </c>
      <c r="B172" s="55" t="str">
        <f>_xlfn.XLOOKUP($G172,'.Auxiliar'!$G:$G,'.Auxiliar'!B:B,"-",0)</f>
        <v>FX ADICIONAL</v>
      </c>
      <c r="C172" s="55" t="str">
        <f>_xlfn.XLOOKUP($G172,'.Auxiliar'!$G:$G,'.Auxiliar'!C:C,"-",0)</f>
        <v>Faixa Adicional Lajeado / Estrela- Subtrecho 5</v>
      </c>
      <c r="D172" s="55">
        <f>_xlfn.XLOOKUP($G172,'.Auxiliar'!$G:$G,'.Auxiliar'!D:D,"-",0)</f>
        <v>347.06</v>
      </c>
      <c r="E172" s="55">
        <f>_xlfn.XLOOKUP($G172,'.Auxiliar'!$G:$G,'.Auxiliar'!E:E,"-",0)</f>
        <v>347.58</v>
      </c>
      <c r="F172" s="55">
        <f>_xlfn.XLOOKUP($G172,'.Auxiliar'!$G:$G,'.Auxiliar'!F:F,"-",0)</f>
        <v>0.51999999999998181</v>
      </c>
      <c r="G172" s="59" t="s">
        <v>462</v>
      </c>
      <c r="H172" s="108" t="s">
        <v>363</v>
      </c>
      <c r="I172" s="109" t="s">
        <v>363</v>
      </c>
      <c r="J172" s="109" t="s">
        <v>363</v>
      </c>
      <c r="K172" s="109" t="s">
        <v>363</v>
      </c>
      <c r="L172" s="109" t="s">
        <v>0</v>
      </c>
      <c r="M172" s="109" t="s">
        <v>0</v>
      </c>
      <c r="N172" s="110" t="s">
        <v>0</v>
      </c>
      <c r="O172" s="111">
        <v>29.33</v>
      </c>
      <c r="P172" s="112">
        <v>29.33</v>
      </c>
      <c r="Q172" s="112">
        <v>28.61</v>
      </c>
      <c r="R172" s="112">
        <v>28.61</v>
      </c>
      <c r="S172" s="112">
        <v>42.06</v>
      </c>
      <c r="T172" s="112">
        <v>0</v>
      </c>
      <c r="U172" s="95">
        <f t="shared" si="6"/>
        <v>42.06</v>
      </c>
      <c r="V172" s="112"/>
      <c r="W172" s="112"/>
      <c r="X172" s="107"/>
      <c r="Y172" s="107">
        <f t="shared" si="7"/>
        <v>100</v>
      </c>
      <c r="Z172" s="107">
        <f t="shared" si="8"/>
        <v>57.94</v>
      </c>
    </row>
    <row r="173" spans="1:26" x14ac:dyDescent="0.25">
      <c r="A173" s="55" t="str">
        <f>_xlfn.XLOOKUP($G173,'.Auxiliar'!$G:$G,'.Auxiliar'!A:A,"-",0)</f>
        <v>CONCESSÃO VIA SUL</v>
      </c>
      <c r="B173" s="55" t="str">
        <f>_xlfn.XLOOKUP($G173,'.Auxiliar'!$G:$G,'.Auxiliar'!B:B,"-",0)</f>
        <v>FX ADICIONAL</v>
      </c>
      <c r="C173" s="55" t="str">
        <f>_xlfn.XLOOKUP($G173,'.Auxiliar'!$G:$G,'.Auxiliar'!C:C,"-",0)</f>
        <v>Faixa Adicional Lajeado / Estrela- Subtrecho 6</v>
      </c>
      <c r="D173" s="55">
        <f>_xlfn.XLOOKUP($G173,'.Auxiliar'!$G:$G,'.Auxiliar'!D:D,"-",0)</f>
        <v>347.58</v>
      </c>
      <c r="E173" s="55">
        <f>_xlfn.XLOOKUP($G173,'.Auxiliar'!$G:$G,'.Auxiliar'!E:E,"-",0)</f>
        <v>348.34</v>
      </c>
      <c r="F173" s="55">
        <f>_xlfn.XLOOKUP($G173,'.Auxiliar'!$G:$G,'.Auxiliar'!F:F,"-",0)</f>
        <v>0.75999999999999091</v>
      </c>
      <c r="G173" s="59" t="s">
        <v>463</v>
      </c>
      <c r="H173" s="108" t="s">
        <v>363</v>
      </c>
      <c r="I173" s="109" t="s">
        <v>363</v>
      </c>
      <c r="J173" s="109" t="s">
        <v>363</v>
      </c>
      <c r="K173" s="109" t="s">
        <v>363</v>
      </c>
      <c r="L173" s="109" t="s">
        <v>0</v>
      </c>
      <c r="M173" s="109" t="s">
        <v>0</v>
      </c>
      <c r="N173" s="110" t="s">
        <v>0</v>
      </c>
      <c r="O173" s="111">
        <v>17.54</v>
      </c>
      <c r="P173" s="112">
        <v>17.54</v>
      </c>
      <c r="Q173" s="112">
        <v>44.98</v>
      </c>
      <c r="R173" s="112">
        <v>44.98</v>
      </c>
      <c r="S173" s="112">
        <v>37.479999999999997</v>
      </c>
      <c r="T173" s="112">
        <v>0</v>
      </c>
      <c r="U173" s="95">
        <f t="shared" si="6"/>
        <v>37.480000000000004</v>
      </c>
      <c r="V173" s="112"/>
      <c r="W173" s="112"/>
      <c r="X173" s="107"/>
      <c r="Y173" s="107">
        <f t="shared" si="7"/>
        <v>100</v>
      </c>
      <c r="Z173" s="107">
        <f t="shared" si="8"/>
        <v>62.519999999999996</v>
      </c>
    </row>
    <row r="174" spans="1:26" x14ac:dyDescent="0.25">
      <c r="A174" s="55" t="str">
        <f>_xlfn.XLOOKUP($G174,'.Auxiliar'!$G:$G,'.Auxiliar'!A:A,"-",0)</f>
        <v>CONCESSÃO VIA SUL</v>
      </c>
      <c r="B174" s="55" t="str">
        <f>_xlfn.XLOOKUP($G174,'.Auxiliar'!$G:$G,'.Auxiliar'!B:B,"-",0)</f>
        <v>FX ADICIONAL</v>
      </c>
      <c r="C174" s="55" t="str">
        <f>_xlfn.XLOOKUP($G174,'.Auxiliar'!$G:$G,'.Auxiliar'!C:C,"-",0)</f>
        <v>Faixa Adicional Lajeado / Estrela- Subtrecho 7</v>
      </c>
      <c r="D174" s="55">
        <f>_xlfn.XLOOKUP($G174,'.Auxiliar'!$G:$G,'.Auxiliar'!D:D,"-",0)</f>
        <v>348.34</v>
      </c>
      <c r="E174" s="55">
        <f>_xlfn.XLOOKUP($G174,'.Auxiliar'!$G:$G,'.Auxiliar'!E:E,"-",0)</f>
        <v>348.77</v>
      </c>
      <c r="F174" s="55">
        <f>_xlfn.XLOOKUP($G174,'.Auxiliar'!$G:$G,'.Auxiliar'!F:F,"-",0)</f>
        <v>0.43000000000000682</v>
      </c>
      <c r="G174" s="59" t="s">
        <v>464</v>
      </c>
      <c r="H174" s="108" t="s">
        <v>363</v>
      </c>
      <c r="I174" s="109" t="s">
        <v>368</v>
      </c>
      <c r="J174" s="109" t="s">
        <v>363</v>
      </c>
      <c r="K174" s="109" t="s">
        <v>363</v>
      </c>
      <c r="L174" s="109" t="s">
        <v>0</v>
      </c>
      <c r="M174" s="109" t="s">
        <v>0</v>
      </c>
      <c r="N174" s="110" t="s">
        <v>0</v>
      </c>
      <c r="O174" s="111">
        <v>100</v>
      </c>
      <c r="P174" s="112">
        <v>0</v>
      </c>
      <c r="Q174" s="112">
        <v>38.81</v>
      </c>
      <c r="R174" s="112">
        <v>38.81</v>
      </c>
      <c r="S174" s="112">
        <v>61.19</v>
      </c>
      <c r="T174" s="112">
        <v>0</v>
      </c>
      <c r="U174" s="95">
        <f t="shared" si="6"/>
        <v>61.19</v>
      </c>
      <c r="V174" s="112"/>
      <c r="W174" s="112"/>
      <c r="X174" s="107"/>
      <c r="Y174" s="107">
        <f t="shared" si="7"/>
        <v>100</v>
      </c>
      <c r="Z174" s="107">
        <f t="shared" si="8"/>
        <v>38.81</v>
      </c>
    </row>
    <row r="175" spans="1:26" x14ac:dyDescent="0.25">
      <c r="A175" s="55" t="str">
        <f>_xlfn.XLOOKUP($G175,'.Auxiliar'!$G:$G,'.Auxiliar'!A:A,"-",0)</f>
        <v>CONCESSÃO VIA SUL</v>
      </c>
      <c r="B175" s="55" t="str">
        <f>_xlfn.XLOOKUP($G175,'.Auxiliar'!$G:$G,'.Auxiliar'!B:B,"-",0)</f>
        <v>FX ADICIONAL</v>
      </c>
      <c r="C175" s="55" t="str">
        <f>_xlfn.XLOOKUP($G175,'.Auxiliar'!$G:$G,'.Auxiliar'!C:C,"-",0)</f>
        <v>Faixa Adicional Lajeado / Estrela- Subtrecho 8</v>
      </c>
      <c r="D175" s="55">
        <f>_xlfn.XLOOKUP($G175,'.Auxiliar'!$G:$G,'.Auxiliar'!D:D,"-",0)</f>
        <v>348.77</v>
      </c>
      <c r="E175" s="55">
        <f>_xlfn.XLOOKUP($G175,'.Auxiliar'!$G:$G,'.Auxiliar'!E:E,"-",0)</f>
        <v>349.12</v>
      </c>
      <c r="F175" s="55">
        <f>_xlfn.XLOOKUP($G175,'.Auxiliar'!$G:$G,'.Auxiliar'!F:F,"-",0)</f>
        <v>0.35000000000002274</v>
      </c>
      <c r="G175" s="59" t="s">
        <v>465</v>
      </c>
      <c r="H175" s="108" t="s">
        <v>363</v>
      </c>
      <c r="I175" s="109" t="s">
        <v>368</v>
      </c>
      <c r="J175" s="109" t="s">
        <v>363</v>
      </c>
      <c r="K175" s="109" t="s">
        <v>363</v>
      </c>
      <c r="L175" s="109" t="s">
        <v>0</v>
      </c>
      <c r="M175" s="109" t="s">
        <v>0</v>
      </c>
      <c r="N175" s="110" t="s">
        <v>0</v>
      </c>
      <c r="O175" s="111">
        <v>100</v>
      </c>
      <c r="P175" s="112">
        <v>0</v>
      </c>
      <c r="Q175" s="112">
        <v>50.21</v>
      </c>
      <c r="R175" s="112">
        <v>50.21</v>
      </c>
      <c r="S175" s="112">
        <v>49.79</v>
      </c>
      <c r="T175" s="112">
        <v>0</v>
      </c>
      <c r="U175" s="95">
        <f t="shared" si="6"/>
        <v>49.79</v>
      </c>
      <c r="V175" s="112"/>
      <c r="W175" s="112"/>
      <c r="X175" s="107"/>
      <c r="Y175" s="107">
        <f t="shared" si="7"/>
        <v>100</v>
      </c>
      <c r="Z175" s="107">
        <f t="shared" si="8"/>
        <v>50.21</v>
      </c>
    </row>
    <row r="176" spans="1:26" x14ac:dyDescent="0.25">
      <c r="A176" s="55" t="str">
        <f>_xlfn.XLOOKUP($G176,'.Auxiliar'!$G:$G,'.Auxiliar'!A:A,"-",0)</f>
        <v>CONCESSÃO VIA SUL</v>
      </c>
      <c r="B176" s="55" t="str">
        <f>_xlfn.XLOOKUP($G176,'.Auxiliar'!$G:$G,'.Auxiliar'!B:B,"-",0)</f>
        <v>FX ADICIONAL</v>
      </c>
      <c r="C176" s="55" t="str">
        <f>_xlfn.XLOOKUP($G176,'.Auxiliar'!$G:$G,'.Auxiliar'!C:C,"-",0)</f>
        <v>Faixa Adicional Lajeado / Estrela- Subtrecho 9</v>
      </c>
      <c r="D176" s="55">
        <f>_xlfn.XLOOKUP($G176,'.Auxiliar'!$G:$G,'.Auxiliar'!D:D,"-",0)</f>
        <v>349.12</v>
      </c>
      <c r="E176" s="55">
        <f>_xlfn.XLOOKUP($G176,'.Auxiliar'!$G:$G,'.Auxiliar'!E:E,"-",0)</f>
        <v>349.5</v>
      </c>
      <c r="F176" s="55">
        <f>_xlfn.XLOOKUP($G176,'.Auxiliar'!$G:$G,'.Auxiliar'!F:F,"-",0)</f>
        <v>0.37999999999999545</v>
      </c>
      <c r="G176" s="59" t="s">
        <v>466</v>
      </c>
      <c r="H176" s="108" t="s">
        <v>363</v>
      </c>
      <c r="I176" s="109" t="s">
        <v>368</v>
      </c>
      <c r="J176" s="109" t="s">
        <v>363</v>
      </c>
      <c r="K176" s="109" t="s">
        <v>363</v>
      </c>
      <c r="L176" s="109" t="s">
        <v>0</v>
      </c>
      <c r="M176" s="109" t="s">
        <v>0</v>
      </c>
      <c r="N176" s="110" t="s">
        <v>0</v>
      </c>
      <c r="O176" s="111">
        <v>100</v>
      </c>
      <c r="P176" s="112">
        <v>0</v>
      </c>
      <c r="Q176" s="112">
        <v>63</v>
      </c>
      <c r="R176" s="112">
        <v>63</v>
      </c>
      <c r="S176" s="112">
        <v>37</v>
      </c>
      <c r="T176" s="112">
        <v>0</v>
      </c>
      <c r="U176" s="95">
        <f t="shared" si="6"/>
        <v>37</v>
      </c>
      <c r="V176" s="112"/>
      <c r="W176" s="112"/>
      <c r="X176" s="107"/>
      <c r="Y176" s="107">
        <f t="shared" si="7"/>
        <v>100</v>
      </c>
      <c r="Z176" s="107">
        <f t="shared" si="8"/>
        <v>63</v>
      </c>
    </row>
    <row r="177" spans="1:26" x14ac:dyDescent="0.25">
      <c r="A177" s="55" t="str">
        <f>_xlfn.XLOOKUP($G177,'.Auxiliar'!$G:$G,'.Auxiliar'!A:A,"-",0)</f>
        <v>CONCESSÃO VIA SUL</v>
      </c>
      <c r="B177" s="55" t="str">
        <f>_xlfn.XLOOKUP($G177,'.Auxiliar'!$G:$G,'.Auxiliar'!B:B,"-",0)</f>
        <v>OAE</v>
      </c>
      <c r="C177" s="134" t="str">
        <f>_xlfn.XLOOKUP($G177,'.Auxiliar'!$G:$G,'.Auxiliar'!C:C,"-",0)</f>
        <v xml:space="preserve"> OAE  Nova Duplicada - km 245+330 </v>
      </c>
      <c r="D177" s="55">
        <f>_xlfn.XLOOKUP($G177,'.Auxiliar'!$G:$G,'.Auxiliar'!D:D,"-",0)</f>
        <v>245.33</v>
      </c>
      <c r="E177" s="55">
        <f>_xlfn.XLOOKUP($G177,'.Auxiliar'!$G:$G,'.Auxiliar'!E:E,"-",0)</f>
        <v>245.33</v>
      </c>
      <c r="F177" s="55">
        <f>_xlfn.XLOOKUP($G177,'.Auxiliar'!$G:$G,'.Auxiliar'!F:F,"-",0)</f>
        <v>1</v>
      </c>
      <c r="G177" s="59" t="s">
        <v>835</v>
      </c>
      <c r="H177" s="108" t="s">
        <v>0</v>
      </c>
      <c r="I177" s="109" t="s">
        <v>368</v>
      </c>
      <c r="J177" s="109" t="s">
        <v>363</v>
      </c>
      <c r="K177" s="109" t="s">
        <v>363</v>
      </c>
      <c r="L177" s="109" t="s">
        <v>0</v>
      </c>
      <c r="M177" s="109" t="s">
        <v>0</v>
      </c>
      <c r="N177" s="110" t="s">
        <v>0</v>
      </c>
      <c r="O177" s="111"/>
      <c r="P177" s="112"/>
      <c r="Q177" s="112">
        <v>45</v>
      </c>
      <c r="R177" s="112">
        <v>0</v>
      </c>
      <c r="S177" s="112">
        <v>100</v>
      </c>
      <c r="T177" s="112">
        <v>0</v>
      </c>
      <c r="U177" s="95">
        <f t="shared" si="6"/>
        <v>100</v>
      </c>
      <c r="V177" s="112"/>
      <c r="W177" s="112"/>
      <c r="X177" s="107"/>
      <c r="Y177" s="107">
        <f t="shared" si="7"/>
        <v>100</v>
      </c>
      <c r="Z177" s="107">
        <f t="shared" si="8"/>
        <v>0</v>
      </c>
    </row>
    <row r="178" spans="1:26" x14ac:dyDescent="0.25">
      <c r="A178" s="55" t="str">
        <f>_xlfn.XLOOKUP($G178,'.Auxiliar'!$G:$G,'.Auxiliar'!A:A,"-",0)</f>
        <v>CONCESSÃO VIA SUL</v>
      </c>
      <c r="B178" s="55" t="str">
        <f>_xlfn.XLOOKUP($G178,'.Auxiliar'!$G:$G,'.Auxiliar'!B:B,"-",0)</f>
        <v>OAE</v>
      </c>
      <c r="C178" s="135" t="str">
        <f>_xlfn.XLOOKUP($G178,'.Auxiliar'!$G:$G,'.Auxiliar'!C:C,"-",0)</f>
        <v>Interconexão Tipo Trevo Completo - Estrela - Reformulação</v>
      </c>
      <c r="D178" s="55">
        <f>_xlfn.XLOOKUP($G178,'.Auxiliar'!$G:$G,'.Auxiliar'!D:D,"-",0)</f>
        <v>349.5</v>
      </c>
      <c r="E178" s="55">
        <f>_xlfn.XLOOKUP($G178,'.Auxiliar'!$G:$G,'.Auxiliar'!E:E,"-",0)</f>
        <v>349.5</v>
      </c>
      <c r="F178" s="55">
        <f>_xlfn.XLOOKUP($G178,'.Auxiliar'!$G:$G,'.Auxiliar'!F:F,"-",0)</f>
        <v>1</v>
      </c>
      <c r="G178" s="59" t="s">
        <v>453</v>
      </c>
      <c r="H178" s="108" t="s">
        <v>363</v>
      </c>
      <c r="I178" s="109" t="s">
        <v>363</v>
      </c>
      <c r="J178" s="109" t="s">
        <v>0</v>
      </c>
      <c r="K178" s="109" t="s">
        <v>363</v>
      </c>
      <c r="L178" s="109" t="s">
        <v>0</v>
      </c>
      <c r="M178" s="109" t="s">
        <v>0</v>
      </c>
      <c r="N178" s="110" t="s">
        <v>0</v>
      </c>
      <c r="O178" s="111">
        <v>100</v>
      </c>
      <c r="P178" s="112">
        <v>0</v>
      </c>
      <c r="Q178" s="112">
        <v>53.24</v>
      </c>
      <c r="R178" s="112">
        <v>53.24</v>
      </c>
      <c r="S178" s="112">
        <v>46.76</v>
      </c>
      <c r="T178" s="112">
        <v>0</v>
      </c>
      <c r="U178" s="95">
        <f t="shared" si="6"/>
        <v>46.76</v>
      </c>
      <c r="V178" s="112"/>
      <c r="W178" s="112"/>
      <c r="X178" s="107"/>
      <c r="Y178" s="107">
        <f t="shared" si="7"/>
        <v>100</v>
      </c>
      <c r="Z178" s="107">
        <f t="shared" si="8"/>
        <v>53.24</v>
      </c>
    </row>
    <row r="179" spans="1:26" x14ac:dyDescent="0.25">
      <c r="A179" s="55" t="str">
        <f>_xlfn.XLOOKUP($G179,'.Auxiliar'!$G:$G,'.Auxiliar'!A:A,"-",0)</f>
        <v>CONCESSÃO VIA SUL</v>
      </c>
      <c r="B179" s="55" t="str">
        <f>_xlfn.XLOOKUP($G179,'.Auxiliar'!$G:$G,'.Auxiliar'!B:B,"-",0)</f>
        <v>OAE</v>
      </c>
      <c r="C179" s="55" t="str">
        <f>_xlfn.XLOOKUP($G179,'.Auxiliar'!$G:$G,'.Auxiliar'!C:C,"-",0)</f>
        <v>Interconexão - Trevo Completo (BR-287/BR-479) - Triunfo - Km 392+700 SNV*</v>
      </c>
      <c r="D179" s="55">
        <f>_xlfn.XLOOKUP($G179,'.Auxiliar'!$G:$G,'.Auxiliar'!D:D,"-",0)</f>
        <v>390.8</v>
      </c>
      <c r="E179" s="55">
        <f>_xlfn.XLOOKUP($G179,'.Auxiliar'!$G:$G,'.Auxiliar'!E:E,"-",0)</f>
        <v>390.8</v>
      </c>
      <c r="F179" s="55">
        <f>_xlfn.XLOOKUP($G179,'.Auxiliar'!$G:$G,'.Auxiliar'!F:F,"-",0)</f>
        <v>1</v>
      </c>
      <c r="G179" s="59" t="s">
        <v>840</v>
      </c>
      <c r="H179" s="108" t="s">
        <v>363</v>
      </c>
      <c r="I179" s="109" t="s">
        <v>363</v>
      </c>
      <c r="J179" s="109" t="s">
        <v>363</v>
      </c>
      <c r="K179" s="109" t="s">
        <v>363</v>
      </c>
      <c r="L179" s="109" t="s">
        <v>0</v>
      </c>
      <c r="M179" s="109" t="s">
        <v>0</v>
      </c>
      <c r="N179" s="110" t="s">
        <v>0</v>
      </c>
      <c r="O179" s="111">
        <v>100</v>
      </c>
      <c r="P179" s="112">
        <v>0</v>
      </c>
      <c r="Q179" s="112">
        <v>21.8</v>
      </c>
      <c r="R179" s="112">
        <v>21.8</v>
      </c>
      <c r="S179" s="112">
        <v>78.2</v>
      </c>
      <c r="T179" s="112">
        <v>34.979999999999997</v>
      </c>
      <c r="U179" s="95">
        <f t="shared" si="6"/>
        <v>78.2</v>
      </c>
      <c r="V179" s="112"/>
      <c r="W179" s="112"/>
      <c r="X179" s="107"/>
      <c r="Y179" s="107">
        <f t="shared" si="7"/>
        <v>100</v>
      </c>
      <c r="Z179" s="107">
        <f t="shared" si="8"/>
        <v>56.78</v>
      </c>
    </row>
    <row r="180" spans="1:26" x14ac:dyDescent="0.25">
      <c r="A180" s="55" t="str">
        <f>_xlfn.XLOOKUP($G180,'.Auxiliar'!$G:$G,'.Auxiliar'!A:A,"-",0)</f>
        <v>CONCESSÃO VIA SUL</v>
      </c>
      <c r="B180" s="55" t="str">
        <f>_xlfn.XLOOKUP($G180,'.Auxiliar'!$G:$G,'.Auxiliar'!B:B,"-",0)</f>
        <v>OAE</v>
      </c>
      <c r="C180" s="55" t="str">
        <f>_xlfn.XLOOKUP($G180,'.Auxiliar'!$G:$G,'.Auxiliar'!C:C,"-",0)</f>
        <v>Interconexão Tipo Diamante  - Nova Santa Rita  km 435,500 SNV</v>
      </c>
      <c r="D180" s="55">
        <f>_xlfn.XLOOKUP($G180,'.Auxiliar'!$G:$G,'.Auxiliar'!D:D,"-",0)</f>
        <v>433.6</v>
      </c>
      <c r="E180" s="55">
        <f>_xlfn.XLOOKUP($G180,'.Auxiliar'!$G:$G,'.Auxiliar'!E:E,"-",0)</f>
        <v>433.6</v>
      </c>
      <c r="F180" s="55">
        <f>_xlfn.XLOOKUP($G180,'.Auxiliar'!$G:$G,'.Auxiliar'!F:F,"-",0)</f>
        <v>1</v>
      </c>
      <c r="G180" s="59" t="s">
        <v>457</v>
      </c>
      <c r="H180" s="108" t="s">
        <v>363</v>
      </c>
      <c r="I180" s="109" t="s">
        <v>0</v>
      </c>
      <c r="J180" s="109" t="s">
        <v>0</v>
      </c>
      <c r="K180" s="109" t="s">
        <v>363</v>
      </c>
      <c r="L180" s="109" t="s">
        <v>0</v>
      </c>
      <c r="M180" s="109" t="s">
        <v>0</v>
      </c>
      <c r="N180" s="110" t="s">
        <v>0</v>
      </c>
      <c r="O180" s="111">
        <v>100</v>
      </c>
      <c r="P180" s="112">
        <v>0</v>
      </c>
      <c r="Q180" s="112"/>
      <c r="R180" s="112"/>
      <c r="S180" s="95">
        <v>100</v>
      </c>
      <c r="T180" s="112"/>
      <c r="U180" s="95">
        <f t="shared" si="6"/>
        <v>100</v>
      </c>
      <c r="V180" s="112"/>
      <c r="W180" s="112"/>
      <c r="X180" s="107"/>
      <c r="Y180" s="107">
        <f t="shared" si="7"/>
        <v>100</v>
      </c>
      <c r="Z180" s="107">
        <f t="shared" si="8"/>
        <v>0</v>
      </c>
    </row>
    <row r="181" spans="1:26" x14ac:dyDescent="0.25">
      <c r="A181" s="55" t="str">
        <f>_xlfn.XLOOKUP($G181,'.Auxiliar'!$G:$G,'.Auxiliar'!A:A,"-",0)</f>
        <v>CONCESSÃO VIA SUL</v>
      </c>
      <c r="B181" s="55" t="str">
        <f>_xlfn.XLOOKUP($G181,'.Auxiliar'!$G:$G,'.Auxiliar'!B:B,"-",0)</f>
        <v>OAE</v>
      </c>
      <c r="C181" s="55" t="str">
        <f>_xlfn.XLOOKUP($G181,'.Auxiliar'!$G:$G,'.Auxiliar'!C:C,"-",0)</f>
        <v>Interconexão Tipo Diamante - Cachoeirinha</v>
      </c>
      <c r="D181" s="55">
        <f>_xlfn.XLOOKUP($G181,'.Auxiliar'!$G:$G,'.Auxiliar'!D:D,"-",0)</f>
        <v>83.59</v>
      </c>
      <c r="E181" s="55">
        <f>_xlfn.XLOOKUP($G181,'.Auxiliar'!$G:$G,'.Auxiliar'!E:E,"-",0)</f>
        <v>83.59</v>
      </c>
      <c r="F181" s="55">
        <f>_xlfn.XLOOKUP($G181,'.Auxiliar'!$G:$G,'.Auxiliar'!F:F,"-",0)</f>
        <v>1</v>
      </c>
      <c r="G181" s="59" t="s">
        <v>441</v>
      </c>
      <c r="H181" s="108" t="s">
        <v>363</v>
      </c>
      <c r="I181" s="109" t="s">
        <v>0</v>
      </c>
      <c r="J181" s="109" t="s">
        <v>0</v>
      </c>
      <c r="K181" s="109" t="s">
        <v>363</v>
      </c>
      <c r="L181" s="109" t="s">
        <v>0</v>
      </c>
      <c r="M181" s="109" t="s">
        <v>0</v>
      </c>
      <c r="N181" s="110" t="s">
        <v>0</v>
      </c>
      <c r="O181" s="111">
        <v>100</v>
      </c>
      <c r="P181" s="112">
        <v>100</v>
      </c>
      <c r="Q181" s="112"/>
      <c r="R181" s="112"/>
      <c r="S181" s="112"/>
      <c r="T181" s="112"/>
      <c r="U181" s="95">
        <f t="shared" si="6"/>
        <v>0</v>
      </c>
      <c r="V181" s="112"/>
      <c r="W181" s="112"/>
      <c r="X181" s="107"/>
      <c r="Y181" s="107">
        <f t="shared" si="7"/>
        <v>100</v>
      </c>
      <c r="Z181" s="107">
        <f t="shared" si="8"/>
        <v>100</v>
      </c>
    </row>
    <row r="182" spans="1:26" x14ac:dyDescent="0.25">
      <c r="A182" s="55" t="str">
        <f>_xlfn.XLOOKUP($G182,'.Auxiliar'!$G:$G,'.Auxiliar'!A:A,"-",0)</f>
        <v>CONCESSÃO VIA SUL</v>
      </c>
      <c r="B182" s="55" t="str">
        <f>_xlfn.XLOOKUP($G182,'.Auxiliar'!$G:$G,'.Auxiliar'!B:B,"-",0)</f>
        <v>OAE</v>
      </c>
      <c r="C182" s="55" t="str">
        <f>_xlfn.XLOOKUP($G182,'.Auxiliar'!$G:$G,'.Auxiliar'!C:C,"-",0)</f>
        <v>Interconexão Tipo Diamante - Estrela</v>
      </c>
      <c r="D182" s="55">
        <f>_xlfn.XLOOKUP($G182,'.Auxiliar'!$G:$G,'.Auxiliar'!D:D,"-",0)</f>
        <v>360.3</v>
      </c>
      <c r="E182" s="55">
        <f>_xlfn.XLOOKUP($G182,'.Auxiliar'!$G:$G,'.Auxiliar'!E:E,"-",0)</f>
        <v>360.3</v>
      </c>
      <c r="F182" s="55">
        <f>_xlfn.XLOOKUP($G182,'.Auxiliar'!$G:$G,'.Auxiliar'!F:F,"-",0)</f>
        <v>1</v>
      </c>
      <c r="G182" s="59" t="s">
        <v>1315</v>
      </c>
      <c r="H182" s="108" t="s">
        <v>0</v>
      </c>
      <c r="I182" s="109" t="s">
        <v>0</v>
      </c>
      <c r="J182" s="109" t="s">
        <v>0</v>
      </c>
      <c r="K182" s="109" t="s">
        <v>0</v>
      </c>
      <c r="L182" s="109" t="s">
        <v>0</v>
      </c>
      <c r="M182" s="109" t="s">
        <v>0</v>
      </c>
      <c r="N182" s="110" t="s">
        <v>363</v>
      </c>
      <c r="O182" s="111"/>
      <c r="P182" s="112"/>
      <c r="Q182" s="112"/>
      <c r="R182" s="112"/>
      <c r="S182" s="112"/>
      <c r="T182" s="112"/>
      <c r="U182" s="95" t="str">
        <f t="shared" si="6"/>
        <v/>
      </c>
      <c r="V182" s="112"/>
      <c r="W182" s="112"/>
      <c r="X182" s="107">
        <v>100</v>
      </c>
      <c r="Y182" s="107">
        <f t="shared" si="7"/>
        <v>100</v>
      </c>
      <c r="Z182" s="107">
        <f t="shared" si="8"/>
        <v>0</v>
      </c>
    </row>
    <row r="183" spans="1:26" x14ac:dyDescent="0.25">
      <c r="A183" s="55" t="str">
        <f>_xlfn.XLOOKUP($G183,'.Auxiliar'!$G:$G,'.Auxiliar'!A:A,"-",0)</f>
        <v>CONCESSÃO VIA SUL</v>
      </c>
      <c r="B183" s="55" t="str">
        <f>_xlfn.XLOOKUP($G183,'.Auxiliar'!$G:$G,'.Auxiliar'!B:B,"-",0)</f>
        <v>OAE</v>
      </c>
      <c r="C183" s="55" t="str">
        <f>_xlfn.XLOOKUP($G183,'.Auxiliar'!$G:$G,'.Auxiliar'!C:C,"-",0)</f>
        <v>Interconexão Tipo Diamante - Fazenda Vila Nova</v>
      </c>
      <c r="D183" s="55">
        <f>_xlfn.XLOOKUP($G183,'.Auxiliar'!$G:$G,'.Auxiliar'!D:D,"-",0)</f>
        <v>365.9</v>
      </c>
      <c r="E183" s="55">
        <f>_xlfn.XLOOKUP($G183,'.Auxiliar'!$G:$G,'.Auxiliar'!E:E,"-",0)</f>
        <v>365.9</v>
      </c>
      <c r="F183" s="55">
        <f>_xlfn.XLOOKUP($G183,'.Auxiliar'!$G:$G,'.Auxiliar'!F:F,"-",0)</f>
        <v>1</v>
      </c>
      <c r="G183" s="59" t="s">
        <v>1316</v>
      </c>
      <c r="H183" s="108" t="s">
        <v>0</v>
      </c>
      <c r="I183" s="109" t="s">
        <v>0</v>
      </c>
      <c r="J183" s="109" t="s">
        <v>0</v>
      </c>
      <c r="K183" s="109" t="s">
        <v>0</v>
      </c>
      <c r="L183" s="109" t="s">
        <v>0</v>
      </c>
      <c r="M183" s="109" t="s">
        <v>0</v>
      </c>
      <c r="N183" s="110" t="s">
        <v>363</v>
      </c>
      <c r="O183" s="111"/>
      <c r="P183" s="112"/>
      <c r="Q183" s="112"/>
      <c r="R183" s="112"/>
      <c r="S183" s="112"/>
      <c r="T183" s="112"/>
      <c r="U183" s="95" t="str">
        <f t="shared" si="6"/>
        <v/>
      </c>
      <c r="V183" s="112"/>
      <c r="W183" s="112"/>
      <c r="X183" s="107">
        <v>100</v>
      </c>
      <c r="Y183" s="107">
        <f t="shared" si="7"/>
        <v>100</v>
      </c>
      <c r="Z183" s="107">
        <f t="shared" si="8"/>
        <v>0</v>
      </c>
    </row>
    <row r="184" spans="1:26" x14ac:dyDescent="0.25">
      <c r="A184" s="55" t="str">
        <f>_xlfn.XLOOKUP($G184,'.Auxiliar'!$G:$G,'.Auxiliar'!A:A,"-",0)</f>
        <v>CONCESSÃO VIA SUL</v>
      </c>
      <c r="B184" s="55" t="str">
        <f>_xlfn.XLOOKUP($G184,'.Auxiliar'!$G:$G,'.Auxiliar'!B:B,"-",0)</f>
        <v>OAE</v>
      </c>
      <c r="C184" s="55" t="str">
        <f>_xlfn.XLOOKUP($G184,'.Auxiliar'!$G:$G,'.Auxiliar'!C:C,"-",0)</f>
        <v>Interconexão Tipo Diamante - Gravataí</v>
      </c>
      <c r="D184" s="55">
        <f>_xlfn.XLOOKUP($G184,'.Auxiliar'!$G:$G,'.Auxiliar'!D:D,"-",0)</f>
        <v>62.6</v>
      </c>
      <c r="E184" s="55">
        <f>_xlfn.XLOOKUP($G184,'.Auxiliar'!$G:$G,'.Auxiliar'!E:E,"-",0)</f>
        <v>62.6</v>
      </c>
      <c r="F184" s="55">
        <f>_xlfn.XLOOKUP($G184,'.Auxiliar'!$G:$G,'.Auxiliar'!F:F,"-",0)</f>
        <v>1</v>
      </c>
      <c r="G184" s="59" t="s">
        <v>437</v>
      </c>
      <c r="H184" s="108" t="s">
        <v>363</v>
      </c>
      <c r="I184" s="109" t="s">
        <v>0</v>
      </c>
      <c r="J184" s="109" t="s">
        <v>0</v>
      </c>
      <c r="K184" s="109" t="s">
        <v>363</v>
      </c>
      <c r="L184" s="109" t="s">
        <v>0</v>
      </c>
      <c r="M184" s="109" t="s">
        <v>0</v>
      </c>
      <c r="N184" s="110" t="s">
        <v>0</v>
      </c>
      <c r="O184" s="111">
        <v>100</v>
      </c>
      <c r="P184" s="112">
        <v>100</v>
      </c>
      <c r="Q184" s="112"/>
      <c r="R184" s="112"/>
      <c r="S184" s="112"/>
      <c r="T184" s="112"/>
      <c r="U184" s="95">
        <f t="shared" si="6"/>
        <v>0</v>
      </c>
      <c r="V184" s="112"/>
      <c r="W184" s="112"/>
      <c r="X184" s="107"/>
      <c r="Y184" s="107">
        <f t="shared" si="7"/>
        <v>100</v>
      </c>
      <c r="Z184" s="107">
        <f t="shared" si="8"/>
        <v>100</v>
      </c>
    </row>
    <row r="185" spans="1:26" x14ac:dyDescent="0.25">
      <c r="A185" s="55" t="str">
        <f>_xlfn.XLOOKUP($G185,'.Auxiliar'!$G:$G,'.Auxiliar'!A:A,"-",0)</f>
        <v>CONCESSÃO VIA SUL</v>
      </c>
      <c r="B185" s="55" t="str">
        <f>_xlfn.XLOOKUP($G185,'.Auxiliar'!$G:$G,'.Auxiliar'!B:B,"-",0)</f>
        <v>OAE</v>
      </c>
      <c r="C185" s="55" t="str">
        <f>_xlfn.XLOOKUP($G185,'.Auxiliar'!$G:$G,'.Auxiliar'!C:C,"-",0)</f>
        <v>Interconexao Tipo Diamante - km 247+300 - Soledade</v>
      </c>
      <c r="D185" s="55">
        <f>_xlfn.XLOOKUP($G185,'.Auxiliar'!$G:$G,'.Auxiliar'!D:D,"-",0)</f>
        <v>247.3</v>
      </c>
      <c r="E185" s="55">
        <f>_xlfn.XLOOKUP($G185,'.Auxiliar'!$G:$G,'.Auxiliar'!E:E,"-",0)</f>
        <v>247.3</v>
      </c>
      <c r="F185" s="55">
        <f>_xlfn.XLOOKUP($G185,'.Auxiliar'!$G:$G,'.Auxiliar'!F:F,"-",0)</f>
        <v>1</v>
      </c>
      <c r="G185" s="59" t="s">
        <v>837</v>
      </c>
      <c r="H185" s="108" t="s">
        <v>0</v>
      </c>
      <c r="I185" s="109" t="s">
        <v>368</v>
      </c>
      <c r="J185" s="109" t="s">
        <v>363</v>
      </c>
      <c r="K185" s="109" t="s">
        <v>363</v>
      </c>
      <c r="L185" s="109" t="s">
        <v>0</v>
      </c>
      <c r="M185" s="109" t="s">
        <v>0</v>
      </c>
      <c r="N185" s="110" t="s">
        <v>0</v>
      </c>
      <c r="O185" s="111"/>
      <c r="P185" s="112"/>
      <c r="Q185" s="112"/>
      <c r="R185" s="112"/>
      <c r="S185" s="112">
        <v>75</v>
      </c>
      <c r="T185" s="112">
        <v>1.38</v>
      </c>
      <c r="U185" s="95">
        <f t="shared" si="6"/>
        <v>100</v>
      </c>
      <c r="V185" s="112">
        <v>25</v>
      </c>
      <c r="W185" s="112"/>
      <c r="X185" s="107"/>
      <c r="Y185" s="107">
        <f t="shared" si="7"/>
        <v>100</v>
      </c>
      <c r="Z185" s="107">
        <f t="shared" si="8"/>
        <v>1.38</v>
      </c>
    </row>
    <row r="186" spans="1:26" x14ac:dyDescent="0.25">
      <c r="A186" s="55" t="str">
        <f>_xlfn.XLOOKUP($G186,'.Auxiliar'!$G:$G,'.Auxiliar'!A:A,"-",0)</f>
        <v>CONCESSÃO VIA SUL</v>
      </c>
      <c r="B186" s="55" t="str">
        <f>_xlfn.XLOOKUP($G186,'.Auxiliar'!$G:$G,'.Auxiliar'!B:B,"-",0)</f>
        <v>OAE</v>
      </c>
      <c r="C186" s="55" t="str">
        <f>_xlfn.XLOOKUP($G186,'.Auxiliar'!$G:$G,'.Auxiliar'!C:C,"-",0)</f>
        <v>Interconexao Tipo Diamante - km 249+900 - Soledade</v>
      </c>
      <c r="D186" s="55">
        <f>_xlfn.XLOOKUP($G186,'.Auxiliar'!$G:$G,'.Auxiliar'!D:D,"-",0)</f>
        <v>249.9</v>
      </c>
      <c r="E186" s="55">
        <f>_xlfn.XLOOKUP($G186,'.Auxiliar'!$G:$G,'.Auxiliar'!E:E,"-",0)</f>
        <v>249.9</v>
      </c>
      <c r="F186" s="55">
        <f>_xlfn.XLOOKUP($G186,'.Auxiliar'!$G:$G,'.Auxiliar'!F:F,"-",0)</f>
        <v>1</v>
      </c>
      <c r="G186" s="59" t="s">
        <v>838</v>
      </c>
      <c r="H186" s="108" t="s">
        <v>0</v>
      </c>
      <c r="I186" s="109" t="s">
        <v>368</v>
      </c>
      <c r="J186" s="109" t="s">
        <v>363</v>
      </c>
      <c r="K186" s="109" t="s">
        <v>363</v>
      </c>
      <c r="L186" s="109" t="s">
        <v>0</v>
      </c>
      <c r="M186" s="109" t="s">
        <v>0</v>
      </c>
      <c r="N186" s="110" t="s">
        <v>0</v>
      </c>
      <c r="O186" s="111"/>
      <c r="P186" s="112"/>
      <c r="Q186" s="112">
        <v>1.17</v>
      </c>
      <c r="R186" s="112">
        <v>1.17</v>
      </c>
      <c r="S186" s="112">
        <v>84.2</v>
      </c>
      <c r="T186" s="112">
        <v>9.39</v>
      </c>
      <c r="U186" s="95">
        <f t="shared" si="6"/>
        <v>98.83</v>
      </c>
      <c r="V186" s="112">
        <v>14.63</v>
      </c>
      <c r="W186" s="112"/>
      <c r="X186" s="107"/>
      <c r="Y186" s="107">
        <f t="shared" si="7"/>
        <v>100</v>
      </c>
      <c r="Z186" s="107">
        <f t="shared" si="8"/>
        <v>10.56</v>
      </c>
    </row>
    <row r="187" spans="1:26" x14ac:dyDescent="0.25">
      <c r="A187" s="55" t="str">
        <f>_xlfn.XLOOKUP($G187,'.Auxiliar'!$G:$G,'.Auxiliar'!A:A,"-",0)</f>
        <v>CONCESSÃO VIA SUL</v>
      </c>
      <c r="B187" s="55" t="str">
        <f>_xlfn.XLOOKUP($G187,'.Auxiliar'!$G:$G,'.Auxiliar'!B:B,"-",0)</f>
        <v>OAE</v>
      </c>
      <c r="C187" s="55" t="str">
        <f>_xlfn.XLOOKUP($G187,'.Auxiliar'!$G:$G,'.Auxiliar'!C:C,"-",0)</f>
        <v>Interconexao Tipo Diamante - km 39+720 - Tres Forquilhas</v>
      </c>
      <c r="D187" s="55">
        <f>_xlfn.XLOOKUP($G187,'.Auxiliar'!$G:$G,'.Auxiliar'!D:D,"-",0)</f>
        <v>39.72</v>
      </c>
      <c r="E187" s="55">
        <f>_xlfn.XLOOKUP($G187,'.Auxiliar'!$G:$G,'.Auxiliar'!E:E,"-",0)</f>
        <v>39.72</v>
      </c>
      <c r="F187" s="55">
        <f>_xlfn.XLOOKUP($G187,'.Auxiliar'!$G:$G,'.Auxiliar'!F:F,"-",0)</f>
        <v>1</v>
      </c>
      <c r="G187" s="59" t="s">
        <v>834</v>
      </c>
      <c r="H187" s="108" t="s">
        <v>0</v>
      </c>
      <c r="I187" s="109" t="s">
        <v>368</v>
      </c>
      <c r="J187" s="109" t="s">
        <v>0</v>
      </c>
      <c r="K187" s="109" t="s">
        <v>363</v>
      </c>
      <c r="L187" s="109" t="s">
        <v>0</v>
      </c>
      <c r="M187" s="109" t="s">
        <v>0</v>
      </c>
      <c r="N187" s="110" t="s">
        <v>0</v>
      </c>
      <c r="O187" s="111"/>
      <c r="P187" s="112"/>
      <c r="Q187" s="112">
        <v>3.61</v>
      </c>
      <c r="R187" s="112">
        <v>3.61</v>
      </c>
      <c r="S187" s="112">
        <v>96.39</v>
      </c>
      <c r="T187" s="112">
        <v>30.41</v>
      </c>
      <c r="U187" s="95">
        <f t="shared" si="6"/>
        <v>96.39</v>
      </c>
      <c r="V187" s="112"/>
      <c r="W187" s="112"/>
      <c r="X187" s="107"/>
      <c r="Y187" s="107">
        <f t="shared" si="7"/>
        <v>100</v>
      </c>
      <c r="Z187" s="107">
        <f t="shared" si="8"/>
        <v>34.020000000000003</v>
      </c>
    </row>
    <row r="188" spans="1:26" x14ac:dyDescent="0.25">
      <c r="A188" s="55" t="str">
        <f>_xlfn.XLOOKUP($G188,'.Auxiliar'!$G:$G,'.Auxiliar'!A:A,"-",0)</f>
        <v>CONCESSÃO VIA SUL</v>
      </c>
      <c r="B188" s="55" t="str">
        <f>_xlfn.XLOOKUP($G188,'.Auxiliar'!$G:$G,'.Auxiliar'!B:B,"-",0)</f>
        <v>OAE</v>
      </c>
      <c r="C188" s="55" t="str">
        <f>_xlfn.XLOOKUP($G188,'.Auxiliar'!$G:$G,'.Auxiliar'!C:C,"-",0)</f>
        <v>Interconexão Tipo Diamante - Lajeado - Reformulação do diamante existente</v>
      </c>
      <c r="D188" s="55">
        <f>_xlfn.XLOOKUP($G188,'.Auxiliar'!$G:$G,'.Auxiliar'!D:D,"-",0)</f>
        <v>347.43</v>
      </c>
      <c r="E188" s="55">
        <f>_xlfn.XLOOKUP($G188,'.Auxiliar'!$G:$G,'.Auxiliar'!E:E,"-",0)</f>
        <v>347.43</v>
      </c>
      <c r="F188" s="55">
        <f>_xlfn.XLOOKUP($G188,'.Auxiliar'!$G:$G,'.Auxiliar'!F:F,"-",0)</f>
        <v>1</v>
      </c>
      <c r="G188" s="59" t="s">
        <v>451</v>
      </c>
      <c r="H188" s="108" t="s">
        <v>363</v>
      </c>
      <c r="I188" s="109" t="s">
        <v>363</v>
      </c>
      <c r="J188" s="109" t="s">
        <v>0</v>
      </c>
      <c r="K188" s="109" t="s">
        <v>363</v>
      </c>
      <c r="L188" s="109" t="s">
        <v>0</v>
      </c>
      <c r="M188" s="109" t="s">
        <v>0</v>
      </c>
      <c r="N188" s="110" t="s">
        <v>0</v>
      </c>
      <c r="O188" s="111">
        <v>100</v>
      </c>
      <c r="P188" s="112">
        <v>0</v>
      </c>
      <c r="Q188" s="112"/>
      <c r="R188" s="112"/>
      <c r="S188" s="112">
        <v>100</v>
      </c>
      <c r="T188" s="112">
        <v>0</v>
      </c>
      <c r="U188" s="95">
        <f t="shared" si="6"/>
        <v>100</v>
      </c>
      <c r="V188" s="112"/>
      <c r="W188" s="112"/>
      <c r="X188" s="107"/>
      <c r="Y188" s="107">
        <f t="shared" si="7"/>
        <v>100</v>
      </c>
      <c r="Z188" s="107">
        <f t="shared" si="8"/>
        <v>0</v>
      </c>
    </row>
    <row r="189" spans="1:26" x14ac:dyDescent="0.25">
      <c r="A189" s="55" t="str">
        <f>_xlfn.XLOOKUP($G189,'.Auxiliar'!$G:$G,'.Auxiliar'!A:A,"-",0)</f>
        <v>CONCESSÃO VIA SUL</v>
      </c>
      <c r="B189" s="55" t="str">
        <f>_xlfn.XLOOKUP($G189,'.Auxiliar'!$G:$G,'.Auxiliar'!B:B,"-",0)</f>
        <v>OAE</v>
      </c>
      <c r="C189" s="55" t="str">
        <f>_xlfn.XLOOKUP($G189,'.Auxiliar'!$G:$G,'.Auxiliar'!C:C,"-",0)</f>
        <v>Interconexão Tipo Diamante - Nova Santa Rita - km 434,800 SNV*</v>
      </c>
      <c r="D189" s="55">
        <f>_xlfn.XLOOKUP($G189,'.Auxiliar'!$G:$G,'.Auxiliar'!D:D,"-",0)</f>
        <v>432.9</v>
      </c>
      <c r="E189" s="55">
        <f>_xlfn.XLOOKUP($G189,'.Auxiliar'!$G:$G,'.Auxiliar'!E:E,"-",0)</f>
        <v>432.9</v>
      </c>
      <c r="F189" s="55">
        <f>_xlfn.XLOOKUP($G189,'.Auxiliar'!$G:$G,'.Auxiliar'!F:F,"-",0)</f>
        <v>1</v>
      </c>
      <c r="G189" s="59" t="s">
        <v>456</v>
      </c>
      <c r="H189" s="108" t="s">
        <v>363</v>
      </c>
      <c r="I189" s="109" t="s">
        <v>0</v>
      </c>
      <c r="J189" s="109" t="s">
        <v>0</v>
      </c>
      <c r="K189" s="109" t="s">
        <v>363</v>
      </c>
      <c r="L189" s="109" t="s">
        <v>0</v>
      </c>
      <c r="M189" s="109" t="s">
        <v>0</v>
      </c>
      <c r="N189" s="110" t="s">
        <v>0</v>
      </c>
      <c r="O189" s="111">
        <v>100</v>
      </c>
      <c r="P189" s="112">
        <v>0</v>
      </c>
      <c r="Q189" s="112"/>
      <c r="R189" s="112"/>
      <c r="S189" s="112">
        <v>56</v>
      </c>
      <c r="T189" s="112">
        <v>0</v>
      </c>
      <c r="U189" s="95">
        <f t="shared" si="6"/>
        <v>100</v>
      </c>
      <c r="V189" s="112">
        <f>100-S189</f>
        <v>44</v>
      </c>
      <c r="W189" s="112"/>
      <c r="X189" s="107"/>
      <c r="Y189" s="107">
        <f t="shared" si="7"/>
        <v>100</v>
      </c>
      <c r="Z189" s="107">
        <f t="shared" si="8"/>
        <v>0</v>
      </c>
    </row>
    <row r="190" spans="1:26" x14ac:dyDescent="0.25">
      <c r="A190" s="55" t="str">
        <f>_xlfn.XLOOKUP($G190,'.Auxiliar'!$G:$G,'.Auxiliar'!A:A,"-",0)</f>
        <v>CONCESSÃO VIA SUL</v>
      </c>
      <c r="B190" s="55" t="str">
        <f>_xlfn.XLOOKUP($G190,'.Auxiliar'!$G:$G,'.Auxiliar'!B:B,"-",0)</f>
        <v>OAE</v>
      </c>
      <c r="C190" s="55" t="str">
        <f>_xlfn.XLOOKUP($G190,'.Auxiliar'!$G:$G,'.Auxiliar'!C:C,"-",0)</f>
        <v>Interconexão Tipo Diamante - Pouso Novo</v>
      </c>
      <c r="D190" s="55">
        <f>_xlfn.XLOOKUP($G190,'.Auxiliar'!$G:$G,'.Auxiliar'!D:D,"-",0)</f>
        <v>300.2</v>
      </c>
      <c r="E190" s="55">
        <f>_xlfn.XLOOKUP($G190,'.Auxiliar'!$G:$G,'.Auxiliar'!E:E,"-",0)</f>
        <v>300.2</v>
      </c>
      <c r="F190" s="55">
        <f>_xlfn.XLOOKUP($G190,'.Auxiliar'!$G:$G,'.Auxiliar'!F:F,"-",0)</f>
        <v>1</v>
      </c>
      <c r="G190" s="59" t="s">
        <v>1281</v>
      </c>
      <c r="H190" s="108" t="s">
        <v>0</v>
      </c>
      <c r="I190" s="109" t="s">
        <v>0</v>
      </c>
      <c r="J190" s="109" t="s">
        <v>0</v>
      </c>
      <c r="K190" s="109" t="s">
        <v>0</v>
      </c>
      <c r="L190" s="109" t="s">
        <v>0</v>
      </c>
      <c r="M190" s="109" t="s">
        <v>363</v>
      </c>
      <c r="N190" s="110" t="s">
        <v>363</v>
      </c>
      <c r="O190" s="111"/>
      <c r="P190" s="112"/>
      <c r="Q190" s="112"/>
      <c r="R190" s="112"/>
      <c r="S190" s="112"/>
      <c r="T190" s="112"/>
      <c r="U190" s="95" t="str">
        <f t="shared" si="6"/>
        <v/>
      </c>
      <c r="V190" s="112"/>
      <c r="W190" s="112">
        <v>33</v>
      </c>
      <c r="X190" s="107">
        <v>67</v>
      </c>
      <c r="Y190" s="107">
        <f t="shared" si="7"/>
        <v>100</v>
      </c>
      <c r="Z190" s="107">
        <f t="shared" si="8"/>
        <v>0</v>
      </c>
    </row>
    <row r="191" spans="1:26" x14ac:dyDescent="0.25">
      <c r="A191" s="55" t="str">
        <f>_xlfn.XLOOKUP($G191,'.Auxiliar'!$G:$G,'.Auxiliar'!A:A,"-",0)</f>
        <v>CONCESSÃO VIA SUL</v>
      </c>
      <c r="B191" s="55" t="str">
        <f>_xlfn.XLOOKUP($G191,'.Auxiliar'!$G:$G,'.Auxiliar'!B:B,"-",0)</f>
        <v>OAE</v>
      </c>
      <c r="C191" s="55" t="str">
        <f>_xlfn.XLOOKUP($G191,'.Auxiliar'!$G:$G,'.Auxiliar'!C:C,"-",0)</f>
        <v>Interconexão Tipo Diamante - São José do Herval</v>
      </c>
      <c r="D191" s="55">
        <f>_xlfn.XLOOKUP($G191,'.Auxiliar'!$G:$G,'.Auxiliar'!D:D,"-",0)</f>
        <v>279.5</v>
      </c>
      <c r="E191" s="55">
        <f>_xlfn.XLOOKUP($G191,'.Auxiliar'!$G:$G,'.Auxiliar'!E:E,"-",0)</f>
        <v>279.5</v>
      </c>
      <c r="F191" s="55">
        <f>_xlfn.XLOOKUP($G191,'.Auxiliar'!$G:$G,'.Auxiliar'!F:F,"-",0)</f>
        <v>1</v>
      </c>
      <c r="G191" s="59" t="s">
        <v>1280</v>
      </c>
      <c r="H191" s="108" t="s">
        <v>0</v>
      </c>
      <c r="I191" s="109" t="s">
        <v>0</v>
      </c>
      <c r="J191" s="109" t="s">
        <v>0</v>
      </c>
      <c r="K191" s="109" t="s">
        <v>0</v>
      </c>
      <c r="L191" s="109" t="s">
        <v>0</v>
      </c>
      <c r="M191" s="109" t="s">
        <v>363</v>
      </c>
      <c r="N191" s="110" t="s">
        <v>363</v>
      </c>
      <c r="O191" s="111"/>
      <c r="P191" s="112"/>
      <c r="Q191" s="112"/>
      <c r="R191" s="112"/>
      <c r="S191" s="112"/>
      <c r="T191" s="112"/>
      <c r="U191" s="95" t="str">
        <f t="shared" si="6"/>
        <v/>
      </c>
      <c r="V191" s="112"/>
      <c r="W191" s="112">
        <v>33</v>
      </c>
      <c r="X191" s="107">
        <v>67</v>
      </c>
      <c r="Y191" s="107">
        <f t="shared" si="7"/>
        <v>100</v>
      </c>
      <c r="Z191" s="107">
        <f t="shared" si="8"/>
        <v>0</v>
      </c>
    </row>
    <row r="192" spans="1:26" x14ac:dyDescent="0.25">
      <c r="A192" s="55" t="str">
        <f>_xlfn.XLOOKUP($G192,'.Auxiliar'!$G:$G,'.Auxiliar'!A:A,"-",0)</f>
        <v>CONCESSÃO VIA SUL</v>
      </c>
      <c r="B192" s="55" t="str">
        <f>_xlfn.XLOOKUP($G192,'.Auxiliar'!$G:$G,'.Auxiliar'!B:B,"-",0)</f>
        <v>OAE</v>
      </c>
      <c r="C192" s="55" t="str">
        <f>_xlfn.XLOOKUP($G192,'.Auxiliar'!$G:$G,'.Auxiliar'!C:C,"-",0)</f>
        <v>Interconexão Tipo Diamante - Soledade</v>
      </c>
      <c r="D192" s="55">
        <f>_xlfn.XLOOKUP($G192,'.Auxiliar'!$G:$G,'.Auxiliar'!D:D,"-",0)</f>
        <v>243.6</v>
      </c>
      <c r="E192" s="55">
        <f>_xlfn.XLOOKUP($G192,'.Auxiliar'!$G:$G,'.Auxiliar'!E:E,"-",0)</f>
        <v>243.6</v>
      </c>
      <c r="F192" s="55">
        <f>_xlfn.XLOOKUP($G192,'.Auxiliar'!$G:$G,'.Auxiliar'!F:F,"-",0)</f>
        <v>1</v>
      </c>
      <c r="G192" s="59" t="s">
        <v>901</v>
      </c>
      <c r="H192" s="108" t="s">
        <v>0</v>
      </c>
      <c r="I192" s="109" t="s">
        <v>0</v>
      </c>
      <c r="J192" s="109" t="s">
        <v>363</v>
      </c>
      <c r="K192" s="109" t="s">
        <v>0</v>
      </c>
      <c r="L192" s="109" t="s">
        <v>363</v>
      </c>
      <c r="M192" s="109" t="s">
        <v>0</v>
      </c>
      <c r="N192" s="110" t="s">
        <v>0</v>
      </c>
      <c r="O192" s="111"/>
      <c r="P192" s="112"/>
      <c r="Q192" s="112"/>
      <c r="R192" s="112"/>
      <c r="S192" s="112">
        <v>75</v>
      </c>
      <c r="T192" s="112">
        <v>0</v>
      </c>
      <c r="U192" s="95">
        <f t="shared" si="6"/>
        <v>100</v>
      </c>
      <c r="V192" s="112">
        <v>25</v>
      </c>
      <c r="W192" s="112"/>
      <c r="X192" s="107"/>
      <c r="Y192" s="107">
        <f t="shared" si="7"/>
        <v>100</v>
      </c>
      <c r="Z192" s="107">
        <f t="shared" si="8"/>
        <v>0</v>
      </c>
    </row>
    <row r="193" spans="1:26" x14ac:dyDescent="0.25">
      <c r="A193" s="55" t="str">
        <f>_xlfn.XLOOKUP($G193,'.Auxiliar'!$G:$G,'.Auxiliar'!A:A,"-",0)</f>
        <v>CONCESSÃO VIA SUL</v>
      </c>
      <c r="B193" s="55" t="str">
        <f>_xlfn.XLOOKUP($G193,'.Auxiliar'!$G:$G,'.Auxiliar'!B:B,"-",0)</f>
        <v>OAE</v>
      </c>
      <c r="C193" s="55" t="str">
        <f>_xlfn.XLOOKUP($G193,'.Auxiliar'!$G:$G,'.Auxiliar'!C:C,"-",0)</f>
        <v>Interconexão Tipo Diamante - Sto. Antônio Patrulha</v>
      </c>
      <c r="D193" s="55">
        <f>_xlfn.XLOOKUP($G193,'.Auxiliar'!$G:$G,'.Auxiliar'!D:D,"-",0)</f>
        <v>32.17</v>
      </c>
      <c r="E193" s="55">
        <f>_xlfn.XLOOKUP($G193,'.Auxiliar'!$G:$G,'.Auxiliar'!E:E,"-",0)</f>
        <v>32.17</v>
      </c>
      <c r="F193" s="55">
        <f>_xlfn.XLOOKUP($G193,'.Auxiliar'!$G:$G,'.Auxiliar'!F:F,"-",0)</f>
        <v>1</v>
      </c>
      <c r="G193" s="59" t="s">
        <v>436</v>
      </c>
      <c r="H193" s="108" t="s">
        <v>363</v>
      </c>
      <c r="I193" s="109" t="s">
        <v>0</v>
      </c>
      <c r="J193" s="109" t="s">
        <v>0</v>
      </c>
      <c r="K193" s="109" t="s">
        <v>363</v>
      </c>
      <c r="L193" s="109" t="s">
        <v>0</v>
      </c>
      <c r="M193" s="109" t="s">
        <v>0</v>
      </c>
      <c r="N193" s="110" t="s">
        <v>0</v>
      </c>
      <c r="O193" s="111">
        <v>100</v>
      </c>
      <c r="P193" s="112">
        <v>100</v>
      </c>
      <c r="Q193" s="112"/>
      <c r="R193" s="112"/>
      <c r="S193" s="112"/>
      <c r="T193" s="112"/>
      <c r="U193" s="95">
        <f t="shared" si="6"/>
        <v>0</v>
      </c>
      <c r="V193" s="112"/>
      <c r="W193" s="112"/>
      <c r="X193" s="107"/>
      <c r="Y193" s="107">
        <f t="shared" si="7"/>
        <v>100</v>
      </c>
      <c r="Z193" s="107">
        <f t="shared" si="8"/>
        <v>100</v>
      </c>
    </row>
    <row r="194" spans="1:26" x14ac:dyDescent="0.25">
      <c r="A194" s="55" t="str">
        <f>_xlfn.XLOOKUP($G194,'.Auxiliar'!$G:$G,'.Auxiliar'!A:A,"-",0)</f>
        <v>CONCESSÃO VIA SUL</v>
      </c>
      <c r="B194" s="55" t="str">
        <f>_xlfn.XLOOKUP($G194,'.Auxiliar'!$G:$G,'.Auxiliar'!B:B,"-",0)</f>
        <v>OAE</v>
      </c>
      <c r="C194" s="55" t="str">
        <f>_xlfn.XLOOKUP($G194,'.Auxiliar'!$G:$G,'.Auxiliar'!C:C,"-",0)</f>
        <v>Interconexão Tipo Diamante - Tio Hugo</v>
      </c>
      <c r="D194" s="55">
        <f>_xlfn.XLOOKUP($G194,'.Auxiliar'!$G:$G,'.Auxiliar'!D:D,"-",0)</f>
        <v>218.7</v>
      </c>
      <c r="E194" s="55">
        <f>_xlfn.XLOOKUP($G194,'.Auxiliar'!$G:$G,'.Auxiliar'!E:E,"-",0)</f>
        <v>218.7</v>
      </c>
      <c r="F194" s="55">
        <f>_xlfn.XLOOKUP($G194,'.Auxiliar'!$G:$G,'.Auxiliar'!F:F,"-",0)</f>
        <v>1</v>
      </c>
      <c r="G194" s="59" t="s">
        <v>899</v>
      </c>
      <c r="H194" s="108" t="s">
        <v>0</v>
      </c>
      <c r="I194" s="109" t="s">
        <v>0</v>
      </c>
      <c r="J194" s="109" t="s">
        <v>363</v>
      </c>
      <c r="K194" s="109" t="s">
        <v>0</v>
      </c>
      <c r="L194" s="109" t="s">
        <v>363</v>
      </c>
      <c r="M194" s="109" t="s">
        <v>0</v>
      </c>
      <c r="N194" s="110"/>
      <c r="O194" s="111"/>
      <c r="P194" s="112"/>
      <c r="Q194" s="112"/>
      <c r="R194" s="112"/>
      <c r="S194" s="95"/>
      <c r="T194" s="112"/>
      <c r="U194" s="95" t="str">
        <f t="shared" si="6"/>
        <v/>
      </c>
      <c r="V194" s="112">
        <v>100</v>
      </c>
      <c r="W194" s="112"/>
      <c r="X194" s="107"/>
      <c r="Y194" s="107">
        <f t="shared" si="7"/>
        <v>100</v>
      </c>
      <c r="Z194" s="107">
        <f t="shared" si="8"/>
        <v>0</v>
      </c>
    </row>
    <row r="195" spans="1:26" x14ac:dyDescent="0.25">
      <c r="A195" s="55" t="str">
        <f>_xlfn.XLOOKUP($G195,'.Auxiliar'!$G:$G,'.Auxiliar'!A:A,"-",0)</f>
        <v>CONCESSÃO VIA SUL</v>
      </c>
      <c r="B195" s="55" t="str">
        <f>_xlfn.XLOOKUP($G195,'.Auxiliar'!$G:$G,'.Auxiliar'!B:B,"-",0)</f>
        <v>OAE</v>
      </c>
      <c r="C195" s="55" t="str">
        <f>_xlfn.XLOOKUP($G195,'.Auxiliar'!$G:$G,'.Auxiliar'!C:C,"-",0)</f>
        <v>Interconexão Tipo Diamante - Triunfo</v>
      </c>
      <c r="D195" s="55">
        <f>_xlfn.XLOOKUP($G195,'.Auxiliar'!$G:$G,'.Auxiliar'!D:D,"-",0)</f>
        <v>385.9</v>
      </c>
      <c r="E195" s="55">
        <f>_xlfn.XLOOKUP($G195,'.Auxiliar'!$G:$G,'.Auxiliar'!E:E,"-",0)</f>
        <v>385.9</v>
      </c>
      <c r="F195" s="55">
        <f>_xlfn.XLOOKUP($G195,'.Auxiliar'!$G:$G,'.Auxiliar'!F:F,"-",0)</f>
        <v>1</v>
      </c>
      <c r="G195" s="59" t="s">
        <v>1317</v>
      </c>
      <c r="H195" s="108" t="s">
        <v>0</v>
      </c>
      <c r="I195" s="109" t="s">
        <v>0</v>
      </c>
      <c r="J195" s="109" t="s">
        <v>0</v>
      </c>
      <c r="K195" s="109" t="s">
        <v>0</v>
      </c>
      <c r="L195" s="109" t="s">
        <v>0</v>
      </c>
      <c r="M195" s="109" t="s">
        <v>0</v>
      </c>
      <c r="N195" s="110" t="s">
        <v>363</v>
      </c>
      <c r="O195" s="111"/>
      <c r="P195" s="112"/>
      <c r="Q195" s="112"/>
      <c r="R195" s="112"/>
      <c r="S195" s="112"/>
      <c r="T195" s="112"/>
      <c r="U195" s="95" t="str">
        <f t="shared" ref="U195:U258" si="9">IF(SUM(V195:X195)=100,"",100-(P195+R195))</f>
        <v/>
      </c>
      <c r="V195" s="112"/>
      <c r="W195" s="112"/>
      <c r="X195" s="107">
        <v>100</v>
      </c>
      <c r="Y195" s="107">
        <f t="shared" ref="Y195:Y258" si="10">SUM(P195,R195,S195,V195,W195,X195)</f>
        <v>100</v>
      </c>
      <c r="Z195" s="107">
        <f t="shared" ref="Z195:Z258" si="11">SUM(P195,R195,T195)</f>
        <v>0</v>
      </c>
    </row>
    <row r="196" spans="1:26" x14ac:dyDescent="0.25">
      <c r="A196" s="55" t="str">
        <f>_xlfn.XLOOKUP($G196,'.Auxiliar'!$G:$G,'.Auxiliar'!A:A,"-",0)</f>
        <v>CONCESSÃO VIA SUL</v>
      </c>
      <c r="B196" s="55" t="str">
        <f>_xlfn.XLOOKUP($G196,'.Auxiliar'!$G:$G,'.Auxiliar'!B:B,"-",0)</f>
        <v>OAE</v>
      </c>
      <c r="C196" s="55" t="str">
        <f>_xlfn.XLOOKUP($G196,'.Auxiliar'!$G:$G,'.Auxiliar'!C:C,"-",0)</f>
        <v>Interconexão Tipo Trevo Completo - Lajeado - Reformulação</v>
      </c>
      <c r="D196" s="55">
        <f>_xlfn.XLOOKUP($G196,'.Auxiliar'!$G:$G,'.Auxiliar'!D:D,"-",0)</f>
        <v>344.4</v>
      </c>
      <c r="E196" s="55">
        <f>_xlfn.XLOOKUP($G196,'.Auxiliar'!$G:$G,'.Auxiliar'!E:E,"-",0)</f>
        <v>344.4</v>
      </c>
      <c r="F196" s="55">
        <f>_xlfn.XLOOKUP($G196,'.Auxiliar'!$G:$G,'.Auxiliar'!F:F,"-",0)</f>
        <v>1</v>
      </c>
      <c r="G196" s="59" t="s">
        <v>449</v>
      </c>
      <c r="H196" s="108" t="s">
        <v>363</v>
      </c>
      <c r="I196" s="115" t="s">
        <v>1881</v>
      </c>
      <c r="J196" s="109" t="s">
        <v>0</v>
      </c>
      <c r="K196" s="109" t="s">
        <v>363</v>
      </c>
      <c r="L196" s="109" t="s">
        <v>0</v>
      </c>
      <c r="M196" s="109" t="s">
        <v>0</v>
      </c>
      <c r="N196" s="110" t="s">
        <v>0</v>
      </c>
      <c r="O196" s="111">
        <v>74</v>
      </c>
      <c r="P196" s="112">
        <v>93.76</v>
      </c>
      <c r="Q196" s="112">
        <v>26</v>
      </c>
      <c r="R196" s="112">
        <v>6.24</v>
      </c>
      <c r="S196" s="112"/>
      <c r="T196" s="112"/>
      <c r="U196" s="95">
        <f t="shared" si="9"/>
        <v>0</v>
      </c>
      <c r="V196" s="112"/>
      <c r="W196" s="112"/>
      <c r="X196" s="107"/>
      <c r="Y196" s="107">
        <f t="shared" si="10"/>
        <v>100</v>
      </c>
      <c r="Z196" s="107">
        <f t="shared" si="11"/>
        <v>100</v>
      </c>
    </row>
    <row r="197" spans="1:26" x14ac:dyDescent="0.25">
      <c r="A197" s="55" t="str">
        <f>_xlfn.XLOOKUP($G197,'.Auxiliar'!$G:$G,'.Auxiliar'!A:A,"-",0)</f>
        <v>CONCESSÃO VIA SUL</v>
      </c>
      <c r="B197" s="55" t="str">
        <f>_xlfn.XLOOKUP($G197,'.Auxiliar'!$G:$G,'.Auxiliar'!B:B,"-",0)</f>
        <v>OAE</v>
      </c>
      <c r="C197" s="55" t="str">
        <f>_xlfn.XLOOKUP($G197,'.Auxiliar'!$G:$G,'.Auxiliar'!C:C,"-",0)</f>
        <v>Interconexão Tipo Trevo Completo - Lajeado - Reformulação</v>
      </c>
      <c r="D197" s="55">
        <f>_xlfn.XLOOKUP($G197,'.Auxiliar'!$G:$G,'.Auxiliar'!D:D,"-",0)</f>
        <v>345.35</v>
      </c>
      <c r="E197" s="55">
        <f>_xlfn.XLOOKUP($G197,'.Auxiliar'!$G:$G,'.Auxiliar'!E:E,"-",0)</f>
        <v>345.35</v>
      </c>
      <c r="F197" s="55">
        <f>_xlfn.XLOOKUP($G197,'.Auxiliar'!$G:$G,'.Auxiliar'!F:F,"-",0)</f>
        <v>1</v>
      </c>
      <c r="G197" s="59" t="s">
        <v>450</v>
      </c>
      <c r="H197" s="108" t="s">
        <v>363</v>
      </c>
      <c r="I197" s="115" t="s">
        <v>1881</v>
      </c>
      <c r="J197" s="109" t="s">
        <v>0</v>
      </c>
      <c r="K197" s="109" t="s">
        <v>363</v>
      </c>
      <c r="L197" s="109" t="s">
        <v>0</v>
      </c>
      <c r="M197" s="109" t="s">
        <v>0</v>
      </c>
      <c r="N197" s="110" t="s">
        <v>0</v>
      </c>
      <c r="O197" s="111">
        <v>74.39</v>
      </c>
      <c r="P197" s="112">
        <v>74.39</v>
      </c>
      <c r="Q197" s="112">
        <v>18.579999999999998</v>
      </c>
      <c r="R197" s="112">
        <v>18.579999999999998</v>
      </c>
      <c r="S197" s="112">
        <v>7.03</v>
      </c>
      <c r="T197" s="112">
        <v>7.03</v>
      </c>
      <c r="U197" s="95">
        <f t="shared" si="9"/>
        <v>7.0300000000000011</v>
      </c>
      <c r="V197" s="112"/>
      <c r="W197" s="112"/>
      <c r="X197" s="107"/>
      <c r="Y197" s="107">
        <f t="shared" si="10"/>
        <v>100</v>
      </c>
      <c r="Z197" s="107">
        <f t="shared" si="11"/>
        <v>100</v>
      </c>
    </row>
    <row r="198" spans="1:26" x14ac:dyDescent="0.25">
      <c r="A198" s="55" t="str">
        <f>_xlfn.XLOOKUP($G198,'.Auxiliar'!$G:$G,'.Auxiliar'!A:A,"-",0)</f>
        <v>CONCESSÃO VIA SUL</v>
      </c>
      <c r="B198" s="55" t="str">
        <f>_xlfn.XLOOKUP($G198,'.Auxiliar'!$G:$G,'.Auxiliar'!B:B,"-",0)</f>
        <v>OAE</v>
      </c>
      <c r="C198" s="55" t="str">
        <f>_xlfn.XLOOKUP($G198,'.Auxiliar'!$G:$G,'.Auxiliar'!C:C,"-",0)</f>
        <v>Interconexão Tipo Trevo Completo - Tio Hugo - Reformulação</v>
      </c>
      <c r="D198" s="55">
        <f>_xlfn.XLOOKUP($G198,'.Auxiliar'!$G:$G,'.Auxiliar'!D:D,"-",0)</f>
        <v>213.1</v>
      </c>
      <c r="E198" s="55">
        <f>_xlfn.XLOOKUP($G198,'.Auxiliar'!$G:$G,'.Auxiliar'!E:E,"-",0)</f>
        <v>213.1</v>
      </c>
      <c r="F198" s="55">
        <f>_xlfn.XLOOKUP($G198,'.Auxiliar'!$G:$G,'.Auxiliar'!F:F,"-",0)</f>
        <v>1</v>
      </c>
      <c r="G198" s="59" t="s">
        <v>898</v>
      </c>
      <c r="H198" s="108" t="s">
        <v>0</v>
      </c>
      <c r="I198" s="109" t="s">
        <v>0</v>
      </c>
      <c r="J198" s="109" t="s">
        <v>363</v>
      </c>
      <c r="K198" s="109" t="s">
        <v>0</v>
      </c>
      <c r="L198" s="109" t="s">
        <v>363</v>
      </c>
      <c r="M198" s="109" t="s">
        <v>0</v>
      </c>
      <c r="N198" s="110" t="s">
        <v>0</v>
      </c>
      <c r="O198" s="111"/>
      <c r="P198" s="112"/>
      <c r="Q198" s="112"/>
      <c r="R198" s="112"/>
      <c r="S198" s="112">
        <v>24.54</v>
      </c>
      <c r="T198" s="112">
        <v>0</v>
      </c>
      <c r="U198" s="95">
        <f t="shared" si="9"/>
        <v>100</v>
      </c>
      <c r="V198" s="112">
        <f>100-S198</f>
        <v>75.460000000000008</v>
      </c>
      <c r="W198" s="112"/>
      <c r="X198" s="107"/>
      <c r="Y198" s="107">
        <f t="shared" si="10"/>
        <v>100</v>
      </c>
      <c r="Z198" s="107">
        <f t="shared" si="11"/>
        <v>0</v>
      </c>
    </row>
    <row r="199" spans="1:26" x14ac:dyDescent="0.25">
      <c r="A199" s="55" t="str">
        <f>_xlfn.XLOOKUP($G199,'.Auxiliar'!$G:$G,'.Auxiliar'!A:A,"-",0)</f>
        <v>CONCESSÃO VIA SUL</v>
      </c>
      <c r="B199" s="55" t="str">
        <f>_xlfn.XLOOKUP($G199,'.Auxiliar'!$G:$G,'.Auxiliar'!B:B,"-",0)</f>
        <v>OAE</v>
      </c>
      <c r="C199" s="55" t="str">
        <f>_xlfn.XLOOKUP($G199,'.Auxiliar'!$G:$G,'.Auxiliar'!C:C,"-",0)</f>
        <v xml:space="preserve">Interconexão Tipo Trombeta - Estrela </v>
      </c>
      <c r="D199" s="55">
        <f>_xlfn.XLOOKUP($G199,'.Auxiliar'!$G:$G,'.Auxiliar'!D:D,"-",0)</f>
        <v>352.58</v>
      </c>
      <c r="E199" s="55">
        <f>_xlfn.XLOOKUP($G199,'.Auxiliar'!$G:$G,'.Auxiliar'!E:E,"-",0)</f>
        <v>352.58</v>
      </c>
      <c r="F199" s="55">
        <f>_xlfn.XLOOKUP($G199,'.Auxiliar'!$G:$G,'.Auxiliar'!F:F,"-",0)</f>
        <v>1</v>
      </c>
      <c r="G199" s="59" t="s">
        <v>454</v>
      </c>
      <c r="H199" s="108" t="s">
        <v>363</v>
      </c>
      <c r="I199" s="109" t="s">
        <v>363</v>
      </c>
      <c r="J199" s="109" t="s">
        <v>363</v>
      </c>
      <c r="K199" s="109" t="s">
        <v>363</v>
      </c>
      <c r="L199" s="109" t="s">
        <v>0</v>
      </c>
      <c r="M199" s="109" t="s">
        <v>0</v>
      </c>
      <c r="N199" s="110" t="s">
        <v>0</v>
      </c>
      <c r="O199" s="111">
        <v>100</v>
      </c>
      <c r="P199" s="112">
        <v>0</v>
      </c>
      <c r="Q199" s="112">
        <v>50.06</v>
      </c>
      <c r="R199" s="112">
        <v>50.06</v>
      </c>
      <c r="S199" s="112">
        <v>49.94</v>
      </c>
      <c r="T199" s="112">
        <v>26.7</v>
      </c>
      <c r="U199" s="95">
        <f t="shared" si="9"/>
        <v>49.94</v>
      </c>
      <c r="V199" s="112"/>
      <c r="W199" s="112"/>
      <c r="X199" s="107"/>
      <c r="Y199" s="107">
        <f t="shared" si="10"/>
        <v>100</v>
      </c>
      <c r="Z199" s="107">
        <f t="shared" si="11"/>
        <v>76.760000000000005</v>
      </c>
    </row>
    <row r="200" spans="1:26" x14ac:dyDescent="0.25">
      <c r="A200" s="55" t="str">
        <f>_xlfn.XLOOKUP($G200,'.Auxiliar'!$G:$G,'.Auxiliar'!A:A,"-",0)</f>
        <v>CONCESSÃO VIA SUL</v>
      </c>
      <c r="B200" s="55" t="str">
        <f>_xlfn.XLOOKUP($G200,'.Auxiliar'!$G:$G,'.Auxiliar'!B:B,"-",0)</f>
        <v>OAE</v>
      </c>
      <c r="C200" s="55" t="str">
        <f>_xlfn.XLOOKUP($G200,'.Auxiliar'!$G:$G,'.Auxiliar'!C:C,"-",0)</f>
        <v>Interconexão Tipo Trombeta - Estrela - Reformulação</v>
      </c>
      <c r="D200" s="55">
        <f>_xlfn.XLOOKUP($G200,'.Auxiliar'!$G:$G,'.Auxiliar'!D:D,"-",0)</f>
        <v>348.8</v>
      </c>
      <c r="E200" s="55">
        <f>_xlfn.XLOOKUP($G200,'.Auxiliar'!$G:$G,'.Auxiliar'!E:E,"-",0)</f>
        <v>348.8</v>
      </c>
      <c r="F200" s="55">
        <f>_xlfn.XLOOKUP($G200,'.Auxiliar'!$G:$G,'.Auxiliar'!F:F,"-",0)</f>
        <v>1</v>
      </c>
      <c r="G200" s="59" t="s">
        <v>452</v>
      </c>
      <c r="H200" s="108" t="s">
        <v>363</v>
      </c>
      <c r="I200" s="109" t="s">
        <v>363</v>
      </c>
      <c r="J200" s="109" t="s">
        <v>0</v>
      </c>
      <c r="K200" s="109" t="s">
        <v>363</v>
      </c>
      <c r="L200" s="109" t="s">
        <v>0</v>
      </c>
      <c r="M200" s="109" t="s">
        <v>0</v>
      </c>
      <c r="N200" s="110" t="s">
        <v>0</v>
      </c>
      <c r="O200" s="111">
        <v>100</v>
      </c>
      <c r="P200" s="112">
        <v>0</v>
      </c>
      <c r="Q200" s="112">
        <v>29.63</v>
      </c>
      <c r="R200" s="112">
        <v>29.63</v>
      </c>
      <c r="S200" s="112">
        <v>70.37</v>
      </c>
      <c r="T200" s="112">
        <v>0</v>
      </c>
      <c r="U200" s="95">
        <f t="shared" si="9"/>
        <v>70.37</v>
      </c>
      <c r="V200" s="112"/>
      <c r="W200" s="112"/>
      <c r="X200" s="107"/>
      <c r="Y200" s="107">
        <f t="shared" si="10"/>
        <v>100</v>
      </c>
      <c r="Z200" s="107">
        <f t="shared" si="11"/>
        <v>29.63</v>
      </c>
    </row>
    <row r="201" spans="1:26" x14ac:dyDescent="0.25">
      <c r="A201" s="55" t="str">
        <f>_xlfn.XLOOKUP($G201,'.Auxiliar'!$G:$G,'.Auxiliar'!A:A,"-",0)</f>
        <v>CONCESSÃO VIA SUL</v>
      </c>
      <c r="B201" s="55" t="str">
        <f>_xlfn.XLOOKUP($G201,'.Auxiliar'!$G:$G,'.Auxiliar'!B:B,"-",0)</f>
        <v>OAE</v>
      </c>
      <c r="C201" s="55" t="str">
        <f>_xlfn.XLOOKUP($G201,'.Auxiliar'!$G:$G,'.Auxiliar'!C:C,"-",0)</f>
        <v>Interconexão Tipo Trombeta - Gravataí</v>
      </c>
      <c r="D201" s="55">
        <f>_xlfn.XLOOKUP($G201,'.Auxiliar'!$G:$G,'.Auxiliar'!D:D,"-",0)</f>
        <v>80.05</v>
      </c>
      <c r="E201" s="55">
        <f>_xlfn.XLOOKUP($G201,'.Auxiliar'!$G:$G,'.Auxiliar'!E:E,"-",0)</f>
        <v>80.05</v>
      </c>
      <c r="F201" s="55">
        <f>_xlfn.XLOOKUP($G201,'.Auxiliar'!$G:$G,'.Auxiliar'!F:F,"-",0)</f>
        <v>1</v>
      </c>
      <c r="G201" s="59" t="s">
        <v>438</v>
      </c>
      <c r="H201" s="108" t="s">
        <v>363</v>
      </c>
      <c r="I201" s="109" t="s">
        <v>0</v>
      </c>
      <c r="J201" s="109" t="s">
        <v>0</v>
      </c>
      <c r="K201" s="109" t="s">
        <v>363</v>
      </c>
      <c r="L201" s="109" t="s">
        <v>0</v>
      </c>
      <c r="M201" s="109" t="s">
        <v>0</v>
      </c>
      <c r="N201" s="110" t="s">
        <v>0</v>
      </c>
      <c r="O201" s="111">
        <v>100</v>
      </c>
      <c r="P201" s="112">
        <v>100</v>
      </c>
      <c r="Q201" s="112"/>
      <c r="R201" s="112"/>
      <c r="S201" s="112"/>
      <c r="T201" s="112"/>
      <c r="U201" s="95">
        <f t="shared" si="9"/>
        <v>0</v>
      </c>
      <c r="V201" s="112"/>
      <c r="W201" s="112"/>
      <c r="X201" s="107"/>
      <c r="Y201" s="107">
        <f t="shared" si="10"/>
        <v>100</v>
      </c>
      <c r="Z201" s="107">
        <f t="shared" si="11"/>
        <v>100</v>
      </c>
    </row>
    <row r="202" spans="1:26" x14ac:dyDescent="0.25">
      <c r="A202" s="55" t="str">
        <f>_xlfn.XLOOKUP($G202,'.Auxiliar'!$G:$G,'.Auxiliar'!A:A,"-",0)</f>
        <v>CONCESSÃO VIA SUL</v>
      </c>
      <c r="B202" s="55" t="str">
        <f>_xlfn.XLOOKUP($G202,'.Auxiliar'!$G:$G,'.Auxiliar'!B:B,"-",0)</f>
        <v>OAE</v>
      </c>
      <c r="C202" s="55" t="str">
        <f>_xlfn.XLOOKUP($G202,'.Auxiliar'!$G:$G,'.Auxiliar'!C:C,"-",0)</f>
        <v>Interconexão Tipo Trombeta - Mormaço</v>
      </c>
      <c r="D202" s="55">
        <f>_xlfn.XLOOKUP($G202,'.Auxiliar'!$G:$G,'.Auxiliar'!D:D,"-",0)</f>
        <v>225.32</v>
      </c>
      <c r="E202" s="55">
        <f>_xlfn.XLOOKUP($G202,'.Auxiliar'!$G:$G,'.Auxiliar'!E:E,"-",0)</f>
        <v>225.32</v>
      </c>
      <c r="F202" s="55">
        <f>_xlfn.XLOOKUP($G202,'.Auxiliar'!$G:$G,'.Auxiliar'!F:F,"-",0)</f>
        <v>1</v>
      </c>
      <c r="G202" s="59" t="s">
        <v>900</v>
      </c>
      <c r="H202" s="108" t="s">
        <v>0</v>
      </c>
      <c r="I202" s="109" t="s">
        <v>0</v>
      </c>
      <c r="J202" s="109" t="s">
        <v>363</v>
      </c>
      <c r="K202" s="109" t="s">
        <v>0</v>
      </c>
      <c r="L202" s="109" t="s">
        <v>363</v>
      </c>
      <c r="M202" s="109" t="s">
        <v>0</v>
      </c>
      <c r="N202" s="110" t="s">
        <v>0</v>
      </c>
      <c r="O202" s="111"/>
      <c r="P202" s="112"/>
      <c r="Q202" s="112"/>
      <c r="R202" s="112"/>
      <c r="S202" s="95"/>
      <c r="T202" s="112"/>
      <c r="U202" s="95" t="str">
        <f t="shared" si="9"/>
        <v/>
      </c>
      <c r="V202" s="112">
        <v>100</v>
      </c>
      <c r="W202" s="112"/>
      <c r="X202" s="107"/>
      <c r="Y202" s="107">
        <f t="shared" si="10"/>
        <v>100</v>
      </c>
      <c r="Z202" s="107">
        <f t="shared" si="11"/>
        <v>0</v>
      </c>
    </row>
    <row r="203" spans="1:26" x14ac:dyDescent="0.25">
      <c r="A203" s="55" t="str">
        <f>_xlfn.XLOOKUP($G203,'.Auxiliar'!$G:$G,'.Auxiliar'!A:A,"-",0)</f>
        <v>CONCESSÃO VIA SUL</v>
      </c>
      <c r="B203" s="55" t="str">
        <f>_xlfn.XLOOKUP($G203,'.Auxiliar'!$G:$G,'.Auxiliar'!B:B,"-",0)</f>
        <v>OAE</v>
      </c>
      <c r="C203" s="55" t="str">
        <f>_xlfn.XLOOKUP($G203,'.Auxiliar'!$G:$G,'.Auxiliar'!C:C,"-",0)</f>
        <v>Interconexão Tipo Trombeta - Osório</v>
      </c>
      <c r="D203" s="55">
        <f>_xlfn.XLOOKUP($G203,'.Auxiliar'!$G:$G,'.Auxiliar'!D:D,"-",0)</f>
        <v>4.83</v>
      </c>
      <c r="E203" s="55">
        <f>_xlfn.XLOOKUP($G203,'.Auxiliar'!$G:$G,'.Auxiliar'!E:E,"-",0)</f>
        <v>4.83</v>
      </c>
      <c r="F203" s="55">
        <f>_xlfn.XLOOKUP($G203,'.Auxiliar'!$G:$G,'.Auxiliar'!F:F,"-",0)</f>
        <v>1</v>
      </c>
      <c r="G203" s="59" t="s">
        <v>435</v>
      </c>
      <c r="H203" s="108" t="s">
        <v>363</v>
      </c>
      <c r="I203" s="109" t="s">
        <v>0</v>
      </c>
      <c r="J203" s="109" t="s">
        <v>0</v>
      </c>
      <c r="K203" s="109" t="s">
        <v>363</v>
      </c>
      <c r="L203" s="109" t="s">
        <v>0</v>
      </c>
      <c r="M203" s="109" t="s">
        <v>0</v>
      </c>
      <c r="N203" s="110" t="s">
        <v>0</v>
      </c>
      <c r="O203" s="111">
        <v>100</v>
      </c>
      <c r="P203" s="112">
        <v>100</v>
      </c>
      <c r="Q203" s="112"/>
      <c r="R203" s="112"/>
      <c r="S203" s="112"/>
      <c r="T203" s="112"/>
      <c r="U203" s="95">
        <f t="shared" si="9"/>
        <v>0</v>
      </c>
      <c r="V203" s="112"/>
      <c r="W203" s="112"/>
      <c r="X203" s="107"/>
      <c r="Y203" s="107">
        <f t="shared" si="10"/>
        <v>100</v>
      </c>
      <c r="Z203" s="107">
        <f t="shared" si="11"/>
        <v>100</v>
      </c>
    </row>
    <row r="204" spans="1:26" x14ac:dyDescent="0.25">
      <c r="A204" s="55" t="str">
        <f>_xlfn.XLOOKUP($G204,'.Auxiliar'!$G:$G,'.Auxiliar'!A:A,"-",0)</f>
        <v>CONCESSÃO VIA SUL</v>
      </c>
      <c r="B204" s="55" t="str">
        <f>_xlfn.XLOOKUP($G204,'.Auxiliar'!$G:$G,'.Auxiliar'!B:B,"-",0)</f>
        <v>OAE</v>
      </c>
      <c r="C204" s="55" t="str">
        <f>_xlfn.XLOOKUP($G204,'.Auxiliar'!$G:$G,'.Auxiliar'!C:C,"-",0)</f>
        <v>Interconexão Tipo Trombeta- Estrela</v>
      </c>
      <c r="D204" s="55">
        <f>_xlfn.XLOOKUP($G204,'.Auxiliar'!$G:$G,'.Auxiliar'!D:D,"-",0)</f>
        <v>354.8</v>
      </c>
      <c r="E204" s="55">
        <f>_xlfn.XLOOKUP($G204,'.Auxiliar'!$G:$G,'.Auxiliar'!E:E,"-",0)</f>
        <v>354.8</v>
      </c>
      <c r="F204" s="55">
        <f>_xlfn.XLOOKUP($G204,'.Auxiliar'!$G:$G,'.Auxiliar'!F:F,"-",0)</f>
        <v>1</v>
      </c>
      <c r="G204" s="59" t="s">
        <v>1314</v>
      </c>
      <c r="H204" s="108" t="s">
        <v>0</v>
      </c>
      <c r="I204" s="109" t="s">
        <v>0</v>
      </c>
      <c r="J204" s="109" t="s">
        <v>0</v>
      </c>
      <c r="K204" s="109" t="s">
        <v>0</v>
      </c>
      <c r="L204" s="109" t="s">
        <v>0</v>
      </c>
      <c r="M204" s="109" t="s">
        <v>0</v>
      </c>
      <c r="N204" s="110" t="s">
        <v>363</v>
      </c>
      <c r="O204" s="111"/>
      <c r="P204" s="112"/>
      <c r="Q204" s="112"/>
      <c r="R204" s="112"/>
      <c r="S204" s="112"/>
      <c r="T204" s="112"/>
      <c r="U204" s="95" t="str">
        <f t="shared" si="9"/>
        <v/>
      </c>
      <c r="V204" s="112"/>
      <c r="W204" s="112"/>
      <c r="X204" s="107">
        <v>100</v>
      </c>
      <c r="Y204" s="107">
        <f t="shared" si="10"/>
        <v>100</v>
      </c>
      <c r="Z204" s="107">
        <f t="shared" si="11"/>
        <v>0</v>
      </c>
    </row>
    <row r="205" spans="1:26" x14ac:dyDescent="0.25">
      <c r="A205" s="55" t="str">
        <f>_xlfn.XLOOKUP($G205,'.Auxiliar'!$G:$G,'.Auxiliar'!A:A,"-",0)</f>
        <v>CONCESSÃO VIA SUL</v>
      </c>
      <c r="B205" s="55" t="str">
        <f>_xlfn.XLOOKUP($G205,'.Auxiliar'!$G:$G,'.Auxiliar'!B:B,"-",0)</f>
        <v>OAE</v>
      </c>
      <c r="C205" s="55" t="str">
        <f>_xlfn.XLOOKUP($G205,'.Auxiliar'!$G:$G,'.Auxiliar'!C:C,"-",0)</f>
        <v>Interseção Diamante - km 340+200 - BR 386-RS - Duplicação</v>
      </c>
      <c r="D205" s="55">
        <f>_xlfn.XLOOKUP($G205,'.Auxiliar'!$G:$G,'.Auxiliar'!D:D,"-",0)</f>
        <v>340.2</v>
      </c>
      <c r="E205" s="55">
        <f>_xlfn.XLOOKUP($G205,'.Auxiliar'!$G:$G,'.Auxiliar'!E:E,"-",0)</f>
        <v>340.2</v>
      </c>
      <c r="F205" s="55">
        <f>_xlfn.XLOOKUP($G205,'.Auxiliar'!$G:$G,'.Auxiliar'!F:F,"-",0)</f>
        <v>1</v>
      </c>
      <c r="G205" s="59" t="s">
        <v>446</v>
      </c>
      <c r="H205" s="108" t="s">
        <v>363</v>
      </c>
      <c r="I205" s="115" t="s">
        <v>1881</v>
      </c>
      <c r="J205" s="109" t="s">
        <v>0</v>
      </c>
      <c r="K205" s="109" t="s">
        <v>363</v>
      </c>
      <c r="L205" s="109" t="s">
        <v>0</v>
      </c>
      <c r="M205" s="109" t="s">
        <v>0</v>
      </c>
      <c r="N205" s="110" t="s">
        <v>0</v>
      </c>
      <c r="O205" s="111">
        <v>12.2</v>
      </c>
      <c r="P205" s="112">
        <v>12.2</v>
      </c>
      <c r="Q205" s="112">
        <v>12.52</v>
      </c>
      <c r="R205" s="112">
        <v>12.52</v>
      </c>
      <c r="S205" s="112">
        <v>75.28</v>
      </c>
      <c r="T205" s="112">
        <v>0</v>
      </c>
      <c r="U205" s="95">
        <f t="shared" si="9"/>
        <v>75.28</v>
      </c>
      <c r="V205" s="112"/>
      <c r="W205" s="112"/>
      <c r="X205" s="107"/>
      <c r="Y205" s="107">
        <f t="shared" si="10"/>
        <v>100</v>
      </c>
      <c r="Z205" s="107">
        <f t="shared" si="11"/>
        <v>24.72</v>
      </c>
    </row>
    <row r="206" spans="1:26" x14ac:dyDescent="0.25">
      <c r="A206" s="55" t="str">
        <f>_xlfn.XLOOKUP($G206,'.Auxiliar'!$G:$G,'.Auxiliar'!A:A,"-",0)</f>
        <v>CONCESSÃO VIA SUL</v>
      </c>
      <c r="B206" s="55" t="str">
        <f>_xlfn.XLOOKUP($G206,'.Auxiliar'!$G:$G,'.Auxiliar'!B:B,"-",0)</f>
        <v>OAE</v>
      </c>
      <c r="C206" s="55" t="str">
        <f>_xlfn.XLOOKUP($G206,'.Auxiliar'!$G:$G,'.Auxiliar'!C:C,"-",0)</f>
        <v xml:space="preserve">OAE  Nova Duplicada - km 252+100 </v>
      </c>
      <c r="D206" s="55">
        <f>_xlfn.XLOOKUP($G206,'.Auxiliar'!$G:$G,'.Auxiliar'!D:D,"-",0)</f>
        <v>252.1</v>
      </c>
      <c r="E206" s="55">
        <f>_xlfn.XLOOKUP($G206,'.Auxiliar'!$G:$G,'.Auxiliar'!E:E,"-",0)</f>
        <v>252.1</v>
      </c>
      <c r="F206" s="55">
        <f>_xlfn.XLOOKUP($G206,'.Auxiliar'!$G:$G,'.Auxiliar'!F:F,"-",0)</f>
        <v>1</v>
      </c>
      <c r="G206" s="59" t="s">
        <v>839</v>
      </c>
      <c r="H206" s="108" t="s">
        <v>0</v>
      </c>
      <c r="I206" s="109" t="s">
        <v>368</v>
      </c>
      <c r="J206" s="109" t="s">
        <v>363</v>
      </c>
      <c r="K206" s="109" t="s">
        <v>363</v>
      </c>
      <c r="L206" s="109" t="s">
        <v>0</v>
      </c>
      <c r="M206" s="109" t="s">
        <v>0</v>
      </c>
      <c r="N206" s="110" t="s">
        <v>0</v>
      </c>
      <c r="O206" s="111"/>
      <c r="P206" s="112"/>
      <c r="Q206" s="112">
        <v>45</v>
      </c>
      <c r="R206" s="112">
        <v>0</v>
      </c>
      <c r="S206" s="112">
        <v>100</v>
      </c>
      <c r="T206" s="112">
        <v>0</v>
      </c>
      <c r="U206" s="95">
        <f t="shared" si="9"/>
        <v>100</v>
      </c>
      <c r="V206" s="112"/>
      <c r="W206" s="112"/>
      <c r="X206" s="107"/>
      <c r="Y206" s="107">
        <f t="shared" si="10"/>
        <v>100</v>
      </c>
      <c r="Z206" s="107">
        <f t="shared" si="11"/>
        <v>0</v>
      </c>
    </row>
    <row r="207" spans="1:26" x14ac:dyDescent="0.25">
      <c r="A207" s="55" t="str">
        <f>_xlfn.XLOOKUP($G207,'.Auxiliar'!$G:$G,'.Auxiliar'!A:A,"-",0)</f>
        <v>CONCESSÃO VIA SUL</v>
      </c>
      <c r="B207" s="55" t="str">
        <f>_xlfn.XLOOKUP($G207,'.Auxiliar'!$G:$G,'.Auxiliar'!B:B,"-",0)</f>
        <v>OAE</v>
      </c>
      <c r="C207" s="55" t="str">
        <f>_xlfn.XLOOKUP($G207,'.Auxiliar'!$G:$G,'.Auxiliar'!C:C,"-",0)</f>
        <v xml:space="preserve">Passagem Inferior - </v>
      </c>
      <c r="D207" s="55">
        <f>_xlfn.XLOOKUP($G207,'.Auxiliar'!$G:$G,'.Auxiliar'!D:D,"-",0)</f>
        <v>0.68500000000000005</v>
      </c>
      <c r="E207" s="55">
        <f>_xlfn.XLOOKUP($G207,'.Auxiliar'!$G:$G,'.Auxiliar'!E:E,"-",0)</f>
        <v>0.68500000000000005</v>
      </c>
      <c r="F207" s="55">
        <f>_xlfn.XLOOKUP($G207,'.Auxiliar'!$G:$G,'.Auxiliar'!F:F,"-",0)</f>
        <v>1</v>
      </c>
      <c r="G207" s="59" t="s">
        <v>1307</v>
      </c>
      <c r="H207" s="108" t="s">
        <v>0</v>
      </c>
      <c r="I207" s="109" t="s">
        <v>0</v>
      </c>
      <c r="J207" s="109" t="s">
        <v>0</v>
      </c>
      <c r="K207" s="109" t="s">
        <v>0</v>
      </c>
      <c r="L207" s="109" t="s">
        <v>0</v>
      </c>
      <c r="M207" s="109" t="s">
        <v>0</v>
      </c>
      <c r="N207" s="110" t="s">
        <v>363</v>
      </c>
      <c r="O207" s="111"/>
      <c r="P207" s="112"/>
      <c r="Q207" s="112"/>
      <c r="R207" s="112"/>
      <c r="S207" s="112"/>
      <c r="T207" s="112"/>
      <c r="U207" s="95" t="str">
        <f t="shared" si="9"/>
        <v/>
      </c>
      <c r="V207" s="112"/>
      <c r="W207" s="112"/>
      <c r="X207" s="107">
        <v>100</v>
      </c>
      <c r="Y207" s="107">
        <f t="shared" si="10"/>
        <v>100</v>
      </c>
      <c r="Z207" s="107">
        <f t="shared" si="11"/>
        <v>0</v>
      </c>
    </row>
    <row r="208" spans="1:26" x14ac:dyDescent="0.25">
      <c r="A208" s="55" t="str">
        <f>_xlfn.XLOOKUP($G208,'.Auxiliar'!$G:$G,'.Auxiliar'!A:A,"-",0)</f>
        <v>CONCESSÃO VIA SUL</v>
      </c>
      <c r="B208" s="55" t="str">
        <f>_xlfn.XLOOKUP($G208,'.Auxiliar'!$G:$G,'.Auxiliar'!B:B,"-",0)</f>
        <v>OAE</v>
      </c>
      <c r="C208" s="55" t="str">
        <f>_xlfn.XLOOKUP($G208,'.Auxiliar'!$G:$G,'.Auxiliar'!C:C,"-",0)</f>
        <v>Passagem Inferior -  Arnoldo Scherer Duplicação</v>
      </c>
      <c r="D208" s="55">
        <f>_xlfn.XLOOKUP($G208,'.Auxiliar'!$G:$G,'.Auxiliar'!D:D,"-",0)</f>
        <v>339.9</v>
      </c>
      <c r="E208" s="55">
        <f>_xlfn.XLOOKUP($G208,'.Auxiliar'!$G:$G,'.Auxiliar'!E:E,"-",0)</f>
        <v>339.9</v>
      </c>
      <c r="F208" s="55">
        <f>_xlfn.XLOOKUP($G208,'.Auxiliar'!$G:$G,'.Auxiliar'!F:F,"-",0)</f>
        <v>1</v>
      </c>
      <c r="G208" s="59" t="s">
        <v>445</v>
      </c>
      <c r="H208" s="108" t="s">
        <v>363</v>
      </c>
      <c r="I208" s="115" t="s">
        <v>1881</v>
      </c>
      <c r="J208" s="109" t="s">
        <v>0</v>
      </c>
      <c r="K208" s="109" t="s">
        <v>363</v>
      </c>
      <c r="L208" s="109" t="s">
        <v>0</v>
      </c>
      <c r="M208" s="109" t="s">
        <v>0</v>
      </c>
      <c r="N208" s="110" t="s">
        <v>0</v>
      </c>
      <c r="O208" s="111">
        <v>80.849999999999994</v>
      </c>
      <c r="P208" s="112">
        <v>80.849999999999994</v>
      </c>
      <c r="Q208" s="112">
        <v>18.2</v>
      </c>
      <c r="R208" s="112">
        <v>18.2</v>
      </c>
      <c r="S208" s="112">
        <v>0.95</v>
      </c>
      <c r="T208" s="112">
        <v>0.95</v>
      </c>
      <c r="U208" s="95">
        <f t="shared" si="9"/>
        <v>0.95000000000000284</v>
      </c>
      <c r="V208" s="112"/>
      <c r="W208" s="112"/>
      <c r="X208" s="107"/>
      <c r="Y208" s="107">
        <f t="shared" si="10"/>
        <v>100</v>
      </c>
      <c r="Z208" s="107">
        <f t="shared" si="11"/>
        <v>100</v>
      </c>
    </row>
    <row r="209" spans="1:26" x14ac:dyDescent="0.25">
      <c r="A209" s="55" t="str">
        <f>_xlfn.XLOOKUP($G209,'.Auxiliar'!$G:$G,'.Auxiliar'!A:A,"-",0)</f>
        <v>CONCESSÃO VIA SUL</v>
      </c>
      <c r="B209" s="55" t="str">
        <f>_xlfn.XLOOKUP($G209,'.Auxiliar'!$G:$G,'.Auxiliar'!B:B,"-",0)</f>
        <v>OAE</v>
      </c>
      <c r="C209" s="55" t="str">
        <f>_xlfn.XLOOKUP($G209,'.Auxiliar'!$G:$G,'.Auxiliar'!C:C,"-",0)</f>
        <v>Passagem Inferior - km 245+330 - Passagem inferior Soledade</v>
      </c>
      <c r="D209" s="55">
        <f>_xlfn.XLOOKUP($G209,'.Auxiliar'!$G:$G,'.Auxiliar'!D:D,"-",0)</f>
        <v>245.33</v>
      </c>
      <c r="E209" s="55">
        <f>_xlfn.XLOOKUP($G209,'.Auxiliar'!$G:$G,'.Auxiliar'!E:E,"-",0)</f>
        <v>245.33</v>
      </c>
      <c r="F209" s="55">
        <f>_xlfn.XLOOKUP($G209,'.Auxiliar'!$G:$G,'.Auxiliar'!F:F,"-",0)</f>
        <v>1</v>
      </c>
      <c r="G209" s="59" t="s">
        <v>836</v>
      </c>
      <c r="H209" s="108" t="s">
        <v>0</v>
      </c>
      <c r="I209" s="109" t="s">
        <v>368</v>
      </c>
      <c r="J209" s="109" t="s">
        <v>363</v>
      </c>
      <c r="K209" s="109" t="s">
        <v>363</v>
      </c>
      <c r="L209" s="109" t="s">
        <v>0</v>
      </c>
      <c r="M209" s="109" t="s">
        <v>0</v>
      </c>
      <c r="N209" s="110" t="s">
        <v>0</v>
      </c>
      <c r="O209" s="111"/>
      <c r="P209" s="112"/>
      <c r="Q209" s="112"/>
      <c r="R209" s="112"/>
      <c r="S209" s="112">
        <v>75</v>
      </c>
      <c r="T209" s="112">
        <v>1.18</v>
      </c>
      <c r="U209" s="95">
        <f t="shared" si="9"/>
        <v>100</v>
      </c>
      <c r="V209" s="112">
        <v>25</v>
      </c>
      <c r="W209" s="112"/>
      <c r="X209" s="107"/>
      <c r="Y209" s="107">
        <f t="shared" si="10"/>
        <v>100</v>
      </c>
      <c r="Z209" s="107">
        <f t="shared" si="11"/>
        <v>1.18</v>
      </c>
    </row>
    <row r="210" spans="1:26" x14ac:dyDescent="0.25">
      <c r="A210" s="55" t="str">
        <f>_xlfn.XLOOKUP($G210,'.Auxiliar'!$G:$G,'.Auxiliar'!A:A,"-",0)</f>
        <v>CONCESSÃO VIA SUL</v>
      </c>
      <c r="B210" s="55" t="str">
        <f>_xlfn.XLOOKUP($G210,'.Auxiliar'!$G:$G,'.Auxiliar'!B:B,"-",0)</f>
        <v>OAE</v>
      </c>
      <c r="C210" s="55" t="str">
        <f>_xlfn.XLOOKUP($G210,'.Auxiliar'!$G:$G,'.Auxiliar'!C:C,"-",0)</f>
        <v>Passagem Inferior - Lajeado / Montanhas</v>
      </c>
      <c r="D210" s="55">
        <f>_xlfn.XLOOKUP($G210,'.Auxiliar'!$G:$G,'.Auxiliar'!D:D,"-",0)</f>
        <v>343.45</v>
      </c>
      <c r="E210" s="55">
        <f>_xlfn.XLOOKUP($G210,'.Auxiliar'!$G:$G,'.Auxiliar'!E:E,"-",0)</f>
        <v>343.45</v>
      </c>
      <c r="F210" s="55">
        <f>_xlfn.XLOOKUP($G210,'.Auxiliar'!$G:$G,'.Auxiliar'!F:F,"-",0)</f>
        <v>1</v>
      </c>
      <c r="G210" s="59" t="s">
        <v>447</v>
      </c>
      <c r="H210" s="108" t="s">
        <v>363</v>
      </c>
      <c r="I210" s="115" t="s">
        <v>1881</v>
      </c>
      <c r="J210" s="109" t="s">
        <v>0</v>
      </c>
      <c r="K210" s="109" t="s">
        <v>363</v>
      </c>
      <c r="L210" s="109" t="s">
        <v>0</v>
      </c>
      <c r="M210" s="109" t="s">
        <v>0</v>
      </c>
      <c r="N210" s="110" t="s">
        <v>0</v>
      </c>
      <c r="O210" s="111">
        <v>41.66</v>
      </c>
      <c r="P210" s="112">
        <v>41.66</v>
      </c>
      <c r="Q210" s="112">
        <v>38.700000000000003</v>
      </c>
      <c r="R210" s="112">
        <v>38.700000000000003</v>
      </c>
      <c r="S210" s="112">
        <v>19.64</v>
      </c>
      <c r="T210" s="112">
        <v>18.350000000000001</v>
      </c>
      <c r="U210" s="95">
        <f t="shared" si="9"/>
        <v>19.64</v>
      </c>
      <c r="V210" s="112"/>
      <c r="W210" s="112"/>
      <c r="X210" s="107"/>
      <c r="Y210" s="107">
        <f t="shared" si="10"/>
        <v>100</v>
      </c>
      <c r="Z210" s="107">
        <f t="shared" si="11"/>
        <v>98.710000000000008</v>
      </c>
    </row>
    <row r="211" spans="1:26" x14ac:dyDescent="0.25">
      <c r="A211" s="55" t="str">
        <f>_xlfn.XLOOKUP($G211,'.Auxiliar'!$G:$G,'.Auxiliar'!A:A,"-",0)</f>
        <v>CONCESSÃO VIA SUL</v>
      </c>
      <c r="B211" s="55" t="str">
        <f>_xlfn.XLOOKUP($G211,'.Auxiliar'!$G:$G,'.Auxiliar'!B:B,"-",0)</f>
        <v>OAE</v>
      </c>
      <c r="C211" s="55" t="str">
        <f>_xlfn.XLOOKUP($G211,'.Auxiliar'!$G:$G,'.Auxiliar'!C:C,"-",0)</f>
        <v>Passagem Inferior - Lajeado / Olarias</v>
      </c>
      <c r="D211" s="55">
        <f>_xlfn.XLOOKUP($G211,'.Auxiliar'!$G:$G,'.Auxiliar'!D:D,"-",0)</f>
        <v>344.2</v>
      </c>
      <c r="E211" s="55">
        <f>_xlfn.XLOOKUP($G211,'.Auxiliar'!$G:$G,'.Auxiliar'!E:E,"-",0)</f>
        <v>344.2</v>
      </c>
      <c r="F211" s="55">
        <f>_xlfn.XLOOKUP($G211,'.Auxiliar'!$G:$G,'.Auxiliar'!F:F,"-",0)</f>
        <v>1</v>
      </c>
      <c r="G211" s="59" t="s">
        <v>448</v>
      </c>
      <c r="H211" s="108" t="s">
        <v>363</v>
      </c>
      <c r="I211" s="115" t="s">
        <v>1881</v>
      </c>
      <c r="J211" s="109" t="s">
        <v>0</v>
      </c>
      <c r="K211" s="109" t="s">
        <v>363</v>
      </c>
      <c r="L211" s="109" t="s">
        <v>0</v>
      </c>
      <c r="M211" s="109" t="s">
        <v>0</v>
      </c>
      <c r="N211" s="110" t="s">
        <v>0</v>
      </c>
      <c r="O211" s="111">
        <v>12.52</v>
      </c>
      <c r="P211" s="112">
        <v>12.52</v>
      </c>
      <c r="Q211" s="112">
        <v>58.33</v>
      </c>
      <c r="R211" s="112">
        <v>58.33</v>
      </c>
      <c r="S211" s="112">
        <v>29.15</v>
      </c>
      <c r="T211" s="112">
        <v>2.8</v>
      </c>
      <c r="U211" s="95">
        <f t="shared" si="9"/>
        <v>29.150000000000006</v>
      </c>
      <c r="V211" s="112"/>
      <c r="W211" s="112"/>
      <c r="X211" s="107"/>
      <c r="Y211" s="107">
        <f t="shared" si="10"/>
        <v>100</v>
      </c>
      <c r="Z211" s="107">
        <f t="shared" si="11"/>
        <v>73.649999999999991</v>
      </c>
    </row>
    <row r="212" spans="1:26" x14ac:dyDescent="0.25">
      <c r="A212" s="55" t="str">
        <f>_xlfn.XLOOKUP($G212,'.Auxiliar'!$G:$G,'.Auxiliar'!A:A,"-",0)</f>
        <v>CONCESSÃO VIA SUL</v>
      </c>
      <c r="B212" s="55" t="str">
        <f>_xlfn.XLOOKUP($G212,'.Auxiliar'!$G:$G,'.Auxiliar'!B:B,"-",0)</f>
        <v>OAE</v>
      </c>
      <c r="C212" s="55" t="str">
        <f>_xlfn.XLOOKUP($G212,'.Auxiliar'!$G:$G,'.Auxiliar'!C:C,"-",0)</f>
        <v>Passagem Inferior - Porto Alegre - Norte</v>
      </c>
      <c r="D212" s="55">
        <f>_xlfn.XLOOKUP($G212,'.Auxiliar'!$G:$G,'.Auxiliar'!D:D,"-",0)</f>
        <v>85.84</v>
      </c>
      <c r="E212" s="55">
        <f>_xlfn.XLOOKUP($G212,'.Auxiliar'!$G:$G,'.Auxiliar'!E:E,"-",0)</f>
        <v>85.84</v>
      </c>
      <c r="F212" s="55">
        <f>_xlfn.XLOOKUP($G212,'.Auxiliar'!$G:$G,'.Auxiliar'!F:F,"-",0)</f>
        <v>1</v>
      </c>
      <c r="G212" s="59" t="s">
        <v>443</v>
      </c>
      <c r="H212" s="108" t="s">
        <v>363</v>
      </c>
      <c r="I212" s="109" t="s">
        <v>0</v>
      </c>
      <c r="J212" s="109" t="s">
        <v>0</v>
      </c>
      <c r="K212" s="109" t="s">
        <v>363</v>
      </c>
      <c r="L212" s="109" t="s">
        <v>0</v>
      </c>
      <c r="M212" s="109" t="s">
        <v>0</v>
      </c>
      <c r="N212" s="110" t="s">
        <v>0</v>
      </c>
      <c r="O212" s="111">
        <v>100</v>
      </c>
      <c r="P212" s="112">
        <v>100</v>
      </c>
      <c r="Q212" s="112"/>
      <c r="R212" s="112"/>
      <c r="S212" s="112"/>
      <c r="T212" s="112"/>
      <c r="U212" s="95">
        <f t="shared" si="9"/>
        <v>0</v>
      </c>
      <c r="V212" s="112"/>
      <c r="W212" s="112"/>
      <c r="X212" s="107"/>
      <c r="Y212" s="107">
        <f t="shared" si="10"/>
        <v>100</v>
      </c>
      <c r="Z212" s="107">
        <f t="shared" si="11"/>
        <v>100</v>
      </c>
    </row>
    <row r="213" spans="1:26" x14ac:dyDescent="0.25">
      <c r="A213" s="55" t="str">
        <f>_xlfn.XLOOKUP($G213,'.Auxiliar'!$G:$G,'.Auxiliar'!A:A,"-",0)</f>
        <v>CONCESSÃO VIA SUL</v>
      </c>
      <c r="B213" s="55" t="str">
        <f>_xlfn.XLOOKUP($G213,'.Auxiliar'!$G:$G,'.Auxiliar'!B:B,"-",0)</f>
        <v>OAE</v>
      </c>
      <c r="C213" s="55" t="str">
        <f>_xlfn.XLOOKUP($G213,'.Auxiliar'!$G:$G,'.Auxiliar'!C:C,"-",0)</f>
        <v>Passagem Inferior - Porto Alegre - Sul</v>
      </c>
      <c r="D213" s="55">
        <f>_xlfn.XLOOKUP($G213,'.Auxiliar'!$G:$G,'.Auxiliar'!D:D,"-",0)</f>
        <v>85.84</v>
      </c>
      <c r="E213" s="55">
        <f>_xlfn.XLOOKUP($G213,'.Auxiliar'!$G:$G,'.Auxiliar'!E:E,"-",0)</f>
        <v>85.84</v>
      </c>
      <c r="F213" s="55">
        <f>_xlfn.XLOOKUP($G213,'.Auxiliar'!$G:$G,'.Auxiliar'!F:F,"-",0)</f>
        <v>1</v>
      </c>
      <c r="G213" s="59" t="s">
        <v>444</v>
      </c>
      <c r="H213" s="108" t="s">
        <v>363</v>
      </c>
      <c r="I213" s="109" t="s">
        <v>0</v>
      </c>
      <c r="J213" s="109" t="s">
        <v>0</v>
      </c>
      <c r="K213" s="109" t="s">
        <v>363</v>
      </c>
      <c r="L213" s="109" t="s">
        <v>0</v>
      </c>
      <c r="M213" s="109" t="s">
        <v>0</v>
      </c>
      <c r="N213" s="110" t="s">
        <v>0</v>
      </c>
      <c r="O213" s="111">
        <v>100</v>
      </c>
      <c r="P213" s="112">
        <v>100</v>
      </c>
      <c r="Q213" s="112"/>
      <c r="R213" s="112"/>
      <c r="S213" s="112"/>
      <c r="T213" s="112"/>
      <c r="U213" s="95">
        <f t="shared" si="9"/>
        <v>0</v>
      </c>
      <c r="V213" s="112"/>
      <c r="W213" s="112"/>
      <c r="X213" s="107"/>
      <c r="Y213" s="107">
        <f t="shared" si="10"/>
        <v>100</v>
      </c>
      <c r="Z213" s="107">
        <f t="shared" si="11"/>
        <v>100</v>
      </c>
    </row>
    <row r="214" spans="1:26" x14ac:dyDescent="0.25">
      <c r="A214" s="55" t="str">
        <f>_xlfn.XLOOKUP($G214,'.Auxiliar'!$G:$G,'.Auxiliar'!A:A,"-",0)</f>
        <v>CONCESSÃO VIA SUL</v>
      </c>
      <c r="B214" s="55" t="str">
        <f>_xlfn.XLOOKUP($G214,'.Auxiliar'!$G:$G,'.Auxiliar'!B:B,"-",0)</f>
        <v>OAE</v>
      </c>
      <c r="C214" s="55" t="str">
        <f>_xlfn.XLOOKUP($G214,'.Auxiliar'!$G:$G,'.Auxiliar'!C:C,"-",0)</f>
        <v>Passagem Inferior Norte</v>
      </c>
      <c r="D214" s="55">
        <f>_xlfn.XLOOKUP($G214,'.Auxiliar'!$G:$G,'.Auxiliar'!D:D,"-",0)</f>
        <v>22.5</v>
      </c>
      <c r="E214" s="55">
        <f>_xlfn.XLOOKUP($G214,'.Auxiliar'!$G:$G,'.Auxiliar'!E:E,"-",0)</f>
        <v>22.5</v>
      </c>
      <c r="F214" s="55">
        <f>_xlfn.XLOOKUP($G214,'.Auxiliar'!$G:$G,'.Auxiliar'!F:F,"-",0)</f>
        <v>1</v>
      </c>
      <c r="G214" s="59" t="s">
        <v>1308</v>
      </c>
      <c r="H214" s="108" t="s">
        <v>0</v>
      </c>
      <c r="I214" s="109" t="s">
        <v>0</v>
      </c>
      <c r="J214" s="109" t="s">
        <v>0</v>
      </c>
      <c r="K214" s="109" t="s">
        <v>0</v>
      </c>
      <c r="L214" s="109" t="s">
        <v>0</v>
      </c>
      <c r="M214" s="109" t="s">
        <v>0</v>
      </c>
      <c r="N214" s="110" t="s">
        <v>363</v>
      </c>
      <c r="O214" s="111"/>
      <c r="P214" s="112"/>
      <c r="Q214" s="112"/>
      <c r="R214" s="112"/>
      <c r="S214" s="112"/>
      <c r="T214" s="112"/>
      <c r="U214" s="95" t="str">
        <f t="shared" si="9"/>
        <v/>
      </c>
      <c r="V214" s="112"/>
      <c r="W214" s="112"/>
      <c r="X214" s="107">
        <v>100</v>
      </c>
      <c r="Y214" s="107">
        <f t="shared" si="10"/>
        <v>100</v>
      </c>
      <c r="Z214" s="107">
        <f t="shared" si="11"/>
        <v>0</v>
      </c>
    </row>
    <row r="215" spans="1:26" x14ac:dyDescent="0.25">
      <c r="A215" s="55" t="str">
        <f>_xlfn.XLOOKUP($G215,'.Auxiliar'!$G:$G,'.Auxiliar'!A:A,"-",0)</f>
        <v>CONCESSÃO VIA SUL</v>
      </c>
      <c r="B215" s="55" t="str">
        <f>_xlfn.XLOOKUP($G215,'.Auxiliar'!$G:$G,'.Auxiliar'!B:B,"-",0)</f>
        <v>OAE</v>
      </c>
      <c r="C215" s="55" t="str">
        <f>_xlfn.XLOOKUP($G215,'.Auxiliar'!$G:$G,'.Auxiliar'!C:C,"-",0)</f>
        <v>Passagem Inferior Norte</v>
      </c>
      <c r="D215" s="55">
        <f>_xlfn.XLOOKUP($G215,'.Auxiliar'!$G:$G,'.Auxiliar'!D:D,"-",0)</f>
        <v>67.900000000000006</v>
      </c>
      <c r="E215" s="55">
        <f>_xlfn.XLOOKUP($G215,'.Auxiliar'!$G:$G,'.Auxiliar'!E:E,"-",0)</f>
        <v>67.900000000000006</v>
      </c>
      <c r="F215" s="55">
        <f>_xlfn.XLOOKUP($G215,'.Auxiliar'!$G:$G,'.Auxiliar'!F:F,"-",0)</f>
        <v>1</v>
      </c>
      <c r="G215" s="59" t="s">
        <v>1310</v>
      </c>
      <c r="H215" s="108" t="s">
        <v>0</v>
      </c>
      <c r="I215" s="109" t="s">
        <v>0</v>
      </c>
      <c r="J215" s="109" t="s">
        <v>0</v>
      </c>
      <c r="K215" s="109" t="s">
        <v>0</v>
      </c>
      <c r="L215" s="109" t="s">
        <v>0</v>
      </c>
      <c r="M215" s="109" t="s">
        <v>0</v>
      </c>
      <c r="N215" s="110" t="s">
        <v>363</v>
      </c>
      <c r="O215" s="111"/>
      <c r="P215" s="112"/>
      <c r="Q215" s="112"/>
      <c r="R215" s="112"/>
      <c r="S215" s="112"/>
      <c r="T215" s="112"/>
      <c r="U215" s="95" t="str">
        <f t="shared" si="9"/>
        <v/>
      </c>
      <c r="V215" s="112"/>
      <c r="W215" s="112"/>
      <c r="X215" s="107">
        <v>100</v>
      </c>
      <c r="Y215" s="107">
        <f t="shared" si="10"/>
        <v>100</v>
      </c>
      <c r="Z215" s="107">
        <f t="shared" si="11"/>
        <v>0</v>
      </c>
    </row>
    <row r="216" spans="1:26" x14ac:dyDescent="0.25">
      <c r="A216" s="55" t="str">
        <f>_xlfn.XLOOKUP($G216,'.Auxiliar'!$G:$G,'.Auxiliar'!A:A,"-",0)</f>
        <v>CONCESSÃO VIA SUL</v>
      </c>
      <c r="B216" s="55" t="str">
        <f>_xlfn.XLOOKUP($G216,'.Auxiliar'!$G:$G,'.Auxiliar'!B:B,"-",0)</f>
        <v>OAE</v>
      </c>
      <c r="C216" s="55" t="str">
        <f>_xlfn.XLOOKUP($G216,'.Auxiliar'!$G:$G,'.Auxiliar'!C:C,"-",0)</f>
        <v>Passagem Inferior Norte</v>
      </c>
      <c r="D216" s="55">
        <f>_xlfn.XLOOKUP($G216,'.Auxiliar'!$G:$G,'.Auxiliar'!D:D,"-",0)</f>
        <v>71.900000000000006</v>
      </c>
      <c r="E216" s="55">
        <f>_xlfn.XLOOKUP($G216,'.Auxiliar'!$G:$G,'.Auxiliar'!E:E,"-",0)</f>
        <v>71.900000000000006</v>
      </c>
      <c r="F216" s="55">
        <f>_xlfn.XLOOKUP($G216,'.Auxiliar'!$G:$G,'.Auxiliar'!F:F,"-",0)</f>
        <v>1</v>
      </c>
      <c r="G216" s="59" t="s">
        <v>1312</v>
      </c>
      <c r="H216" s="108" t="s">
        <v>0</v>
      </c>
      <c r="I216" s="109" t="s">
        <v>0</v>
      </c>
      <c r="J216" s="109" t="s">
        <v>0</v>
      </c>
      <c r="K216" s="109" t="s">
        <v>0</v>
      </c>
      <c r="L216" s="109" t="s">
        <v>0</v>
      </c>
      <c r="M216" s="109" t="s">
        <v>0</v>
      </c>
      <c r="N216" s="110" t="s">
        <v>363</v>
      </c>
      <c r="O216" s="111"/>
      <c r="P216" s="112"/>
      <c r="Q216" s="112"/>
      <c r="R216" s="112"/>
      <c r="S216" s="112"/>
      <c r="T216" s="112"/>
      <c r="U216" s="95" t="str">
        <f t="shared" si="9"/>
        <v/>
      </c>
      <c r="V216" s="112"/>
      <c r="W216" s="112"/>
      <c r="X216" s="107">
        <v>100</v>
      </c>
      <c r="Y216" s="107">
        <f t="shared" si="10"/>
        <v>100</v>
      </c>
      <c r="Z216" s="107">
        <f t="shared" si="11"/>
        <v>0</v>
      </c>
    </row>
    <row r="217" spans="1:26" x14ac:dyDescent="0.25">
      <c r="A217" s="55" t="str">
        <f>_xlfn.XLOOKUP($G217,'.Auxiliar'!$G:$G,'.Auxiliar'!A:A,"-",0)</f>
        <v>CONCESSÃO VIA SUL</v>
      </c>
      <c r="B217" s="55" t="str">
        <f>_xlfn.XLOOKUP($G217,'.Auxiliar'!$G:$G,'.Auxiliar'!B:B,"-",0)</f>
        <v>OAE</v>
      </c>
      <c r="C217" s="55" t="str">
        <f>_xlfn.XLOOKUP($G217,'.Auxiliar'!$G:$G,'.Auxiliar'!C:C,"-",0)</f>
        <v>Passagem Inferior Sul</v>
      </c>
      <c r="D217" s="55">
        <f>_xlfn.XLOOKUP($G217,'.Auxiliar'!$G:$G,'.Auxiliar'!D:D,"-",0)</f>
        <v>22.5</v>
      </c>
      <c r="E217" s="55">
        <f>_xlfn.XLOOKUP($G217,'.Auxiliar'!$G:$G,'.Auxiliar'!E:E,"-",0)</f>
        <v>22.5</v>
      </c>
      <c r="F217" s="55">
        <f>_xlfn.XLOOKUP($G217,'.Auxiliar'!$G:$G,'.Auxiliar'!F:F,"-",0)</f>
        <v>1</v>
      </c>
      <c r="G217" s="59" t="s">
        <v>1309</v>
      </c>
      <c r="H217" s="108" t="s">
        <v>0</v>
      </c>
      <c r="I217" s="109" t="s">
        <v>0</v>
      </c>
      <c r="J217" s="109" t="s">
        <v>0</v>
      </c>
      <c r="K217" s="109" t="s">
        <v>0</v>
      </c>
      <c r="L217" s="109" t="s">
        <v>0</v>
      </c>
      <c r="M217" s="109" t="s">
        <v>0</v>
      </c>
      <c r="N217" s="110" t="s">
        <v>363</v>
      </c>
      <c r="O217" s="111"/>
      <c r="P217" s="112"/>
      <c r="Q217" s="112"/>
      <c r="R217" s="112"/>
      <c r="S217" s="112"/>
      <c r="T217" s="112"/>
      <c r="U217" s="95" t="str">
        <f t="shared" si="9"/>
        <v/>
      </c>
      <c r="V217" s="112"/>
      <c r="W217" s="112"/>
      <c r="X217" s="107">
        <v>100</v>
      </c>
      <c r="Y217" s="107">
        <f t="shared" si="10"/>
        <v>100</v>
      </c>
      <c r="Z217" s="107">
        <f t="shared" si="11"/>
        <v>0</v>
      </c>
    </row>
    <row r="218" spans="1:26" x14ac:dyDescent="0.25">
      <c r="A218" s="55" t="str">
        <f>_xlfn.XLOOKUP($G218,'.Auxiliar'!$G:$G,'.Auxiliar'!A:A,"-",0)</f>
        <v>CONCESSÃO VIA SUL</v>
      </c>
      <c r="B218" s="55" t="str">
        <f>_xlfn.XLOOKUP($G218,'.Auxiliar'!$G:$G,'.Auxiliar'!B:B,"-",0)</f>
        <v>OAE</v>
      </c>
      <c r="C218" s="55" t="str">
        <f>_xlfn.XLOOKUP($G218,'.Auxiliar'!$G:$G,'.Auxiliar'!C:C,"-",0)</f>
        <v>Passagem Inferior Sul</v>
      </c>
      <c r="D218" s="55">
        <f>_xlfn.XLOOKUP($G218,'.Auxiliar'!$G:$G,'.Auxiliar'!D:D,"-",0)</f>
        <v>67.900000000000006</v>
      </c>
      <c r="E218" s="55">
        <f>_xlfn.XLOOKUP($G218,'.Auxiliar'!$G:$G,'.Auxiliar'!E:E,"-",0)</f>
        <v>67.900000000000006</v>
      </c>
      <c r="F218" s="55">
        <f>_xlfn.XLOOKUP($G218,'.Auxiliar'!$G:$G,'.Auxiliar'!F:F,"-",0)</f>
        <v>1</v>
      </c>
      <c r="G218" s="59" t="s">
        <v>1311</v>
      </c>
      <c r="H218" s="108" t="s">
        <v>0</v>
      </c>
      <c r="I218" s="109" t="s">
        <v>0</v>
      </c>
      <c r="J218" s="109" t="s">
        <v>0</v>
      </c>
      <c r="K218" s="109" t="s">
        <v>0</v>
      </c>
      <c r="L218" s="109" t="s">
        <v>0</v>
      </c>
      <c r="M218" s="109" t="s">
        <v>0</v>
      </c>
      <c r="N218" s="110" t="s">
        <v>363</v>
      </c>
      <c r="O218" s="111"/>
      <c r="P218" s="112"/>
      <c r="Q218" s="112"/>
      <c r="R218" s="112"/>
      <c r="S218" s="112"/>
      <c r="T218" s="112"/>
      <c r="U218" s="95" t="str">
        <f t="shared" si="9"/>
        <v/>
      </c>
      <c r="V218" s="112"/>
      <c r="W218" s="112"/>
      <c r="X218" s="107">
        <v>100</v>
      </c>
      <c r="Y218" s="107">
        <f t="shared" si="10"/>
        <v>100</v>
      </c>
      <c r="Z218" s="107">
        <f t="shared" si="11"/>
        <v>0</v>
      </c>
    </row>
    <row r="219" spans="1:26" x14ac:dyDescent="0.25">
      <c r="A219" s="55" t="str">
        <f>_xlfn.XLOOKUP($G219,'.Auxiliar'!$G:$G,'.Auxiliar'!A:A,"-",0)</f>
        <v>CONCESSÃO VIA SUL</v>
      </c>
      <c r="B219" s="55" t="str">
        <f>_xlfn.XLOOKUP($G219,'.Auxiliar'!$G:$G,'.Auxiliar'!B:B,"-",0)</f>
        <v>OAE</v>
      </c>
      <c r="C219" s="55" t="str">
        <f>_xlfn.XLOOKUP($G219,'.Auxiliar'!$G:$G,'.Auxiliar'!C:C,"-",0)</f>
        <v>Passagem Inferior Sul</v>
      </c>
      <c r="D219" s="55">
        <f>_xlfn.XLOOKUP($G219,'.Auxiliar'!$G:$G,'.Auxiliar'!D:D,"-",0)</f>
        <v>71.900000000000006</v>
      </c>
      <c r="E219" s="55">
        <f>_xlfn.XLOOKUP($G219,'.Auxiliar'!$G:$G,'.Auxiliar'!E:E,"-",0)</f>
        <v>71.900000000000006</v>
      </c>
      <c r="F219" s="55">
        <f>_xlfn.XLOOKUP($G219,'.Auxiliar'!$G:$G,'.Auxiliar'!F:F,"-",0)</f>
        <v>1</v>
      </c>
      <c r="G219" s="59" t="s">
        <v>1313</v>
      </c>
      <c r="H219" s="108" t="s">
        <v>0</v>
      </c>
      <c r="I219" s="109" t="s">
        <v>0</v>
      </c>
      <c r="J219" s="109" t="s">
        <v>0</v>
      </c>
      <c r="K219" s="109" t="s">
        <v>0</v>
      </c>
      <c r="L219" s="109" t="s">
        <v>0</v>
      </c>
      <c r="M219" s="109" t="s">
        <v>0</v>
      </c>
      <c r="N219" s="110" t="s">
        <v>363</v>
      </c>
      <c r="O219" s="111"/>
      <c r="P219" s="112"/>
      <c r="Q219" s="112"/>
      <c r="R219" s="112"/>
      <c r="S219" s="112"/>
      <c r="T219" s="112"/>
      <c r="U219" s="95" t="str">
        <f t="shared" si="9"/>
        <v/>
      </c>
      <c r="V219" s="112"/>
      <c r="W219" s="112"/>
      <c r="X219" s="107">
        <v>100</v>
      </c>
      <c r="Y219" s="107">
        <f t="shared" si="10"/>
        <v>100</v>
      </c>
      <c r="Z219" s="107">
        <f t="shared" si="11"/>
        <v>0</v>
      </c>
    </row>
    <row r="220" spans="1:26" x14ac:dyDescent="0.25">
      <c r="A220" s="55" t="str">
        <f>_xlfn.XLOOKUP($G220,'.Auxiliar'!$G:$G,'.Auxiliar'!A:A,"-",0)</f>
        <v>CONCESSÃO VIA SUL</v>
      </c>
      <c r="B220" s="55" t="str">
        <f>_xlfn.XLOOKUP($G220,'.Auxiliar'!$G:$G,'.Auxiliar'!B:B,"-",0)</f>
        <v>OAE</v>
      </c>
      <c r="C220" s="55" t="str">
        <f>_xlfn.XLOOKUP($G220,'.Auxiliar'!$G:$G,'.Auxiliar'!C:C,"-",0)</f>
        <v>Passagem Superior</v>
      </c>
      <c r="D220" s="55">
        <f>_xlfn.XLOOKUP($G220,'.Auxiliar'!$G:$G,'.Auxiliar'!D:D,"-",0)</f>
        <v>80.08</v>
      </c>
      <c r="E220" s="55">
        <f>_xlfn.XLOOKUP($G220,'.Auxiliar'!$G:$G,'.Auxiliar'!E:E,"-",0)</f>
        <v>80.08</v>
      </c>
      <c r="F220" s="55">
        <f>_xlfn.XLOOKUP($G220,'.Auxiliar'!$G:$G,'.Auxiliar'!F:F,"-",0)</f>
        <v>1</v>
      </c>
      <c r="G220" s="59" t="s">
        <v>439</v>
      </c>
      <c r="H220" s="108" t="s">
        <v>363</v>
      </c>
      <c r="I220" s="109" t="s">
        <v>0</v>
      </c>
      <c r="J220" s="109" t="s">
        <v>0</v>
      </c>
      <c r="K220" s="109" t="s">
        <v>363</v>
      </c>
      <c r="L220" s="109" t="s">
        <v>0</v>
      </c>
      <c r="M220" s="109" t="s">
        <v>0</v>
      </c>
      <c r="N220" s="110" t="s">
        <v>0</v>
      </c>
      <c r="O220" s="111">
        <v>100</v>
      </c>
      <c r="P220" s="112">
        <v>100</v>
      </c>
      <c r="Q220" s="112"/>
      <c r="R220" s="112"/>
      <c r="S220" s="112"/>
      <c r="T220" s="112"/>
      <c r="U220" s="95">
        <f t="shared" si="9"/>
        <v>0</v>
      </c>
      <c r="V220" s="112"/>
      <c r="W220" s="112"/>
      <c r="X220" s="107"/>
      <c r="Y220" s="107">
        <f t="shared" si="10"/>
        <v>100</v>
      </c>
      <c r="Z220" s="107">
        <f t="shared" si="11"/>
        <v>100</v>
      </c>
    </row>
    <row r="221" spans="1:26" x14ac:dyDescent="0.25">
      <c r="A221" s="55" t="str">
        <f>_xlfn.XLOOKUP($G221,'.Auxiliar'!$G:$G,'.Auxiliar'!A:A,"-",0)</f>
        <v>CONCESSÃO VIA SUL</v>
      </c>
      <c r="B221" s="55" t="str">
        <f>_xlfn.XLOOKUP($G221,'.Auxiliar'!$G:$G,'.Auxiliar'!B:B,"-",0)</f>
        <v>OAE</v>
      </c>
      <c r="C221" s="55" t="str">
        <f>_xlfn.XLOOKUP($G221,'.Auxiliar'!$G:$G,'.Auxiliar'!C:C,"-",0)</f>
        <v>Passagem Superior</v>
      </c>
      <c r="D221" s="55">
        <f>_xlfn.XLOOKUP($G221,'.Auxiliar'!$G:$G,'.Auxiliar'!D:D,"-",0)</f>
        <v>83.65</v>
      </c>
      <c r="E221" s="55">
        <f>_xlfn.XLOOKUP($G221,'.Auxiliar'!$G:$G,'.Auxiliar'!E:E,"-",0)</f>
        <v>83.65</v>
      </c>
      <c r="F221" s="55">
        <f>_xlfn.XLOOKUP($G221,'.Auxiliar'!$G:$G,'.Auxiliar'!F:F,"-",0)</f>
        <v>1</v>
      </c>
      <c r="G221" s="59" t="s">
        <v>442</v>
      </c>
      <c r="H221" s="108" t="s">
        <v>363</v>
      </c>
      <c r="I221" s="109" t="s">
        <v>0</v>
      </c>
      <c r="J221" s="109" t="s">
        <v>0</v>
      </c>
      <c r="K221" s="109" t="s">
        <v>363</v>
      </c>
      <c r="L221" s="109" t="s">
        <v>0</v>
      </c>
      <c r="M221" s="109" t="s">
        <v>0</v>
      </c>
      <c r="N221" s="110" t="s">
        <v>0</v>
      </c>
      <c r="O221" s="111">
        <v>100</v>
      </c>
      <c r="P221" s="112">
        <v>100</v>
      </c>
      <c r="Q221" s="112"/>
      <c r="R221" s="112"/>
      <c r="S221" s="112"/>
      <c r="T221" s="112"/>
      <c r="U221" s="95">
        <f t="shared" si="9"/>
        <v>0</v>
      </c>
      <c r="V221" s="112"/>
      <c r="W221" s="112"/>
      <c r="X221" s="107"/>
      <c r="Y221" s="107">
        <f t="shared" si="10"/>
        <v>100</v>
      </c>
      <c r="Z221" s="107">
        <f t="shared" si="11"/>
        <v>100</v>
      </c>
    </row>
    <row r="222" spans="1:26" x14ac:dyDescent="0.25">
      <c r="A222" s="55" t="str">
        <f>_xlfn.XLOOKUP($G222,'.Auxiliar'!$G:$G,'.Auxiliar'!A:A,"-",0)</f>
        <v>CONCESSÃO VIA SUL</v>
      </c>
      <c r="B222" s="55" t="str">
        <f>_xlfn.XLOOKUP($G222,'.Auxiliar'!$G:$G,'.Auxiliar'!B:B,"-",0)</f>
        <v>OAE</v>
      </c>
      <c r="C222" s="55" t="str">
        <f>_xlfn.XLOOKUP($G222,'.Auxiliar'!$G:$G,'.Auxiliar'!C:C,"-",0)</f>
        <v>Ponte sobre o Arroio Concórdia</v>
      </c>
      <c r="D222" s="55">
        <f>_xlfn.XLOOKUP($G222,'.Auxiliar'!$G:$G,'.Auxiliar'!D:D,"-",0)</f>
        <v>372.95</v>
      </c>
      <c r="E222" s="55">
        <f>_xlfn.XLOOKUP($G222,'.Auxiliar'!$G:$G,'.Auxiliar'!E:E,"-",0)</f>
        <v>372.95</v>
      </c>
      <c r="F222" s="55">
        <f>_xlfn.XLOOKUP($G222,'.Auxiliar'!$G:$G,'.Auxiliar'!F:F,"-",0)</f>
        <v>1</v>
      </c>
      <c r="G222" s="59" t="s">
        <v>455</v>
      </c>
      <c r="H222" s="108" t="s">
        <v>363</v>
      </c>
      <c r="I222" s="115" t="s">
        <v>1881</v>
      </c>
      <c r="J222" s="109" t="s">
        <v>0</v>
      </c>
      <c r="K222" s="109" t="s">
        <v>363</v>
      </c>
      <c r="L222" s="109" t="s">
        <v>0</v>
      </c>
      <c r="M222" s="109" t="s">
        <v>0</v>
      </c>
      <c r="N222" s="110" t="s">
        <v>0</v>
      </c>
      <c r="O222" s="111">
        <v>72</v>
      </c>
      <c r="P222" s="112">
        <v>11</v>
      </c>
      <c r="Q222" s="112">
        <v>28</v>
      </c>
      <c r="R222" s="112">
        <v>89</v>
      </c>
      <c r="S222" s="112"/>
      <c r="T222" s="112"/>
      <c r="U222" s="95">
        <f t="shared" si="9"/>
        <v>0</v>
      </c>
      <c r="V222" s="112"/>
      <c r="W222" s="112"/>
      <c r="X222" s="107"/>
      <c r="Y222" s="107">
        <f t="shared" si="10"/>
        <v>100</v>
      </c>
      <c r="Z222" s="107">
        <f t="shared" si="11"/>
        <v>100</v>
      </c>
    </row>
    <row r="223" spans="1:26" x14ac:dyDescent="0.25">
      <c r="A223" s="55" t="str">
        <f>_xlfn.XLOOKUP($G223,'.Auxiliar'!$G:$G,'.Auxiliar'!A:A,"-",0)</f>
        <v>CONCESSÃO VIA SUL</v>
      </c>
      <c r="B223" s="55" t="str">
        <f>_xlfn.XLOOKUP($G223,'.Auxiliar'!$G:$G,'.Auxiliar'!B:B,"-",0)</f>
        <v>OAE</v>
      </c>
      <c r="C223" s="55" t="str">
        <f>_xlfn.XLOOKUP($G223,'.Auxiliar'!$G:$G,'.Auxiliar'!C:C,"-",0)</f>
        <v>Ponte sobre o Canal DNOS II</v>
      </c>
      <c r="D223" s="55">
        <f>_xlfn.XLOOKUP($G223,'.Auxiliar'!$G:$G,'.Auxiliar'!D:D,"-",0)</f>
        <v>81.099999999999994</v>
      </c>
      <c r="E223" s="55">
        <f>_xlfn.XLOOKUP($G223,'.Auxiliar'!$G:$G,'.Auxiliar'!E:E,"-",0)</f>
        <v>81.099999999999994</v>
      </c>
      <c r="F223" s="55">
        <f>_xlfn.XLOOKUP($G223,'.Auxiliar'!$G:$G,'.Auxiliar'!F:F,"-",0)</f>
        <v>1</v>
      </c>
      <c r="G223" s="59" t="s">
        <v>440</v>
      </c>
      <c r="H223" s="108" t="s">
        <v>363</v>
      </c>
      <c r="I223" s="115" t="s">
        <v>1881</v>
      </c>
      <c r="J223" s="109" t="s">
        <v>0</v>
      </c>
      <c r="K223" s="109" t="s">
        <v>363</v>
      </c>
      <c r="L223" s="109" t="s">
        <v>0</v>
      </c>
      <c r="M223" s="109" t="s">
        <v>0</v>
      </c>
      <c r="N223" s="110" t="s">
        <v>0</v>
      </c>
      <c r="O223" s="111">
        <v>72</v>
      </c>
      <c r="P223" s="112">
        <v>0</v>
      </c>
      <c r="Q223" s="112">
        <v>28</v>
      </c>
      <c r="R223" s="112">
        <v>100</v>
      </c>
      <c r="S223" s="95"/>
      <c r="T223" s="112"/>
      <c r="U223" s="95">
        <f t="shared" si="9"/>
        <v>0</v>
      </c>
      <c r="V223" s="112"/>
      <c r="W223" s="112"/>
      <c r="X223" s="107"/>
      <c r="Y223" s="107">
        <f t="shared" si="10"/>
        <v>100</v>
      </c>
      <c r="Z223" s="107">
        <f t="shared" si="11"/>
        <v>100</v>
      </c>
    </row>
    <row r="224" spans="1:26" x14ac:dyDescent="0.25">
      <c r="A224" s="55" t="str">
        <f>_xlfn.XLOOKUP($G224,'.Auxiliar'!$G:$G,'.Auxiliar'!A:A,"-",0)</f>
        <v>CONCESSÃO VIA SUL</v>
      </c>
      <c r="B224" s="55" t="str">
        <f>_xlfn.XLOOKUP($G224,'.Auxiliar'!$G:$G,'.Auxiliar'!B:B,"-",0)</f>
        <v>OAE</v>
      </c>
      <c r="C224" s="55" t="str">
        <f>_xlfn.XLOOKUP($G224,'.Auxiliar'!$G:$G,'.Auxiliar'!C:C,"-",0)</f>
        <v>Ponte sobre o Rio Mampituba</v>
      </c>
      <c r="D224" s="55">
        <f>_xlfn.XLOOKUP($G224,'.Auxiliar'!$G:$G,'.Auxiliar'!D:D,"-",0)</f>
        <v>0</v>
      </c>
      <c r="E224" s="55">
        <f>_xlfn.XLOOKUP($G224,'.Auxiliar'!$G:$G,'.Auxiliar'!E:E,"-",0)</f>
        <v>0</v>
      </c>
      <c r="F224" s="55">
        <f>_xlfn.XLOOKUP($G224,'.Auxiliar'!$G:$G,'.Auxiliar'!F:F,"-",0)</f>
        <v>1</v>
      </c>
      <c r="G224" s="59" t="s">
        <v>433</v>
      </c>
      <c r="H224" s="108" t="s">
        <v>363</v>
      </c>
      <c r="I224" s="115" t="s">
        <v>1881</v>
      </c>
      <c r="J224" s="109" t="s">
        <v>0</v>
      </c>
      <c r="K224" s="109" t="s">
        <v>363</v>
      </c>
      <c r="L224" s="109" t="s">
        <v>0</v>
      </c>
      <c r="M224" s="109" t="s">
        <v>0</v>
      </c>
      <c r="N224" s="110" t="s">
        <v>0</v>
      </c>
      <c r="O224" s="111">
        <v>87</v>
      </c>
      <c r="P224" s="112">
        <v>37.840000000000003</v>
      </c>
      <c r="Q224" s="112">
        <v>13</v>
      </c>
      <c r="R224" s="112">
        <v>62.16</v>
      </c>
      <c r="S224" s="112"/>
      <c r="T224" s="112"/>
      <c r="U224" s="95">
        <f t="shared" si="9"/>
        <v>0</v>
      </c>
      <c r="V224" s="112"/>
      <c r="W224" s="112"/>
      <c r="X224" s="107"/>
      <c r="Y224" s="107">
        <f t="shared" si="10"/>
        <v>100</v>
      </c>
      <c r="Z224" s="107">
        <f t="shared" si="11"/>
        <v>100</v>
      </c>
    </row>
    <row r="225" spans="1:26" x14ac:dyDescent="0.25">
      <c r="A225" s="55" t="str">
        <f>_xlfn.XLOOKUP($G225,'.Auxiliar'!$G:$G,'.Auxiliar'!A:A,"-",0)</f>
        <v>CONCESSÃO VIA SUL</v>
      </c>
      <c r="B225" s="55" t="str">
        <f>_xlfn.XLOOKUP($G225,'.Auxiliar'!$G:$G,'.Auxiliar'!B:B,"-",0)</f>
        <v>OAE</v>
      </c>
      <c r="C225" s="55" t="str">
        <f>_xlfn.XLOOKUP($G225,'.Auxiliar'!$G:$G,'.Auxiliar'!C:C,"-",0)</f>
        <v>Ponte sobre o Rio Sanga Funda</v>
      </c>
      <c r="D225" s="55">
        <f>_xlfn.XLOOKUP($G225,'.Auxiliar'!$G:$G,'.Auxiliar'!D:D,"-",0)</f>
        <v>52.93</v>
      </c>
      <c r="E225" s="55">
        <f>_xlfn.XLOOKUP($G225,'.Auxiliar'!$G:$G,'.Auxiliar'!E:E,"-",0)</f>
        <v>52.93</v>
      </c>
      <c r="F225" s="55">
        <f>_xlfn.XLOOKUP($G225,'.Auxiliar'!$G:$G,'.Auxiliar'!F:F,"-",0)</f>
        <v>1</v>
      </c>
      <c r="G225" s="59" t="s">
        <v>434</v>
      </c>
      <c r="H225" s="108" t="s">
        <v>363</v>
      </c>
      <c r="I225" s="115" t="s">
        <v>1881</v>
      </c>
      <c r="J225" s="109" t="s">
        <v>0</v>
      </c>
      <c r="K225" s="109" t="s">
        <v>363</v>
      </c>
      <c r="L225" s="109" t="s">
        <v>0</v>
      </c>
      <c r="M225" s="109" t="s">
        <v>0</v>
      </c>
      <c r="N225" s="110" t="s">
        <v>0</v>
      </c>
      <c r="O225" s="111">
        <v>87</v>
      </c>
      <c r="P225" s="112">
        <v>65.650000000000006</v>
      </c>
      <c r="Q225" s="112">
        <v>13</v>
      </c>
      <c r="R225" s="112">
        <v>34.35</v>
      </c>
      <c r="S225" s="112"/>
      <c r="T225" s="112"/>
      <c r="U225" s="95">
        <f t="shared" si="9"/>
        <v>0</v>
      </c>
      <c r="V225" s="112"/>
      <c r="W225" s="112"/>
      <c r="X225" s="107"/>
      <c r="Y225" s="107">
        <f t="shared" si="10"/>
        <v>100</v>
      </c>
      <c r="Z225" s="107">
        <f t="shared" si="11"/>
        <v>100</v>
      </c>
    </row>
    <row r="226" spans="1:26" x14ac:dyDescent="0.25">
      <c r="A226" s="55" t="str">
        <f>_xlfn.XLOOKUP($G226,'.Auxiliar'!$G:$G,'.Auxiliar'!A:A,"-",0)</f>
        <v>CONCESSÃO VIA SUL</v>
      </c>
      <c r="B226" s="55" t="str">
        <f>_xlfn.XLOOKUP($G226,'.Auxiliar'!$G:$G,'.Auxiliar'!B:B,"-",0)</f>
        <v>PAVIMENTAÇÃO</v>
      </c>
      <c r="C226" s="55" t="str">
        <f>_xlfn.XLOOKUP($G226,'.Auxiliar'!$G:$G,'.Auxiliar'!C:C,"-",0)</f>
        <v>Estrela (Direita)</v>
      </c>
      <c r="D226" s="55">
        <f>_xlfn.XLOOKUP($G226,'.Auxiliar'!$G:$G,'.Auxiliar'!D:D,"-",0)</f>
        <v>349.6</v>
      </c>
      <c r="E226" s="55">
        <f>_xlfn.XLOOKUP($G226,'.Auxiliar'!$G:$G,'.Auxiliar'!E:E,"-",0)</f>
        <v>360.3</v>
      </c>
      <c r="F226" s="55">
        <f>_xlfn.XLOOKUP($G226,'.Auxiliar'!$G:$G,'.Auxiliar'!F:F,"-",0)</f>
        <v>10.699999999999989</v>
      </c>
      <c r="G226" s="59" t="s">
        <v>1064</v>
      </c>
      <c r="H226" s="108" t="s">
        <v>0</v>
      </c>
      <c r="I226" s="109" t="s">
        <v>0</v>
      </c>
      <c r="J226" s="109" t="s">
        <v>0</v>
      </c>
      <c r="K226" s="109" t="s">
        <v>0</v>
      </c>
      <c r="L226" s="109" t="s">
        <v>0</v>
      </c>
      <c r="M226" s="109" t="s">
        <v>0</v>
      </c>
      <c r="N226" s="110" t="s">
        <v>363</v>
      </c>
      <c r="O226" s="111"/>
      <c r="P226" s="112"/>
      <c r="Q226" s="112"/>
      <c r="R226" s="112"/>
      <c r="S226" s="112"/>
      <c r="T226" s="112"/>
      <c r="U226" s="95" t="str">
        <f t="shared" si="9"/>
        <v/>
      </c>
      <c r="V226" s="112"/>
      <c r="W226" s="112"/>
      <c r="X226" s="107">
        <v>100</v>
      </c>
      <c r="Y226" s="107">
        <f t="shared" si="10"/>
        <v>100</v>
      </c>
      <c r="Z226" s="107">
        <f t="shared" si="11"/>
        <v>0</v>
      </c>
    </row>
    <row r="227" spans="1:26" x14ac:dyDescent="0.25">
      <c r="A227" s="55" t="str">
        <f>_xlfn.XLOOKUP($G227,'.Auxiliar'!$G:$G,'.Auxiliar'!A:A,"-",0)</f>
        <v>CONCESSÃO VIA SUL</v>
      </c>
      <c r="B227" s="55" t="str">
        <f>_xlfn.XLOOKUP($G227,'.Auxiliar'!$G:$G,'.Auxiliar'!B:B,"-",0)</f>
        <v>PAVIMENTAÇÃO</v>
      </c>
      <c r="C227" s="55" t="str">
        <f>_xlfn.XLOOKUP($G227,'.Auxiliar'!$G:$G,'.Auxiliar'!C:C,"-",0)</f>
        <v>Estrela (esquerda)</v>
      </c>
      <c r="D227" s="55">
        <f>_xlfn.XLOOKUP($G227,'.Auxiliar'!$G:$G,'.Auxiliar'!D:D,"-",0)</f>
        <v>349.6</v>
      </c>
      <c r="E227" s="55">
        <f>_xlfn.XLOOKUP($G227,'.Auxiliar'!$G:$G,'.Auxiliar'!E:E,"-",0)</f>
        <v>360.3</v>
      </c>
      <c r="F227" s="55">
        <f>_xlfn.XLOOKUP($G227,'.Auxiliar'!$G:$G,'.Auxiliar'!F:F,"-",0)</f>
        <v>10.699999999999989</v>
      </c>
      <c r="G227" s="59" t="s">
        <v>1063</v>
      </c>
      <c r="H227" s="108" t="s">
        <v>0</v>
      </c>
      <c r="I227" s="109" t="s">
        <v>0</v>
      </c>
      <c r="J227" s="109" t="s">
        <v>0</v>
      </c>
      <c r="K227" s="109" t="s">
        <v>0</v>
      </c>
      <c r="L227" s="109" t="s">
        <v>0</v>
      </c>
      <c r="M227" s="109" t="s">
        <v>0</v>
      </c>
      <c r="N227" s="110" t="s">
        <v>363</v>
      </c>
      <c r="O227" s="111"/>
      <c r="P227" s="112"/>
      <c r="Q227" s="112"/>
      <c r="R227" s="112"/>
      <c r="S227" s="112"/>
      <c r="T227" s="112"/>
      <c r="U227" s="95" t="str">
        <f t="shared" si="9"/>
        <v/>
      </c>
      <c r="V227" s="112"/>
      <c r="W227" s="112"/>
      <c r="X227" s="107">
        <v>100</v>
      </c>
      <c r="Y227" s="107">
        <f t="shared" si="10"/>
        <v>100</v>
      </c>
      <c r="Z227" s="107">
        <f t="shared" si="11"/>
        <v>0</v>
      </c>
    </row>
    <row r="228" spans="1:26" x14ac:dyDescent="0.25">
      <c r="A228" s="55" t="str">
        <f>_xlfn.XLOOKUP($G228,'.Auxiliar'!$G:$G,'.Auxiliar'!A:A,"-",0)</f>
        <v>CONCESSÃO VIA SUL</v>
      </c>
      <c r="B228" s="55" t="str">
        <f>_xlfn.XLOOKUP($G228,'.Auxiliar'!$G:$G,'.Auxiliar'!B:B,"-",0)</f>
        <v>PAVIMENTAÇÃO</v>
      </c>
      <c r="C228" s="55" t="str">
        <f>_xlfn.XLOOKUP($G228,'.Auxiliar'!$G:$G,'.Auxiliar'!C:C,"-",0)</f>
        <v>Nova Santa Rita (Direita)</v>
      </c>
      <c r="D228" s="55">
        <f>_xlfn.XLOOKUP($G228,'.Auxiliar'!$G:$G,'.Auxiliar'!D:D,"-",0)</f>
        <v>430.5</v>
      </c>
      <c r="E228" s="55">
        <f>_xlfn.XLOOKUP($G228,'.Auxiliar'!$G:$G,'.Auxiliar'!E:E,"-",0)</f>
        <v>437</v>
      </c>
      <c r="F228" s="55">
        <f>_xlfn.XLOOKUP($G228,'.Auxiliar'!$G:$G,'.Auxiliar'!F:F,"-",0)</f>
        <v>6.5</v>
      </c>
      <c r="G228" s="59" t="s">
        <v>1073</v>
      </c>
      <c r="H228" s="108" t="s">
        <v>0</v>
      </c>
      <c r="I228" s="109" t="s">
        <v>0</v>
      </c>
      <c r="J228" s="109" t="s">
        <v>0</v>
      </c>
      <c r="K228" s="109" t="s">
        <v>0</v>
      </c>
      <c r="L228" s="109" t="s">
        <v>0</v>
      </c>
      <c r="M228" s="109" t="s">
        <v>0</v>
      </c>
      <c r="N228" s="110" t="s">
        <v>363</v>
      </c>
      <c r="O228" s="111"/>
      <c r="P228" s="112"/>
      <c r="Q228" s="112"/>
      <c r="R228" s="112"/>
      <c r="S228" s="112"/>
      <c r="T228" s="112"/>
      <c r="U228" s="95" t="str">
        <f t="shared" si="9"/>
        <v/>
      </c>
      <c r="V228" s="112"/>
      <c r="W228" s="112"/>
      <c r="X228" s="107">
        <v>100</v>
      </c>
      <c r="Y228" s="107">
        <f t="shared" si="10"/>
        <v>100</v>
      </c>
      <c r="Z228" s="107">
        <f t="shared" si="11"/>
        <v>0</v>
      </c>
    </row>
    <row r="229" spans="1:26" x14ac:dyDescent="0.25">
      <c r="A229" s="55" t="str">
        <f>_xlfn.XLOOKUP($G229,'.Auxiliar'!$G:$G,'.Auxiliar'!A:A,"-",0)</f>
        <v>CONCESSÃO VIA SUL</v>
      </c>
      <c r="B229" s="55" t="str">
        <f>_xlfn.XLOOKUP($G229,'.Auxiliar'!$G:$G,'.Auxiliar'!B:B,"-",0)</f>
        <v>PAVIMENTAÇÃO</v>
      </c>
      <c r="C229" s="55" t="str">
        <f>_xlfn.XLOOKUP($G229,'.Auxiliar'!$G:$G,'.Auxiliar'!C:C,"-",0)</f>
        <v>Nova Santa Rita (Esquerda)</v>
      </c>
      <c r="D229" s="55">
        <f>_xlfn.XLOOKUP($G229,'.Auxiliar'!$G:$G,'.Auxiliar'!D:D,"-",0)</f>
        <v>430.5</v>
      </c>
      <c r="E229" s="55">
        <f>_xlfn.XLOOKUP($G229,'.Auxiliar'!$G:$G,'.Auxiliar'!E:E,"-",0)</f>
        <v>437</v>
      </c>
      <c r="F229" s="55">
        <f>_xlfn.XLOOKUP($G229,'.Auxiliar'!$G:$G,'.Auxiliar'!F:F,"-",0)</f>
        <v>6.5</v>
      </c>
      <c r="G229" s="59" t="s">
        <v>1072</v>
      </c>
      <c r="H229" s="108" t="s">
        <v>0</v>
      </c>
      <c r="I229" s="109" t="s">
        <v>0</v>
      </c>
      <c r="J229" s="109" t="s">
        <v>0</v>
      </c>
      <c r="K229" s="109" t="s">
        <v>0</v>
      </c>
      <c r="L229" s="109" t="s">
        <v>0</v>
      </c>
      <c r="M229" s="109" t="s">
        <v>0</v>
      </c>
      <c r="N229" s="110" t="s">
        <v>363</v>
      </c>
      <c r="O229" s="111"/>
      <c r="P229" s="112"/>
      <c r="Q229" s="112"/>
      <c r="R229" s="112"/>
      <c r="S229" s="112"/>
      <c r="T229" s="112"/>
      <c r="U229" s="95" t="str">
        <f t="shared" si="9"/>
        <v/>
      </c>
      <c r="V229" s="112"/>
      <c r="W229" s="112"/>
      <c r="X229" s="107">
        <v>100</v>
      </c>
      <c r="Y229" s="107">
        <f t="shared" si="10"/>
        <v>100</v>
      </c>
      <c r="Z229" s="107">
        <f t="shared" si="11"/>
        <v>0</v>
      </c>
    </row>
    <row r="230" spans="1:26" x14ac:dyDescent="0.25">
      <c r="A230" s="55" t="str">
        <f>_xlfn.XLOOKUP($G230,'.Auxiliar'!$G:$G,'.Auxiliar'!A:A,"-",0)</f>
        <v>CONCESSÃO VIA SUL</v>
      </c>
      <c r="B230" s="55" t="str">
        <f>_xlfn.XLOOKUP($G230,'.Auxiliar'!$G:$G,'.Auxiliar'!B:B,"-",0)</f>
        <v>PAVIMENTAÇÃO</v>
      </c>
      <c r="C230" s="55" t="str">
        <f>_xlfn.XLOOKUP($G230,'.Auxiliar'!$G:$G,'.Auxiliar'!C:C,"-",0)</f>
        <v>São José do Herval (Direita)</v>
      </c>
      <c r="D230" s="55">
        <f>_xlfn.XLOOKUP($G230,'.Auxiliar'!$G:$G,'.Auxiliar'!D:D,"-",0)</f>
        <v>279.60000000000002</v>
      </c>
      <c r="E230" s="55">
        <f>_xlfn.XLOOKUP($G230,'.Auxiliar'!$G:$G,'.Auxiliar'!E:E,"-",0)</f>
        <v>280.5</v>
      </c>
      <c r="F230" s="55">
        <f>_xlfn.XLOOKUP($G230,'.Auxiliar'!$G:$G,'.Auxiliar'!F:F,"-",0)</f>
        <v>0.89999999999997726</v>
      </c>
      <c r="G230" s="59" t="s">
        <v>1062</v>
      </c>
      <c r="H230" s="108" t="s">
        <v>0</v>
      </c>
      <c r="I230" s="109" t="s">
        <v>0</v>
      </c>
      <c r="J230" s="109" t="s">
        <v>0</v>
      </c>
      <c r="K230" s="109" t="s">
        <v>0</v>
      </c>
      <c r="L230" s="109" t="s">
        <v>0</v>
      </c>
      <c r="M230" s="109" t="s">
        <v>0</v>
      </c>
      <c r="N230" s="110" t="s">
        <v>363</v>
      </c>
      <c r="O230" s="111"/>
      <c r="P230" s="112"/>
      <c r="Q230" s="112"/>
      <c r="R230" s="112"/>
      <c r="S230" s="112"/>
      <c r="T230" s="112"/>
      <c r="U230" s="95" t="str">
        <f t="shared" si="9"/>
        <v/>
      </c>
      <c r="V230" s="112"/>
      <c r="W230" s="112"/>
      <c r="X230" s="107">
        <v>100</v>
      </c>
      <c r="Y230" s="107">
        <f t="shared" si="10"/>
        <v>100</v>
      </c>
      <c r="Z230" s="107">
        <f t="shared" si="11"/>
        <v>0</v>
      </c>
    </row>
    <row r="231" spans="1:26" x14ac:dyDescent="0.25">
      <c r="A231" s="55" t="str">
        <f>_xlfn.XLOOKUP($G231,'.Auxiliar'!$G:$G,'.Auxiliar'!A:A,"-",0)</f>
        <v>CONCESSÃO VIA SUL</v>
      </c>
      <c r="B231" s="55" t="str">
        <f>_xlfn.XLOOKUP($G231,'.Auxiliar'!$G:$G,'.Auxiliar'!B:B,"-",0)</f>
        <v>PAVIMENTAÇÃO</v>
      </c>
      <c r="C231" s="55" t="str">
        <f>_xlfn.XLOOKUP($G231,'.Auxiliar'!$G:$G,'.Auxiliar'!C:C,"-",0)</f>
        <v>Tabaí ( (esquerda)</v>
      </c>
      <c r="D231" s="55">
        <f>_xlfn.XLOOKUP($G231,'.Auxiliar'!$G:$G,'.Auxiliar'!D:D,"-",0)</f>
        <v>383.9</v>
      </c>
      <c r="E231" s="55">
        <f>_xlfn.XLOOKUP($G231,'.Auxiliar'!$G:$G,'.Auxiliar'!E:E,"-",0)</f>
        <v>385.3</v>
      </c>
      <c r="F231" s="55">
        <f>_xlfn.XLOOKUP($G231,'.Auxiliar'!$G:$G,'.Auxiliar'!F:F,"-",0)</f>
        <v>1.4000000000000341</v>
      </c>
      <c r="G231" s="59" t="s">
        <v>1065</v>
      </c>
      <c r="H231" s="108" t="s">
        <v>0</v>
      </c>
      <c r="I231" s="109" t="s">
        <v>0</v>
      </c>
      <c r="J231" s="109" t="s">
        <v>0</v>
      </c>
      <c r="K231" s="109" t="s">
        <v>0</v>
      </c>
      <c r="L231" s="109" t="s">
        <v>0</v>
      </c>
      <c r="M231" s="109" t="s">
        <v>0</v>
      </c>
      <c r="N231" s="110" t="s">
        <v>363</v>
      </c>
      <c r="O231" s="111"/>
      <c r="P231" s="112"/>
      <c r="Q231" s="112"/>
      <c r="R231" s="112"/>
      <c r="S231" s="112"/>
      <c r="T231" s="112"/>
      <c r="U231" s="95" t="str">
        <f t="shared" si="9"/>
        <v/>
      </c>
      <c r="V231" s="112"/>
      <c r="W231" s="112"/>
      <c r="X231" s="107">
        <v>100</v>
      </c>
      <c r="Y231" s="107">
        <f t="shared" si="10"/>
        <v>100</v>
      </c>
      <c r="Z231" s="107">
        <f t="shared" si="11"/>
        <v>0</v>
      </c>
    </row>
    <row r="232" spans="1:26" x14ac:dyDescent="0.25">
      <c r="A232" s="55" t="str">
        <f>_xlfn.XLOOKUP($G232,'.Auxiliar'!$G:$G,'.Auxiliar'!A:A,"-",0)</f>
        <v>CONCESSÃO VIA SUL</v>
      </c>
      <c r="B232" s="55" t="str">
        <f>_xlfn.XLOOKUP($G232,'.Auxiliar'!$G:$G,'.Auxiliar'!B:B,"-",0)</f>
        <v>PAVIMENTAÇÃO</v>
      </c>
      <c r="C232" s="55" t="str">
        <f>_xlfn.XLOOKUP($G232,'.Auxiliar'!$G:$G,'.Auxiliar'!C:C,"-",0)</f>
        <v>Tio Hugo (Direito)</v>
      </c>
      <c r="D232" s="55">
        <f>_xlfn.XLOOKUP($G232,'.Auxiliar'!$G:$G,'.Auxiliar'!D:D,"-",0)</f>
        <v>213.4</v>
      </c>
      <c r="E232" s="55">
        <f>_xlfn.XLOOKUP($G232,'.Auxiliar'!$G:$G,'.Auxiliar'!E:E,"-",0)</f>
        <v>214.7</v>
      </c>
      <c r="F232" s="55">
        <f>_xlfn.XLOOKUP($G232,'.Auxiliar'!$G:$G,'.Auxiliar'!F:F,"-",0)</f>
        <v>1.2999999999999829</v>
      </c>
      <c r="G232" s="59" t="s">
        <v>862</v>
      </c>
      <c r="H232" s="108" t="s">
        <v>0</v>
      </c>
      <c r="I232" s="109" t="s">
        <v>0</v>
      </c>
      <c r="J232" s="109" t="s">
        <v>363</v>
      </c>
      <c r="K232" s="109" t="s">
        <v>0</v>
      </c>
      <c r="L232" s="109" t="s">
        <v>363</v>
      </c>
      <c r="M232" s="109" t="s">
        <v>0</v>
      </c>
      <c r="N232" s="110" t="s">
        <v>0</v>
      </c>
      <c r="O232" s="111"/>
      <c r="P232" s="112"/>
      <c r="Q232" s="112"/>
      <c r="R232" s="112"/>
      <c r="S232" s="95"/>
      <c r="T232" s="112"/>
      <c r="U232" s="95" t="str">
        <f t="shared" si="9"/>
        <v/>
      </c>
      <c r="V232" s="112">
        <v>100</v>
      </c>
      <c r="W232" s="112"/>
      <c r="X232" s="107"/>
      <c r="Y232" s="107">
        <f t="shared" si="10"/>
        <v>100</v>
      </c>
      <c r="Z232" s="107">
        <f t="shared" si="11"/>
        <v>0</v>
      </c>
    </row>
    <row r="233" spans="1:26" x14ac:dyDescent="0.25">
      <c r="A233" s="55" t="str">
        <f>_xlfn.XLOOKUP($G233,'.Auxiliar'!$G:$G,'.Auxiliar'!A:A,"-",0)</f>
        <v>CONCESSÃO VIA SUL</v>
      </c>
      <c r="B233" s="55" t="str">
        <f>_xlfn.XLOOKUP($G233,'.Auxiliar'!$G:$G,'.Auxiliar'!B:B,"-",0)</f>
        <v>PAVIMENTAÇÃO</v>
      </c>
      <c r="C233" s="55" t="str">
        <f>_xlfn.XLOOKUP($G233,'.Auxiliar'!$G:$G,'.Auxiliar'!C:C,"-",0)</f>
        <v>Tio Hugo (Esquerdo)</v>
      </c>
      <c r="D233" s="55">
        <f>_xlfn.XLOOKUP($G233,'.Auxiliar'!$G:$G,'.Auxiliar'!D:D,"-",0)</f>
        <v>213.4</v>
      </c>
      <c r="E233" s="55">
        <f>_xlfn.XLOOKUP($G233,'.Auxiliar'!$G:$G,'.Auxiliar'!E:E,"-",0)</f>
        <v>214.7</v>
      </c>
      <c r="F233" s="55">
        <f>_xlfn.XLOOKUP($G233,'.Auxiliar'!$G:$G,'.Auxiliar'!F:F,"-",0)</f>
        <v>1.2999999999999829</v>
      </c>
      <c r="G233" s="59" t="s">
        <v>861</v>
      </c>
      <c r="H233" s="108" t="s">
        <v>0</v>
      </c>
      <c r="I233" s="109" t="s">
        <v>0</v>
      </c>
      <c r="J233" s="109" t="s">
        <v>363</v>
      </c>
      <c r="K233" s="109" t="s">
        <v>0</v>
      </c>
      <c r="L233" s="109" t="s">
        <v>363</v>
      </c>
      <c r="M233" s="109" t="s">
        <v>0</v>
      </c>
      <c r="N233" s="110" t="s">
        <v>0</v>
      </c>
      <c r="O233" s="111"/>
      <c r="P233" s="112"/>
      <c r="Q233" s="112"/>
      <c r="R233" s="112"/>
      <c r="S233" s="95"/>
      <c r="T233" s="112"/>
      <c r="U233" s="95" t="str">
        <f t="shared" si="9"/>
        <v/>
      </c>
      <c r="V233" s="112">
        <v>100</v>
      </c>
      <c r="W233" s="112"/>
      <c r="X233" s="107"/>
      <c r="Y233" s="107">
        <f t="shared" si="10"/>
        <v>100</v>
      </c>
      <c r="Z233" s="107">
        <f t="shared" si="11"/>
        <v>0</v>
      </c>
    </row>
    <row r="234" spans="1:26" x14ac:dyDescent="0.25">
      <c r="A234" s="55" t="str">
        <f>_xlfn.XLOOKUP($G234,'.Auxiliar'!$G:$G,'.Auxiliar'!A:A,"-",0)</f>
        <v>CONCESSÃO VIA SUL</v>
      </c>
      <c r="B234" s="55" t="str">
        <f>_xlfn.XLOOKUP($G234,'.Auxiliar'!$G:$G,'.Auxiliar'!B:B,"-",0)</f>
        <v>PAVIMENTAÇÃO</v>
      </c>
      <c r="C234" s="55" t="str">
        <f>_xlfn.XLOOKUP($G234,'.Auxiliar'!$G:$G,'.Auxiliar'!C:C,"-",0)</f>
        <v>Triunfo (direita)</v>
      </c>
      <c r="D234" s="55">
        <f>_xlfn.XLOOKUP($G234,'.Auxiliar'!$G:$G,'.Auxiliar'!D:D,"-",0)</f>
        <v>385.9</v>
      </c>
      <c r="E234" s="55">
        <f>_xlfn.XLOOKUP($G234,'.Auxiliar'!$G:$G,'.Auxiliar'!E:E,"-",0)</f>
        <v>386.4</v>
      </c>
      <c r="F234" s="55">
        <f>_xlfn.XLOOKUP($G234,'.Auxiliar'!$G:$G,'.Auxiliar'!F:F,"-",0)</f>
        <v>0.5</v>
      </c>
      <c r="G234" s="59" t="s">
        <v>1067</v>
      </c>
      <c r="H234" s="108" t="s">
        <v>0</v>
      </c>
      <c r="I234" s="109" t="s">
        <v>0</v>
      </c>
      <c r="J234" s="109" t="s">
        <v>0</v>
      </c>
      <c r="K234" s="109" t="s">
        <v>0</v>
      </c>
      <c r="L234" s="109" t="s">
        <v>0</v>
      </c>
      <c r="M234" s="109" t="s">
        <v>0</v>
      </c>
      <c r="N234" s="110" t="s">
        <v>363</v>
      </c>
      <c r="O234" s="111"/>
      <c r="P234" s="112"/>
      <c r="Q234" s="112"/>
      <c r="R234" s="112"/>
      <c r="S234" s="112"/>
      <c r="T234" s="112"/>
      <c r="U234" s="95" t="str">
        <f t="shared" si="9"/>
        <v/>
      </c>
      <c r="V234" s="112"/>
      <c r="W234" s="112"/>
      <c r="X234" s="107">
        <v>100</v>
      </c>
      <c r="Y234" s="107">
        <f t="shared" si="10"/>
        <v>100</v>
      </c>
      <c r="Z234" s="107">
        <f t="shared" si="11"/>
        <v>0</v>
      </c>
    </row>
    <row r="235" spans="1:26" x14ac:dyDescent="0.25">
      <c r="A235" s="55" t="str">
        <f>_xlfn.XLOOKUP($G235,'.Auxiliar'!$G:$G,'.Auxiliar'!A:A,"-",0)</f>
        <v>CONCESSÃO VIA SUL</v>
      </c>
      <c r="B235" s="55" t="str">
        <f>_xlfn.XLOOKUP($G235,'.Auxiliar'!$G:$G,'.Auxiliar'!B:B,"-",0)</f>
        <v>PAVIMENTAÇÃO</v>
      </c>
      <c r="C235" s="55" t="str">
        <f>_xlfn.XLOOKUP($G235,'.Auxiliar'!$G:$G,'.Auxiliar'!C:C,"-",0)</f>
        <v>Triunfo (direita)</v>
      </c>
      <c r="D235" s="55">
        <f>_xlfn.XLOOKUP($G235,'.Auxiliar'!$G:$G,'.Auxiliar'!D:D,"-",0)</f>
        <v>386.4</v>
      </c>
      <c r="E235" s="55">
        <f>_xlfn.XLOOKUP($G235,'.Auxiliar'!$G:$G,'.Auxiliar'!E:E,"-",0)</f>
        <v>388.4</v>
      </c>
      <c r="F235" s="55">
        <f>_xlfn.XLOOKUP($G235,'.Auxiliar'!$G:$G,'.Auxiliar'!F:F,"-",0)</f>
        <v>2</v>
      </c>
      <c r="G235" s="59" t="s">
        <v>1069</v>
      </c>
      <c r="H235" s="108" t="s">
        <v>0</v>
      </c>
      <c r="I235" s="109" t="s">
        <v>0</v>
      </c>
      <c r="J235" s="109" t="s">
        <v>0</v>
      </c>
      <c r="K235" s="109" t="s">
        <v>0</v>
      </c>
      <c r="L235" s="109" t="s">
        <v>0</v>
      </c>
      <c r="M235" s="109" t="s">
        <v>0</v>
      </c>
      <c r="N235" s="110" t="s">
        <v>363</v>
      </c>
      <c r="O235" s="111"/>
      <c r="P235" s="112"/>
      <c r="Q235" s="112"/>
      <c r="R235" s="112"/>
      <c r="S235" s="112"/>
      <c r="T235" s="112"/>
      <c r="U235" s="95" t="str">
        <f t="shared" si="9"/>
        <v/>
      </c>
      <c r="V235" s="112"/>
      <c r="W235" s="112"/>
      <c r="X235" s="107">
        <v>100</v>
      </c>
      <c r="Y235" s="107">
        <f t="shared" si="10"/>
        <v>100</v>
      </c>
      <c r="Z235" s="107">
        <f t="shared" si="11"/>
        <v>0</v>
      </c>
    </row>
    <row r="236" spans="1:26" x14ac:dyDescent="0.25">
      <c r="A236" s="55" t="str">
        <f>_xlfn.XLOOKUP($G236,'.Auxiliar'!$G:$G,'.Auxiliar'!A:A,"-",0)</f>
        <v>CONCESSÃO VIA SUL</v>
      </c>
      <c r="B236" s="55" t="str">
        <f>_xlfn.XLOOKUP($G236,'.Auxiliar'!$G:$G,'.Auxiliar'!B:B,"-",0)</f>
        <v>PAVIMENTAÇÃO</v>
      </c>
      <c r="C236" s="55" t="str">
        <f>_xlfn.XLOOKUP($G236,'.Auxiliar'!$G:$G,'.Auxiliar'!C:C,"-",0)</f>
        <v>Triunfo (esquerdo)</v>
      </c>
      <c r="D236" s="55">
        <f>_xlfn.XLOOKUP($G236,'.Auxiliar'!$G:$G,'.Auxiliar'!D:D,"-",0)</f>
        <v>385.9</v>
      </c>
      <c r="E236" s="55">
        <f>_xlfn.XLOOKUP($G236,'.Auxiliar'!$G:$G,'.Auxiliar'!E:E,"-",0)</f>
        <v>386.4</v>
      </c>
      <c r="F236" s="55">
        <f>_xlfn.XLOOKUP($G236,'.Auxiliar'!$G:$G,'.Auxiliar'!F:F,"-",0)</f>
        <v>0.5</v>
      </c>
      <c r="G236" s="59" t="s">
        <v>1066</v>
      </c>
      <c r="H236" s="108" t="s">
        <v>0</v>
      </c>
      <c r="I236" s="109" t="s">
        <v>0</v>
      </c>
      <c r="J236" s="109" t="s">
        <v>0</v>
      </c>
      <c r="K236" s="109" t="s">
        <v>0</v>
      </c>
      <c r="L236" s="109" t="s">
        <v>0</v>
      </c>
      <c r="M236" s="109" t="s">
        <v>0</v>
      </c>
      <c r="N236" s="110" t="s">
        <v>363</v>
      </c>
      <c r="O236" s="111"/>
      <c r="P236" s="112"/>
      <c r="Q236" s="112"/>
      <c r="R236" s="112"/>
      <c r="S236" s="112"/>
      <c r="T236" s="112"/>
      <c r="U236" s="95" t="str">
        <f t="shared" si="9"/>
        <v/>
      </c>
      <c r="V236" s="112"/>
      <c r="W236" s="112"/>
      <c r="X236" s="107">
        <v>100</v>
      </c>
      <c r="Y236" s="107">
        <f t="shared" si="10"/>
        <v>100</v>
      </c>
      <c r="Z236" s="107">
        <f t="shared" si="11"/>
        <v>0</v>
      </c>
    </row>
    <row r="237" spans="1:26" x14ac:dyDescent="0.25">
      <c r="A237" s="55" t="str">
        <f>_xlfn.XLOOKUP($G237,'.Auxiliar'!$G:$G,'.Auxiliar'!A:A,"-",0)</f>
        <v>CONCESSÃO VIA SUL</v>
      </c>
      <c r="B237" s="55" t="str">
        <f>_xlfn.XLOOKUP($G237,'.Auxiliar'!$G:$G,'.Auxiliar'!B:B,"-",0)</f>
        <v>PAVIMENTAÇÃO</v>
      </c>
      <c r="C237" s="55" t="str">
        <f>_xlfn.XLOOKUP($G237,'.Auxiliar'!$G:$G,'.Auxiliar'!C:C,"-",0)</f>
        <v>Triunfo (esquerdo)</v>
      </c>
      <c r="D237" s="55">
        <f>_xlfn.XLOOKUP($G237,'.Auxiliar'!$G:$G,'.Auxiliar'!D:D,"-",0)</f>
        <v>386.4</v>
      </c>
      <c r="E237" s="55">
        <f>_xlfn.XLOOKUP($G237,'.Auxiliar'!$G:$G,'.Auxiliar'!E:E,"-",0)</f>
        <v>388.4</v>
      </c>
      <c r="F237" s="55">
        <f>_xlfn.XLOOKUP($G237,'.Auxiliar'!$G:$G,'.Auxiliar'!F:F,"-",0)</f>
        <v>2</v>
      </c>
      <c r="G237" s="59" t="s">
        <v>1068</v>
      </c>
      <c r="H237" s="108" t="s">
        <v>0</v>
      </c>
      <c r="I237" s="109" t="s">
        <v>0</v>
      </c>
      <c r="J237" s="109" t="s">
        <v>0</v>
      </c>
      <c r="K237" s="109" t="s">
        <v>0</v>
      </c>
      <c r="L237" s="109" t="s">
        <v>0</v>
      </c>
      <c r="M237" s="109" t="s">
        <v>0</v>
      </c>
      <c r="N237" s="110" t="s">
        <v>363</v>
      </c>
      <c r="O237" s="111"/>
      <c r="P237" s="112"/>
      <c r="Q237" s="112"/>
      <c r="R237" s="112"/>
      <c r="S237" s="112"/>
      <c r="T237" s="112"/>
      <c r="U237" s="95" t="str">
        <f t="shared" si="9"/>
        <v/>
      </c>
      <c r="V237" s="112"/>
      <c r="W237" s="112"/>
      <c r="X237" s="107">
        <v>100</v>
      </c>
      <c r="Y237" s="107">
        <f t="shared" si="10"/>
        <v>100</v>
      </c>
      <c r="Z237" s="107">
        <f t="shared" si="11"/>
        <v>0</v>
      </c>
    </row>
    <row r="238" spans="1:26" x14ac:dyDescent="0.25">
      <c r="A238" s="55" t="str">
        <f>_xlfn.XLOOKUP($G238,'.Auxiliar'!$G:$G,'.Auxiliar'!A:A,"-",0)</f>
        <v>CONCESSÃO VIA SUL</v>
      </c>
      <c r="B238" s="55" t="str">
        <f>_xlfn.XLOOKUP($G238,'.Auxiliar'!$G:$G,'.Auxiliar'!B:B,"-",0)</f>
        <v>PAVIMENTAÇÃO</v>
      </c>
      <c r="C238" s="55" t="str">
        <f>_xlfn.XLOOKUP($G238,'.Auxiliar'!$G:$G,'.Auxiliar'!C:C,"-",0)</f>
        <v>Triunfo/Montenegro  (Direito)</v>
      </c>
      <c r="D238" s="55">
        <f>_xlfn.XLOOKUP($G238,'.Auxiliar'!$G:$G,'.Auxiliar'!D:D,"-",0)</f>
        <v>409.5</v>
      </c>
      <c r="E238" s="55">
        <f>_xlfn.XLOOKUP($G238,'.Auxiliar'!$G:$G,'.Auxiliar'!E:E,"-",0)</f>
        <v>411.5</v>
      </c>
      <c r="F238" s="55">
        <f>_xlfn.XLOOKUP($G238,'.Auxiliar'!$G:$G,'.Auxiliar'!F:F,"-",0)</f>
        <v>2</v>
      </c>
      <c r="G238" s="59" t="s">
        <v>1071</v>
      </c>
      <c r="H238" s="108" t="s">
        <v>0</v>
      </c>
      <c r="I238" s="109" t="s">
        <v>0</v>
      </c>
      <c r="J238" s="109" t="s">
        <v>0</v>
      </c>
      <c r="K238" s="109" t="s">
        <v>0</v>
      </c>
      <c r="L238" s="109" t="s">
        <v>0</v>
      </c>
      <c r="M238" s="109" t="s">
        <v>0</v>
      </c>
      <c r="N238" s="110" t="s">
        <v>363</v>
      </c>
      <c r="O238" s="111"/>
      <c r="P238" s="112"/>
      <c r="Q238" s="112"/>
      <c r="R238" s="112"/>
      <c r="S238" s="112"/>
      <c r="T238" s="112"/>
      <c r="U238" s="95" t="str">
        <f t="shared" si="9"/>
        <v/>
      </c>
      <c r="V238" s="112"/>
      <c r="W238" s="112"/>
      <c r="X238" s="107">
        <v>100</v>
      </c>
      <c r="Y238" s="107">
        <f t="shared" si="10"/>
        <v>100</v>
      </c>
      <c r="Z238" s="107">
        <f t="shared" si="11"/>
        <v>0</v>
      </c>
    </row>
    <row r="239" spans="1:26" x14ac:dyDescent="0.25">
      <c r="A239" s="55" t="str">
        <f>_xlfn.XLOOKUP($G239,'.Auxiliar'!$G:$G,'.Auxiliar'!A:A,"-",0)</f>
        <v>CONCESSÃO VIA SUL</v>
      </c>
      <c r="B239" s="55" t="str">
        <f>_xlfn.XLOOKUP($G239,'.Auxiliar'!$G:$G,'.Auxiliar'!B:B,"-",0)</f>
        <v>PAVIMENTAÇÃO</v>
      </c>
      <c r="C239" s="55" t="str">
        <f>_xlfn.XLOOKUP($G239,'.Auxiliar'!$G:$G,'.Auxiliar'!C:C,"-",0)</f>
        <v>Triunfo/Montenegro  (Esquerdo)</v>
      </c>
      <c r="D239" s="55">
        <f>_xlfn.XLOOKUP($G239,'.Auxiliar'!$G:$G,'.Auxiliar'!D:D,"-",0)</f>
        <v>409.5</v>
      </c>
      <c r="E239" s="55">
        <f>_xlfn.XLOOKUP($G239,'.Auxiliar'!$G:$G,'.Auxiliar'!E:E,"-",0)</f>
        <v>411.5</v>
      </c>
      <c r="F239" s="55">
        <f>_xlfn.XLOOKUP($G239,'.Auxiliar'!$G:$G,'.Auxiliar'!F:F,"-",0)</f>
        <v>2</v>
      </c>
      <c r="G239" s="59" t="s">
        <v>1070</v>
      </c>
      <c r="H239" s="108" t="s">
        <v>0</v>
      </c>
      <c r="I239" s="109" t="s">
        <v>0</v>
      </c>
      <c r="J239" s="109" t="s">
        <v>0</v>
      </c>
      <c r="K239" s="109" t="s">
        <v>0</v>
      </c>
      <c r="L239" s="109" t="s">
        <v>0</v>
      </c>
      <c r="M239" s="109" t="s">
        <v>0</v>
      </c>
      <c r="N239" s="110" t="s">
        <v>363</v>
      </c>
      <c r="O239" s="111"/>
      <c r="P239" s="112"/>
      <c r="Q239" s="112"/>
      <c r="R239" s="112"/>
      <c r="S239" s="112"/>
      <c r="T239" s="112"/>
      <c r="U239" s="95" t="str">
        <f t="shared" si="9"/>
        <v/>
      </c>
      <c r="V239" s="112"/>
      <c r="W239" s="112"/>
      <c r="X239" s="107">
        <v>100</v>
      </c>
      <c r="Y239" s="107">
        <f t="shared" si="10"/>
        <v>100</v>
      </c>
      <c r="Z239" s="107">
        <f t="shared" si="11"/>
        <v>0</v>
      </c>
    </row>
    <row r="240" spans="1:26" x14ac:dyDescent="0.25">
      <c r="A240" s="55" t="str">
        <f>_xlfn.XLOOKUP($G240,'.Auxiliar'!$G:$G,'.Auxiliar'!A:A,"-",0)</f>
        <v>CONCESSÃO VIA SUL</v>
      </c>
      <c r="B240" s="55" t="str">
        <f>_xlfn.XLOOKUP($G240,'.Auxiliar'!$G:$G,'.Auxiliar'!B:B,"-",0)</f>
        <v>PAVIMENTAÇÃO</v>
      </c>
      <c r="C240" s="55" t="str">
        <f>_xlfn.XLOOKUP($G240,'.Auxiliar'!$G:$G,'.Auxiliar'!C:C,"-",0)</f>
        <v>Vias marginais - km 243,6 ao km 246,9 LD - Soledade</v>
      </c>
      <c r="D240" s="55">
        <f>_xlfn.XLOOKUP($G240,'.Auxiliar'!$G:$G,'.Auxiliar'!D:D,"-",0)</f>
        <v>243.6</v>
      </c>
      <c r="E240" s="55">
        <f>_xlfn.XLOOKUP($G240,'.Auxiliar'!$G:$G,'.Auxiliar'!E:E,"-",0)</f>
        <v>246.9</v>
      </c>
      <c r="F240" s="55">
        <f>_xlfn.XLOOKUP($G240,'.Auxiliar'!$G:$G,'.Auxiliar'!F:F,"-",0)</f>
        <v>3.3000000000000114</v>
      </c>
      <c r="G240" s="59" t="s">
        <v>807</v>
      </c>
      <c r="H240" s="108" t="s">
        <v>0</v>
      </c>
      <c r="I240" s="109" t="s">
        <v>368</v>
      </c>
      <c r="J240" s="109" t="s">
        <v>363</v>
      </c>
      <c r="K240" s="109" t="s">
        <v>363</v>
      </c>
      <c r="L240" s="109" t="s">
        <v>0</v>
      </c>
      <c r="M240" s="109" t="s">
        <v>0</v>
      </c>
      <c r="N240" s="110" t="s">
        <v>0</v>
      </c>
      <c r="O240" s="111"/>
      <c r="P240" s="112"/>
      <c r="Q240" s="112"/>
      <c r="R240" s="112"/>
      <c r="S240" s="112">
        <v>78</v>
      </c>
      <c r="T240" s="112">
        <v>6.06</v>
      </c>
      <c r="U240" s="95">
        <f t="shared" si="9"/>
        <v>100</v>
      </c>
      <c r="V240" s="112">
        <v>22</v>
      </c>
      <c r="W240" s="112"/>
      <c r="X240" s="107"/>
      <c r="Y240" s="107">
        <f t="shared" si="10"/>
        <v>100</v>
      </c>
      <c r="Z240" s="107">
        <f t="shared" si="11"/>
        <v>6.06</v>
      </c>
    </row>
    <row r="241" spans="1:26" x14ac:dyDescent="0.25">
      <c r="A241" s="55" t="str">
        <f>_xlfn.XLOOKUP($G241,'.Auxiliar'!$G:$G,'.Auxiliar'!A:A,"-",0)</f>
        <v>CONCESSÃO VIA SUL</v>
      </c>
      <c r="B241" s="55" t="str">
        <f>_xlfn.XLOOKUP($G241,'.Auxiliar'!$G:$G,'.Auxiliar'!B:B,"-",0)</f>
        <v>PAVIMENTAÇÃO</v>
      </c>
      <c r="C241" s="55" t="str">
        <f>_xlfn.XLOOKUP($G241,'.Auxiliar'!$G:$G,'.Auxiliar'!C:C,"-",0)</f>
        <v>Vias marginais - km 243,6 ao km 246,9 LE - Soledade</v>
      </c>
      <c r="D241" s="55">
        <f>_xlfn.XLOOKUP($G241,'.Auxiliar'!$G:$G,'.Auxiliar'!D:D,"-",0)</f>
        <v>243.6</v>
      </c>
      <c r="E241" s="55">
        <f>_xlfn.XLOOKUP($G241,'.Auxiliar'!$G:$G,'.Auxiliar'!E:E,"-",0)</f>
        <v>246.9</v>
      </c>
      <c r="F241" s="55">
        <f>_xlfn.XLOOKUP($G241,'.Auxiliar'!$G:$G,'.Auxiliar'!F:F,"-",0)</f>
        <v>3.3000000000000114</v>
      </c>
      <c r="G241" s="59" t="s">
        <v>806</v>
      </c>
      <c r="H241" s="108" t="s">
        <v>0</v>
      </c>
      <c r="I241" s="109" t="s">
        <v>368</v>
      </c>
      <c r="J241" s="109" t="s">
        <v>363</v>
      </c>
      <c r="K241" s="109" t="s">
        <v>363</v>
      </c>
      <c r="L241" s="109" t="s">
        <v>0</v>
      </c>
      <c r="M241" s="109" t="s">
        <v>0</v>
      </c>
      <c r="N241" s="110" t="s">
        <v>0</v>
      </c>
      <c r="O241" s="111"/>
      <c r="P241" s="112"/>
      <c r="Q241" s="112"/>
      <c r="R241" s="112"/>
      <c r="S241" s="112">
        <v>78</v>
      </c>
      <c r="T241" s="112">
        <v>5.24</v>
      </c>
      <c r="U241" s="95">
        <f t="shared" si="9"/>
        <v>100</v>
      </c>
      <c r="V241" s="112">
        <v>22</v>
      </c>
      <c r="W241" s="112"/>
      <c r="X241" s="107"/>
      <c r="Y241" s="107">
        <f t="shared" si="10"/>
        <v>100</v>
      </c>
      <c r="Z241" s="107">
        <f t="shared" si="11"/>
        <v>5.24</v>
      </c>
    </row>
    <row r="242" spans="1:26" x14ac:dyDescent="0.25">
      <c r="A242" s="55" t="str">
        <f>_xlfn.XLOOKUP($G242,'.Auxiliar'!$G:$G,'.Auxiliar'!A:A,"-",0)</f>
        <v>CONCESSÃO VIA SUL</v>
      </c>
      <c r="B242" s="55" t="str">
        <f>_xlfn.XLOOKUP($G242,'.Auxiliar'!$G:$G,'.Auxiliar'!B:B,"-",0)</f>
        <v>PAVIMENTAÇÃO</v>
      </c>
      <c r="C242" s="55" t="str">
        <f>_xlfn.XLOOKUP($G242,'.Auxiliar'!$G:$G,'.Auxiliar'!C:C,"-",0)</f>
        <v>Vias marginais - km 268 ao km 271,8 LD - Fontoura Xavier</v>
      </c>
      <c r="D242" s="55">
        <f>_xlfn.XLOOKUP($G242,'.Auxiliar'!$G:$G,'.Auxiliar'!D:D,"-",0)</f>
        <v>268</v>
      </c>
      <c r="E242" s="55">
        <f>_xlfn.XLOOKUP($G242,'.Auxiliar'!$G:$G,'.Auxiliar'!E:E,"-",0)</f>
        <v>271.8</v>
      </c>
      <c r="F242" s="55">
        <f>_xlfn.XLOOKUP($G242,'.Auxiliar'!$G:$G,'.Auxiliar'!F:F,"-",0)</f>
        <v>3.8000000000000114</v>
      </c>
      <c r="G242" s="59" t="s">
        <v>809</v>
      </c>
      <c r="H242" s="108" t="s">
        <v>0</v>
      </c>
      <c r="I242" s="109" t="s">
        <v>368</v>
      </c>
      <c r="J242" s="109" t="s">
        <v>363</v>
      </c>
      <c r="K242" s="109" t="s">
        <v>363</v>
      </c>
      <c r="L242" s="109" t="s">
        <v>0</v>
      </c>
      <c r="M242" s="109" t="s">
        <v>0</v>
      </c>
      <c r="N242" s="110" t="s">
        <v>0</v>
      </c>
      <c r="O242" s="111"/>
      <c r="P242" s="112"/>
      <c r="Q242" s="112"/>
      <c r="R242" s="112"/>
      <c r="S242" s="112">
        <v>76</v>
      </c>
      <c r="T242" s="112">
        <v>0</v>
      </c>
      <c r="U242" s="95">
        <f t="shared" si="9"/>
        <v>100</v>
      </c>
      <c r="V242" s="112">
        <v>24</v>
      </c>
      <c r="W242" s="112"/>
      <c r="X242" s="107"/>
      <c r="Y242" s="107">
        <f t="shared" si="10"/>
        <v>100</v>
      </c>
      <c r="Z242" s="107">
        <f t="shared" si="11"/>
        <v>0</v>
      </c>
    </row>
    <row r="243" spans="1:26" x14ac:dyDescent="0.25">
      <c r="A243" s="55" t="str">
        <f>_xlfn.XLOOKUP($G243,'.Auxiliar'!$G:$G,'.Auxiliar'!A:A,"-",0)</f>
        <v>CONCESSÃO VIA SUL</v>
      </c>
      <c r="B243" s="55" t="str">
        <f>_xlfn.XLOOKUP($G243,'.Auxiliar'!$G:$G,'.Auxiliar'!B:B,"-",0)</f>
        <v>PAVIMENTAÇÃO</v>
      </c>
      <c r="C243" s="55" t="str">
        <f>_xlfn.XLOOKUP($G243,'.Auxiliar'!$G:$G,'.Auxiliar'!C:C,"-",0)</f>
        <v>Vias marginais - km 268 ao km 271,8 LE - Fontoura Xavier</v>
      </c>
      <c r="D243" s="55">
        <f>_xlfn.XLOOKUP($G243,'.Auxiliar'!$G:$G,'.Auxiliar'!D:D,"-",0)</f>
        <v>268</v>
      </c>
      <c r="E243" s="55">
        <f>_xlfn.XLOOKUP($G243,'.Auxiliar'!$G:$G,'.Auxiliar'!E:E,"-",0)</f>
        <v>271.8</v>
      </c>
      <c r="F243" s="55">
        <f>_xlfn.XLOOKUP($G243,'.Auxiliar'!$G:$G,'.Auxiliar'!F:F,"-",0)</f>
        <v>3.8000000000000114</v>
      </c>
      <c r="G243" s="59" t="s">
        <v>808</v>
      </c>
      <c r="H243" s="108" t="s">
        <v>0</v>
      </c>
      <c r="I243" s="109" t="s">
        <v>368</v>
      </c>
      <c r="J243" s="109" t="s">
        <v>363</v>
      </c>
      <c r="K243" s="109" t="s">
        <v>363</v>
      </c>
      <c r="L243" s="109" t="s">
        <v>0</v>
      </c>
      <c r="M243" s="109" t="s">
        <v>0</v>
      </c>
      <c r="N243" s="110" t="s">
        <v>0</v>
      </c>
      <c r="O243" s="111"/>
      <c r="P243" s="112"/>
      <c r="Q243" s="112"/>
      <c r="R243" s="112"/>
      <c r="S243" s="112">
        <v>76</v>
      </c>
      <c r="T243" s="112">
        <v>0</v>
      </c>
      <c r="U243" s="95">
        <f t="shared" si="9"/>
        <v>100</v>
      </c>
      <c r="V243" s="112">
        <v>24</v>
      </c>
      <c r="W243" s="112"/>
      <c r="X243" s="107"/>
      <c r="Y243" s="107">
        <f t="shared" si="10"/>
        <v>100</v>
      </c>
      <c r="Z243" s="107">
        <f t="shared" si="11"/>
        <v>0</v>
      </c>
    </row>
    <row r="244" spans="1:26" x14ac:dyDescent="0.25">
      <c r="A244" s="55" t="str">
        <f>_xlfn.XLOOKUP($G244,'.Auxiliar'!$G:$G,'.Auxiliar'!A:A,"-",0)</f>
        <v>CONCESSÃO VIA SUL</v>
      </c>
      <c r="B244" s="55" t="str">
        <f>_xlfn.XLOOKUP($G244,'.Auxiliar'!$G:$G,'.Auxiliar'!B:B,"-",0)</f>
        <v>PAVIMENTAÇÃO</v>
      </c>
      <c r="C244" s="55" t="str">
        <f>_xlfn.XLOOKUP($G244,'.Auxiliar'!$G:$G,'.Auxiliar'!C:C,"-",0)</f>
        <v>Vias Marginais- Lajeado LD</v>
      </c>
      <c r="D244" s="55">
        <f>_xlfn.XLOOKUP($G244,'.Auxiliar'!$G:$G,'.Auxiliar'!D:D,"-",0)</f>
        <v>337.7</v>
      </c>
      <c r="E244" s="55">
        <f>_xlfn.XLOOKUP($G244,'.Auxiliar'!$G:$G,'.Auxiliar'!E:E,"-",0)</f>
        <v>340.7</v>
      </c>
      <c r="F244" s="55">
        <f>_xlfn.XLOOKUP($G244,'.Auxiliar'!$G:$G,'.Auxiliar'!F:F,"-",0)</f>
        <v>3</v>
      </c>
      <c r="G244" s="59" t="s">
        <v>411</v>
      </c>
      <c r="H244" s="108" t="s">
        <v>363</v>
      </c>
      <c r="I244" s="115" t="s">
        <v>1881</v>
      </c>
      <c r="J244" s="109" t="str" cm="1">
        <f t="array" ref="J244">IFERROR(INDEX(_xlfn._xlws.FILTER('.Auxiliar'!J:J, ('.Auxiliar'!$G:$G=PPI!$G3) * ('.Auxiliar'!J:J&lt;&gt;0) * ('.Auxiliar'!J:J&lt;&gt;"")), 1), "-")</f>
        <v>-</v>
      </c>
      <c r="K244" s="109" t="s">
        <v>363</v>
      </c>
      <c r="L244" s="109" t="str" cm="1">
        <f t="array" ref="L244">IFERROR(INDEX(_xlfn._xlws.FILTER('.Auxiliar'!L:L, ('.Auxiliar'!$G:$G=PPI!$G3) * ('.Auxiliar'!L:L&lt;&gt;0) * ('.Auxiliar'!L:L&lt;&gt;"")), 1), "-")</f>
        <v>-</v>
      </c>
      <c r="M244" s="109" t="str" cm="1">
        <f t="array" ref="M244">IFERROR(INDEX(_xlfn._xlws.FILTER('.Auxiliar'!M:M, ('.Auxiliar'!$G:$G=PPI!$G3) * ('.Auxiliar'!M:M&lt;&gt;0) * ('.Auxiliar'!M:M&lt;&gt;"")), 1), "-")</f>
        <v>-</v>
      </c>
      <c r="N244" s="110" t="s">
        <v>0</v>
      </c>
      <c r="O244" s="132">
        <v>41.59</v>
      </c>
      <c r="P244" s="112">
        <v>41.59</v>
      </c>
      <c r="Q244" s="133">
        <v>39.119999999999997</v>
      </c>
      <c r="R244" s="112">
        <v>39.119999999999997</v>
      </c>
      <c r="S244" s="112">
        <v>19.29</v>
      </c>
      <c r="T244" s="112">
        <v>0</v>
      </c>
      <c r="U244" s="95">
        <f t="shared" si="9"/>
        <v>19.289999999999992</v>
      </c>
      <c r="V244" s="112"/>
      <c r="W244" s="112"/>
      <c r="X244" s="107"/>
      <c r="Y244" s="107">
        <f t="shared" si="10"/>
        <v>100</v>
      </c>
      <c r="Z244" s="107">
        <f t="shared" si="11"/>
        <v>80.710000000000008</v>
      </c>
    </row>
    <row r="245" spans="1:26" x14ac:dyDescent="0.25">
      <c r="A245" s="55" t="str">
        <f>_xlfn.XLOOKUP($G245,'.Auxiliar'!$G:$G,'.Auxiliar'!A:A,"-",0)</f>
        <v>CONCESSÃO VIA SUL</v>
      </c>
      <c r="B245" s="55" t="str">
        <f>_xlfn.XLOOKUP($G245,'.Auxiliar'!$G:$G,'.Auxiliar'!B:B,"-",0)</f>
        <v>PAVIMENTAÇÃO</v>
      </c>
      <c r="C245" s="55" t="str">
        <f>_xlfn.XLOOKUP($G245,'.Auxiliar'!$G:$G,'.Auxiliar'!C:C,"-",0)</f>
        <v>Vias Marginais- Lajeado LD</v>
      </c>
      <c r="D245" s="55">
        <f>_xlfn.XLOOKUP($G245,'.Auxiliar'!$G:$G,'.Auxiliar'!D:D,"-",0)</f>
        <v>340.7</v>
      </c>
      <c r="E245" s="55">
        <f>_xlfn.XLOOKUP($G245,'.Auxiliar'!$G:$G,'.Auxiliar'!E:E,"-",0)</f>
        <v>344.2</v>
      </c>
      <c r="F245" s="55">
        <f>_xlfn.XLOOKUP($G245,'.Auxiliar'!$G:$G,'.Auxiliar'!F:F,"-",0)</f>
        <v>3.5</v>
      </c>
      <c r="G245" s="59" t="s">
        <v>412</v>
      </c>
      <c r="H245" s="108" t="s">
        <v>363</v>
      </c>
      <c r="I245" s="115" t="s">
        <v>1881</v>
      </c>
      <c r="J245" s="109" t="s">
        <v>0</v>
      </c>
      <c r="K245" s="109" t="s">
        <v>363</v>
      </c>
      <c r="L245" s="109" t="s">
        <v>0</v>
      </c>
      <c r="M245" s="109" t="s">
        <v>0</v>
      </c>
      <c r="N245" s="110" t="s">
        <v>0</v>
      </c>
      <c r="O245" s="132">
        <v>34.29</v>
      </c>
      <c r="P245" s="112">
        <v>34.29</v>
      </c>
      <c r="Q245" s="133">
        <v>45.9</v>
      </c>
      <c r="R245" s="112">
        <v>45.9</v>
      </c>
      <c r="S245" s="112">
        <v>19.809999999999999</v>
      </c>
      <c r="T245" s="112">
        <v>0</v>
      </c>
      <c r="U245" s="95">
        <f t="shared" si="9"/>
        <v>19.810000000000002</v>
      </c>
      <c r="V245" s="112"/>
      <c r="W245" s="112"/>
      <c r="X245" s="107"/>
      <c r="Y245" s="107">
        <f t="shared" si="10"/>
        <v>100</v>
      </c>
      <c r="Z245" s="107">
        <f t="shared" si="11"/>
        <v>80.19</v>
      </c>
    </row>
    <row r="246" spans="1:26" x14ac:dyDescent="0.25">
      <c r="A246" s="55" t="str">
        <f>_xlfn.XLOOKUP($G246,'.Auxiliar'!$G:$G,'.Auxiliar'!A:A,"-",0)</f>
        <v>CONCESSÃO VIA SUL</v>
      </c>
      <c r="B246" s="55" t="str">
        <f>_xlfn.XLOOKUP($G246,'.Auxiliar'!$G:$G,'.Auxiliar'!B:B,"-",0)</f>
        <v>PAVIMENTAÇÃO</v>
      </c>
      <c r="C246" s="55" t="str">
        <f>_xlfn.XLOOKUP($G246,'.Auxiliar'!$G:$G,'.Auxiliar'!C:C,"-",0)</f>
        <v>Vias Marginais- Lajeado LE</v>
      </c>
      <c r="D246" s="55">
        <f>_xlfn.XLOOKUP($G246,'.Auxiliar'!$G:$G,'.Auxiliar'!D:D,"-",0)</f>
        <v>337.7</v>
      </c>
      <c r="E246" s="55">
        <f>_xlfn.XLOOKUP($G246,'.Auxiliar'!$G:$G,'.Auxiliar'!E:E,"-",0)</f>
        <v>340.7</v>
      </c>
      <c r="F246" s="55">
        <f>_xlfn.XLOOKUP($G246,'.Auxiliar'!$G:$G,'.Auxiliar'!F:F,"-",0)</f>
        <v>3</v>
      </c>
      <c r="G246" s="59" t="s">
        <v>413</v>
      </c>
      <c r="H246" s="108" t="s">
        <v>363</v>
      </c>
      <c r="I246" s="115" t="s">
        <v>1881</v>
      </c>
      <c r="J246" s="109" t="s">
        <v>0</v>
      </c>
      <c r="K246" s="109" t="s">
        <v>363</v>
      </c>
      <c r="L246" s="109" t="s">
        <v>0</v>
      </c>
      <c r="M246" s="109" t="s">
        <v>0</v>
      </c>
      <c r="N246" s="110" t="s">
        <v>0</v>
      </c>
      <c r="O246" s="132">
        <v>41.83</v>
      </c>
      <c r="P246" s="112">
        <v>41.83</v>
      </c>
      <c r="Q246" s="133">
        <v>43.21</v>
      </c>
      <c r="R246" s="112">
        <v>43.21</v>
      </c>
      <c r="S246" s="112">
        <v>14.96</v>
      </c>
      <c r="T246" s="112">
        <v>0</v>
      </c>
      <c r="U246" s="95">
        <f t="shared" si="9"/>
        <v>14.960000000000008</v>
      </c>
      <c r="V246" s="112"/>
      <c r="W246" s="112"/>
      <c r="X246" s="107"/>
      <c r="Y246" s="107">
        <f t="shared" si="10"/>
        <v>100</v>
      </c>
      <c r="Z246" s="107">
        <f t="shared" si="11"/>
        <v>85.039999999999992</v>
      </c>
    </row>
    <row r="247" spans="1:26" x14ac:dyDescent="0.25">
      <c r="A247" s="55" t="str">
        <f>_xlfn.XLOOKUP($G247,'.Auxiliar'!$G:$G,'.Auxiliar'!A:A,"-",0)</f>
        <v>CONCESSÃO VIA SUL</v>
      </c>
      <c r="B247" s="55" t="str">
        <f>_xlfn.XLOOKUP($G247,'.Auxiliar'!$G:$G,'.Auxiliar'!B:B,"-",0)</f>
        <v>PAVIMENTAÇÃO</v>
      </c>
      <c r="C247" s="55" t="str">
        <f>_xlfn.XLOOKUP($G247,'.Auxiliar'!$G:$G,'.Auxiliar'!C:C,"-",0)</f>
        <v>Vias Marginais- Lajeado LE</v>
      </c>
      <c r="D247" s="55">
        <f>_xlfn.XLOOKUP($G247,'.Auxiliar'!$G:$G,'.Auxiliar'!D:D,"-",0)</f>
        <v>340.7</v>
      </c>
      <c r="E247" s="55">
        <f>_xlfn.XLOOKUP($G247,'.Auxiliar'!$G:$G,'.Auxiliar'!E:E,"-",0)</f>
        <v>344.2</v>
      </c>
      <c r="F247" s="55">
        <f>_xlfn.XLOOKUP($G247,'.Auxiliar'!$G:$G,'.Auxiliar'!F:F,"-",0)</f>
        <v>3.5</v>
      </c>
      <c r="G247" s="59" t="s">
        <v>414</v>
      </c>
      <c r="H247" s="108" t="s">
        <v>363</v>
      </c>
      <c r="I247" s="115" t="s">
        <v>1881</v>
      </c>
      <c r="J247" s="109" t="s">
        <v>0</v>
      </c>
      <c r="K247" s="109" t="s">
        <v>363</v>
      </c>
      <c r="L247" s="109" t="s">
        <v>0</v>
      </c>
      <c r="M247" s="109" t="s">
        <v>0</v>
      </c>
      <c r="N247" s="110" t="s">
        <v>0</v>
      </c>
      <c r="O247" s="132">
        <v>41.58</v>
      </c>
      <c r="P247" s="112">
        <v>41.58</v>
      </c>
      <c r="Q247" s="133">
        <v>36.479999999999997</v>
      </c>
      <c r="R247" s="112">
        <v>36.479999999999997</v>
      </c>
      <c r="S247" s="112">
        <v>21.94</v>
      </c>
      <c r="T247" s="112">
        <v>0.3</v>
      </c>
      <c r="U247" s="95">
        <f t="shared" si="9"/>
        <v>21.939999999999998</v>
      </c>
      <c r="V247" s="112"/>
      <c r="W247" s="112"/>
      <c r="X247" s="107"/>
      <c r="Y247" s="107">
        <f t="shared" si="10"/>
        <v>100</v>
      </c>
      <c r="Z247" s="107">
        <f t="shared" si="11"/>
        <v>78.36</v>
      </c>
    </row>
    <row r="248" spans="1:26" x14ac:dyDescent="0.25">
      <c r="A248" s="55" t="str">
        <f>_xlfn.XLOOKUP($G248,'.Auxiliar'!$G:$G,'.Auxiliar'!A:A,"-",0)</f>
        <v>CRO</v>
      </c>
      <c r="B248" s="55" t="str">
        <f>_xlfn.XLOOKUP($G248,'.Auxiliar'!$G:$G,'.Auxiliar'!B:B,"-",0)</f>
        <v>CONTORNO</v>
      </c>
      <c r="C248" s="55" t="str">
        <f>_xlfn.XLOOKUP($G248,'.Auxiliar'!$G:$G,'.Auxiliar'!C:C,"-",0)</f>
        <v>Implantação de Contornos em pista dupla em trecho urbano - Rondonópolis - MT</v>
      </c>
      <c r="D248" s="55">
        <f>_xlfn.XLOOKUP($G248,'.Auxiliar'!$G:$G,'.Auxiliar'!D:D,"-",0)</f>
        <v>117.6</v>
      </c>
      <c r="E248" s="55">
        <f>_xlfn.XLOOKUP($G248,'.Auxiliar'!$G:$G,'.Auxiliar'!E:E,"-",0)</f>
        <v>119.9</v>
      </c>
      <c r="F248" s="55">
        <f>_xlfn.XLOOKUP($G248,'.Auxiliar'!$G:$G,'.Auxiliar'!F:F,"-",0)</f>
        <v>2.3000000000000114</v>
      </c>
      <c r="G248" s="59" t="s">
        <v>798</v>
      </c>
      <c r="H248" s="108" t="s">
        <v>363</v>
      </c>
      <c r="I248" s="109" t="s">
        <v>0</v>
      </c>
      <c r="J248" s="109" t="s">
        <v>0</v>
      </c>
      <c r="K248" s="109" t="s">
        <v>0</v>
      </c>
      <c r="L248" s="109" t="s">
        <v>0</v>
      </c>
      <c r="M248" s="109" t="s">
        <v>0</v>
      </c>
      <c r="N248" s="110" t="s">
        <v>0</v>
      </c>
      <c r="O248" s="111">
        <v>100</v>
      </c>
      <c r="P248" s="118">
        <v>100</v>
      </c>
      <c r="Q248" s="118"/>
      <c r="R248" s="118"/>
      <c r="S248" s="118"/>
      <c r="T248" s="112"/>
      <c r="U248" s="95">
        <f t="shared" si="9"/>
        <v>0</v>
      </c>
      <c r="V248" s="112"/>
      <c r="W248" s="112"/>
      <c r="X248" s="107"/>
      <c r="Y248" s="107">
        <f t="shared" si="10"/>
        <v>100</v>
      </c>
      <c r="Z248" s="107">
        <f t="shared" si="11"/>
        <v>100</v>
      </c>
    </row>
    <row r="249" spans="1:26" x14ac:dyDescent="0.25">
      <c r="A249" s="55" t="str">
        <f>_xlfn.XLOOKUP($G249,'.Auxiliar'!$G:$G,'.Auxiliar'!A:A,"-",0)</f>
        <v>CRO</v>
      </c>
      <c r="B249" s="55" t="str">
        <f>_xlfn.XLOOKUP($G249,'.Auxiliar'!$G:$G,'.Auxiliar'!B:B,"-",0)</f>
        <v>DUPLICAÇÃO</v>
      </c>
      <c r="C249" s="55" t="str">
        <f>_xlfn.XLOOKUP($G249,'.Auxiliar'!$G:$G,'.Auxiliar'!C:C,"-",0)</f>
        <v>Duplicação - Meta ano 1</v>
      </c>
      <c r="D249" s="55">
        <f>_xlfn.XLOOKUP($G249,'.Auxiliar'!$G:$G,'.Auxiliar'!D:D,"-",0)</f>
        <v>0</v>
      </c>
      <c r="E249" s="55">
        <f>_xlfn.XLOOKUP($G249,'.Auxiliar'!$G:$G,'.Auxiliar'!E:E,"-",0)</f>
        <v>72.599999999999994</v>
      </c>
      <c r="F249" s="55">
        <f>_xlfn.XLOOKUP($G249,'.Auxiliar'!$G:$G,'.Auxiliar'!F:F,"-",0)</f>
        <v>72.599999999999994</v>
      </c>
      <c r="G249" s="59" t="s">
        <v>749</v>
      </c>
      <c r="H249" s="108" t="s">
        <v>363</v>
      </c>
      <c r="I249" s="109" t="s">
        <v>0</v>
      </c>
      <c r="J249" s="109" t="s">
        <v>0</v>
      </c>
      <c r="K249" s="109" t="s">
        <v>0</v>
      </c>
      <c r="L249" s="109" t="s">
        <v>0</v>
      </c>
      <c r="M249" s="109" t="s">
        <v>0</v>
      </c>
      <c r="N249" s="110" t="s">
        <v>0</v>
      </c>
      <c r="O249" s="111">
        <v>100</v>
      </c>
      <c r="P249" s="112">
        <v>100</v>
      </c>
      <c r="Q249" s="112"/>
      <c r="R249" s="112"/>
      <c r="S249" s="112"/>
      <c r="T249" s="112"/>
      <c r="U249" s="95">
        <f t="shared" si="9"/>
        <v>0</v>
      </c>
      <c r="V249" s="112"/>
      <c r="W249" s="112"/>
      <c r="X249" s="107"/>
      <c r="Y249" s="107">
        <f t="shared" si="10"/>
        <v>100</v>
      </c>
      <c r="Z249" s="107">
        <f t="shared" si="11"/>
        <v>100</v>
      </c>
    </row>
    <row r="250" spans="1:26" x14ac:dyDescent="0.25">
      <c r="A250" s="55" t="str">
        <f>_xlfn.XLOOKUP($G250,'.Auxiliar'!$G:$G,'.Auxiliar'!A:A,"-",0)</f>
        <v>CRO</v>
      </c>
      <c r="B250" s="55" t="str">
        <f>_xlfn.XLOOKUP($G250,'.Auxiliar'!$G:$G,'.Auxiliar'!B:B,"-",0)</f>
        <v>DUPLICAÇÃO</v>
      </c>
      <c r="C250" s="55" t="str">
        <f>_xlfn.XLOOKUP($G250,'.Auxiliar'!$G:$G,'.Auxiliar'!C:C,"-",0)</f>
        <v>Duplicação - Meta ano 2</v>
      </c>
      <c r="D250" s="55">
        <f>_xlfn.XLOOKUP($G250,'.Auxiliar'!$G:$G,'.Auxiliar'!D:D,"-",0)</f>
        <v>72.599999999999994</v>
      </c>
      <c r="E250" s="55">
        <f>_xlfn.XLOOKUP($G250,'.Auxiliar'!$G:$G,'.Auxiliar'!E:E,"-",0)</f>
        <v>181.5</v>
      </c>
      <c r="F250" s="55">
        <f>_xlfn.XLOOKUP($G250,'.Auxiliar'!$G:$G,'.Auxiliar'!F:F,"-",0)</f>
        <v>108.9</v>
      </c>
      <c r="G250" s="59" t="s">
        <v>750</v>
      </c>
      <c r="H250" s="108" t="s">
        <v>363</v>
      </c>
      <c r="I250" s="109" t="s">
        <v>0</v>
      </c>
      <c r="J250" s="109" t="s">
        <v>0</v>
      </c>
      <c r="K250" s="109" t="s">
        <v>363</v>
      </c>
      <c r="L250" s="109" t="s">
        <v>0</v>
      </c>
      <c r="M250" s="109" t="s">
        <v>0</v>
      </c>
      <c r="N250" s="110" t="s">
        <v>0</v>
      </c>
      <c r="O250" s="111">
        <v>100</v>
      </c>
      <c r="P250" s="112">
        <f>((119.4-F249)/F250)*100</f>
        <v>42.975206611570258</v>
      </c>
      <c r="Q250" s="112"/>
      <c r="R250" s="112"/>
      <c r="S250" s="112"/>
      <c r="T250" s="112"/>
      <c r="U250" s="95">
        <f t="shared" si="9"/>
        <v>57.024793388429742</v>
      </c>
      <c r="V250" s="112"/>
      <c r="W250" s="112"/>
      <c r="X250" s="107">
        <f>100-(P250+R250+S250+V250)</f>
        <v>57.024793388429742</v>
      </c>
      <c r="Y250" s="107">
        <f t="shared" si="10"/>
        <v>100</v>
      </c>
      <c r="Z250" s="107">
        <f t="shared" si="11"/>
        <v>42.975206611570258</v>
      </c>
    </row>
    <row r="251" spans="1:26" x14ac:dyDescent="0.25">
      <c r="A251" s="55" t="str">
        <f>_xlfn.XLOOKUP($G251,'.Auxiliar'!$G:$G,'.Auxiliar'!A:A,"-",0)</f>
        <v>CRO</v>
      </c>
      <c r="B251" s="55" t="str">
        <f>_xlfn.XLOOKUP($G251,'.Auxiliar'!$G:$G,'.Auxiliar'!B:B,"-",0)</f>
        <v>DUPLICAÇÃO</v>
      </c>
      <c r="C251" s="55" t="str">
        <f>_xlfn.XLOOKUP($G251,'.Auxiliar'!$G:$G,'.Auxiliar'!C:C,"-",0)</f>
        <v>Duplicação - Meta ano 3</v>
      </c>
      <c r="D251" s="55">
        <f>_xlfn.XLOOKUP($G251,'.Auxiliar'!$G:$G,'.Auxiliar'!D:D,"-",0)</f>
        <v>108.9</v>
      </c>
      <c r="E251" s="55">
        <f>_xlfn.XLOOKUP($G251,'.Auxiliar'!$G:$G,'.Auxiliar'!E:E,"-",0)</f>
        <v>263.10000000000002</v>
      </c>
      <c r="F251" s="55">
        <f>_xlfn.XLOOKUP($G251,'.Auxiliar'!$G:$G,'.Auxiliar'!F:F,"-",0)</f>
        <v>154.20000000000002</v>
      </c>
      <c r="G251" s="59" t="s">
        <v>751</v>
      </c>
      <c r="H251" s="108" t="s">
        <v>363</v>
      </c>
      <c r="I251" s="109" t="s">
        <v>0</v>
      </c>
      <c r="J251" s="109" t="s">
        <v>0</v>
      </c>
      <c r="K251" s="109" t="s">
        <v>363</v>
      </c>
      <c r="L251" s="109" t="s">
        <v>0</v>
      </c>
      <c r="M251" s="109" t="s">
        <v>0</v>
      </c>
      <c r="N251" s="110" t="s">
        <v>0</v>
      </c>
      <c r="O251" s="111">
        <v>100</v>
      </c>
      <c r="P251" s="112">
        <v>0</v>
      </c>
      <c r="Q251" s="112"/>
      <c r="R251" s="112"/>
      <c r="S251" s="112"/>
      <c r="T251" s="112"/>
      <c r="U251" s="95" t="str">
        <f t="shared" si="9"/>
        <v/>
      </c>
      <c r="V251" s="112"/>
      <c r="W251" s="112"/>
      <c r="X251" s="107">
        <f>100-(P251+R251+S251+V251)</f>
        <v>100</v>
      </c>
      <c r="Y251" s="107">
        <f t="shared" si="10"/>
        <v>100</v>
      </c>
      <c r="Z251" s="107">
        <f t="shared" si="11"/>
        <v>0</v>
      </c>
    </row>
    <row r="252" spans="1:26" x14ac:dyDescent="0.25">
      <c r="A252" s="55" t="str">
        <f>_xlfn.XLOOKUP($G252,'.Auxiliar'!$G:$G,'.Auxiliar'!A:A,"-",0)</f>
        <v>CRO</v>
      </c>
      <c r="B252" s="55" t="str">
        <f>_xlfn.XLOOKUP($G252,'.Auxiliar'!$G:$G,'.Auxiliar'!B:B,"-",0)</f>
        <v>DUPLICAÇÃO</v>
      </c>
      <c r="C252" s="55" t="str">
        <f>_xlfn.XLOOKUP($G252,'.Auxiliar'!$G:$G,'.Auxiliar'!C:C,"-",0)</f>
        <v>Duplicação - Meta ano 4</v>
      </c>
      <c r="D252" s="55">
        <f>_xlfn.XLOOKUP($G252,'.Auxiliar'!$G:$G,'.Auxiliar'!D:D,"-",0)</f>
        <v>154.19999999999999</v>
      </c>
      <c r="E252" s="55">
        <f>_xlfn.XLOOKUP($G252,'.Auxiliar'!$G:$G,'.Auxiliar'!E:E,"-",0)</f>
        <v>272.10000000000002</v>
      </c>
      <c r="F252" s="55">
        <f>_xlfn.XLOOKUP($G252,'.Auxiliar'!$G:$G,'.Auxiliar'!F:F,"-",0)</f>
        <v>117.90000000000003</v>
      </c>
      <c r="G252" s="59" t="s">
        <v>752</v>
      </c>
      <c r="H252" s="108" t="s">
        <v>363</v>
      </c>
      <c r="I252" s="109" t="s">
        <v>0</v>
      </c>
      <c r="J252" s="109" t="s">
        <v>0</v>
      </c>
      <c r="K252" s="109" t="s">
        <v>363</v>
      </c>
      <c r="L252" s="109" t="s">
        <v>0</v>
      </c>
      <c r="M252" s="109" t="s">
        <v>0</v>
      </c>
      <c r="N252" s="110" t="s">
        <v>0</v>
      </c>
      <c r="O252" s="111">
        <v>100</v>
      </c>
      <c r="P252" s="112">
        <v>0</v>
      </c>
      <c r="Q252" s="112"/>
      <c r="R252" s="112"/>
      <c r="S252" s="112"/>
      <c r="T252" s="112"/>
      <c r="U252" s="95" t="str">
        <f t="shared" si="9"/>
        <v/>
      </c>
      <c r="V252" s="112"/>
      <c r="W252" s="112"/>
      <c r="X252" s="107">
        <v>100</v>
      </c>
      <c r="Y252" s="107">
        <f t="shared" si="10"/>
        <v>100</v>
      </c>
      <c r="Z252" s="107">
        <f t="shared" si="11"/>
        <v>0</v>
      </c>
    </row>
    <row r="253" spans="1:26" x14ac:dyDescent="0.25">
      <c r="A253" s="55" t="str">
        <f>_xlfn.XLOOKUP($G253,'.Auxiliar'!$G:$G,'.Auxiliar'!A:A,"-",0)</f>
        <v>CRO</v>
      </c>
      <c r="B253" s="55" t="str">
        <f>_xlfn.XLOOKUP($G253,'.Auxiliar'!$G:$G,'.Auxiliar'!B:B,"-",0)</f>
        <v>DUPLICAÇÃO</v>
      </c>
      <c r="C253" s="55" t="str">
        <f>_xlfn.XLOOKUP($G253,'.Auxiliar'!$G:$G,'.Auxiliar'!C:C,"-",0)</f>
        <v>Duplicação Posterior (Remanescente DNIT)</v>
      </c>
      <c r="D253" s="55">
        <f>_xlfn.XLOOKUP($G253,'.Auxiliar'!$G:$G,'.Auxiliar'!D:D,"-",0)</f>
        <v>353.5</v>
      </c>
      <c r="E253" s="55">
        <f>_xlfn.XLOOKUP($G253,'.Auxiliar'!$G:$G,'.Auxiliar'!E:E,"-",0)</f>
        <v>461.7</v>
      </c>
      <c r="F253" s="55">
        <f>_xlfn.XLOOKUP($G253,'.Auxiliar'!$G:$G,'.Auxiliar'!F:F,"-",0)</f>
        <v>108.19999999999999</v>
      </c>
      <c r="G253" s="59" t="s">
        <v>753</v>
      </c>
      <c r="H253" s="108" t="s">
        <v>363</v>
      </c>
      <c r="I253" s="109" t="s">
        <v>0</v>
      </c>
      <c r="J253" s="109" t="s">
        <v>0</v>
      </c>
      <c r="K253" s="109" t="s">
        <v>363</v>
      </c>
      <c r="L253" s="109" t="s">
        <v>0</v>
      </c>
      <c r="M253" s="109" t="s">
        <v>0</v>
      </c>
      <c r="N253" s="110" t="s">
        <v>0</v>
      </c>
      <c r="O253" s="111">
        <v>100</v>
      </c>
      <c r="P253" s="112">
        <v>0</v>
      </c>
      <c r="Q253" s="112"/>
      <c r="R253" s="112"/>
      <c r="S253" s="112"/>
      <c r="T253" s="112"/>
      <c r="U253" s="95" t="str">
        <f t="shared" si="9"/>
        <v/>
      </c>
      <c r="V253" s="112"/>
      <c r="W253" s="112"/>
      <c r="X253" s="107">
        <v>100</v>
      </c>
      <c r="Y253" s="107">
        <f t="shared" si="10"/>
        <v>100</v>
      </c>
      <c r="Z253" s="107">
        <f t="shared" si="11"/>
        <v>0</v>
      </c>
    </row>
    <row r="254" spans="1:26" x14ac:dyDescent="0.25">
      <c r="A254" s="55" t="str">
        <f>_xlfn.XLOOKUP($G254,'.Auxiliar'!$G:$G,'.Auxiliar'!A:A,"-",0)</f>
        <v>CRO</v>
      </c>
      <c r="B254" s="55" t="str">
        <f>_xlfn.XLOOKUP($G254,'.Auxiliar'!$G:$G,'.Auxiliar'!B:B,"-",0)</f>
        <v>OAE</v>
      </c>
      <c r="C254" s="55" t="str">
        <f>_xlfn.XLOOKUP($G254,'.Auxiliar'!$G:$G,'.Auxiliar'!C:C,"-",0)</f>
        <v>Interconexão Diamante ID-01 - BR-163/MT</v>
      </c>
      <c r="D254" s="55">
        <f>_xlfn.XLOOKUP($G254,'.Auxiliar'!$G:$G,'.Auxiliar'!D:D,"-",0)</f>
        <v>14</v>
      </c>
      <c r="E254" s="55">
        <f>_xlfn.XLOOKUP($G254,'.Auxiliar'!$G:$G,'.Auxiliar'!E:E,"-",0)</f>
        <v>14</v>
      </c>
      <c r="F254" s="55">
        <f>_xlfn.XLOOKUP($G254,'.Auxiliar'!$G:$G,'.Auxiliar'!F:F,"-",0)</f>
        <v>1</v>
      </c>
      <c r="G254" s="59" t="s">
        <v>754</v>
      </c>
      <c r="H254" s="108" t="s">
        <v>363</v>
      </c>
      <c r="I254" s="109" t="s">
        <v>0</v>
      </c>
      <c r="J254" s="109" t="s">
        <v>0</v>
      </c>
      <c r="K254" s="109" t="s">
        <v>363</v>
      </c>
      <c r="L254" s="109" t="s">
        <v>0</v>
      </c>
      <c r="M254" s="109" t="s">
        <v>0</v>
      </c>
      <c r="N254" s="110" t="s">
        <v>0</v>
      </c>
      <c r="O254" s="111">
        <v>100</v>
      </c>
      <c r="P254" s="112">
        <v>100</v>
      </c>
      <c r="Q254" s="112"/>
      <c r="R254" s="112"/>
      <c r="S254" s="112"/>
      <c r="T254" s="112"/>
      <c r="U254" s="95">
        <f t="shared" si="9"/>
        <v>0</v>
      </c>
      <c r="V254" s="112"/>
      <c r="W254" s="112"/>
      <c r="X254" s="107"/>
      <c r="Y254" s="107">
        <f t="shared" si="10"/>
        <v>100</v>
      </c>
      <c r="Z254" s="107">
        <f t="shared" si="11"/>
        <v>100</v>
      </c>
    </row>
    <row r="255" spans="1:26" x14ac:dyDescent="0.25">
      <c r="A255" s="55" t="str">
        <f>_xlfn.XLOOKUP($G255,'.Auxiliar'!$G:$G,'.Auxiliar'!A:A,"-",0)</f>
        <v>CRO</v>
      </c>
      <c r="B255" s="55" t="str">
        <f>_xlfn.XLOOKUP($G255,'.Auxiliar'!$G:$G,'.Auxiliar'!B:B,"-",0)</f>
        <v>OAE</v>
      </c>
      <c r="C255" s="55" t="str">
        <f>_xlfn.XLOOKUP($G255,'.Auxiliar'!$G:$G,'.Auxiliar'!C:C,"-",0)</f>
        <v>Interconexão Diamante ID-02 - BR-163/MT</v>
      </c>
      <c r="D255" s="55">
        <f>_xlfn.XLOOKUP($G255,'.Auxiliar'!$G:$G,'.Auxiliar'!D:D,"-",0)</f>
        <v>48</v>
      </c>
      <c r="E255" s="55">
        <f>_xlfn.XLOOKUP($G255,'.Auxiliar'!$G:$G,'.Auxiliar'!E:E,"-",0)</f>
        <v>48</v>
      </c>
      <c r="F255" s="55">
        <f>_xlfn.XLOOKUP($G255,'.Auxiliar'!$G:$G,'.Auxiliar'!F:F,"-",0)</f>
        <v>1</v>
      </c>
      <c r="G255" s="59" t="s">
        <v>755</v>
      </c>
      <c r="H255" s="108" t="s">
        <v>363</v>
      </c>
      <c r="I255" s="109" t="s">
        <v>0</v>
      </c>
      <c r="J255" s="109" t="s">
        <v>0</v>
      </c>
      <c r="K255" s="109" t="s">
        <v>363</v>
      </c>
      <c r="L255" s="109" t="s">
        <v>0</v>
      </c>
      <c r="M255" s="109" t="s">
        <v>0</v>
      </c>
      <c r="N255" s="110" t="s">
        <v>0</v>
      </c>
      <c r="O255" s="111">
        <v>100</v>
      </c>
      <c r="P255" s="112">
        <v>100</v>
      </c>
      <c r="Q255" s="112"/>
      <c r="R255" s="112"/>
      <c r="S255" s="112"/>
      <c r="T255" s="112"/>
      <c r="U255" s="95">
        <f t="shared" si="9"/>
        <v>0</v>
      </c>
      <c r="V255" s="112"/>
      <c r="W255" s="112"/>
      <c r="X255" s="107"/>
      <c r="Y255" s="107">
        <f t="shared" si="10"/>
        <v>100</v>
      </c>
      <c r="Z255" s="107">
        <f t="shared" si="11"/>
        <v>100</v>
      </c>
    </row>
    <row r="256" spans="1:26" x14ac:dyDescent="0.25">
      <c r="A256" s="55" t="str">
        <f>_xlfn.XLOOKUP($G256,'.Auxiliar'!$G:$G,'.Auxiliar'!A:A,"-",0)</f>
        <v>CRO</v>
      </c>
      <c r="B256" s="55" t="str">
        <f>_xlfn.XLOOKUP($G256,'.Auxiliar'!$G:$G,'.Auxiliar'!B:B,"-",0)</f>
        <v>OAE</v>
      </c>
      <c r="C256" s="55" t="str">
        <f>_xlfn.XLOOKUP($G256,'.Auxiliar'!$G:$G,'.Auxiliar'!C:C,"-",0)</f>
        <v>Interconexão Diamante ID-03 - BR-163/MT</v>
      </c>
      <c r="D256" s="55">
        <f>_xlfn.XLOOKUP($G256,'.Auxiliar'!$G:$G,'.Auxiliar'!D:D,"-",0)</f>
        <v>77</v>
      </c>
      <c r="E256" s="55">
        <f>_xlfn.XLOOKUP($G256,'.Auxiliar'!$G:$G,'.Auxiliar'!E:E,"-",0)</f>
        <v>77</v>
      </c>
      <c r="F256" s="55">
        <f>_xlfn.XLOOKUP($G256,'.Auxiliar'!$G:$G,'.Auxiliar'!F:F,"-",0)</f>
        <v>1</v>
      </c>
      <c r="G256" s="59" t="s">
        <v>756</v>
      </c>
      <c r="H256" s="108" t="s">
        <v>363</v>
      </c>
      <c r="I256" s="109" t="s">
        <v>0</v>
      </c>
      <c r="J256" s="109" t="s">
        <v>0</v>
      </c>
      <c r="K256" s="109" t="s">
        <v>363</v>
      </c>
      <c r="L256" s="109" t="s">
        <v>0</v>
      </c>
      <c r="M256" s="109" t="s">
        <v>0</v>
      </c>
      <c r="N256" s="110" t="s">
        <v>0</v>
      </c>
      <c r="O256" s="111">
        <v>100</v>
      </c>
      <c r="P256" s="112">
        <v>100</v>
      </c>
      <c r="Q256" s="112"/>
      <c r="R256" s="112"/>
      <c r="S256" s="112"/>
      <c r="T256" s="112"/>
      <c r="U256" s="95">
        <f t="shared" si="9"/>
        <v>0</v>
      </c>
      <c r="V256" s="112"/>
      <c r="W256" s="112"/>
      <c r="X256" s="107"/>
      <c r="Y256" s="107">
        <f t="shared" si="10"/>
        <v>100</v>
      </c>
      <c r="Z256" s="107">
        <f t="shared" si="11"/>
        <v>100</v>
      </c>
    </row>
    <row r="257" spans="1:26" x14ac:dyDescent="0.25">
      <c r="A257" s="55" t="str">
        <f>_xlfn.XLOOKUP($G257,'.Auxiliar'!$G:$G,'.Auxiliar'!A:A,"-",0)</f>
        <v>CRO</v>
      </c>
      <c r="B257" s="55" t="str">
        <f>_xlfn.XLOOKUP($G257,'.Auxiliar'!$G:$G,'.Auxiliar'!B:B,"-",0)</f>
        <v>OAE</v>
      </c>
      <c r="C257" s="55" t="str">
        <f>_xlfn.XLOOKUP($G257,'.Auxiliar'!$G:$G,'.Auxiliar'!C:C,"-",0)</f>
        <v>Interconexão Diamante ID-04 - BR-163/MT</v>
      </c>
      <c r="D257" s="55">
        <f>_xlfn.XLOOKUP($G257,'.Auxiliar'!$G:$G,'.Auxiliar'!D:D,"-",0)</f>
        <v>94.2</v>
      </c>
      <c r="E257" s="55">
        <f>_xlfn.XLOOKUP($G257,'.Auxiliar'!$G:$G,'.Auxiliar'!E:E,"-",0)</f>
        <v>94.2</v>
      </c>
      <c r="F257" s="55">
        <f>_xlfn.XLOOKUP($G257,'.Auxiliar'!$G:$G,'.Auxiliar'!F:F,"-",0)</f>
        <v>1</v>
      </c>
      <c r="G257" s="59" t="s">
        <v>757</v>
      </c>
      <c r="H257" s="108" t="s">
        <v>363</v>
      </c>
      <c r="I257" s="109" t="s">
        <v>0</v>
      </c>
      <c r="J257" s="109" t="s">
        <v>0</v>
      </c>
      <c r="K257" s="109" t="s">
        <v>363</v>
      </c>
      <c r="L257" s="109" t="s">
        <v>0</v>
      </c>
      <c r="M257" s="109" t="s">
        <v>0</v>
      </c>
      <c r="N257" s="110" t="s">
        <v>0</v>
      </c>
      <c r="O257" s="111">
        <v>100</v>
      </c>
      <c r="P257" s="112">
        <v>100</v>
      </c>
      <c r="Q257" s="112"/>
      <c r="R257" s="112"/>
      <c r="S257" s="112"/>
      <c r="T257" s="112"/>
      <c r="U257" s="95">
        <f t="shared" si="9"/>
        <v>0</v>
      </c>
      <c r="V257" s="112"/>
      <c r="W257" s="112"/>
      <c r="X257" s="107"/>
      <c r="Y257" s="107">
        <f t="shared" si="10"/>
        <v>100</v>
      </c>
      <c r="Z257" s="107">
        <f t="shared" si="11"/>
        <v>100</v>
      </c>
    </row>
    <row r="258" spans="1:26" x14ac:dyDescent="0.25">
      <c r="A258" s="55" t="str">
        <f>_xlfn.XLOOKUP($G258,'.Auxiliar'!$G:$G,'.Auxiliar'!A:A,"-",0)</f>
        <v>CRO</v>
      </c>
      <c r="B258" s="55" t="str">
        <f>_xlfn.XLOOKUP($G258,'.Auxiliar'!$G:$G,'.Auxiliar'!B:B,"-",0)</f>
        <v>OAE</v>
      </c>
      <c r="C258" s="55" t="str">
        <f>_xlfn.XLOOKUP($G258,'.Auxiliar'!$G:$G,'.Auxiliar'!C:C,"-",0)</f>
        <v>Interconexão Diamante ID-05 - BR-163/MT</v>
      </c>
      <c r="D258" s="55">
        <f>_xlfn.XLOOKUP($G258,'.Auxiliar'!$G:$G,'.Auxiliar'!D:D,"-",0)</f>
        <v>111</v>
      </c>
      <c r="E258" s="55">
        <f>_xlfn.XLOOKUP($G258,'.Auxiliar'!$G:$G,'.Auxiliar'!E:E,"-",0)</f>
        <v>111</v>
      </c>
      <c r="F258" s="55">
        <f>_xlfn.XLOOKUP($G258,'.Auxiliar'!$G:$G,'.Auxiliar'!F:F,"-",0)</f>
        <v>1</v>
      </c>
      <c r="G258" s="59" t="s">
        <v>758</v>
      </c>
      <c r="H258" s="108" t="s">
        <v>363</v>
      </c>
      <c r="I258" s="109" t="s">
        <v>0</v>
      </c>
      <c r="J258" s="109" t="s">
        <v>0</v>
      </c>
      <c r="K258" s="109" t="s">
        <v>363</v>
      </c>
      <c r="L258" s="109" t="s">
        <v>0</v>
      </c>
      <c r="M258" s="109" t="s">
        <v>0</v>
      </c>
      <c r="N258" s="110" t="s">
        <v>0</v>
      </c>
      <c r="O258" s="111">
        <v>100</v>
      </c>
      <c r="P258" s="112">
        <v>100</v>
      </c>
      <c r="Q258" s="112"/>
      <c r="R258" s="112"/>
      <c r="S258" s="112"/>
      <c r="T258" s="112"/>
      <c r="U258" s="95">
        <f t="shared" si="9"/>
        <v>0</v>
      </c>
      <c r="V258" s="112"/>
      <c r="W258" s="112"/>
      <c r="X258" s="107"/>
      <c r="Y258" s="107">
        <f t="shared" si="10"/>
        <v>100</v>
      </c>
      <c r="Z258" s="107">
        <f t="shared" si="11"/>
        <v>100</v>
      </c>
    </row>
    <row r="259" spans="1:26" x14ac:dyDescent="0.25">
      <c r="A259" s="55" t="str">
        <f>_xlfn.XLOOKUP($G259,'.Auxiliar'!$G:$G,'.Auxiliar'!A:A,"-",0)</f>
        <v>CRO</v>
      </c>
      <c r="B259" s="55" t="str">
        <f>_xlfn.XLOOKUP($G259,'.Auxiliar'!$G:$G,'.Auxiliar'!B:B,"-",0)</f>
        <v>OAE</v>
      </c>
      <c r="C259" s="55" t="str">
        <f>_xlfn.XLOOKUP($G259,'.Auxiliar'!$G:$G,'.Auxiliar'!C:C,"-",0)</f>
        <v>Interconexão Diamante ID-06 - BR-163/MT</v>
      </c>
      <c r="D259" s="55">
        <f>_xlfn.XLOOKUP($G259,'.Auxiliar'!$G:$G,'.Auxiliar'!D:D,"-",0)</f>
        <v>117.6</v>
      </c>
      <c r="E259" s="55">
        <f>_xlfn.XLOOKUP($G259,'.Auxiliar'!$G:$G,'.Auxiliar'!E:E,"-",0)</f>
        <v>117.6</v>
      </c>
      <c r="F259" s="55">
        <f>_xlfn.XLOOKUP($G259,'.Auxiliar'!$G:$G,'.Auxiliar'!F:F,"-",0)</f>
        <v>1</v>
      </c>
      <c r="G259" s="59" t="s">
        <v>759</v>
      </c>
      <c r="H259" s="108" t="s">
        <v>363</v>
      </c>
      <c r="I259" s="109" t="s">
        <v>0</v>
      </c>
      <c r="J259" s="109" t="s">
        <v>0</v>
      </c>
      <c r="K259" s="109" t="s">
        <v>363</v>
      </c>
      <c r="L259" s="109" t="s">
        <v>0</v>
      </c>
      <c r="M259" s="109" t="s">
        <v>0</v>
      </c>
      <c r="N259" s="110" t="s">
        <v>0</v>
      </c>
      <c r="O259" s="111">
        <v>100</v>
      </c>
      <c r="P259" s="112">
        <v>0</v>
      </c>
      <c r="Q259" s="112"/>
      <c r="R259" s="112"/>
      <c r="S259" s="112"/>
      <c r="T259" s="112"/>
      <c r="U259" s="95" t="str">
        <f t="shared" ref="U259:U322" si="12">IF(SUM(V259:X259)=100,"",100-(P259+R259))</f>
        <v/>
      </c>
      <c r="V259" s="112"/>
      <c r="W259" s="112"/>
      <c r="X259" s="107">
        <v>100</v>
      </c>
      <c r="Y259" s="107">
        <f t="shared" ref="Y259:Y322" si="13">SUM(P259,R259,S259,V259,W259,X259)</f>
        <v>100</v>
      </c>
      <c r="Z259" s="107">
        <f t="shared" ref="Z259:Z322" si="14">SUM(P259,R259,T259)</f>
        <v>0</v>
      </c>
    </row>
    <row r="260" spans="1:26" x14ac:dyDescent="0.25">
      <c r="A260" s="55" t="str">
        <f>_xlfn.XLOOKUP($G260,'.Auxiliar'!$G:$G,'.Auxiliar'!A:A,"-",0)</f>
        <v>CRO</v>
      </c>
      <c r="B260" s="55" t="str">
        <f>_xlfn.XLOOKUP($G260,'.Auxiliar'!$G:$G,'.Auxiliar'!B:B,"-",0)</f>
        <v>OAE</v>
      </c>
      <c r="C260" s="55" t="str">
        <f>_xlfn.XLOOKUP($G260,'.Auxiliar'!$G:$G,'.Auxiliar'!C:C,"-",0)</f>
        <v>Interconexão Diamante ID-07 - BR-163/MT</v>
      </c>
      <c r="D260" s="55">
        <f>_xlfn.XLOOKUP($G260,'.Auxiliar'!$G:$G,'.Auxiliar'!D:D,"-",0)</f>
        <v>261.89999999999998</v>
      </c>
      <c r="E260" s="55">
        <f>_xlfn.XLOOKUP($G260,'.Auxiliar'!$G:$G,'.Auxiliar'!E:E,"-",0)</f>
        <v>261.89999999999998</v>
      </c>
      <c r="F260" s="55">
        <f>_xlfn.XLOOKUP($G260,'.Auxiliar'!$G:$G,'.Auxiliar'!F:F,"-",0)</f>
        <v>1</v>
      </c>
      <c r="G260" s="59" t="s">
        <v>760</v>
      </c>
      <c r="H260" s="108" t="s">
        <v>363</v>
      </c>
      <c r="I260" s="109" t="s">
        <v>0</v>
      </c>
      <c r="J260" s="109" t="s">
        <v>0</v>
      </c>
      <c r="K260" s="109" t="s">
        <v>363</v>
      </c>
      <c r="L260" s="109" t="s">
        <v>0</v>
      </c>
      <c r="M260" s="109" t="s">
        <v>0</v>
      </c>
      <c r="N260" s="110" t="s">
        <v>0</v>
      </c>
      <c r="O260" s="111">
        <v>100</v>
      </c>
      <c r="P260" s="112">
        <v>0</v>
      </c>
      <c r="Q260" s="112"/>
      <c r="R260" s="112"/>
      <c r="S260" s="112"/>
      <c r="T260" s="112"/>
      <c r="U260" s="95" t="str">
        <f t="shared" si="12"/>
        <v/>
      </c>
      <c r="V260" s="112"/>
      <c r="W260" s="112"/>
      <c r="X260" s="107">
        <v>100</v>
      </c>
      <c r="Y260" s="107">
        <f t="shared" si="13"/>
        <v>100</v>
      </c>
      <c r="Z260" s="107">
        <f t="shared" si="14"/>
        <v>0</v>
      </c>
    </row>
    <row r="261" spans="1:26" x14ac:dyDescent="0.25">
      <c r="A261" s="55" t="str">
        <f>_xlfn.XLOOKUP($G261,'.Auxiliar'!$G:$G,'.Auxiliar'!A:A,"-",0)</f>
        <v>CRO</v>
      </c>
      <c r="B261" s="55" t="str">
        <f>_xlfn.XLOOKUP($G261,'.Auxiliar'!$G:$G,'.Auxiliar'!B:B,"-",0)</f>
        <v>OAE</v>
      </c>
      <c r="C261" s="55" t="str">
        <f>_xlfn.XLOOKUP($G261,'.Auxiliar'!$G:$G,'.Auxiliar'!C:C,"-",0)</f>
        <v>Interconexão Diamante ID-08 - BR-163/MT</v>
      </c>
      <c r="D261" s="55">
        <f>_xlfn.XLOOKUP($G261,'.Auxiliar'!$G:$G,'.Auxiliar'!D:D,"-",0)</f>
        <v>279</v>
      </c>
      <c r="E261" s="55">
        <f>_xlfn.XLOOKUP($G261,'.Auxiliar'!$G:$G,'.Auxiliar'!E:E,"-",0)</f>
        <v>279</v>
      </c>
      <c r="F261" s="55">
        <f>_xlfn.XLOOKUP($G261,'.Auxiliar'!$G:$G,'.Auxiliar'!F:F,"-",0)</f>
        <v>1</v>
      </c>
      <c r="G261" s="59" t="s">
        <v>761</v>
      </c>
      <c r="H261" s="108" t="s">
        <v>363</v>
      </c>
      <c r="I261" s="109" t="s">
        <v>0</v>
      </c>
      <c r="J261" s="109" t="s">
        <v>0</v>
      </c>
      <c r="K261" s="109" t="s">
        <v>363</v>
      </c>
      <c r="L261" s="109" t="s">
        <v>0</v>
      </c>
      <c r="M261" s="109" t="s">
        <v>0</v>
      </c>
      <c r="N261" s="110" t="s">
        <v>0</v>
      </c>
      <c r="O261" s="111">
        <v>100</v>
      </c>
      <c r="P261" s="112">
        <v>0</v>
      </c>
      <c r="Q261" s="112"/>
      <c r="R261" s="112"/>
      <c r="S261" s="112"/>
      <c r="T261" s="112"/>
      <c r="U261" s="95" t="str">
        <f t="shared" si="12"/>
        <v/>
      </c>
      <c r="V261" s="112"/>
      <c r="W261" s="112"/>
      <c r="X261" s="107">
        <v>100</v>
      </c>
      <c r="Y261" s="107">
        <f t="shared" si="13"/>
        <v>100</v>
      </c>
      <c r="Z261" s="107">
        <f t="shared" si="14"/>
        <v>0</v>
      </c>
    </row>
    <row r="262" spans="1:26" x14ac:dyDescent="0.25">
      <c r="A262" s="55" t="str">
        <f>_xlfn.XLOOKUP($G262,'.Auxiliar'!$G:$G,'.Auxiliar'!A:A,"-",0)</f>
        <v>CRO</v>
      </c>
      <c r="B262" s="55" t="str">
        <f>_xlfn.XLOOKUP($G262,'.Auxiliar'!$G:$G,'.Auxiliar'!B:B,"-",0)</f>
        <v>OAE</v>
      </c>
      <c r="C262" s="55" t="str">
        <f>_xlfn.XLOOKUP($G262,'.Auxiliar'!$G:$G,'.Auxiliar'!C:C,"-",0)</f>
        <v>Interconexão Diamante ID-09 - BR-163/MT</v>
      </c>
      <c r="D262" s="55">
        <f>_xlfn.XLOOKUP($G262,'.Auxiliar'!$G:$G,'.Auxiliar'!D:D,"-",0)</f>
        <v>270.5</v>
      </c>
      <c r="E262" s="55">
        <f>_xlfn.XLOOKUP($G262,'.Auxiliar'!$G:$G,'.Auxiliar'!E:E,"-",0)</f>
        <v>270.5</v>
      </c>
      <c r="F262" s="55">
        <f>_xlfn.XLOOKUP($G262,'.Auxiliar'!$G:$G,'.Auxiliar'!F:F,"-",0)</f>
        <v>1</v>
      </c>
      <c r="G262" s="59" t="s">
        <v>762</v>
      </c>
      <c r="H262" s="108" t="s">
        <v>363</v>
      </c>
      <c r="I262" s="109" t="s">
        <v>0</v>
      </c>
      <c r="J262" s="109" t="s">
        <v>0</v>
      </c>
      <c r="K262" s="109" t="s">
        <v>363</v>
      </c>
      <c r="L262" s="109" t="s">
        <v>0</v>
      </c>
      <c r="M262" s="109" t="s">
        <v>0</v>
      </c>
      <c r="N262" s="110" t="s">
        <v>0</v>
      </c>
      <c r="O262" s="111">
        <v>100</v>
      </c>
      <c r="P262" s="112">
        <v>0</v>
      </c>
      <c r="Q262" s="112"/>
      <c r="R262" s="112"/>
      <c r="S262" s="112"/>
      <c r="T262" s="112"/>
      <c r="U262" s="95" t="str">
        <f t="shared" si="12"/>
        <v/>
      </c>
      <c r="V262" s="112"/>
      <c r="W262" s="112"/>
      <c r="X262" s="107">
        <v>100</v>
      </c>
      <c r="Y262" s="107">
        <f t="shared" si="13"/>
        <v>100</v>
      </c>
      <c r="Z262" s="107">
        <f t="shared" si="14"/>
        <v>0</v>
      </c>
    </row>
    <row r="263" spans="1:26" x14ac:dyDescent="0.25">
      <c r="A263" s="55" t="str">
        <f>_xlfn.XLOOKUP($G263,'.Auxiliar'!$G:$G,'.Auxiliar'!A:A,"-",0)</f>
        <v>CRO</v>
      </c>
      <c r="B263" s="55" t="str">
        <f>_xlfn.XLOOKUP($G263,'.Auxiliar'!$G:$G,'.Auxiliar'!B:B,"-",0)</f>
        <v>OAE</v>
      </c>
      <c r="C263" s="55" t="str">
        <f>_xlfn.XLOOKUP($G263,'.Auxiliar'!$G:$G,'.Auxiliar'!C:C,"-",0)</f>
        <v>Interconexão Diamante ID-10 - BR-163/MT</v>
      </c>
      <c r="D263" s="55">
        <f>_xlfn.XLOOKUP($G263,'.Auxiliar'!$G:$G,'.Auxiliar'!D:D,"-",0)</f>
        <v>315.39999999999998</v>
      </c>
      <c r="E263" s="55">
        <f>_xlfn.XLOOKUP($G263,'.Auxiliar'!$G:$G,'.Auxiliar'!E:E,"-",0)</f>
        <v>315.39999999999998</v>
      </c>
      <c r="F263" s="55">
        <f>_xlfn.XLOOKUP($G263,'.Auxiliar'!$G:$G,'.Auxiliar'!F:F,"-",0)</f>
        <v>1</v>
      </c>
      <c r="G263" s="59" t="s">
        <v>763</v>
      </c>
      <c r="H263" s="108" t="s">
        <v>363</v>
      </c>
      <c r="I263" s="109" t="s">
        <v>0</v>
      </c>
      <c r="J263" s="109" t="s">
        <v>0</v>
      </c>
      <c r="K263" s="109" t="s">
        <v>363</v>
      </c>
      <c r="L263" s="109" t="s">
        <v>0</v>
      </c>
      <c r="M263" s="109" t="s">
        <v>0</v>
      </c>
      <c r="N263" s="110" t="s">
        <v>0</v>
      </c>
      <c r="O263" s="111">
        <v>100</v>
      </c>
      <c r="P263" s="112">
        <v>0</v>
      </c>
      <c r="Q263" s="112"/>
      <c r="R263" s="112"/>
      <c r="S263" s="112"/>
      <c r="T263" s="112"/>
      <c r="U263" s="95" t="str">
        <f t="shared" si="12"/>
        <v/>
      </c>
      <c r="V263" s="112"/>
      <c r="W263" s="112"/>
      <c r="X263" s="107">
        <v>100</v>
      </c>
      <c r="Y263" s="107">
        <f t="shared" si="13"/>
        <v>100</v>
      </c>
      <c r="Z263" s="107">
        <f t="shared" si="14"/>
        <v>0</v>
      </c>
    </row>
    <row r="264" spans="1:26" x14ac:dyDescent="0.25">
      <c r="A264" s="55" t="str">
        <f>_xlfn.XLOOKUP($G264,'.Auxiliar'!$G:$G,'.Auxiliar'!A:A,"-",0)</f>
        <v>CRO</v>
      </c>
      <c r="B264" s="55" t="str">
        <f>_xlfn.XLOOKUP($G264,'.Auxiliar'!$G:$G,'.Auxiliar'!B:B,"-",0)</f>
        <v>OAE</v>
      </c>
      <c r="C264" s="55" t="str">
        <f>_xlfn.XLOOKUP($G264,'.Auxiliar'!$G:$G,'.Auxiliar'!C:C,"-",0)</f>
        <v>Interconexão Diamante ID-11 - BR-163/MT</v>
      </c>
      <c r="D264" s="55">
        <f>_xlfn.XLOOKUP($G264,'.Auxiliar'!$G:$G,'.Auxiliar'!D:D,"-",0)</f>
        <v>320.10000000000002</v>
      </c>
      <c r="E264" s="55">
        <f>_xlfn.XLOOKUP($G264,'.Auxiliar'!$G:$G,'.Auxiliar'!E:E,"-",0)</f>
        <v>320.10000000000002</v>
      </c>
      <c r="F264" s="55">
        <f>_xlfn.XLOOKUP($G264,'.Auxiliar'!$G:$G,'.Auxiliar'!F:F,"-",0)</f>
        <v>1</v>
      </c>
      <c r="G264" s="59" t="s">
        <v>764</v>
      </c>
      <c r="H264" s="108" t="s">
        <v>363</v>
      </c>
      <c r="I264" s="109" t="s">
        <v>0</v>
      </c>
      <c r="J264" s="109" t="s">
        <v>0</v>
      </c>
      <c r="K264" s="109" t="s">
        <v>363</v>
      </c>
      <c r="L264" s="109" t="s">
        <v>0</v>
      </c>
      <c r="M264" s="109" t="s">
        <v>0</v>
      </c>
      <c r="N264" s="110" t="s">
        <v>0</v>
      </c>
      <c r="O264" s="111">
        <v>100</v>
      </c>
      <c r="P264" s="112">
        <v>0</v>
      </c>
      <c r="Q264" s="112"/>
      <c r="R264" s="112"/>
      <c r="S264" s="112"/>
      <c r="T264" s="112"/>
      <c r="U264" s="95" t="str">
        <f t="shared" si="12"/>
        <v/>
      </c>
      <c r="V264" s="112"/>
      <c r="W264" s="112"/>
      <c r="X264" s="107">
        <v>100</v>
      </c>
      <c r="Y264" s="107">
        <f t="shared" si="13"/>
        <v>100</v>
      </c>
      <c r="Z264" s="107">
        <f t="shared" si="14"/>
        <v>0</v>
      </c>
    </row>
    <row r="265" spans="1:26" x14ac:dyDescent="0.25">
      <c r="A265" s="55" t="str">
        <f>_xlfn.XLOOKUP($G265,'.Auxiliar'!$G:$G,'.Auxiliar'!A:A,"-",0)</f>
        <v>CRO</v>
      </c>
      <c r="B265" s="55" t="str">
        <f>_xlfn.XLOOKUP($G265,'.Auxiliar'!$G:$G,'.Auxiliar'!B:B,"-",0)</f>
        <v>OAE</v>
      </c>
      <c r="C265" s="55" t="str">
        <f>_xlfn.XLOOKUP($G265,'.Auxiliar'!$G:$G,'.Auxiliar'!C:C,"-",0)</f>
        <v>Interconexão Diamante ID-12 - BR-163/MT</v>
      </c>
      <c r="D265" s="55">
        <f>_xlfn.XLOOKUP($G265,'.Auxiliar'!$G:$G,'.Auxiliar'!D:D,"-",0)</f>
        <v>347.7</v>
      </c>
      <c r="E265" s="55">
        <f>_xlfn.XLOOKUP($G265,'.Auxiliar'!$G:$G,'.Auxiliar'!E:E,"-",0)</f>
        <v>347.7</v>
      </c>
      <c r="F265" s="55">
        <f>_xlfn.XLOOKUP($G265,'.Auxiliar'!$G:$G,'.Auxiliar'!F:F,"-",0)</f>
        <v>1</v>
      </c>
      <c r="G265" s="59" t="s">
        <v>765</v>
      </c>
      <c r="H265" s="108" t="s">
        <v>363</v>
      </c>
      <c r="I265" s="109" t="s">
        <v>0</v>
      </c>
      <c r="J265" s="109" t="s">
        <v>0</v>
      </c>
      <c r="K265" s="109" t="s">
        <v>363</v>
      </c>
      <c r="L265" s="109" t="s">
        <v>0</v>
      </c>
      <c r="M265" s="109" t="s">
        <v>0</v>
      </c>
      <c r="N265" s="110" t="s">
        <v>0</v>
      </c>
      <c r="O265" s="111">
        <v>100</v>
      </c>
      <c r="P265" s="112">
        <v>0</v>
      </c>
      <c r="Q265" s="112"/>
      <c r="R265" s="112"/>
      <c r="S265" s="112"/>
      <c r="T265" s="112"/>
      <c r="U265" s="95" t="str">
        <f t="shared" si="12"/>
        <v/>
      </c>
      <c r="V265" s="112"/>
      <c r="W265" s="112"/>
      <c r="X265" s="107">
        <v>100</v>
      </c>
      <c r="Y265" s="107">
        <f t="shared" si="13"/>
        <v>100</v>
      </c>
      <c r="Z265" s="107">
        <f t="shared" si="14"/>
        <v>0</v>
      </c>
    </row>
    <row r="266" spans="1:26" x14ac:dyDescent="0.25">
      <c r="A266" s="55" t="str">
        <f>_xlfn.XLOOKUP($G266,'.Auxiliar'!$G:$G,'.Auxiliar'!A:A,"-",0)</f>
        <v>CRO</v>
      </c>
      <c r="B266" s="55" t="str">
        <f>_xlfn.XLOOKUP($G266,'.Auxiliar'!$G:$G,'.Auxiliar'!B:B,"-",0)</f>
        <v>OAE</v>
      </c>
      <c r="C266" s="55" t="str">
        <f>_xlfn.XLOOKUP($G266,'.Auxiliar'!$G:$G,'.Auxiliar'!C:C,"-",0)</f>
        <v>Interconexão Diamante ID-13 - BR-163/MT</v>
      </c>
      <c r="D266" s="55">
        <f>_xlfn.XLOOKUP($G266,'.Auxiliar'!$G:$G,'.Auxiliar'!D:D,"-",0)</f>
        <v>465.5</v>
      </c>
      <c r="E266" s="55">
        <f>_xlfn.XLOOKUP($G266,'.Auxiliar'!$G:$G,'.Auxiliar'!E:E,"-",0)</f>
        <v>465.5</v>
      </c>
      <c r="F266" s="55">
        <f>_xlfn.XLOOKUP($G266,'.Auxiliar'!$G:$G,'.Auxiliar'!F:F,"-",0)</f>
        <v>1</v>
      </c>
      <c r="G266" s="59" t="s">
        <v>766</v>
      </c>
      <c r="H266" s="108" t="s">
        <v>363</v>
      </c>
      <c r="I266" s="109" t="s">
        <v>0</v>
      </c>
      <c r="J266" s="109" t="s">
        <v>0</v>
      </c>
      <c r="K266" s="109" t="s">
        <v>363</v>
      </c>
      <c r="L266" s="109" t="s">
        <v>0</v>
      </c>
      <c r="M266" s="109" t="s">
        <v>0</v>
      </c>
      <c r="N266" s="110" t="s">
        <v>0</v>
      </c>
      <c r="O266" s="111">
        <v>100</v>
      </c>
      <c r="P266" s="112">
        <v>0</v>
      </c>
      <c r="Q266" s="112"/>
      <c r="R266" s="112"/>
      <c r="S266" s="112"/>
      <c r="T266" s="112"/>
      <c r="U266" s="95" t="str">
        <f t="shared" si="12"/>
        <v/>
      </c>
      <c r="V266" s="112"/>
      <c r="W266" s="112"/>
      <c r="X266" s="107">
        <v>100</v>
      </c>
      <c r="Y266" s="107">
        <f t="shared" si="13"/>
        <v>100</v>
      </c>
      <c r="Z266" s="107">
        <f t="shared" si="14"/>
        <v>0</v>
      </c>
    </row>
    <row r="267" spans="1:26" x14ac:dyDescent="0.25">
      <c r="A267" s="55" t="str">
        <f>_xlfn.XLOOKUP($G267,'.Auxiliar'!$G:$G,'.Auxiliar'!A:A,"-",0)</f>
        <v>CRO</v>
      </c>
      <c r="B267" s="55" t="str">
        <f>_xlfn.XLOOKUP($G267,'.Auxiliar'!$G:$G,'.Auxiliar'!B:B,"-",0)</f>
        <v>OAE</v>
      </c>
      <c r="C267" s="55" t="str">
        <f>_xlfn.XLOOKUP($G267,'.Auxiliar'!$G:$G,'.Auxiliar'!C:C,"-",0)</f>
        <v>Interconexão Diamante ID-14 - BR-163/MT</v>
      </c>
      <c r="D267" s="55">
        <f>_xlfn.XLOOKUP($G267,'.Auxiliar'!$G:$G,'.Auxiliar'!D:D,"-",0)</f>
        <v>475.9</v>
      </c>
      <c r="E267" s="55">
        <f>_xlfn.XLOOKUP($G267,'.Auxiliar'!$G:$G,'.Auxiliar'!E:E,"-",0)</f>
        <v>475.9</v>
      </c>
      <c r="F267" s="55">
        <f>_xlfn.XLOOKUP($G267,'.Auxiliar'!$G:$G,'.Auxiliar'!F:F,"-",0)</f>
        <v>1</v>
      </c>
      <c r="G267" s="59" t="s">
        <v>767</v>
      </c>
      <c r="H267" s="108" t="s">
        <v>363</v>
      </c>
      <c r="I267" s="109" t="s">
        <v>0</v>
      </c>
      <c r="J267" s="109" t="s">
        <v>0</v>
      </c>
      <c r="K267" s="109" t="s">
        <v>363</v>
      </c>
      <c r="L267" s="109" t="s">
        <v>0</v>
      </c>
      <c r="M267" s="109" t="s">
        <v>0</v>
      </c>
      <c r="N267" s="110" t="s">
        <v>0</v>
      </c>
      <c r="O267" s="111">
        <v>100</v>
      </c>
      <c r="P267" s="112">
        <v>0</v>
      </c>
      <c r="Q267" s="112"/>
      <c r="R267" s="112"/>
      <c r="S267" s="112"/>
      <c r="T267" s="112"/>
      <c r="U267" s="95" t="str">
        <f t="shared" si="12"/>
        <v/>
      </c>
      <c r="V267" s="112"/>
      <c r="W267" s="112"/>
      <c r="X267" s="107">
        <v>100</v>
      </c>
      <c r="Y267" s="107">
        <f t="shared" si="13"/>
        <v>100</v>
      </c>
      <c r="Z267" s="107">
        <f t="shared" si="14"/>
        <v>0</v>
      </c>
    </row>
    <row r="268" spans="1:26" x14ac:dyDescent="0.25">
      <c r="A268" s="55" t="str">
        <f>_xlfn.XLOOKUP($G268,'.Auxiliar'!$G:$G,'.Auxiliar'!A:A,"-",0)</f>
        <v>CRO</v>
      </c>
      <c r="B268" s="55" t="str">
        <f>_xlfn.XLOOKUP($G268,'.Auxiliar'!$G:$G,'.Auxiliar'!B:B,"-",0)</f>
        <v>OAE</v>
      </c>
      <c r="C268" s="55" t="str">
        <f>_xlfn.XLOOKUP($G268,'.Auxiliar'!$G:$G,'.Auxiliar'!C:C,"-",0)</f>
        <v>Interconexão Diamante ID-15 - BR-163/MT</v>
      </c>
      <c r="D268" s="55">
        <f>_xlfn.XLOOKUP($G268,'.Auxiliar'!$G:$G,'.Auxiliar'!D:D,"-",0)</f>
        <v>480</v>
      </c>
      <c r="E268" s="55">
        <f>_xlfn.XLOOKUP($G268,'.Auxiliar'!$G:$G,'.Auxiliar'!E:E,"-",0)</f>
        <v>480</v>
      </c>
      <c r="F268" s="55">
        <f>_xlfn.XLOOKUP($G268,'.Auxiliar'!$G:$G,'.Auxiliar'!F:F,"-",0)</f>
        <v>1</v>
      </c>
      <c r="G268" s="59" t="s">
        <v>768</v>
      </c>
      <c r="H268" s="108" t="s">
        <v>363</v>
      </c>
      <c r="I268" s="109" t="s">
        <v>0</v>
      </c>
      <c r="J268" s="109" t="s">
        <v>0</v>
      </c>
      <c r="K268" s="109" t="s">
        <v>363</v>
      </c>
      <c r="L268" s="109" t="s">
        <v>0</v>
      </c>
      <c r="M268" s="109" t="s">
        <v>0</v>
      </c>
      <c r="N268" s="110" t="s">
        <v>0</v>
      </c>
      <c r="O268" s="111">
        <v>100</v>
      </c>
      <c r="P268" s="112">
        <v>0</v>
      </c>
      <c r="Q268" s="112"/>
      <c r="R268" s="112"/>
      <c r="S268" s="112"/>
      <c r="T268" s="112"/>
      <c r="U268" s="95" t="str">
        <f t="shared" si="12"/>
        <v/>
      </c>
      <c r="V268" s="112"/>
      <c r="W268" s="112"/>
      <c r="X268" s="107">
        <v>100</v>
      </c>
      <c r="Y268" s="107">
        <f t="shared" si="13"/>
        <v>100</v>
      </c>
      <c r="Z268" s="107">
        <f t="shared" si="14"/>
        <v>0</v>
      </c>
    </row>
    <row r="269" spans="1:26" x14ac:dyDescent="0.25">
      <c r="A269" s="55" t="str">
        <f>_xlfn.XLOOKUP($G269,'.Auxiliar'!$G:$G,'.Auxiliar'!A:A,"-",0)</f>
        <v>CRO</v>
      </c>
      <c r="B269" s="55" t="str">
        <f>_xlfn.XLOOKUP($G269,'.Auxiliar'!$G:$G,'.Auxiliar'!B:B,"-",0)</f>
        <v>OAE</v>
      </c>
      <c r="C269" s="55" t="str">
        <f>_xlfn.XLOOKUP($G269,'.Auxiliar'!$G:$G,'.Auxiliar'!C:C,"-",0)</f>
        <v>Interconexão Diamante ID-16 - BR-163/MT</v>
      </c>
      <c r="D269" s="55">
        <f>_xlfn.XLOOKUP($G269,'.Auxiliar'!$G:$G,'.Auxiliar'!D:D,"-",0)</f>
        <v>503.5</v>
      </c>
      <c r="E269" s="55">
        <f>_xlfn.XLOOKUP($G269,'.Auxiliar'!$G:$G,'.Auxiliar'!E:E,"-",0)</f>
        <v>503.5</v>
      </c>
      <c r="F269" s="55">
        <f>_xlfn.XLOOKUP($G269,'.Auxiliar'!$G:$G,'.Auxiliar'!F:F,"-",0)</f>
        <v>1</v>
      </c>
      <c r="G269" s="59" t="s">
        <v>769</v>
      </c>
      <c r="H269" s="108" t="s">
        <v>363</v>
      </c>
      <c r="I269" s="109" t="s">
        <v>0</v>
      </c>
      <c r="J269" s="109" t="s">
        <v>0</v>
      </c>
      <c r="K269" s="109" t="s">
        <v>363</v>
      </c>
      <c r="L269" s="109" t="s">
        <v>0</v>
      </c>
      <c r="M269" s="109" t="s">
        <v>0</v>
      </c>
      <c r="N269" s="110" t="s">
        <v>0</v>
      </c>
      <c r="O269" s="111">
        <v>100</v>
      </c>
      <c r="P269" s="112">
        <v>0</v>
      </c>
      <c r="Q269" s="112"/>
      <c r="R269" s="112"/>
      <c r="S269" s="112"/>
      <c r="T269" s="112"/>
      <c r="U269" s="95" t="str">
        <f t="shared" si="12"/>
        <v/>
      </c>
      <c r="V269" s="112"/>
      <c r="W269" s="112"/>
      <c r="X269" s="107">
        <v>100</v>
      </c>
      <c r="Y269" s="107">
        <f t="shared" si="13"/>
        <v>100</v>
      </c>
      <c r="Z269" s="107">
        <f t="shared" si="14"/>
        <v>0</v>
      </c>
    </row>
    <row r="270" spans="1:26" x14ac:dyDescent="0.25">
      <c r="A270" s="55" t="str">
        <f>_xlfn.XLOOKUP($G270,'.Auxiliar'!$G:$G,'.Auxiliar'!A:A,"-",0)</f>
        <v>CRO</v>
      </c>
      <c r="B270" s="55" t="str">
        <f>_xlfn.XLOOKUP($G270,'.Auxiliar'!$G:$G,'.Auxiliar'!B:B,"-",0)</f>
        <v>OAE</v>
      </c>
      <c r="C270" s="55" t="str">
        <f>_xlfn.XLOOKUP($G270,'.Auxiliar'!$G:$G,'.Auxiliar'!C:C,"-",0)</f>
        <v>Interconexão Diamante ID-17 - BR-163/MT</v>
      </c>
      <c r="D270" s="55">
        <f>_xlfn.XLOOKUP($G270,'.Auxiliar'!$G:$G,'.Auxiliar'!D:D,"-",0)</f>
        <v>572.70000000000005</v>
      </c>
      <c r="E270" s="55">
        <f>_xlfn.XLOOKUP($G270,'.Auxiliar'!$G:$G,'.Auxiliar'!E:E,"-",0)</f>
        <v>572.70000000000005</v>
      </c>
      <c r="F270" s="55">
        <f>_xlfn.XLOOKUP($G270,'.Auxiliar'!$G:$G,'.Auxiliar'!F:F,"-",0)</f>
        <v>1</v>
      </c>
      <c r="G270" s="59" t="s">
        <v>770</v>
      </c>
      <c r="H270" s="108" t="s">
        <v>363</v>
      </c>
      <c r="I270" s="109" t="s">
        <v>0</v>
      </c>
      <c r="J270" s="109" t="s">
        <v>0</v>
      </c>
      <c r="K270" s="109" t="s">
        <v>363</v>
      </c>
      <c r="L270" s="109" t="s">
        <v>0</v>
      </c>
      <c r="M270" s="109" t="s">
        <v>0</v>
      </c>
      <c r="N270" s="110" t="s">
        <v>0</v>
      </c>
      <c r="O270" s="111">
        <v>100</v>
      </c>
      <c r="P270" s="112">
        <v>0</v>
      </c>
      <c r="Q270" s="112"/>
      <c r="R270" s="112"/>
      <c r="S270" s="112"/>
      <c r="T270" s="112"/>
      <c r="U270" s="95" t="str">
        <f t="shared" si="12"/>
        <v/>
      </c>
      <c r="V270" s="112"/>
      <c r="W270" s="112"/>
      <c r="X270" s="107">
        <v>100</v>
      </c>
      <c r="Y270" s="107">
        <f t="shared" si="13"/>
        <v>100</v>
      </c>
      <c r="Z270" s="107">
        <f t="shared" si="14"/>
        <v>0</v>
      </c>
    </row>
    <row r="271" spans="1:26" x14ac:dyDescent="0.25">
      <c r="A271" s="55" t="str">
        <f>_xlfn.XLOOKUP($G271,'.Auxiliar'!$G:$G,'.Auxiliar'!A:A,"-",0)</f>
        <v>CRO</v>
      </c>
      <c r="B271" s="55" t="str">
        <f>_xlfn.XLOOKUP($G271,'.Auxiliar'!$G:$G,'.Auxiliar'!B:B,"-",0)</f>
        <v>OAE</v>
      </c>
      <c r="C271" s="55" t="str">
        <f>_xlfn.XLOOKUP($G271,'.Auxiliar'!$G:$G,'.Auxiliar'!C:C,"-",0)</f>
        <v>Interconexão Diamante ID-18 - BR-163/MT</v>
      </c>
      <c r="D271" s="55">
        <f>_xlfn.XLOOKUP($G271,'.Auxiliar'!$G:$G,'.Auxiliar'!D:D,"-",0)</f>
        <v>592.9</v>
      </c>
      <c r="E271" s="55">
        <f>_xlfn.XLOOKUP($G271,'.Auxiliar'!$G:$G,'.Auxiliar'!E:E,"-",0)</f>
        <v>592.9</v>
      </c>
      <c r="F271" s="55">
        <f>_xlfn.XLOOKUP($G271,'.Auxiliar'!$G:$G,'.Auxiliar'!F:F,"-",0)</f>
        <v>1</v>
      </c>
      <c r="G271" s="59" t="s">
        <v>771</v>
      </c>
      <c r="H271" s="108" t="s">
        <v>363</v>
      </c>
      <c r="I271" s="109" t="s">
        <v>0</v>
      </c>
      <c r="J271" s="109" t="s">
        <v>0</v>
      </c>
      <c r="K271" s="109" t="s">
        <v>363</v>
      </c>
      <c r="L271" s="109" t="s">
        <v>0</v>
      </c>
      <c r="M271" s="109" t="s">
        <v>0</v>
      </c>
      <c r="N271" s="110" t="s">
        <v>0</v>
      </c>
      <c r="O271" s="111">
        <v>100</v>
      </c>
      <c r="P271" s="112">
        <v>0</v>
      </c>
      <c r="Q271" s="112"/>
      <c r="R271" s="112"/>
      <c r="S271" s="112"/>
      <c r="T271" s="112"/>
      <c r="U271" s="95" t="str">
        <f t="shared" si="12"/>
        <v/>
      </c>
      <c r="V271" s="112"/>
      <c r="W271" s="112"/>
      <c r="X271" s="107">
        <v>100</v>
      </c>
      <c r="Y271" s="107">
        <f t="shared" si="13"/>
        <v>100</v>
      </c>
      <c r="Z271" s="107">
        <f t="shared" si="14"/>
        <v>0</v>
      </c>
    </row>
    <row r="272" spans="1:26" x14ac:dyDescent="0.25">
      <c r="A272" s="55" t="str">
        <f>_xlfn.XLOOKUP($G272,'.Auxiliar'!$G:$G,'.Auxiliar'!A:A,"-",0)</f>
        <v>CRO</v>
      </c>
      <c r="B272" s="55" t="str">
        <f>_xlfn.XLOOKUP($G272,'.Auxiliar'!$G:$G,'.Auxiliar'!B:B,"-",0)</f>
        <v>OAE</v>
      </c>
      <c r="C272" s="55" t="str">
        <f>_xlfn.XLOOKUP($G272,'.Auxiliar'!$G:$G,'.Auxiliar'!C:C,"-",0)</f>
        <v>Interconexão Diamante ID-19 - BR-163/MT</v>
      </c>
      <c r="D272" s="55">
        <f>_xlfn.XLOOKUP($G272,'.Auxiliar'!$G:$G,'.Auxiliar'!D:D,"-",0)</f>
        <v>599.20000000000005</v>
      </c>
      <c r="E272" s="55">
        <f>_xlfn.XLOOKUP($G272,'.Auxiliar'!$G:$G,'.Auxiliar'!E:E,"-",0)</f>
        <v>599.20000000000005</v>
      </c>
      <c r="F272" s="55">
        <f>_xlfn.XLOOKUP($G272,'.Auxiliar'!$G:$G,'.Auxiliar'!F:F,"-",0)</f>
        <v>1</v>
      </c>
      <c r="G272" s="59" t="s">
        <v>772</v>
      </c>
      <c r="H272" s="108" t="s">
        <v>363</v>
      </c>
      <c r="I272" s="109" t="s">
        <v>0</v>
      </c>
      <c r="J272" s="109" t="s">
        <v>0</v>
      </c>
      <c r="K272" s="109" t="s">
        <v>363</v>
      </c>
      <c r="L272" s="109" t="s">
        <v>0</v>
      </c>
      <c r="M272" s="109" t="s">
        <v>0</v>
      </c>
      <c r="N272" s="110" t="s">
        <v>0</v>
      </c>
      <c r="O272" s="111">
        <v>100</v>
      </c>
      <c r="P272" s="112">
        <v>0</v>
      </c>
      <c r="Q272" s="112"/>
      <c r="R272" s="112"/>
      <c r="S272" s="112"/>
      <c r="T272" s="112"/>
      <c r="U272" s="95" t="str">
        <f t="shared" si="12"/>
        <v/>
      </c>
      <c r="V272" s="112"/>
      <c r="W272" s="112"/>
      <c r="X272" s="107">
        <v>100</v>
      </c>
      <c r="Y272" s="107">
        <f t="shared" si="13"/>
        <v>100</v>
      </c>
      <c r="Z272" s="107">
        <f t="shared" si="14"/>
        <v>0</v>
      </c>
    </row>
    <row r="273" spans="1:26" x14ac:dyDescent="0.25">
      <c r="A273" s="55" t="str">
        <f>_xlfn.XLOOKUP($G273,'.Auxiliar'!$G:$G,'.Auxiliar'!A:A,"-",0)</f>
        <v>CRO</v>
      </c>
      <c r="B273" s="55" t="str">
        <f>_xlfn.XLOOKUP($G273,'.Auxiliar'!$G:$G,'.Auxiliar'!B:B,"-",0)</f>
        <v>OAE</v>
      </c>
      <c r="C273" s="55" t="str">
        <f>_xlfn.XLOOKUP($G273,'.Auxiliar'!$G:$G,'.Auxiliar'!C:C,"-",0)</f>
        <v>Interconexão Diamante ID-20 - BR-163/MT</v>
      </c>
      <c r="D273" s="55">
        <f>_xlfn.XLOOKUP($G273,'.Auxiliar'!$G:$G,'.Auxiliar'!D:D,"-",0)</f>
        <v>644</v>
      </c>
      <c r="E273" s="55">
        <f>_xlfn.XLOOKUP($G273,'.Auxiliar'!$G:$G,'.Auxiliar'!E:E,"-",0)</f>
        <v>644</v>
      </c>
      <c r="F273" s="55">
        <f>_xlfn.XLOOKUP($G273,'.Auxiliar'!$G:$G,'.Auxiliar'!F:F,"-",0)</f>
        <v>1</v>
      </c>
      <c r="G273" s="59" t="s">
        <v>773</v>
      </c>
      <c r="H273" s="108" t="s">
        <v>363</v>
      </c>
      <c r="I273" s="109" t="s">
        <v>0</v>
      </c>
      <c r="J273" s="109" t="s">
        <v>0</v>
      </c>
      <c r="K273" s="109" t="s">
        <v>363</v>
      </c>
      <c r="L273" s="109" t="s">
        <v>0</v>
      </c>
      <c r="M273" s="109" t="s">
        <v>0</v>
      </c>
      <c r="N273" s="110" t="s">
        <v>0</v>
      </c>
      <c r="O273" s="111">
        <v>100</v>
      </c>
      <c r="P273" s="112">
        <v>0</v>
      </c>
      <c r="Q273" s="112"/>
      <c r="R273" s="112"/>
      <c r="S273" s="112"/>
      <c r="T273" s="112"/>
      <c r="U273" s="95" t="str">
        <f t="shared" si="12"/>
        <v/>
      </c>
      <c r="V273" s="112"/>
      <c r="W273" s="112"/>
      <c r="X273" s="107">
        <v>100</v>
      </c>
      <c r="Y273" s="107">
        <f t="shared" si="13"/>
        <v>100</v>
      </c>
      <c r="Z273" s="107">
        <f t="shared" si="14"/>
        <v>0</v>
      </c>
    </row>
    <row r="274" spans="1:26" x14ac:dyDescent="0.25">
      <c r="A274" s="55" t="str">
        <f>_xlfn.XLOOKUP($G274,'.Auxiliar'!$G:$G,'.Auxiliar'!A:A,"-",0)</f>
        <v>CRO</v>
      </c>
      <c r="B274" s="55" t="str">
        <f>_xlfn.XLOOKUP($G274,'.Auxiliar'!$G:$G,'.Auxiliar'!B:B,"-",0)</f>
        <v>OAE</v>
      </c>
      <c r="C274" s="55" t="str">
        <f>_xlfn.XLOOKUP($G274,'.Auxiliar'!$G:$G,'.Auxiliar'!C:C,"-",0)</f>
        <v>Interconexão Diamante ID-21 - BR-163/MT</v>
      </c>
      <c r="D274" s="55">
        <f>_xlfn.XLOOKUP($G274,'.Auxiliar'!$G:$G,'.Auxiliar'!D:D,"-",0)</f>
        <v>660</v>
      </c>
      <c r="E274" s="55">
        <f>_xlfn.XLOOKUP($G274,'.Auxiliar'!$G:$G,'.Auxiliar'!E:E,"-",0)</f>
        <v>660</v>
      </c>
      <c r="F274" s="55">
        <f>_xlfn.XLOOKUP($G274,'.Auxiliar'!$G:$G,'.Auxiliar'!F:F,"-",0)</f>
        <v>1</v>
      </c>
      <c r="G274" s="59" t="s">
        <v>774</v>
      </c>
      <c r="H274" s="108" t="s">
        <v>363</v>
      </c>
      <c r="I274" s="109" t="s">
        <v>0</v>
      </c>
      <c r="J274" s="109" t="s">
        <v>0</v>
      </c>
      <c r="K274" s="109" t="s">
        <v>363</v>
      </c>
      <c r="L274" s="109" t="s">
        <v>0</v>
      </c>
      <c r="M274" s="109" t="s">
        <v>0</v>
      </c>
      <c r="N274" s="110" t="s">
        <v>0</v>
      </c>
      <c r="O274" s="111">
        <v>100</v>
      </c>
      <c r="P274" s="112">
        <v>0</v>
      </c>
      <c r="Q274" s="112"/>
      <c r="R274" s="112"/>
      <c r="S274" s="112"/>
      <c r="T274" s="112"/>
      <c r="U274" s="95" t="str">
        <f t="shared" si="12"/>
        <v/>
      </c>
      <c r="V274" s="112"/>
      <c r="W274" s="112"/>
      <c r="X274" s="107">
        <v>100</v>
      </c>
      <c r="Y274" s="107">
        <f t="shared" si="13"/>
        <v>100</v>
      </c>
      <c r="Z274" s="107">
        <f t="shared" si="14"/>
        <v>0</v>
      </c>
    </row>
    <row r="275" spans="1:26" x14ac:dyDescent="0.25">
      <c r="A275" s="55" t="str">
        <f>_xlfn.XLOOKUP($G275,'.Auxiliar'!$G:$G,'.Auxiliar'!A:A,"-",0)</f>
        <v>CRO</v>
      </c>
      <c r="B275" s="55" t="str">
        <f>_xlfn.XLOOKUP($G275,'.Auxiliar'!$G:$G,'.Auxiliar'!B:B,"-",0)</f>
        <v>OAE</v>
      </c>
      <c r="C275" s="55" t="str">
        <f>_xlfn.XLOOKUP($G275,'.Auxiliar'!$G:$G,'.Auxiliar'!C:C,"-",0)</f>
        <v>Interconexão Diamante ID-22 - BR-163/MT</v>
      </c>
      <c r="D275" s="55">
        <f>_xlfn.XLOOKUP($G275,'.Auxiliar'!$G:$G,'.Auxiliar'!D:D,"-",0)</f>
        <v>689.5</v>
      </c>
      <c r="E275" s="55">
        <f>_xlfn.XLOOKUP($G275,'.Auxiliar'!$G:$G,'.Auxiliar'!E:E,"-",0)</f>
        <v>689.5</v>
      </c>
      <c r="F275" s="55">
        <f>_xlfn.XLOOKUP($G275,'.Auxiliar'!$G:$G,'.Auxiliar'!F:F,"-",0)</f>
        <v>1</v>
      </c>
      <c r="G275" s="59" t="s">
        <v>775</v>
      </c>
      <c r="H275" s="108" t="s">
        <v>363</v>
      </c>
      <c r="I275" s="109" t="s">
        <v>0</v>
      </c>
      <c r="J275" s="109" t="s">
        <v>0</v>
      </c>
      <c r="K275" s="109" t="s">
        <v>363</v>
      </c>
      <c r="L275" s="109" t="s">
        <v>0</v>
      </c>
      <c r="M275" s="109" t="s">
        <v>0</v>
      </c>
      <c r="N275" s="110" t="s">
        <v>0</v>
      </c>
      <c r="O275" s="111">
        <v>100</v>
      </c>
      <c r="P275" s="112">
        <v>0</v>
      </c>
      <c r="Q275" s="112"/>
      <c r="R275" s="112"/>
      <c r="S275" s="112"/>
      <c r="T275" s="112"/>
      <c r="U275" s="95" t="str">
        <f t="shared" si="12"/>
        <v/>
      </c>
      <c r="V275" s="112"/>
      <c r="W275" s="112"/>
      <c r="X275" s="107">
        <v>100</v>
      </c>
      <c r="Y275" s="107">
        <f t="shared" si="13"/>
        <v>100</v>
      </c>
      <c r="Z275" s="107">
        <f t="shared" si="14"/>
        <v>0</v>
      </c>
    </row>
    <row r="276" spans="1:26" x14ac:dyDescent="0.25">
      <c r="A276" s="55" t="str">
        <f>_xlfn.XLOOKUP($G276,'.Auxiliar'!$G:$G,'.Auxiliar'!A:A,"-",0)</f>
        <v>CRO</v>
      </c>
      <c r="B276" s="55" t="str">
        <f>_xlfn.XLOOKUP($G276,'.Auxiliar'!$G:$G,'.Auxiliar'!B:B,"-",0)</f>
        <v>OAE</v>
      </c>
      <c r="C276" s="55" t="str">
        <f>_xlfn.XLOOKUP($G276,'.Auxiliar'!$G:$G,'.Auxiliar'!C:C,"-",0)</f>
        <v>Interconexão Diamante ID-23 - BR-163/MT</v>
      </c>
      <c r="D276" s="55">
        <f>_xlfn.XLOOKUP($G276,'.Auxiliar'!$G:$G,'.Auxiliar'!D:D,"-",0)</f>
        <v>713.8</v>
      </c>
      <c r="E276" s="55">
        <f>_xlfn.XLOOKUP($G276,'.Auxiliar'!$G:$G,'.Auxiliar'!E:E,"-",0)</f>
        <v>713.8</v>
      </c>
      <c r="F276" s="55">
        <f>_xlfn.XLOOKUP($G276,'.Auxiliar'!$G:$G,'.Auxiliar'!F:F,"-",0)</f>
        <v>1</v>
      </c>
      <c r="G276" s="59" t="s">
        <v>776</v>
      </c>
      <c r="H276" s="108" t="s">
        <v>363</v>
      </c>
      <c r="I276" s="109" t="s">
        <v>0</v>
      </c>
      <c r="J276" s="109" t="s">
        <v>0</v>
      </c>
      <c r="K276" s="109" t="s">
        <v>363</v>
      </c>
      <c r="L276" s="109" t="s">
        <v>0</v>
      </c>
      <c r="M276" s="109" t="s">
        <v>0</v>
      </c>
      <c r="N276" s="110" t="s">
        <v>0</v>
      </c>
      <c r="O276" s="111">
        <v>100</v>
      </c>
      <c r="P276" s="112">
        <v>0</v>
      </c>
      <c r="Q276" s="112"/>
      <c r="R276" s="112"/>
      <c r="S276" s="112"/>
      <c r="T276" s="112"/>
      <c r="U276" s="95" t="str">
        <f t="shared" si="12"/>
        <v/>
      </c>
      <c r="V276" s="112"/>
      <c r="W276" s="112"/>
      <c r="X276" s="107">
        <v>100</v>
      </c>
      <c r="Y276" s="107">
        <f t="shared" si="13"/>
        <v>100</v>
      </c>
      <c r="Z276" s="107">
        <f t="shared" si="14"/>
        <v>0</v>
      </c>
    </row>
    <row r="277" spans="1:26" x14ac:dyDescent="0.25">
      <c r="A277" s="55" t="str">
        <f>_xlfn.XLOOKUP($G277,'.Auxiliar'!$G:$G,'.Auxiliar'!A:A,"-",0)</f>
        <v>CRO</v>
      </c>
      <c r="B277" s="55" t="str">
        <f>_xlfn.XLOOKUP($G277,'.Auxiliar'!$G:$G,'.Auxiliar'!B:B,"-",0)</f>
        <v>OAE</v>
      </c>
      <c r="C277" s="55" t="str">
        <f>_xlfn.XLOOKUP($G277,'.Auxiliar'!$G:$G,'.Auxiliar'!C:C,"-",0)</f>
        <v>Interconexão Diamante ID-24 - BR-163/MT</v>
      </c>
      <c r="D277" s="55">
        <f>_xlfn.XLOOKUP($G277,'.Auxiliar'!$G:$G,'.Auxiliar'!D:D,"-",0)</f>
        <v>758.8</v>
      </c>
      <c r="E277" s="55">
        <f>_xlfn.XLOOKUP($G277,'.Auxiliar'!$G:$G,'.Auxiliar'!E:E,"-",0)</f>
        <v>758.8</v>
      </c>
      <c r="F277" s="55">
        <f>_xlfn.XLOOKUP($G277,'.Auxiliar'!$G:$G,'.Auxiliar'!F:F,"-",0)</f>
        <v>1</v>
      </c>
      <c r="G277" s="59" t="s">
        <v>777</v>
      </c>
      <c r="H277" s="108" t="s">
        <v>363</v>
      </c>
      <c r="I277" s="109" t="s">
        <v>0</v>
      </c>
      <c r="J277" s="109" t="s">
        <v>0</v>
      </c>
      <c r="K277" s="109" t="s">
        <v>363</v>
      </c>
      <c r="L277" s="109" t="s">
        <v>0</v>
      </c>
      <c r="M277" s="109" t="s">
        <v>0</v>
      </c>
      <c r="N277" s="110" t="s">
        <v>0</v>
      </c>
      <c r="O277" s="111">
        <v>100</v>
      </c>
      <c r="P277" s="112">
        <v>0</v>
      </c>
      <c r="Q277" s="112"/>
      <c r="R277" s="112"/>
      <c r="S277" s="112"/>
      <c r="T277" s="112"/>
      <c r="U277" s="95" t="str">
        <f t="shared" si="12"/>
        <v/>
      </c>
      <c r="V277" s="112"/>
      <c r="W277" s="112"/>
      <c r="X277" s="107">
        <v>100</v>
      </c>
      <c r="Y277" s="107">
        <f t="shared" si="13"/>
        <v>100</v>
      </c>
      <c r="Z277" s="107">
        <f t="shared" si="14"/>
        <v>0</v>
      </c>
    </row>
    <row r="278" spans="1:26" x14ac:dyDescent="0.25">
      <c r="A278" s="55" t="str">
        <f>_xlfn.XLOOKUP($G278,'.Auxiliar'!$G:$G,'.Auxiliar'!A:A,"-",0)</f>
        <v>CRO</v>
      </c>
      <c r="B278" s="55" t="str">
        <f>_xlfn.XLOOKUP($G278,'.Auxiliar'!$G:$G,'.Auxiliar'!B:B,"-",0)</f>
        <v>OAE</v>
      </c>
      <c r="C278" s="55" t="str">
        <f>_xlfn.XLOOKUP($G278,'.Auxiliar'!$G:$G,'.Auxiliar'!C:C,"-",0)</f>
        <v>Interconexão Diamante ID-25 - BR-163/MT</v>
      </c>
      <c r="D278" s="55">
        <f>_xlfn.XLOOKUP($G278,'.Auxiliar'!$G:$G,'.Auxiliar'!D:D,"-",0)</f>
        <v>762.8</v>
      </c>
      <c r="E278" s="55">
        <f>_xlfn.XLOOKUP($G278,'.Auxiliar'!$G:$G,'.Auxiliar'!E:E,"-",0)</f>
        <v>762.8</v>
      </c>
      <c r="F278" s="55">
        <f>_xlfn.XLOOKUP($G278,'.Auxiliar'!$G:$G,'.Auxiliar'!F:F,"-",0)</f>
        <v>1</v>
      </c>
      <c r="G278" s="59" t="s">
        <v>778</v>
      </c>
      <c r="H278" s="108" t="s">
        <v>363</v>
      </c>
      <c r="I278" s="109" t="s">
        <v>0</v>
      </c>
      <c r="J278" s="109" t="s">
        <v>0</v>
      </c>
      <c r="K278" s="109" t="s">
        <v>363</v>
      </c>
      <c r="L278" s="109" t="s">
        <v>0</v>
      </c>
      <c r="M278" s="109" t="s">
        <v>0</v>
      </c>
      <c r="N278" s="110" t="s">
        <v>0</v>
      </c>
      <c r="O278" s="111">
        <v>100</v>
      </c>
      <c r="P278" s="112">
        <v>0</v>
      </c>
      <c r="Q278" s="112"/>
      <c r="R278" s="112"/>
      <c r="S278" s="112"/>
      <c r="T278" s="112"/>
      <c r="U278" s="95" t="str">
        <f t="shared" si="12"/>
        <v/>
      </c>
      <c r="V278" s="112"/>
      <c r="W278" s="112"/>
      <c r="X278" s="107">
        <v>100</v>
      </c>
      <c r="Y278" s="107">
        <f t="shared" si="13"/>
        <v>100</v>
      </c>
      <c r="Z278" s="107">
        <f t="shared" si="14"/>
        <v>0</v>
      </c>
    </row>
    <row r="279" spans="1:26" x14ac:dyDescent="0.25">
      <c r="A279" s="55" t="str">
        <f>_xlfn.XLOOKUP($G279,'.Auxiliar'!$G:$G,'.Auxiliar'!A:A,"-",0)</f>
        <v>CRO</v>
      </c>
      <c r="B279" s="55" t="str">
        <f>_xlfn.XLOOKUP($G279,'.Auxiliar'!$G:$G,'.Auxiliar'!B:B,"-",0)</f>
        <v>OAE</v>
      </c>
      <c r="C279" s="55" t="str">
        <f>_xlfn.XLOOKUP($G279,'.Auxiliar'!$G:$G,'.Auxiliar'!C:C,"-",0)</f>
        <v>Interconexão Diamante ID-26 - BR-163/MT</v>
      </c>
      <c r="D279" s="55">
        <f>_xlfn.XLOOKUP($G279,'.Auxiliar'!$G:$G,'.Auxiliar'!D:D,"-",0)</f>
        <v>819.8</v>
      </c>
      <c r="E279" s="55">
        <f>_xlfn.XLOOKUP($G279,'.Auxiliar'!$G:$G,'.Auxiliar'!E:E,"-",0)</f>
        <v>819.8</v>
      </c>
      <c r="F279" s="55">
        <f>_xlfn.XLOOKUP($G279,'.Auxiliar'!$G:$G,'.Auxiliar'!F:F,"-",0)</f>
        <v>1</v>
      </c>
      <c r="G279" s="59" t="s">
        <v>779</v>
      </c>
      <c r="H279" s="108" t="s">
        <v>363</v>
      </c>
      <c r="I279" s="109" t="s">
        <v>0</v>
      </c>
      <c r="J279" s="109" t="s">
        <v>0</v>
      </c>
      <c r="K279" s="109" t="s">
        <v>363</v>
      </c>
      <c r="L279" s="109" t="s">
        <v>0</v>
      </c>
      <c r="M279" s="109" t="s">
        <v>0</v>
      </c>
      <c r="N279" s="110" t="s">
        <v>0</v>
      </c>
      <c r="O279" s="111">
        <v>100</v>
      </c>
      <c r="P279" s="112">
        <v>0</v>
      </c>
      <c r="Q279" s="112"/>
      <c r="R279" s="112"/>
      <c r="S279" s="112"/>
      <c r="T279" s="112"/>
      <c r="U279" s="95" t="str">
        <f t="shared" si="12"/>
        <v/>
      </c>
      <c r="V279" s="112"/>
      <c r="W279" s="112"/>
      <c r="X279" s="107">
        <v>100</v>
      </c>
      <c r="Y279" s="107">
        <f t="shared" si="13"/>
        <v>100</v>
      </c>
      <c r="Z279" s="107">
        <f t="shared" si="14"/>
        <v>0</v>
      </c>
    </row>
    <row r="280" spans="1:26" x14ac:dyDescent="0.25">
      <c r="A280" s="55" t="str">
        <f>_xlfn.XLOOKUP($G280,'.Auxiliar'!$G:$G,'.Auxiliar'!A:A,"-",0)</f>
        <v>CRO</v>
      </c>
      <c r="B280" s="55" t="str">
        <f>_xlfn.XLOOKUP($G280,'.Auxiliar'!$G:$G,'.Auxiliar'!B:B,"-",0)</f>
        <v>OAE</v>
      </c>
      <c r="C280" s="55" t="str">
        <f>_xlfn.XLOOKUP($G280,'.Auxiliar'!$G:$G,'.Auxiliar'!C:C,"-",0)</f>
        <v>Interconexão Diamante ID-27 - BR-163/MT</v>
      </c>
      <c r="D280" s="55">
        <f>_xlfn.XLOOKUP($G280,'.Auxiliar'!$G:$G,'.Auxiliar'!D:D,"-",0)</f>
        <v>831.5</v>
      </c>
      <c r="E280" s="55">
        <f>_xlfn.XLOOKUP($G280,'.Auxiliar'!$G:$G,'.Auxiliar'!E:E,"-",0)</f>
        <v>831.5</v>
      </c>
      <c r="F280" s="55">
        <f>_xlfn.XLOOKUP($G280,'.Auxiliar'!$G:$G,'.Auxiliar'!F:F,"-",0)</f>
        <v>1</v>
      </c>
      <c r="G280" s="59" t="s">
        <v>780</v>
      </c>
      <c r="H280" s="108" t="s">
        <v>363</v>
      </c>
      <c r="I280" s="109" t="s">
        <v>0</v>
      </c>
      <c r="J280" s="109" t="s">
        <v>0</v>
      </c>
      <c r="K280" s="109" t="s">
        <v>363</v>
      </c>
      <c r="L280" s="109" t="s">
        <v>0</v>
      </c>
      <c r="M280" s="109" t="s">
        <v>0</v>
      </c>
      <c r="N280" s="110" t="s">
        <v>0</v>
      </c>
      <c r="O280" s="111">
        <v>100</v>
      </c>
      <c r="P280" s="112">
        <v>0</v>
      </c>
      <c r="Q280" s="112"/>
      <c r="R280" s="112"/>
      <c r="S280" s="112"/>
      <c r="T280" s="112"/>
      <c r="U280" s="95" t="str">
        <f t="shared" si="12"/>
        <v/>
      </c>
      <c r="V280" s="112"/>
      <c r="W280" s="112"/>
      <c r="X280" s="107">
        <v>100</v>
      </c>
      <c r="Y280" s="107">
        <f t="shared" si="13"/>
        <v>100</v>
      </c>
      <c r="Z280" s="107">
        <f t="shared" si="14"/>
        <v>0</v>
      </c>
    </row>
    <row r="281" spans="1:26" x14ac:dyDescent="0.25">
      <c r="A281" s="55" t="str">
        <f>_xlfn.XLOOKUP($G281,'.Auxiliar'!$G:$G,'.Auxiliar'!A:A,"-",0)</f>
        <v>CRO</v>
      </c>
      <c r="B281" s="55" t="str">
        <f>_xlfn.XLOOKUP($G281,'.Auxiliar'!$G:$G,'.Auxiliar'!B:B,"-",0)</f>
        <v>OAE</v>
      </c>
      <c r="C281" s="55" t="str">
        <f>_xlfn.XLOOKUP($G281,'.Auxiliar'!$G:$G,'.Auxiliar'!C:C,"-",0)</f>
        <v>Interconexão Diamante ID-28 - BR-163/MT</v>
      </c>
      <c r="D281" s="55">
        <f>_xlfn.XLOOKUP($G281,'.Auxiliar'!$G:$G,'.Auxiliar'!D:D,"-",0)</f>
        <v>833.3</v>
      </c>
      <c r="E281" s="55">
        <f>_xlfn.XLOOKUP($G281,'.Auxiliar'!$G:$G,'.Auxiliar'!E:E,"-",0)</f>
        <v>833.3</v>
      </c>
      <c r="F281" s="55">
        <f>_xlfn.XLOOKUP($G281,'.Auxiliar'!$G:$G,'.Auxiliar'!F:F,"-",0)</f>
        <v>1</v>
      </c>
      <c r="G281" s="59" t="s">
        <v>781</v>
      </c>
      <c r="H281" s="108" t="s">
        <v>363</v>
      </c>
      <c r="I281" s="109" t="s">
        <v>0</v>
      </c>
      <c r="J281" s="109" t="s">
        <v>0</v>
      </c>
      <c r="K281" s="109" t="s">
        <v>363</v>
      </c>
      <c r="L281" s="109" t="s">
        <v>0</v>
      </c>
      <c r="M281" s="109" t="s">
        <v>0</v>
      </c>
      <c r="N281" s="110" t="s">
        <v>0</v>
      </c>
      <c r="O281" s="111">
        <v>100</v>
      </c>
      <c r="P281" s="112">
        <v>0</v>
      </c>
      <c r="Q281" s="112">
        <v>12.46</v>
      </c>
      <c r="R281" s="112">
        <v>0</v>
      </c>
      <c r="S281" s="112">
        <v>100</v>
      </c>
      <c r="T281" s="112">
        <v>0</v>
      </c>
      <c r="U281" s="95">
        <f t="shared" si="12"/>
        <v>100</v>
      </c>
      <c r="V281" s="112"/>
      <c r="W281" s="112"/>
      <c r="X281" s="107"/>
      <c r="Y281" s="107">
        <f t="shared" si="13"/>
        <v>100</v>
      </c>
      <c r="Z281" s="107">
        <f t="shared" si="14"/>
        <v>0</v>
      </c>
    </row>
    <row r="282" spans="1:26" x14ac:dyDescent="0.25">
      <c r="A282" s="55" t="str">
        <f>_xlfn.XLOOKUP($G282,'.Auxiliar'!$G:$G,'.Auxiliar'!A:A,"-",0)</f>
        <v>CRO</v>
      </c>
      <c r="B282" s="55" t="str">
        <f>_xlfn.XLOOKUP($G282,'.Auxiliar'!$G:$G,'.Auxiliar'!B:B,"-",0)</f>
        <v>OAE</v>
      </c>
      <c r="C282" s="55" t="str">
        <f>_xlfn.XLOOKUP($G282,'.Auxiliar'!$G:$G,'.Auxiliar'!C:C,"-",0)</f>
        <v>Interconexão Diamante ID-29 - BR-163/MT</v>
      </c>
      <c r="D282" s="55">
        <f>_xlfn.XLOOKUP($G282,'.Auxiliar'!$G:$G,'.Auxiliar'!D:D,"-",0)</f>
        <v>839.8</v>
      </c>
      <c r="E282" s="55">
        <f>_xlfn.XLOOKUP($G282,'.Auxiliar'!$G:$G,'.Auxiliar'!E:E,"-",0)</f>
        <v>839.8</v>
      </c>
      <c r="F282" s="55">
        <f>_xlfn.XLOOKUP($G282,'.Auxiliar'!$G:$G,'.Auxiliar'!F:F,"-",0)</f>
        <v>1</v>
      </c>
      <c r="G282" s="59" t="s">
        <v>782</v>
      </c>
      <c r="H282" s="108" t="s">
        <v>363</v>
      </c>
      <c r="I282" s="109" t="s">
        <v>0</v>
      </c>
      <c r="J282" s="109" t="s">
        <v>0</v>
      </c>
      <c r="K282" s="109" t="s">
        <v>363</v>
      </c>
      <c r="L282" s="109" t="s">
        <v>0</v>
      </c>
      <c r="M282" s="109" t="s">
        <v>0</v>
      </c>
      <c r="N282" s="110" t="s">
        <v>0</v>
      </c>
      <c r="O282" s="111">
        <v>100</v>
      </c>
      <c r="P282" s="112">
        <v>0</v>
      </c>
      <c r="Q282" s="112">
        <v>12.46</v>
      </c>
      <c r="R282" s="112">
        <v>0</v>
      </c>
      <c r="S282" s="112">
        <v>100</v>
      </c>
      <c r="T282" s="112">
        <v>0</v>
      </c>
      <c r="U282" s="95">
        <f t="shared" si="12"/>
        <v>100</v>
      </c>
      <c r="V282" s="112"/>
      <c r="W282" s="112"/>
      <c r="X282" s="107"/>
      <c r="Y282" s="107">
        <f t="shared" si="13"/>
        <v>100</v>
      </c>
      <c r="Z282" s="107">
        <f t="shared" si="14"/>
        <v>0</v>
      </c>
    </row>
    <row r="283" spans="1:26" x14ac:dyDescent="0.25">
      <c r="A283" s="55" t="str">
        <f>_xlfn.XLOOKUP($G283,'.Auxiliar'!$G:$G,'.Auxiliar'!A:A,"-",0)</f>
        <v>CRO</v>
      </c>
      <c r="B283" s="55" t="str">
        <f>_xlfn.XLOOKUP($G283,'.Auxiliar'!$G:$G,'.Auxiliar'!B:B,"-",0)</f>
        <v>OAE</v>
      </c>
      <c r="C283" s="55" t="str">
        <f>_xlfn.XLOOKUP($G283,'.Auxiliar'!$G:$G,'.Auxiliar'!C:C,"-",0)</f>
        <v>Interconexão Diamante ID-30 - BR-163/MT</v>
      </c>
      <c r="D283" s="55">
        <f>_xlfn.XLOOKUP($G283,'.Auxiliar'!$G:$G,'.Auxiliar'!D:D,"-",0)</f>
        <v>855</v>
      </c>
      <c r="E283" s="55">
        <f>_xlfn.XLOOKUP($G283,'.Auxiliar'!$G:$G,'.Auxiliar'!E:E,"-",0)</f>
        <v>855</v>
      </c>
      <c r="F283" s="55">
        <f>_xlfn.XLOOKUP($G283,'.Auxiliar'!$G:$G,'.Auxiliar'!F:F,"-",0)</f>
        <v>1</v>
      </c>
      <c r="G283" s="59" t="s">
        <v>783</v>
      </c>
      <c r="H283" s="108" t="s">
        <v>363</v>
      </c>
      <c r="I283" s="109" t="s">
        <v>0</v>
      </c>
      <c r="J283" s="109" t="s">
        <v>0</v>
      </c>
      <c r="K283" s="109" t="s">
        <v>363</v>
      </c>
      <c r="L283" s="109" t="s">
        <v>0</v>
      </c>
      <c r="M283" s="109" t="s">
        <v>0</v>
      </c>
      <c r="N283" s="110" t="s">
        <v>0</v>
      </c>
      <c r="O283" s="111">
        <v>100</v>
      </c>
      <c r="P283" s="112">
        <v>0</v>
      </c>
      <c r="Q283" s="112"/>
      <c r="R283" s="112"/>
      <c r="S283" s="112"/>
      <c r="T283" s="112"/>
      <c r="U283" s="95" t="str">
        <f t="shared" si="12"/>
        <v/>
      </c>
      <c r="V283" s="112"/>
      <c r="W283" s="112"/>
      <c r="X283" s="107">
        <v>100</v>
      </c>
      <c r="Y283" s="107">
        <f t="shared" si="13"/>
        <v>100</v>
      </c>
      <c r="Z283" s="107">
        <f t="shared" si="14"/>
        <v>0</v>
      </c>
    </row>
    <row r="284" spans="1:26" x14ac:dyDescent="0.25">
      <c r="A284" s="55" t="str">
        <f>_xlfn.XLOOKUP($G284,'.Auxiliar'!$G:$G,'.Auxiliar'!A:A,"-",0)</f>
        <v>CRO</v>
      </c>
      <c r="B284" s="55" t="str">
        <f>_xlfn.XLOOKUP($G284,'.Auxiliar'!$G:$G,'.Auxiliar'!B:B,"-",0)</f>
        <v>OAE</v>
      </c>
      <c r="C284" s="55" t="str">
        <f>_xlfn.XLOOKUP($G284,'.Auxiliar'!$G:$G,'.Auxiliar'!C:C,"-",0)</f>
        <v>Interconexão tipo Trevo Completo ID-01 - BR - 407/MT</v>
      </c>
      <c r="D284" s="55">
        <f>_xlfn.XLOOKUP($G284,'.Auxiliar'!$G:$G,'.Auxiliar'!D:D,"-",0)</f>
        <v>322.8</v>
      </c>
      <c r="E284" s="55">
        <f>_xlfn.XLOOKUP($G284,'.Auxiliar'!$G:$G,'.Auxiliar'!E:E,"-",0)</f>
        <v>322.8</v>
      </c>
      <c r="F284" s="55">
        <f>_xlfn.XLOOKUP($G284,'.Auxiliar'!$G:$G,'.Auxiliar'!F:F,"-",0)</f>
        <v>1</v>
      </c>
      <c r="G284" s="59" t="s">
        <v>794</v>
      </c>
      <c r="H284" s="108" t="s">
        <v>363</v>
      </c>
      <c r="I284" s="109" t="s">
        <v>0</v>
      </c>
      <c r="J284" s="109" t="s">
        <v>0</v>
      </c>
      <c r="K284" s="109" t="s">
        <v>363</v>
      </c>
      <c r="L284" s="109" t="s">
        <v>0</v>
      </c>
      <c r="M284" s="109" t="s">
        <v>0</v>
      </c>
      <c r="N284" s="110" t="s">
        <v>0</v>
      </c>
      <c r="O284" s="111">
        <v>100</v>
      </c>
      <c r="P284" s="112">
        <v>0</v>
      </c>
      <c r="Q284" s="112"/>
      <c r="R284" s="112"/>
      <c r="S284" s="112"/>
      <c r="T284" s="112"/>
      <c r="U284" s="95" t="str">
        <f t="shared" si="12"/>
        <v/>
      </c>
      <c r="V284" s="112"/>
      <c r="W284" s="112"/>
      <c r="X284" s="107">
        <v>100</v>
      </c>
      <c r="Y284" s="107">
        <f t="shared" si="13"/>
        <v>100</v>
      </c>
      <c r="Z284" s="107">
        <f t="shared" si="14"/>
        <v>0</v>
      </c>
    </row>
    <row r="285" spans="1:26" x14ac:dyDescent="0.25">
      <c r="A285" s="55" t="str">
        <f>_xlfn.XLOOKUP($G285,'.Auxiliar'!$G:$G,'.Auxiliar'!A:A,"-",0)</f>
        <v>CRO</v>
      </c>
      <c r="B285" s="55" t="str">
        <f>_xlfn.XLOOKUP($G285,'.Auxiliar'!$G:$G,'.Auxiliar'!B:B,"-",0)</f>
        <v>OAE</v>
      </c>
      <c r="C285" s="55" t="str">
        <f>_xlfn.XLOOKUP($G285,'.Auxiliar'!$G:$G,'.Auxiliar'!C:C,"-",0)</f>
        <v>Interconexão tipo Trevo Completo ID-02 - BR - 407/MT</v>
      </c>
      <c r="D285" s="55">
        <f>_xlfn.XLOOKUP($G285,'.Auxiliar'!$G:$G,'.Auxiliar'!D:D,"-",0)</f>
        <v>329</v>
      </c>
      <c r="E285" s="55">
        <f>_xlfn.XLOOKUP($G285,'.Auxiliar'!$G:$G,'.Auxiliar'!E:E,"-",0)</f>
        <v>329</v>
      </c>
      <c r="F285" s="55">
        <f>_xlfn.XLOOKUP($G285,'.Auxiliar'!$G:$G,'.Auxiliar'!F:F,"-",0)</f>
        <v>1</v>
      </c>
      <c r="G285" s="59" t="s">
        <v>795</v>
      </c>
      <c r="H285" s="108" t="s">
        <v>363</v>
      </c>
      <c r="I285" s="109" t="s">
        <v>0</v>
      </c>
      <c r="J285" s="109" t="s">
        <v>0</v>
      </c>
      <c r="K285" s="109" t="s">
        <v>363</v>
      </c>
      <c r="L285" s="109" t="s">
        <v>0</v>
      </c>
      <c r="M285" s="109" t="s">
        <v>0</v>
      </c>
      <c r="N285" s="110" t="s">
        <v>0</v>
      </c>
      <c r="O285" s="111">
        <v>100</v>
      </c>
      <c r="P285" s="112">
        <v>0</v>
      </c>
      <c r="Q285" s="112"/>
      <c r="R285" s="112"/>
      <c r="S285" s="112"/>
      <c r="T285" s="112"/>
      <c r="U285" s="95" t="str">
        <f t="shared" si="12"/>
        <v/>
      </c>
      <c r="V285" s="112"/>
      <c r="W285" s="112"/>
      <c r="X285" s="107">
        <v>100</v>
      </c>
      <c r="Y285" s="107">
        <f t="shared" si="13"/>
        <v>100</v>
      </c>
      <c r="Z285" s="107">
        <f t="shared" si="14"/>
        <v>0</v>
      </c>
    </row>
    <row r="286" spans="1:26" x14ac:dyDescent="0.25">
      <c r="A286" s="55" t="str">
        <f>_xlfn.XLOOKUP($G286,'.Auxiliar'!$G:$G,'.Auxiliar'!A:A,"-",0)</f>
        <v>CRO</v>
      </c>
      <c r="B286" s="55" t="str">
        <f>_xlfn.XLOOKUP($G286,'.Auxiliar'!$G:$G,'.Auxiliar'!B:B,"-",0)</f>
        <v>OAE</v>
      </c>
      <c r="C286" s="55" t="str">
        <f>_xlfn.XLOOKUP($G286,'.Auxiliar'!$G:$G,'.Auxiliar'!C:C,"-",0)</f>
        <v>Interconexão tipo Trevo Completo ID-03 - BR - 407/MT</v>
      </c>
      <c r="D286" s="55">
        <f>_xlfn.XLOOKUP($G286,'.Auxiliar'!$G:$G,'.Auxiliar'!D:D,"-",0)</f>
        <v>339.1</v>
      </c>
      <c r="E286" s="55">
        <f>_xlfn.XLOOKUP($G286,'.Auxiliar'!$G:$G,'.Auxiliar'!E:E,"-",0)</f>
        <v>339.1</v>
      </c>
      <c r="F286" s="55">
        <f>_xlfn.XLOOKUP($G286,'.Auxiliar'!$G:$G,'.Auxiliar'!F:F,"-",0)</f>
        <v>1</v>
      </c>
      <c r="G286" s="59" t="s">
        <v>796</v>
      </c>
      <c r="H286" s="108" t="s">
        <v>363</v>
      </c>
      <c r="I286" s="109" t="s">
        <v>0</v>
      </c>
      <c r="J286" s="109" t="s">
        <v>0</v>
      </c>
      <c r="K286" s="109" t="s">
        <v>363</v>
      </c>
      <c r="L286" s="109" t="s">
        <v>0</v>
      </c>
      <c r="M286" s="109" t="s">
        <v>0</v>
      </c>
      <c r="N286" s="110" t="s">
        <v>0</v>
      </c>
      <c r="O286" s="111">
        <v>100</v>
      </c>
      <c r="P286" s="112">
        <v>0</v>
      </c>
      <c r="Q286" s="112"/>
      <c r="R286" s="112"/>
      <c r="S286" s="112"/>
      <c r="T286" s="112"/>
      <c r="U286" s="95" t="str">
        <f t="shared" si="12"/>
        <v/>
      </c>
      <c r="V286" s="112"/>
      <c r="W286" s="112"/>
      <c r="X286" s="107">
        <v>100</v>
      </c>
      <c r="Y286" s="107">
        <f t="shared" si="13"/>
        <v>100</v>
      </c>
      <c r="Z286" s="107">
        <f t="shared" si="14"/>
        <v>0</v>
      </c>
    </row>
    <row r="287" spans="1:26" x14ac:dyDescent="0.25">
      <c r="A287" s="55" t="str">
        <f>_xlfn.XLOOKUP($G287,'.Auxiliar'!$G:$G,'.Auxiliar'!A:A,"-",0)</f>
        <v>CRO</v>
      </c>
      <c r="B287" s="55" t="str">
        <f>_xlfn.XLOOKUP($G287,'.Auxiliar'!$G:$G,'.Auxiliar'!B:B,"-",0)</f>
        <v>OAE</v>
      </c>
      <c r="C287" s="55" t="str">
        <f>_xlfn.XLOOKUP($G287,'.Auxiliar'!$G:$G,'.Auxiliar'!C:C,"-",0)</f>
        <v>Interconexão tipo Trevo Completo ID-04 - BR - 407/MT</v>
      </c>
      <c r="D287" s="55">
        <f>_xlfn.XLOOKUP($G287,'.Auxiliar'!$G:$G,'.Auxiliar'!D:D,"-",0)</f>
        <v>342.7</v>
      </c>
      <c r="E287" s="55">
        <f>_xlfn.XLOOKUP($G287,'.Auxiliar'!$G:$G,'.Auxiliar'!E:E,"-",0)</f>
        <v>342.7</v>
      </c>
      <c r="F287" s="55">
        <f>_xlfn.XLOOKUP($G287,'.Auxiliar'!$G:$G,'.Auxiliar'!F:F,"-",0)</f>
        <v>1</v>
      </c>
      <c r="G287" s="59" t="s">
        <v>797</v>
      </c>
      <c r="H287" s="108" t="s">
        <v>363</v>
      </c>
      <c r="I287" s="109" t="s">
        <v>0</v>
      </c>
      <c r="J287" s="109" t="s">
        <v>0</v>
      </c>
      <c r="K287" s="109" t="s">
        <v>363</v>
      </c>
      <c r="L287" s="109" t="s">
        <v>0</v>
      </c>
      <c r="M287" s="109" t="s">
        <v>0</v>
      </c>
      <c r="N287" s="110" t="s">
        <v>0</v>
      </c>
      <c r="O287" s="111">
        <v>100</v>
      </c>
      <c r="P287" s="112">
        <v>0</v>
      </c>
      <c r="Q287" s="112"/>
      <c r="R287" s="112"/>
      <c r="S287" s="112"/>
      <c r="T287" s="112"/>
      <c r="U287" s="95" t="str">
        <f t="shared" si="12"/>
        <v/>
      </c>
      <c r="V287" s="112"/>
      <c r="W287" s="112"/>
      <c r="X287" s="107">
        <v>100</v>
      </c>
      <c r="Y287" s="107">
        <f t="shared" si="13"/>
        <v>100</v>
      </c>
      <c r="Z287" s="107">
        <f t="shared" si="14"/>
        <v>0</v>
      </c>
    </row>
    <row r="288" spans="1:26" x14ac:dyDescent="0.25">
      <c r="A288" s="55" t="str">
        <f>_xlfn.XLOOKUP($G288,'.Auxiliar'!$G:$G,'.Auxiliar'!A:A,"-",0)</f>
        <v>CRO</v>
      </c>
      <c r="B288" s="55" t="str">
        <f>_xlfn.XLOOKUP($G288,'.Auxiliar'!$G:$G,'.Auxiliar'!B:B,"-",0)</f>
        <v>OAE</v>
      </c>
      <c r="C288" s="55" t="str">
        <f>_xlfn.XLOOKUP($G288,'.Auxiliar'!$G:$G,'.Auxiliar'!C:C,"-",0)</f>
        <v>Interconexão Trombeta ID - 01 - BR - 163/MT</v>
      </c>
      <c r="D288" s="55">
        <f>_xlfn.XLOOKUP($G288,'.Auxiliar'!$G:$G,'.Auxiliar'!D:D,"-",0)</f>
        <v>102</v>
      </c>
      <c r="E288" s="55">
        <f>_xlfn.XLOOKUP($G288,'.Auxiliar'!$G:$G,'.Auxiliar'!E:E,"-",0)</f>
        <v>102</v>
      </c>
      <c r="F288" s="55">
        <f>_xlfn.XLOOKUP($G288,'.Auxiliar'!$G:$G,'.Auxiliar'!F:F,"-",0)</f>
        <v>1</v>
      </c>
      <c r="G288" s="59" t="s">
        <v>784</v>
      </c>
      <c r="H288" s="108" t="s">
        <v>363</v>
      </c>
      <c r="I288" s="109" t="s">
        <v>0</v>
      </c>
      <c r="J288" s="109" t="s">
        <v>0</v>
      </c>
      <c r="K288" s="109" t="s">
        <v>363</v>
      </c>
      <c r="L288" s="109" t="s">
        <v>0</v>
      </c>
      <c r="M288" s="109" t="s">
        <v>0</v>
      </c>
      <c r="N288" s="110" t="s">
        <v>0</v>
      </c>
      <c r="O288" s="111">
        <v>100</v>
      </c>
      <c r="P288" s="112">
        <v>100</v>
      </c>
      <c r="Q288" s="112"/>
      <c r="R288" s="112"/>
      <c r="S288" s="112"/>
      <c r="T288" s="112"/>
      <c r="U288" s="95">
        <f t="shared" si="12"/>
        <v>0</v>
      </c>
      <c r="V288" s="112"/>
      <c r="W288" s="112"/>
      <c r="X288" s="107"/>
      <c r="Y288" s="107">
        <f t="shared" si="13"/>
        <v>100</v>
      </c>
      <c r="Z288" s="107">
        <f t="shared" si="14"/>
        <v>100</v>
      </c>
    </row>
    <row r="289" spans="1:26" x14ac:dyDescent="0.25">
      <c r="A289" s="55" t="str">
        <f>_xlfn.XLOOKUP($G289,'.Auxiliar'!$G:$G,'.Auxiliar'!A:A,"-",0)</f>
        <v>CRO</v>
      </c>
      <c r="B289" s="55" t="str">
        <f>_xlfn.XLOOKUP($G289,'.Auxiliar'!$G:$G,'.Auxiliar'!B:B,"-",0)</f>
        <v>OAE</v>
      </c>
      <c r="C289" s="55" t="str">
        <f>_xlfn.XLOOKUP($G289,'.Auxiliar'!$G:$G,'.Auxiliar'!C:C,"-",0)</f>
        <v>Interconexão Trombeta ID - 02 - BR - 163/MT</v>
      </c>
      <c r="D289" s="55">
        <f>_xlfn.XLOOKUP($G289,'.Auxiliar'!$G:$G,'.Auxiliar'!D:D,"-",0)</f>
        <v>107</v>
      </c>
      <c r="E289" s="55">
        <f>_xlfn.XLOOKUP($G289,'.Auxiliar'!$G:$G,'.Auxiliar'!E:E,"-",0)</f>
        <v>107</v>
      </c>
      <c r="F289" s="55">
        <f>_xlfn.XLOOKUP($G289,'.Auxiliar'!$G:$G,'.Auxiliar'!F:F,"-",0)</f>
        <v>1</v>
      </c>
      <c r="G289" s="59" t="s">
        <v>785</v>
      </c>
      <c r="H289" s="108" t="s">
        <v>363</v>
      </c>
      <c r="I289" s="109" t="s">
        <v>0</v>
      </c>
      <c r="J289" s="109" t="s">
        <v>0</v>
      </c>
      <c r="K289" s="109" t="s">
        <v>363</v>
      </c>
      <c r="L289" s="109" t="s">
        <v>0</v>
      </c>
      <c r="M289" s="109" t="s">
        <v>0</v>
      </c>
      <c r="N289" s="110" t="s">
        <v>0</v>
      </c>
      <c r="O289" s="111">
        <v>100</v>
      </c>
      <c r="P289" s="112">
        <v>100</v>
      </c>
      <c r="Q289" s="112"/>
      <c r="R289" s="112"/>
      <c r="S289" s="112"/>
      <c r="T289" s="112"/>
      <c r="U289" s="95">
        <f t="shared" si="12"/>
        <v>0</v>
      </c>
      <c r="V289" s="112"/>
      <c r="W289" s="112"/>
      <c r="X289" s="107"/>
      <c r="Y289" s="107">
        <f t="shared" si="13"/>
        <v>100</v>
      </c>
      <c r="Z289" s="107">
        <f t="shared" si="14"/>
        <v>100</v>
      </c>
    </row>
    <row r="290" spans="1:26" x14ac:dyDescent="0.25">
      <c r="A290" s="55" t="str">
        <f>_xlfn.XLOOKUP($G290,'.Auxiliar'!$G:$G,'.Auxiliar'!A:A,"-",0)</f>
        <v>CRO</v>
      </c>
      <c r="B290" s="55" t="str">
        <f>_xlfn.XLOOKUP($G290,'.Auxiliar'!$G:$G,'.Auxiliar'!B:B,"-",0)</f>
        <v>OAE</v>
      </c>
      <c r="C290" s="55" t="str">
        <f>_xlfn.XLOOKUP($G290,'.Auxiliar'!$G:$G,'.Auxiliar'!C:C,"-",0)</f>
        <v>Interconexão Trombeta ID - 03 - BR - 163/MT</v>
      </c>
      <c r="D290" s="55">
        <f>_xlfn.XLOOKUP($G290,'.Auxiliar'!$G:$G,'.Auxiliar'!D:D,"-",0)</f>
        <v>787.3</v>
      </c>
      <c r="E290" s="55">
        <f>_xlfn.XLOOKUP($G290,'.Auxiliar'!$G:$G,'.Auxiliar'!E:E,"-",0)</f>
        <v>787.3</v>
      </c>
      <c r="F290" s="55">
        <f>_xlfn.XLOOKUP($G290,'.Auxiliar'!$G:$G,'.Auxiliar'!F:F,"-",0)</f>
        <v>1</v>
      </c>
      <c r="G290" s="59" t="s">
        <v>786</v>
      </c>
      <c r="H290" s="108" t="s">
        <v>363</v>
      </c>
      <c r="I290" s="109" t="s">
        <v>0</v>
      </c>
      <c r="J290" s="109" t="s">
        <v>0</v>
      </c>
      <c r="K290" s="109" t="s">
        <v>363</v>
      </c>
      <c r="L290" s="109" t="s">
        <v>0</v>
      </c>
      <c r="M290" s="109" t="s">
        <v>0</v>
      </c>
      <c r="N290" s="110" t="s">
        <v>0</v>
      </c>
      <c r="O290" s="111">
        <v>100</v>
      </c>
      <c r="P290" s="112">
        <v>0</v>
      </c>
      <c r="Q290" s="112"/>
      <c r="R290" s="112"/>
      <c r="S290" s="112"/>
      <c r="T290" s="112"/>
      <c r="U290" s="95" t="str">
        <f t="shared" si="12"/>
        <v/>
      </c>
      <c r="V290" s="112"/>
      <c r="W290" s="112"/>
      <c r="X290" s="107">
        <v>100</v>
      </c>
      <c r="Y290" s="107">
        <f t="shared" si="13"/>
        <v>100</v>
      </c>
      <c r="Z290" s="107">
        <f t="shared" si="14"/>
        <v>0</v>
      </c>
    </row>
    <row r="291" spans="1:26" x14ac:dyDescent="0.25">
      <c r="A291" s="55" t="str">
        <f>_xlfn.XLOOKUP($G291,'.Auxiliar'!$G:$G,'.Auxiliar'!A:A,"-",0)</f>
        <v>CRO</v>
      </c>
      <c r="B291" s="55" t="str">
        <f>_xlfn.XLOOKUP($G291,'.Auxiliar'!$G:$G,'.Auxiliar'!B:B,"-",0)</f>
        <v>OAE</v>
      </c>
      <c r="C291" s="55" t="str">
        <f>_xlfn.XLOOKUP($G291,'.Auxiliar'!$G:$G,'.Auxiliar'!C:C,"-",0)</f>
        <v>Interconexão Trombeta ID - 04 - BR - 163/MT</v>
      </c>
      <c r="D291" s="55">
        <f>_xlfn.XLOOKUP($G291,'.Auxiliar'!$G:$G,'.Auxiliar'!D:D,"-",0)</f>
        <v>119.9</v>
      </c>
      <c r="E291" s="55">
        <f>_xlfn.XLOOKUP($G291,'.Auxiliar'!$G:$G,'.Auxiliar'!E:E,"-",0)</f>
        <v>119.9</v>
      </c>
      <c r="F291" s="55">
        <f>_xlfn.XLOOKUP($G291,'.Auxiliar'!$G:$G,'.Auxiliar'!F:F,"-",0)</f>
        <v>1</v>
      </c>
      <c r="G291" s="59" t="s">
        <v>787</v>
      </c>
      <c r="H291" s="108" t="s">
        <v>363</v>
      </c>
      <c r="I291" s="109" t="s">
        <v>0</v>
      </c>
      <c r="J291" s="109" t="s">
        <v>0</v>
      </c>
      <c r="K291" s="109" t="s">
        <v>363</v>
      </c>
      <c r="L291" s="109" t="s">
        <v>0</v>
      </c>
      <c r="M291" s="109" t="s">
        <v>0</v>
      </c>
      <c r="N291" s="110" t="s">
        <v>0</v>
      </c>
      <c r="O291" s="111">
        <v>100</v>
      </c>
      <c r="P291" s="112">
        <v>0</v>
      </c>
      <c r="Q291" s="112"/>
      <c r="R291" s="112"/>
      <c r="S291" s="112"/>
      <c r="T291" s="112"/>
      <c r="U291" s="95" t="str">
        <f t="shared" si="12"/>
        <v/>
      </c>
      <c r="V291" s="112"/>
      <c r="W291" s="112"/>
      <c r="X291" s="107">
        <v>100</v>
      </c>
      <c r="Y291" s="107">
        <f t="shared" si="13"/>
        <v>100</v>
      </c>
      <c r="Z291" s="107">
        <f t="shared" si="14"/>
        <v>0</v>
      </c>
    </row>
    <row r="292" spans="1:26" x14ac:dyDescent="0.25">
      <c r="A292" s="55" t="str">
        <f>_xlfn.XLOOKUP($G292,'.Auxiliar'!$G:$G,'.Auxiliar'!A:A,"-",0)</f>
        <v>CRO</v>
      </c>
      <c r="B292" s="55" t="str">
        <f>_xlfn.XLOOKUP($G292,'.Auxiliar'!$G:$G,'.Auxiliar'!B:B,"-",0)</f>
        <v>OAE</v>
      </c>
      <c r="C292" s="55" t="str">
        <f>_xlfn.XLOOKUP($G292,'.Auxiliar'!$G:$G,'.Auxiliar'!C:C,"-",0)</f>
        <v>Retorno em desnível ID - 01 - BR - 163/MT</v>
      </c>
      <c r="D292" s="55">
        <f>_xlfn.XLOOKUP($G292,'.Auxiliar'!$G:$G,'.Auxiliar'!D:D,"-",0)</f>
        <v>32</v>
      </c>
      <c r="E292" s="55">
        <f>_xlfn.XLOOKUP($G292,'.Auxiliar'!$G:$G,'.Auxiliar'!E:E,"-",0)</f>
        <v>32</v>
      </c>
      <c r="F292" s="55">
        <f>_xlfn.XLOOKUP($G292,'.Auxiliar'!$G:$G,'.Auxiliar'!F:F,"-",0)</f>
        <v>1</v>
      </c>
      <c r="G292" s="59" t="s">
        <v>788</v>
      </c>
      <c r="H292" s="108" t="s">
        <v>363</v>
      </c>
      <c r="I292" s="109" t="s">
        <v>0</v>
      </c>
      <c r="J292" s="109" t="s">
        <v>0</v>
      </c>
      <c r="K292" s="109" t="s">
        <v>363</v>
      </c>
      <c r="L292" s="109" t="s">
        <v>0</v>
      </c>
      <c r="M292" s="109" t="s">
        <v>0</v>
      </c>
      <c r="N292" s="110" t="s">
        <v>0</v>
      </c>
      <c r="O292" s="111">
        <v>100</v>
      </c>
      <c r="P292" s="112">
        <v>100</v>
      </c>
      <c r="Q292" s="112"/>
      <c r="R292" s="112"/>
      <c r="S292" s="112"/>
      <c r="T292" s="112"/>
      <c r="U292" s="95">
        <f t="shared" si="12"/>
        <v>0</v>
      </c>
      <c r="V292" s="112"/>
      <c r="W292" s="112"/>
      <c r="X292" s="107"/>
      <c r="Y292" s="107">
        <f t="shared" si="13"/>
        <v>100</v>
      </c>
      <c r="Z292" s="107">
        <f t="shared" si="14"/>
        <v>100</v>
      </c>
    </row>
    <row r="293" spans="1:26" x14ac:dyDescent="0.25">
      <c r="A293" s="55" t="str">
        <f>_xlfn.XLOOKUP($G293,'.Auxiliar'!$G:$G,'.Auxiliar'!A:A,"-",0)</f>
        <v>CRO</v>
      </c>
      <c r="B293" s="55" t="str">
        <f>_xlfn.XLOOKUP($G293,'.Auxiliar'!$G:$G,'.Auxiliar'!B:B,"-",0)</f>
        <v>OAE</v>
      </c>
      <c r="C293" s="55" t="str">
        <f>_xlfn.XLOOKUP($G293,'.Auxiliar'!$G:$G,'.Auxiliar'!C:C,"-",0)</f>
        <v>Retorno em desnível ID - 02 - BR - 163/MT</v>
      </c>
      <c r="D293" s="55">
        <f>_xlfn.XLOOKUP($G293,'.Auxiliar'!$G:$G,'.Auxiliar'!D:D,"-",0)</f>
        <v>56.43</v>
      </c>
      <c r="E293" s="55">
        <f>_xlfn.XLOOKUP($G293,'.Auxiliar'!$G:$G,'.Auxiliar'!E:E,"-",0)</f>
        <v>56.43</v>
      </c>
      <c r="F293" s="55">
        <f>_xlfn.XLOOKUP($G293,'.Auxiliar'!$G:$G,'.Auxiliar'!F:F,"-",0)</f>
        <v>1</v>
      </c>
      <c r="G293" s="59" t="s">
        <v>789</v>
      </c>
      <c r="H293" s="108" t="s">
        <v>363</v>
      </c>
      <c r="I293" s="109" t="s">
        <v>0</v>
      </c>
      <c r="J293" s="109" t="s">
        <v>0</v>
      </c>
      <c r="K293" s="109" t="s">
        <v>363</v>
      </c>
      <c r="L293" s="109" t="s">
        <v>0</v>
      </c>
      <c r="M293" s="109" t="s">
        <v>0</v>
      </c>
      <c r="N293" s="110" t="s">
        <v>0</v>
      </c>
      <c r="O293" s="111">
        <v>100</v>
      </c>
      <c r="P293" s="112">
        <v>100</v>
      </c>
      <c r="Q293" s="112"/>
      <c r="R293" s="112"/>
      <c r="S293" s="112"/>
      <c r="T293" s="112"/>
      <c r="U293" s="95">
        <f t="shared" si="12"/>
        <v>0</v>
      </c>
      <c r="V293" s="112"/>
      <c r="W293" s="112"/>
      <c r="X293" s="107"/>
      <c r="Y293" s="107">
        <f t="shared" si="13"/>
        <v>100</v>
      </c>
      <c r="Z293" s="107">
        <f t="shared" si="14"/>
        <v>100</v>
      </c>
    </row>
    <row r="294" spans="1:26" x14ac:dyDescent="0.25">
      <c r="A294" s="55" t="str">
        <f>_xlfn.XLOOKUP($G294,'.Auxiliar'!$G:$G,'.Auxiliar'!A:A,"-",0)</f>
        <v>CRO</v>
      </c>
      <c r="B294" s="55" t="str">
        <f>_xlfn.XLOOKUP($G294,'.Auxiliar'!$G:$G,'.Auxiliar'!B:B,"-",0)</f>
        <v>OAE</v>
      </c>
      <c r="C294" s="55" t="str">
        <f>_xlfn.XLOOKUP($G294,'.Auxiliar'!$G:$G,'.Auxiliar'!C:C,"-",0)</f>
        <v>Retorno em desnível ID - 03 - BR - 163/MT</v>
      </c>
      <c r="D294" s="55">
        <f>_xlfn.XLOOKUP($G294,'.Auxiliar'!$G:$G,'.Auxiliar'!D:D,"-",0)</f>
        <v>548</v>
      </c>
      <c r="E294" s="55">
        <f>_xlfn.XLOOKUP($G294,'.Auxiliar'!$G:$G,'.Auxiliar'!E:E,"-",0)</f>
        <v>548</v>
      </c>
      <c r="F294" s="55">
        <f>_xlfn.XLOOKUP($G294,'.Auxiliar'!$G:$G,'.Auxiliar'!F:F,"-",0)</f>
        <v>1</v>
      </c>
      <c r="G294" s="59" t="s">
        <v>790</v>
      </c>
      <c r="H294" s="108" t="s">
        <v>363</v>
      </c>
      <c r="I294" s="109" t="s">
        <v>0</v>
      </c>
      <c r="J294" s="109" t="s">
        <v>0</v>
      </c>
      <c r="K294" s="109" t="s">
        <v>363</v>
      </c>
      <c r="L294" s="109" t="s">
        <v>0</v>
      </c>
      <c r="M294" s="109" t="s">
        <v>0</v>
      </c>
      <c r="N294" s="110" t="s">
        <v>0</v>
      </c>
      <c r="O294" s="111">
        <v>100</v>
      </c>
      <c r="P294" s="112">
        <v>0</v>
      </c>
      <c r="Q294" s="112">
        <v>6.27</v>
      </c>
      <c r="R294" s="112">
        <v>0</v>
      </c>
      <c r="S294" s="112">
        <v>100</v>
      </c>
      <c r="T294" s="112">
        <v>0</v>
      </c>
      <c r="U294" s="95">
        <f t="shared" si="12"/>
        <v>100</v>
      </c>
      <c r="V294" s="112"/>
      <c r="W294" s="112"/>
      <c r="X294" s="107"/>
      <c r="Y294" s="107">
        <f t="shared" si="13"/>
        <v>100</v>
      </c>
      <c r="Z294" s="107">
        <f t="shared" si="14"/>
        <v>0</v>
      </c>
    </row>
    <row r="295" spans="1:26" x14ac:dyDescent="0.25">
      <c r="A295" s="55" t="str">
        <f>_xlfn.XLOOKUP($G295,'.Auxiliar'!$G:$G,'.Auxiliar'!A:A,"-",0)</f>
        <v>CRO</v>
      </c>
      <c r="B295" s="55" t="str">
        <f>_xlfn.XLOOKUP($G295,'.Auxiliar'!$G:$G,'.Auxiliar'!B:B,"-",0)</f>
        <v>OAE</v>
      </c>
      <c r="C295" s="55" t="str">
        <f>_xlfn.XLOOKUP($G295,'.Auxiliar'!$G:$G,'.Auxiliar'!C:C,"-",0)</f>
        <v>Retorno em desnível ID - 04 - BR - 163/MT</v>
      </c>
      <c r="D295" s="55">
        <f>_xlfn.XLOOKUP($G295,'.Auxiliar'!$G:$G,'.Auxiliar'!D:D,"-",0)</f>
        <v>620</v>
      </c>
      <c r="E295" s="55">
        <f>_xlfn.XLOOKUP($G295,'.Auxiliar'!$G:$G,'.Auxiliar'!E:E,"-",0)</f>
        <v>620</v>
      </c>
      <c r="F295" s="55">
        <f>_xlfn.XLOOKUP($G295,'.Auxiliar'!$G:$G,'.Auxiliar'!F:F,"-",0)</f>
        <v>1</v>
      </c>
      <c r="G295" s="59" t="s">
        <v>791</v>
      </c>
      <c r="H295" s="108" t="s">
        <v>363</v>
      </c>
      <c r="I295" s="109" t="s">
        <v>0</v>
      </c>
      <c r="J295" s="109" t="s">
        <v>0</v>
      </c>
      <c r="K295" s="109" t="s">
        <v>363</v>
      </c>
      <c r="L295" s="109" t="s">
        <v>0</v>
      </c>
      <c r="M295" s="109" t="s">
        <v>0</v>
      </c>
      <c r="N295" s="110" t="s">
        <v>0</v>
      </c>
      <c r="O295" s="111">
        <v>100</v>
      </c>
      <c r="P295" s="112">
        <v>0</v>
      </c>
      <c r="Q295" s="112"/>
      <c r="R295" s="112"/>
      <c r="S295" s="112"/>
      <c r="T295" s="112"/>
      <c r="U295" s="95" t="str">
        <f t="shared" si="12"/>
        <v/>
      </c>
      <c r="V295" s="112"/>
      <c r="W295" s="112"/>
      <c r="X295" s="107">
        <v>100</v>
      </c>
      <c r="Y295" s="107">
        <f t="shared" si="13"/>
        <v>100</v>
      </c>
      <c r="Z295" s="107">
        <f t="shared" si="14"/>
        <v>0</v>
      </c>
    </row>
    <row r="296" spans="1:26" x14ac:dyDescent="0.25">
      <c r="A296" s="55" t="str">
        <f>_xlfn.XLOOKUP($G296,'.Auxiliar'!$G:$G,'.Auxiliar'!A:A,"-",0)</f>
        <v>CRO</v>
      </c>
      <c r="B296" s="55" t="str">
        <f>_xlfn.XLOOKUP($G296,'.Auxiliar'!$G:$G,'.Auxiliar'!B:B,"-",0)</f>
        <v>OAE</v>
      </c>
      <c r="C296" s="55" t="str">
        <f>_xlfn.XLOOKUP($G296,'.Auxiliar'!$G:$G,'.Auxiliar'!C:C,"-",0)</f>
        <v>Retorno em desnível ID - 05 - BR - 163/MT</v>
      </c>
      <c r="D296" s="55">
        <f>_xlfn.XLOOKUP($G296,'.Auxiliar'!$G:$G,'.Auxiliar'!D:D,"-",0)</f>
        <v>670</v>
      </c>
      <c r="E296" s="55">
        <f>_xlfn.XLOOKUP($G296,'.Auxiliar'!$G:$G,'.Auxiliar'!E:E,"-",0)</f>
        <v>670</v>
      </c>
      <c r="F296" s="55">
        <f>_xlfn.XLOOKUP($G296,'.Auxiliar'!$G:$G,'.Auxiliar'!F:F,"-",0)</f>
        <v>1</v>
      </c>
      <c r="G296" s="59" t="s">
        <v>792</v>
      </c>
      <c r="H296" s="108" t="s">
        <v>363</v>
      </c>
      <c r="I296" s="109" t="s">
        <v>0</v>
      </c>
      <c r="J296" s="109" t="s">
        <v>0</v>
      </c>
      <c r="K296" s="109" t="s">
        <v>363</v>
      </c>
      <c r="L296" s="109" t="s">
        <v>0</v>
      </c>
      <c r="M296" s="109" t="s">
        <v>0</v>
      </c>
      <c r="N296" s="110" t="s">
        <v>0</v>
      </c>
      <c r="O296" s="111">
        <v>100</v>
      </c>
      <c r="P296" s="112">
        <v>0</v>
      </c>
      <c r="Q296" s="112"/>
      <c r="R296" s="112"/>
      <c r="S296" s="112"/>
      <c r="T296" s="112"/>
      <c r="U296" s="95" t="str">
        <f t="shared" si="12"/>
        <v/>
      </c>
      <c r="V296" s="112"/>
      <c r="W296" s="112"/>
      <c r="X296" s="107">
        <v>100</v>
      </c>
      <c r="Y296" s="107">
        <f t="shared" si="13"/>
        <v>100</v>
      </c>
      <c r="Z296" s="107">
        <f t="shared" si="14"/>
        <v>0</v>
      </c>
    </row>
    <row r="297" spans="1:26" x14ac:dyDescent="0.25">
      <c r="A297" s="55" t="str">
        <f>_xlfn.XLOOKUP($G297,'.Auxiliar'!$G:$G,'.Auxiliar'!A:A,"-",0)</f>
        <v>CRO</v>
      </c>
      <c r="B297" s="55" t="str">
        <f>_xlfn.XLOOKUP($G297,'.Auxiliar'!$G:$G,'.Auxiliar'!B:B,"-",0)</f>
        <v>OAE</v>
      </c>
      <c r="C297" s="55" t="str">
        <f>_xlfn.XLOOKUP($G297,'.Auxiliar'!$G:$G,'.Auxiliar'!C:C,"-",0)</f>
        <v>Retorno em desnível ID - 06 - BR - 163/MT</v>
      </c>
      <c r="D297" s="55">
        <f>_xlfn.XLOOKUP($G297,'.Auxiliar'!$G:$G,'.Auxiliar'!D:D,"-",0)</f>
        <v>805</v>
      </c>
      <c r="E297" s="55">
        <f>_xlfn.XLOOKUP($G297,'.Auxiliar'!$G:$G,'.Auxiliar'!E:E,"-",0)</f>
        <v>805</v>
      </c>
      <c r="F297" s="55">
        <f>_xlfn.XLOOKUP($G297,'.Auxiliar'!$G:$G,'.Auxiliar'!F:F,"-",0)</f>
        <v>1</v>
      </c>
      <c r="G297" s="59" t="s">
        <v>793</v>
      </c>
      <c r="H297" s="108" t="s">
        <v>363</v>
      </c>
      <c r="I297" s="109" t="s">
        <v>0</v>
      </c>
      <c r="J297" s="109" t="s">
        <v>0</v>
      </c>
      <c r="K297" s="109" t="s">
        <v>363</v>
      </c>
      <c r="L297" s="109" t="s">
        <v>0</v>
      </c>
      <c r="M297" s="109" t="s">
        <v>0</v>
      </c>
      <c r="N297" s="110" t="s">
        <v>0</v>
      </c>
      <c r="O297" s="111">
        <v>100</v>
      </c>
      <c r="P297" s="112">
        <v>0</v>
      </c>
      <c r="Q297" s="112"/>
      <c r="R297" s="112"/>
      <c r="S297" s="112"/>
      <c r="T297" s="112"/>
      <c r="U297" s="95" t="str">
        <f t="shared" si="12"/>
        <v/>
      </c>
      <c r="V297" s="112"/>
      <c r="W297" s="112"/>
      <c r="X297" s="107">
        <v>100</v>
      </c>
      <c r="Y297" s="107">
        <f t="shared" si="13"/>
        <v>100</v>
      </c>
      <c r="Z297" s="107">
        <f t="shared" si="14"/>
        <v>0</v>
      </c>
    </row>
    <row r="298" spans="1:26" x14ac:dyDescent="0.25">
      <c r="A298" s="55" t="str">
        <f>_xlfn.XLOOKUP($G298,'.Auxiliar'!$G:$G,'.Auxiliar'!A:A,"-",0)</f>
        <v>CRO</v>
      </c>
      <c r="B298" s="55" t="str">
        <f>_xlfn.XLOOKUP($G298,'.Auxiliar'!$G:$G,'.Auxiliar'!B:B,"-",0)</f>
        <v>PAVIMENTAÇÃO</v>
      </c>
      <c r="C298" s="55" t="str">
        <f>_xlfn.XLOOKUP($G298,'.Auxiliar'!$G:$G,'.Auxiliar'!C:C,"-",0)</f>
        <v>Vias Marginais ID-01 BR 163/MT</v>
      </c>
      <c r="D298" s="55">
        <f>_xlfn.XLOOKUP($G298,'.Auxiliar'!$G:$G,'.Auxiliar'!D:D,"-",0)</f>
        <v>319</v>
      </c>
      <c r="E298" s="55">
        <f>_xlfn.XLOOKUP($G298,'.Auxiliar'!$G:$G,'.Auxiliar'!E:E,"-",0)</f>
        <v>320.10000000000002</v>
      </c>
      <c r="F298" s="55">
        <f>_xlfn.XLOOKUP($G298,'.Auxiliar'!$G:$G,'.Auxiliar'!F:F,"-",0)</f>
        <v>1.1000000000000227</v>
      </c>
      <c r="G298" s="59" t="s">
        <v>737</v>
      </c>
      <c r="H298" s="108" t="s">
        <v>363</v>
      </c>
      <c r="I298" s="109" t="s">
        <v>0</v>
      </c>
      <c r="J298" s="109" t="s">
        <v>0</v>
      </c>
      <c r="K298" s="109" t="s">
        <v>363</v>
      </c>
      <c r="L298" s="109" t="s">
        <v>0</v>
      </c>
      <c r="M298" s="109" t="s">
        <v>0</v>
      </c>
      <c r="N298" s="110" t="s">
        <v>0</v>
      </c>
      <c r="O298" s="111">
        <v>100</v>
      </c>
      <c r="P298" s="112">
        <v>0</v>
      </c>
      <c r="Q298" s="112"/>
      <c r="R298" s="112"/>
      <c r="S298" s="112"/>
      <c r="T298" s="112"/>
      <c r="U298" s="95" t="str">
        <f t="shared" si="12"/>
        <v/>
      </c>
      <c r="V298" s="112"/>
      <c r="W298" s="112"/>
      <c r="X298" s="107">
        <v>100</v>
      </c>
      <c r="Y298" s="107">
        <f t="shared" si="13"/>
        <v>100</v>
      </c>
      <c r="Z298" s="107">
        <f t="shared" si="14"/>
        <v>0</v>
      </c>
    </row>
    <row r="299" spans="1:26" x14ac:dyDescent="0.25">
      <c r="A299" s="55" t="str">
        <f>_xlfn.XLOOKUP($G299,'.Auxiliar'!$G:$G,'.Auxiliar'!A:A,"-",0)</f>
        <v>CRO</v>
      </c>
      <c r="B299" s="55" t="str">
        <f>_xlfn.XLOOKUP($G299,'.Auxiliar'!$G:$G,'.Auxiliar'!B:B,"-",0)</f>
        <v>PAVIMENTAÇÃO</v>
      </c>
      <c r="C299" s="55" t="str">
        <f>_xlfn.XLOOKUP($G299,'.Auxiliar'!$G:$G,'.Auxiliar'!C:C,"-",0)</f>
        <v>Vias Marginais ID-02 BR 406/MT Direito</v>
      </c>
      <c r="D299" s="55">
        <f>_xlfn.XLOOKUP($G299,'.Auxiliar'!$G:$G,'.Auxiliar'!D:D,"-",0)</f>
        <v>339.1</v>
      </c>
      <c r="E299" s="55">
        <f>_xlfn.XLOOKUP($G299,'.Auxiliar'!$G:$G,'.Auxiliar'!E:E,"-",0)</f>
        <v>342</v>
      </c>
      <c r="F299" s="55">
        <f>_xlfn.XLOOKUP($G299,'.Auxiliar'!$G:$G,'.Auxiliar'!F:F,"-",0)</f>
        <v>2.8999999999999773</v>
      </c>
      <c r="G299" s="59" t="s">
        <v>747</v>
      </c>
      <c r="H299" s="108" t="s">
        <v>363</v>
      </c>
      <c r="I299" s="109" t="s">
        <v>0</v>
      </c>
      <c r="J299" s="109" t="s">
        <v>0</v>
      </c>
      <c r="K299" s="109" t="s">
        <v>363</v>
      </c>
      <c r="L299" s="109" t="s">
        <v>0</v>
      </c>
      <c r="M299" s="109" t="s">
        <v>0</v>
      </c>
      <c r="N299" s="110" t="s">
        <v>0</v>
      </c>
      <c r="O299" s="111">
        <v>100</v>
      </c>
      <c r="P299" s="112">
        <v>0</v>
      </c>
      <c r="Q299" s="112"/>
      <c r="R299" s="112"/>
      <c r="S299" s="112"/>
      <c r="T299" s="112"/>
      <c r="U299" s="95" t="str">
        <f t="shared" si="12"/>
        <v/>
      </c>
      <c r="V299" s="112"/>
      <c r="W299" s="112"/>
      <c r="X299" s="107">
        <v>100</v>
      </c>
      <c r="Y299" s="107">
        <f t="shared" si="13"/>
        <v>100</v>
      </c>
      <c r="Z299" s="107">
        <f t="shared" si="14"/>
        <v>0</v>
      </c>
    </row>
    <row r="300" spans="1:26" x14ac:dyDescent="0.25">
      <c r="A300" s="55" t="str">
        <f>_xlfn.XLOOKUP($G300,'.Auxiliar'!$G:$G,'.Auxiliar'!A:A,"-",0)</f>
        <v>CRO</v>
      </c>
      <c r="B300" s="55" t="str">
        <f>_xlfn.XLOOKUP($G300,'.Auxiliar'!$G:$G,'.Auxiliar'!B:B,"-",0)</f>
        <v>PAVIMENTAÇÃO</v>
      </c>
      <c r="C300" s="55" t="str">
        <f>_xlfn.XLOOKUP($G300,'.Auxiliar'!$G:$G,'.Auxiliar'!C:C,"-",0)</f>
        <v>Vias Marginais ID-02 BR 406/MT Esquerdo</v>
      </c>
      <c r="D300" s="55">
        <f>_xlfn.XLOOKUP($G300,'.Auxiliar'!$G:$G,'.Auxiliar'!D:D,"-",0)</f>
        <v>339.1</v>
      </c>
      <c r="E300" s="55">
        <f>_xlfn.XLOOKUP($G300,'.Auxiliar'!$G:$G,'.Auxiliar'!E:E,"-",0)</f>
        <v>340.2</v>
      </c>
      <c r="F300" s="55">
        <f>_xlfn.XLOOKUP($G300,'.Auxiliar'!$G:$G,'.Auxiliar'!F:F,"-",0)</f>
        <v>1.0999999999999659</v>
      </c>
      <c r="G300" s="59" t="s">
        <v>748</v>
      </c>
      <c r="H300" s="108" t="s">
        <v>363</v>
      </c>
      <c r="I300" s="109" t="s">
        <v>0</v>
      </c>
      <c r="J300" s="109" t="s">
        <v>0</v>
      </c>
      <c r="K300" s="109" t="s">
        <v>363</v>
      </c>
      <c r="L300" s="109" t="s">
        <v>0</v>
      </c>
      <c r="M300" s="109" t="s">
        <v>0</v>
      </c>
      <c r="N300" s="110" t="s">
        <v>0</v>
      </c>
      <c r="O300" s="111">
        <v>100</v>
      </c>
      <c r="P300" s="112">
        <v>0</v>
      </c>
      <c r="Q300" s="112"/>
      <c r="R300" s="112"/>
      <c r="S300" s="112"/>
      <c r="T300" s="112"/>
      <c r="U300" s="95" t="str">
        <f t="shared" si="12"/>
        <v/>
      </c>
      <c r="V300" s="112"/>
      <c r="W300" s="112"/>
      <c r="X300" s="107">
        <v>100</v>
      </c>
      <c r="Y300" s="107">
        <f t="shared" si="13"/>
        <v>100</v>
      </c>
      <c r="Z300" s="107">
        <f t="shared" si="14"/>
        <v>0</v>
      </c>
    </row>
    <row r="301" spans="1:26" x14ac:dyDescent="0.25">
      <c r="A301" s="55" t="str">
        <f>_xlfn.XLOOKUP($G301,'.Auxiliar'!$G:$G,'.Auxiliar'!A:A,"-",0)</f>
        <v>CRO</v>
      </c>
      <c r="B301" s="55" t="str">
        <f>_xlfn.XLOOKUP($G301,'.Auxiliar'!$G:$G,'.Auxiliar'!B:B,"-",0)</f>
        <v>PAVIMENTAÇÃO</v>
      </c>
      <c r="C301" s="55" t="str">
        <f>_xlfn.XLOOKUP($G301,'.Auxiliar'!$G:$G,'.Auxiliar'!C:C,"-",0)</f>
        <v>Vias Marginais ID-03 BR 163/MT</v>
      </c>
      <c r="D301" s="55">
        <f>_xlfn.XLOOKUP($G301,'.Auxiliar'!$G:$G,'.Auxiliar'!D:D,"-",0)</f>
        <v>595.29999999999995</v>
      </c>
      <c r="E301" s="55">
        <f>_xlfn.XLOOKUP($G301,'.Auxiliar'!$G:$G,'.Auxiliar'!E:E,"-",0)</f>
        <v>598.54999999999995</v>
      </c>
      <c r="F301" s="55">
        <f>_xlfn.XLOOKUP($G301,'.Auxiliar'!$G:$G,'.Auxiliar'!F:F,"-",0)</f>
        <v>3.25</v>
      </c>
      <c r="G301" s="59" t="s">
        <v>738</v>
      </c>
      <c r="H301" s="108" t="s">
        <v>363</v>
      </c>
      <c r="I301" s="109" t="s">
        <v>0</v>
      </c>
      <c r="J301" s="109" t="s">
        <v>0</v>
      </c>
      <c r="K301" s="109" t="s">
        <v>363</v>
      </c>
      <c r="L301" s="109" t="s">
        <v>0</v>
      </c>
      <c r="M301" s="109" t="s">
        <v>0</v>
      </c>
      <c r="N301" s="110" t="s">
        <v>0</v>
      </c>
      <c r="O301" s="111">
        <v>100</v>
      </c>
      <c r="P301" s="112">
        <v>0</v>
      </c>
      <c r="Q301" s="112"/>
      <c r="R301" s="112"/>
      <c r="S301" s="112"/>
      <c r="T301" s="112"/>
      <c r="U301" s="95" t="str">
        <f t="shared" si="12"/>
        <v/>
      </c>
      <c r="V301" s="112"/>
      <c r="W301" s="112"/>
      <c r="X301" s="107">
        <v>100</v>
      </c>
      <c r="Y301" s="107">
        <f t="shared" si="13"/>
        <v>100</v>
      </c>
      <c r="Z301" s="107">
        <f t="shared" si="14"/>
        <v>0</v>
      </c>
    </row>
    <row r="302" spans="1:26" x14ac:dyDescent="0.25">
      <c r="A302" s="55" t="str">
        <f>_xlfn.XLOOKUP($G302,'.Auxiliar'!$G:$G,'.Auxiliar'!A:A,"-",0)</f>
        <v>CRO</v>
      </c>
      <c r="B302" s="55" t="str">
        <f>_xlfn.XLOOKUP($G302,'.Auxiliar'!$G:$G,'.Auxiliar'!B:B,"-",0)</f>
        <v>PAVIMENTAÇÃO</v>
      </c>
      <c r="C302" s="55" t="str">
        <f>_xlfn.XLOOKUP($G302,'.Auxiliar'!$G:$G,'.Auxiliar'!C:C,"-",0)</f>
        <v>Vias Marginais ID-04 BR 163/MT - Direito</v>
      </c>
      <c r="D302" s="55">
        <f>_xlfn.XLOOKUP($G302,'.Auxiliar'!$G:$G,'.Auxiliar'!D:D,"-",0)</f>
        <v>681.8</v>
      </c>
      <c r="E302" s="55">
        <f>_xlfn.XLOOKUP($G302,'.Auxiliar'!$G:$G,'.Auxiliar'!E:E,"-",0)</f>
        <v>686.2</v>
      </c>
      <c r="F302" s="55">
        <f>_xlfn.XLOOKUP($G302,'.Auxiliar'!$G:$G,'.Auxiliar'!F:F,"-",0)</f>
        <v>4.4000000000000909</v>
      </c>
      <c r="G302" s="59" t="s">
        <v>739</v>
      </c>
      <c r="H302" s="108" t="s">
        <v>363</v>
      </c>
      <c r="I302" s="109" t="s">
        <v>0</v>
      </c>
      <c r="J302" s="109" t="s">
        <v>0</v>
      </c>
      <c r="K302" s="109" t="s">
        <v>363</v>
      </c>
      <c r="L302" s="109" t="s">
        <v>0</v>
      </c>
      <c r="M302" s="109" t="s">
        <v>0</v>
      </c>
      <c r="N302" s="110" t="s">
        <v>0</v>
      </c>
      <c r="O302" s="111">
        <v>100</v>
      </c>
      <c r="P302" s="112">
        <v>0</v>
      </c>
      <c r="Q302" s="112"/>
      <c r="R302" s="112"/>
      <c r="S302" s="112"/>
      <c r="T302" s="112"/>
      <c r="U302" s="95" t="str">
        <f t="shared" si="12"/>
        <v/>
      </c>
      <c r="V302" s="112"/>
      <c r="W302" s="112"/>
      <c r="X302" s="107">
        <v>100</v>
      </c>
      <c r="Y302" s="107">
        <f t="shared" si="13"/>
        <v>100</v>
      </c>
      <c r="Z302" s="107">
        <f t="shared" si="14"/>
        <v>0</v>
      </c>
    </row>
    <row r="303" spans="1:26" x14ac:dyDescent="0.25">
      <c r="A303" s="55" t="str">
        <f>_xlfn.XLOOKUP($G303,'.Auxiliar'!$G:$G,'.Auxiliar'!A:A,"-",0)</f>
        <v>CRO</v>
      </c>
      <c r="B303" s="55" t="str">
        <f>_xlfn.XLOOKUP($G303,'.Auxiliar'!$G:$G,'.Auxiliar'!B:B,"-",0)</f>
        <v>PAVIMENTAÇÃO</v>
      </c>
      <c r="C303" s="55" t="str">
        <f>_xlfn.XLOOKUP($G303,'.Auxiliar'!$G:$G,'.Auxiliar'!C:C,"-",0)</f>
        <v>Vias Marginais ID-04 BR 163/MT - Esquerdo</v>
      </c>
      <c r="D303" s="55">
        <f>_xlfn.XLOOKUP($G303,'.Auxiliar'!$G:$G,'.Auxiliar'!D:D,"-",0)</f>
        <v>681.8</v>
      </c>
      <c r="E303" s="55">
        <f>_xlfn.XLOOKUP($G303,'.Auxiliar'!$G:$G,'.Auxiliar'!E:E,"-",0)</f>
        <v>685.8</v>
      </c>
      <c r="F303" s="55">
        <f>_xlfn.XLOOKUP($G303,'.Auxiliar'!$G:$G,'.Auxiliar'!F:F,"-",0)</f>
        <v>4</v>
      </c>
      <c r="G303" s="59" t="s">
        <v>740</v>
      </c>
      <c r="H303" s="108" t="s">
        <v>363</v>
      </c>
      <c r="I303" s="109" t="s">
        <v>0</v>
      </c>
      <c r="J303" s="109" t="s">
        <v>0</v>
      </c>
      <c r="K303" s="109" t="s">
        <v>363</v>
      </c>
      <c r="L303" s="109" t="s">
        <v>0</v>
      </c>
      <c r="M303" s="109" t="s">
        <v>0</v>
      </c>
      <c r="N303" s="110" t="s">
        <v>0</v>
      </c>
      <c r="O303" s="111">
        <v>100</v>
      </c>
      <c r="P303" s="112">
        <v>0</v>
      </c>
      <c r="Q303" s="112"/>
      <c r="R303" s="112"/>
      <c r="S303" s="112"/>
      <c r="T303" s="112"/>
      <c r="U303" s="95" t="str">
        <f t="shared" si="12"/>
        <v/>
      </c>
      <c r="V303" s="112"/>
      <c r="W303" s="112"/>
      <c r="X303" s="107">
        <v>100</v>
      </c>
      <c r="Y303" s="107">
        <f t="shared" si="13"/>
        <v>100</v>
      </c>
      <c r="Z303" s="107">
        <f t="shared" si="14"/>
        <v>0</v>
      </c>
    </row>
    <row r="304" spans="1:26" x14ac:dyDescent="0.25">
      <c r="A304" s="55" t="str">
        <f>_xlfn.XLOOKUP($G304,'.Auxiliar'!$G:$G,'.Auxiliar'!A:A,"-",0)</f>
        <v>CRO</v>
      </c>
      <c r="B304" s="55" t="str">
        <f>_xlfn.XLOOKUP($G304,'.Auxiliar'!$G:$G,'.Auxiliar'!B:B,"-",0)</f>
        <v>PAVIMENTAÇÃO</v>
      </c>
      <c r="C304" s="55" t="str">
        <f>_xlfn.XLOOKUP($G304,'.Auxiliar'!$G:$G,'.Auxiliar'!C:C,"-",0)</f>
        <v>Vias Marginais ID-05 BR 163/MT Direito</v>
      </c>
      <c r="D304" s="55">
        <f>_xlfn.XLOOKUP($G304,'.Auxiliar'!$G:$G,'.Auxiliar'!D:D,"-",0)</f>
        <v>708.9</v>
      </c>
      <c r="E304" s="55">
        <f>_xlfn.XLOOKUP($G304,'.Auxiliar'!$G:$G,'.Auxiliar'!E:E,"-",0)</f>
        <v>710.3</v>
      </c>
      <c r="F304" s="55">
        <f>_xlfn.XLOOKUP($G304,'.Auxiliar'!$G:$G,'.Auxiliar'!F:F,"-",0)</f>
        <v>1.3999999999999773</v>
      </c>
      <c r="G304" s="59" t="s">
        <v>741</v>
      </c>
      <c r="H304" s="108" t="s">
        <v>363</v>
      </c>
      <c r="I304" s="109" t="s">
        <v>0</v>
      </c>
      <c r="J304" s="109" t="s">
        <v>0</v>
      </c>
      <c r="K304" s="109" t="s">
        <v>363</v>
      </c>
      <c r="L304" s="109" t="s">
        <v>0</v>
      </c>
      <c r="M304" s="109" t="s">
        <v>0</v>
      </c>
      <c r="N304" s="110" t="s">
        <v>0</v>
      </c>
      <c r="O304" s="111">
        <v>100</v>
      </c>
      <c r="P304" s="112">
        <v>0</v>
      </c>
      <c r="Q304" s="112"/>
      <c r="R304" s="112"/>
      <c r="S304" s="112"/>
      <c r="T304" s="112"/>
      <c r="U304" s="95" t="str">
        <f t="shared" si="12"/>
        <v/>
      </c>
      <c r="V304" s="112"/>
      <c r="W304" s="112"/>
      <c r="X304" s="107">
        <v>100</v>
      </c>
      <c r="Y304" s="107">
        <f t="shared" si="13"/>
        <v>100</v>
      </c>
      <c r="Z304" s="107">
        <f t="shared" si="14"/>
        <v>0</v>
      </c>
    </row>
    <row r="305" spans="1:26" x14ac:dyDescent="0.25">
      <c r="A305" s="55" t="str">
        <f>_xlfn.XLOOKUP($G305,'.Auxiliar'!$G:$G,'.Auxiliar'!A:A,"-",0)</f>
        <v>CRO</v>
      </c>
      <c r="B305" s="55" t="str">
        <f>_xlfn.XLOOKUP($G305,'.Auxiliar'!$G:$G,'.Auxiliar'!B:B,"-",0)</f>
        <v>PAVIMENTAÇÃO</v>
      </c>
      <c r="C305" s="55" t="str">
        <f>_xlfn.XLOOKUP($G305,'.Auxiliar'!$G:$G,'.Auxiliar'!C:C,"-",0)</f>
        <v>Vias Marginais ID-05 BR 163/MT Esquerdo</v>
      </c>
      <c r="D305" s="55">
        <f>_xlfn.XLOOKUP($G305,'.Auxiliar'!$G:$G,'.Auxiliar'!D:D,"-",0)</f>
        <v>708.9</v>
      </c>
      <c r="E305" s="55">
        <f>_xlfn.XLOOKUP($G305,'.Auxiliar'!$G:$G,'.Auxiliar'!E:E,"-",0)</f>
        <v>709.8</v>
      </c>
      <c r="F305" s="55">
        <f>_xlfn.XLOOKUP($G305,'.Auxiliar'!$G:$G,'.Auxiliar'!F:F,"-",0)</f>
        <v>0.89999999999997726</v>
      </c>
      <c r="G305" s="59" t="s">
        <v>742</v>
      </c>
      <c r="H305" s="108" t="s">
        <v>363</v>
      </c>
      <c r="I305" s="109" t="s">
        <v>0</v>
      </c>
      <c r="J305" s="109" t="s">
        <v>0</v>
      </c>
      <c r="K305" s="109" t="s">
        <v>363</v>
      </c>
      <c r="L305" s="109" t="s">
        <v>0</v>
      </c>
      <c r="M305" s="109" t="s">
        <v>0</v>
      </c>
      <c r="N305" s="110" t="s">
        <v>0</v>
      </c>
      <c r="O305" s="111">
        <v>100</v>
      </c>
      <c r="P305" s="112">
        <v>0</v>
      </c>
      <c r="Q305" s="112"/>
      <c r="R305" s="112"/>
      <c r="S305" s="112"/>
      <c r="T305" s="112"/>
      <c r="U305" s="95" t="str">
        <f t="shared" si="12"/>
        <v/>
      </c>
      <c r="V305" s="112"/>
      <c r="W305" s="112"/>
      <c r="X305" s="107">
        <v>100</v>
      </c>
      <c r="Y305" s="107">
        <f t="shared" si="13"/>
        <v>100</v>
      </c>
      <c r="Z305" s="107">
        <f t="shared" si="14"/>
        <v>0</v>
      </c>
    </row>
    <row r="306" spans="1:26" x14ac:dyDescent="0.25">
      <c r="A306" s="55" t="str">
        <f>_xlfn.XLOOKUP($G306,'.Auxiliar'!$G:$G,'.Auxiliar'!A:A,"-",0)</f>
        <v>CRO</v>
      </c>
      <c r="B306" s="55" t="str">
        <f>_xlfn.XLOOKUP($G306,'.Auxiliar'!$G:$G,'.Auxiliar'!B:B,"-",0)</f>
        <v>PAVIMENTAÇÃO</v>
      </c>
      <c r="C306" s="55" t="str">
        <f>_xlfn.XLOOKUP($G306,'.Auxiliar'!$G:$G,'.Auxiliar'!C:C,"-",0)</f>
        <v>Vias Marginais ID-06 BR 163/MT Direito</v>
      </c>
      <c r="D306" s="55">
        <f>_xlfn.XLOOKUP($G306,'.Auxiliar'!$G:$G,'.Auxiliar'!D:D,"-",0)</f>
        <v>818.9</v>
      </c>
      <c r="E306" s="55">
        <f>_xlfn.XLOOKUP($G306,'.Auxiliar'!$G:$G,'.Auxiliar'!E:E,"-",0)</f>
        <v>822</v>
      </c>
      <c r="F306" s="55">
        <f>_xlfn.XLOOKUP($G306,'.Auxiliar'!$G:$G,'.Auxiliar'!F:F,"-",0)</f>
        <v>3.1000000000000227</v>
      </c>
      <c r="G306" s="59" t="s">
        <v>743</v>
      </c>
      <c r="H306" s="108" t="s">
        <v>363</v>
      </c>
      <c r="I306" s="109" t="s">
        <v>0</v>
      </c>
      <c r="J306" s="109" t="s">
        <v>0</v>
      </c>
      <c r="K306" s="109" t="s">
        <v>363</v>
      </c>
      <c r="L306" s="109" t="s">
        <v>0</v>
      </c>
      <c r="M306" s="109" t="s">
        <v>0</v>
      </c>
      <c r="N306" s="110" t="s">
        <v>0</v>
      </c>
      <c r="O306" s="111">
        <v>100</v>
      </c>
      <c r="P306" s="112">
        <f>(0.79/((822.24- 821.45)+(821.42-820.03)+0.44))*100</f>
        <v>30.15267175572577</v>
      </c>
      <c r="Q306" s="112"/>
      <c r="R306" s="112"/>
      <c r="S306" s="112"/>
      <c r="T306" s="112"/>
      <c r="U306" s="95">
        <f t="shared" si="12"/>
        <v>69.847328244274223</v>
      </c>
      <c r="V306" s="112"/>
      <c r="W306" s="112"/>
      <c r="X306" s="107">
        <f>100-P306</f>
        <v>69.847328244274223</v>
      </c>
      <c r="Y306" s="107">
        <f t="shared" si="13"/>
        <v>100</v>
      </c>
      <c r="Z306" s="107">
        <f t="shared" si="14"/>
        <v>30.15267175572577</v>
      </c>
    </row>
    <row r="307" spans="1:26" x14ac:dyDescent="0.25">
      <c r="A307" s="55" t="str">
        <f>_xlfn.XLOOKUP($G307,'.Auxiliar'!$G:$G,'.Auxiliar'!A:A,"-",0)</f>
        <v>CRO</v>
      </c>
      <c r="B307" s="55" t="str">
        <f>_xlfn.XLOOKUP($G307,'.Auxiliar'!$G:$G,'.Auxiliar'!B:B,"-",0)</f>
        <v>PAVIMENTAÇÃO</v>
      </c>
      <c r="C307" s="55" t="str">
        <f>_xlfn.XLOOKUP($G307,'.Auxiliar'!$G:$G,'.Auxiliar'!C:C,"-",0)</f>
        <v>Vias Marginais ID-06 BR 163/MT Esquerdo</v>
      </c>
      <c r="D307" s="55">
        <f>_xlfn.XLOOKUP($G307,'.Auxiliar'!$G:$G,'.Auxiliar'!D:D,"-",0)</f>
        <v>818.9</v>
      </c>
      <c r="E307" s="55">
        <f>_xlfn.XLOOKUP($G307,'.Auxiliar'!$G:$G,'.Auxiliar'!E:E,"-",0)</f>
        <v>822</v>
      </c>
      <c r="F307" s="55">
        <f>_xlfn.XLOOKUP($G307,'.Auxiliar'!$G:$G,'.Auxiliar'!F:F,"-",0)</f>
        <v>3.1000000000000227</v>
      </c>
      <c r="G307" s="59" t="s">
        <v>744</v>
      </c>
      <c r="H307" s="108" t="s">
        <v>363</v>
      </c>
      <c r="I307" s="109" t="s">
        <v>0</v>
      </c>
      <c r="J307" s="109" t="s">
        <v>0</v>
      </c>
      <c r="K307" s="109" t="s">
        <v>363</v>
      </c>
      <c r="L307" s="109" t="s">
        <v>0</v>
      </c>
      <c r="M307" s="109" t="s">
        <v>0</v>
      </c>
      <c r="N307" s="110" t="s">
        <v>0</v>
      </c>
      <c r="O307" s="111">
        <v>100</v>
      </c>
      <c r="P307" s="112">
        <v>0</v>
      </c>
      <c r="Q307" s="112"/>
      <c r="R307" s="112"/>
      <c r="S307" s="112"/>
      <c r="T307" s="112"/>
      <c r="U307" s="95" t="str">
        <f t="shared" si="12"/>
        <v/>
      </c>
      <c r="V307" s="112"/>
      <c r="W307" s="112"/>
      <c r="X307" s="107">
        <v>100</v>
      </c>
      <c r="Y307" s="107">
        <f t="shared" si="13"/>
        <v>100</v>
      </c>
      <c r="Z307" s="107">
        <f t="shared" si="14"/>
        <v>0</v>
      </c>
    </row>
    <row r="308" spans="1:26" x14ac:dyDescent="0.25">
      <c r="A308" s="55" t="str">
        <f>_xlfn.XLOOKUP($G308,'.Auxiliar'!$G:$G,'.Auxiliar'!A:A,"-",0)</f>
        <v>CRO</v>
      </c>
      <c r="B308" s="55" t="str">
        <f>_xlfn.XLOOKUP($G308,'.Auxiliar'!$G:$G,'.Auxiliar'!B:B,"-",0)</f>
        <v>PAVIMENTAÇÃO</v>
      </c>
      <c r="C308" s="55" t="str">
        <f>_xlfn.XLOOKUP($G308,'.Auxiliar'!$G:$G,'.Auxiliar'!C:C,"-",0)</f>
        <v>Vias Marginais ID-07 BR 163/MT Direito</v>
      </c>
      <c r="D308" s="55">
        <f>_xlfn.XLOOKUP($G308,'.Auxiliar'!$G:$G,'.Auxiliar'!D:D,"-",0)</f>
        <v>853.9</v>
      </c>
      <c r="E308" s="55">
        <f>_xlfn.XLOOKUP($G308,'.Auxiliar'!$G:$G,'.Auxiliar'!E:E,"-",0)</f>
        <v>855</v>
      </c>
      <c r="F308" s="55">
        <f>_xlfn.XLOOKUP($G308,'.Auxiliar'!$G:$G,'.Auxiliar'!F:F,"-",0)</f>
        <v>1.1000000000000227</v>
      </c>
      <c r="G308" s="59" t="s">
        <v>745</v>
      </c>
      <c r="H308" s="108" t="s">
        <v>363</v>
      </c>
      <c r="I308" s="109" t="s">
        <v>0</v>
      </c>
      <c r="J308" s="109" t="s">
        <v>0</v>
      </c>
      <c r="K308" s="109" t="s">
        <v>363</v>
      </c>
      <c r="L308" s="109" t="s">
        <v>0</v>
      </c>
      <c r="M308" s="109" t="s">
        <v>0</v>
      </c>
      <c r="N308" s="110" t="s">
        <v>0</v>
      </c>
      <c r="O308" s="111">
        <v>100</v>
      </c>
      <c r="P308" s="112">
        <v>0</v>
      </c>
      <c r="Q308" s="112"/>
      <c r="R308" s="112"/>
      <c r="S308" s="112"/>
      <c r="T308" s="112"/>
      <c r="U308" s="95" t="str">
        <f t="shared" si="12"/>
        <v/>
      </c>
      <c r="V308" s="112"/>
      <c r="W308" s="112"/>
      <c r="X308" s="107">
        <v>100</v>
      </c>
      <c r="Y308" s="107">
        <f t="shared" si="13"/>
        <v>100</v>
      </c>
      <c r="Z308" s="107">
        <f t="shared" si="14"/>
        <v>0</v>
      </c>
    </row>
    <row r="309" spans="1:26" x14ac:dyDescent="0.25">
      <c r="A309" s="55" t="str">
        <f>_xlfn.XLOOKUP($G309,'.Auxiliar'!$G:$G,'.Auxiliar'!A:A,"-",0)</f>
        <v>CRO</v>
      </c>
      <c r="B309" s="55" t="str">
        <f>_xlfn.XLOOKUP($G309,'.Auxiliar'!$G:$G,'.Auxiliar'!B:B,"-",0)</f>
        <v>PAVIMENTAÇÃO</v>
      </c>
      <c r="C309" s="55" t="str">
        <f>_xlfn.XLOOKUP($G309,'.Auxiliar'!$G:$G,'.Auxiliar'!C:C,"-",0)</f>
        <v>Vias Marginais ID-07 BR 163/MT Esquerdo</v>
      </c>
      <c r="D309" s="55">
        <f>_xlfn.XLOOKUP($G309,'.Auxiliar'!$G:$G,'.Auxiliar'!D:D,"-",0)</f>
        <v>853.9</v>
      </c>
      <c r="E309" s="55">
        <f>_xlfn.XLOOKUP($G309,'.Auxiliar'!$G:$G,'.Auxiliar'!E:E,"-",0)</f>
        <v>855</v>
      </c>
      <c r="F309" s="55">
        <f>_xlfn.XLOOKUP($G309,'.Auxiliar'!$G:$G,'.Auxiliar'!F:F,"-",0)</f>
        <v>1.1000000000000227</v>
      </c>
      <c r="G309" s="59" t="s">
        <v>746</v>
      </c>
      <c r="H309" s="108" t="s">
        <v>363</v>
      </c>
      <c r="I309" s="109" t="s">
        <v>0</v>
      </c>
      <c r="J309" s="109" t="s">
        <v>0</v>
      </c>
      <c r="K309" s="109" t="s">
        <v>363</v>
      </c>
      <c r="L309" s="109" t="s">
        <v>0</v>
      </c>
      <c r="M309" s="109" t="s">
        <v>0</v>
      </c>
      <c r="N309" s="110" t="s">
        <v>0</v>
      </c>
      <c r="O309" s="111">
        <v>100</v>
      </c>
      <c r="P309" s="112">
        <v>0</v>
      </c>
      <c r="Q309" s="112"/>
      <c r="R309" s="112"/>
      <c r="S309" s="112"/>
      <c r="T309" s="112"/>
      <c r="U309" s="95" t="str">
        <f t="shared" si="12"/>
        <v/>
      </c>
      <c r="V309" s="112"/>
      <c r="W309" s="112"/>
      <c r="X309" s="107">
        <v>100</v>
      </c>
      <c r="Y309" s="107">
        <f t="shared" si="13"/>
        <v>100</v>
      </c>
      <c r="Z309" s="107">
        <f t="shared" si="14"/>
        <v>0</v>
      </c>
    </row>
    <row r="310" spans="1:26" x14ac:dyDescent="0.25">
      <c r="A310" s="55" t="str">
        <f>_xlfn.XLOOKUP($G310,'.Auxiliar'!$G:$G,'.Auxiliar'!A:A,"-",0)</f>
        <v>ECO 050</v>
      </c>
      <c r="B310" s="55" t="str">
        <f>_xlfn.XLOOKUP($G310,'.Auxiliar'!$G:$G,'.Auxiliar'!B:B,"-",0)</f>
        <v>DUPLICAÇÃO</v>
      </c>
      <c r="C310" s="55" t="str">
        <f>_xlfn.XLOOKUP($G310,'.Auxiliar'!$G:$G,'.Auxiliar'!C:C,"-",0)</f>
        <v>Duplicação (2º ano)</v>
      </c>
      <c r="D310" s="55">
        <f>_xlfn.XLOOKUP($G310,'.Auxiliar'!$G:$G,'.Auxiliar'!D:D,"-",0)</f>
        <v>119.9</v>
      </c>
      <c r="E310" s="55">
        <f>_xlfn.XLOOKUP($G310,'.Auxiliar'!$G:$G,'.Auxiliar'!E:E,"-",0)</f>
        <v>150.9</v>
      </c>
      <c r="F310" s="55">
        <f>_xlfn.XLOOKUP($G310,'.Auxiliar'!$G:$G,'.Auxiliar'!F:F,"-",0)</f>
        <v>31</v>
      </c>
      <c r="G310" s="59" t="s">
        <v>700</v>
      </c>
      <c r="H310" s="108" t="s">
        <v>363</v>
      </c>
      <c r="I310" s="109" t="s">
        <v>0</v>
      </c>
      <c r="J310" s="109" t="s">
        <v>0</v>
      </c>
      <c r="K310" s="109" t="s">
        <v>0</v>
      </c>
      <c r="L310" s="109" t="s">
        <v>0</v>
      </c>
      <c r="M310" s="109" t="s">
        <v>0</v>
      </c>
      <c r="N310" s="110" t="s">
        <v>0</v>
      </c>
      <c r="O310" s="111">
        <v>100</v>
      </c>
      <c r="P310" s="112">
        <v>100</v>
      </c>
      <c r="Q310" s="112"/>
      <c r="R310" s="112"/>
      <c r="S310" s="112"/>
      <c r="T310" s="112"/>
      <c r="U310" s="95">
        <f t="shared" si="12"/>
        <v>0</v>
      </c>
      <c r="V310" s="112"/>
      <c r="W310" s="112"/>
      <c r="X310" s="107"/>
      <c r="Y310" s="107">
        <f t="shared" si="13"/>
        <v>100</v>
      </c>
      <c r="Z310" s="107">
        <f t="shared" si="14"/>
        <v>100</v>
      </c>
    </row>
    <row r="311" spans="1:26" x14ac:dyDescent="0.25">
      <c r="A311" s="55" t="str">
        <f>_xlfn.XLOOKUP($G311,'.Auxiliar'!$G:$G,'.Auxiliar'!A:A,"-",0)</f>
        <v>ECO 050</v>
      </c>
      <c r="B311" s="55" t="str">
        <f>_xlfn.XLOOKUP($G311,'.Auxiliar'!$G:$G,'.Auxiliar'!B:B,"-",0)</f>
        <v>DUPLICAÇÃO</v>
      </c>
      <c r="C311" s="55" t="str">
        <f>_xlfn.XLOOKUP($G311,'.Auxiliar'!$G:$G,'.Auxiliar'!C:C,"-",0)</f>
        <v>Duplicação (2º ano)</v>
      </c>
      <c r="D311" s="55">
        <f>_xlfn.XLOOKUP($G311,'.Auxiliar'!$G:$G,'.Auxiliar'!D:D,"-",0)</f>
        <v>99.4</v>
      </c>
      <c r="E311" s="55">
        <f>_xlfn.XLOOKUP($G311,'.Auxiliar'!$G:$G,'.Auxiliar'!E:E,"-",0)</f>
        <v>110.7</v>
      </c>
      <c r="F311" s="55">
        <f>_xlfn.XLOOKUP($G311,'.Auxiliar'!$G:$G,'.Auxiliar'!F:F,"-",0)</f>
        <v>11.299999999999997</v>
      </c>
      <c r="G311" s="59" t="s">
        <v>699</v>
      </c>
      <c r="H311" s="108" t="s">
        <v>363</v>
      </c>
      <c r="I311" s="109" t="s">
        <v>0</v>
      </c>
      <c r="J311" s="109" t="s">
        <v>0</v>
      </c>
      <c r="K311" s="109" t="s">
        <v>0</v>
      </c>
      <c r="L311" s="109" t="s">
        <v>0</v>
      </c>
      <c r="M311" s="109" t="s">
        <v>0</v>
      </c>
      <c r="N311" s="110" t="s">
        <v>0</v>
      </c>
      <c r="O311" s="111">
        <v>100</v>
      </c>
      <c r="P311" s="112">
        <v>100</v>
      </c>
      <c r="Q311" s="112"/>
      <c r="R311" s="112"/>
      <c r="S311" s="112"/>
      <c r="T311" s="112"/>
      <c r="U311" s="95">
        <f t="shared" si="12"/>
        <v>0</v>
      </c>
      <c r="V311" s="112"/>
      <c r="W311" s="112"/>
      <c r="X311" s="107"/>
      <c r="Y311" s="107">
        <f t="shared" si="13"/>
        <v>100</v>
      </c>
      <c r="Z311" s="107">
        <f t="shared" si="14"/>
        <v>100</v>
      </c>
    </row>
    <row r="312" spans="1:26" x14ac:dyDescent="0.25">
      <c r="A312" s="55" t="str">
        <f>_xlfn.XLOOKUP($G312,'.Auxiliar'!$G:$G,'.Auxiliar'!A:A,"-",0)</f>
        <v>ECO 050</v>
      </c>
      <c r="B312" s="55" t="str">
        <f>_xlfn.XLOOKUP($G312,'.Auxiliar'!$G:$G,'.Auxiliar'!B:B,"-",0)</f>
        <v>DUPLICAÇÃO</v>
      </c>
      <c r="C312" s="55" t="str">
        <f>_xlfn.XLOOKUP($G312,'.Auxiliar'!$G:$G,'.Auxiliar'!C:C,"-",0)</f>
        <v>Duplicação (3º ano)</v>
      </c>
      <c r="D312" s="55">
        <f>_xlfn.XLOOKUP($G312,'.Auxiliar'!$G:$G,'.Auxiliar'!D:D,"-",0)</f>
        <v>110.7</v>
      </c>
      <c r="E312" s="55">
        <f>_xlfn.XLOOKUP($G312,'.Auxiliar'!$G:$G,'.Auxiliar'!E:E,"-",0)</f>
        <v>119.9</v>
      </c>
      <c r="F312" s="55">
        <f>_xlfn.XLOOKUP($G312,'.Auxiliar'!$G:$G,'.Auxiliar'!F:F,"-",0)</f>
        <v>9.2000000000000028</v>
      </c>
      <c r="G312" s="59" t="s">
        <v>701</v>
      </c>
      <c r="H312" s="108" t="s">
        <v>363</v>
      </c>
      <c r="I312" s="109" t="s">
        <v>0</v>
      </c>
      <c r="J312" s="109" t="s">
        <v>0</v>
      </c>
      <c r="K312" s="109" t="s">
        <v>0</v>
      </c>
      <c r="L312" s="109" t="s">
        <v>0</v>
      </c>
      <c r="M312" s="109" t="s">
        <v>0</v>
      </c>
      <c r="N312" s="110" t="s">
        <v>0</v>
      </c>
      <c r="O312" s="111">
        <v>100</v>
      </c>
      <c r="P312" s="112">
        <v>100</v>
      </c>
      <c r="Q312" s="112"/>
      <c r="R312" s="112"/>
      <c r="S312" s="112"/>
      <c r="T312" s="112"/>
      <c r="U312" s="95">
        <f t="shared" si="12"/>
        <v>0</v>
      </c>
      <c r="V312" s="112"/>
      <c r="W312" s="112"/>
      <c r="X312" s="107"/>
      <c r="Y312" s="107">
        <f t="shared" si="13"/>
        <v>100</v>
      </c>
      <c r="Z312" s="107">
        <f t="shared" si="14"/>
        <v>100</v>
      </c>
    </row>
    <row r="313" spans="1:26" x14ac:dyDescent="0.25">
      <c r="A313" s="55" t="str">
        <f>_xlfn.XLOOKUP($G313,'.Auxiliar'!$G:$G,'.Auxiliar'!A:A,"-",0)</f>
        <v>ECO 050</v>
      </c>
      <c r="B313" s="55" t="str">
        <f>_xlfn.XLOOKUP($G313,'.Auxiliar'!$G:$G,'.Auxiliar'!B:B,"-",0)</f>
        <v>DUPLICAÇÃO</v>
      </c>
      <c r="C313" s="55" t="str">
        <f>_xlfn.XLOOKUP($G313,'.Auxiliar'!$G:$G,'.Auxiliar'!C:C,"-",0)</f>
        <v>Duplicação (3º ano)</v>
      </c>
      <c r="D313" s="55">
        <f>_xlfn.XLOOKUP($G313,'.Auxiliar'!$G:$G,'.Auxiliar'!D:D,"-",0)</f>
        <v>140.6</v>
      </c>
      <c r="E313" s="55">
        <f>_xlfn.XLOOKUP($G313,'.Auxiliar'!$G:$G,'.Auxiliar'!E:E,"-",0)</f>
        <v>143.80000000000001</v>
      </c>
      <c r="F313" s="55">
        <f>_xlfn.XLOOKUP($G313,'.Auxiliar'!$G:$G,'.Auxiliar'!F:F,"-",0)</f>
        <v>3.2000000000000171</v>
      </c>
      <c r="G313" s="59" t="s">
        <v>702</v>
      </c>
      <c r="H313" s="108" t="s">
        <v>363</v>
      </c>
      <c r="I313" s="109" t="s">
        <v>0</v>
      </c>
      <c r="J313" s="109" t="s">
        <v>0</v>
      </c>
      <c r="K313" s="109" t="s">
        <v>0</v>
      </c>
      <c r="L313" s="109" t="s">
        <v>0</v>
      </c>
      <c r="M313" s="109" t="s">
        <v>0</v>
      </c>
      <c r="N313" s="110" t="s">
        <v>0</v>
      </c>
      <c r="O313" s="111">
        <v>100</v>
      </c>
      <c r="P313" s="112">
        <v>100</v>
      </c>
      <c r="Q313" s="112"/>
      <c r="R313" s="112"/>
      <c r="S313" s="112"/>
      <c r="T313" s="112"/>
      <c r="U313" s="95">
        <f t="shared" si="12"/>
        <v>0</v>
      </c>
      <c r="V313" s="112"/>
      <c r="W313" s="112"/>
      <c r="X313" s="107"/>
      <c r="Y313" s="107">
        <f t="shared" si="13"/>
        <v>100</v>
      </c>
      <c r="Z313" s="107">
        <f t="shared" si="14"/>
        <v>100</v>
      </c>
    </row>
    <row r="314" spans="1:26" x14ac:dyDescent="0.25">
      <c r="A314" s="55" t="str">
        <f>_xlfn.XLOOKUP($G314,'.Auxiliar'!$G:$G,'.Auxiliar'!A:A,"-",0)</f>
        <v>ECO 050</v>
      </c>
      <c r="B314" s="55" t="str">
        <f>_xlfn.XLOOKUP($G314,'.Auxiliar'!$G:$G,'.Auxiliar'!B:B,"-",0)</f>
        <v>DUPLICAÇÃO</v>
      </c>
      <c r="C314" s="55" t="str">
        <f>_xlfn.XLOOKUP($G314,'.Auxiliar'!$G:$G,'.Auxiliar'!C:C,"-",0)</f>
        <v>Duplicação (3º ano)</v>
      </c>
      <c r="D314" s="55">
        <f>_xlfn.XLOOKUP($G314,'.Auxiliar'!$G:$G,'.Auxiliar'!D:D,"-",0)</f>
        <v>150.875</v>
      </c>
      <c r="E314" s="55">
        <f>_xlfn.XLOOKUP($G314,'.Auxiliar'!$G:$G,'.Auxiliar'!E:E,"-",0)</f>
        <v>190.95</v>
      </c>
      <c r="F314" s="55">
        <f>_xlfn.XLOOKUP($G314,'.Auxiliar'!$G:$G,'.Auxiliar'!F:F,"-",0)</f>
        <v>40.074999999999989</v>
      </c>
      <c r="G314" s="59" t="s">
        <v>703</v>
      </c>
      <c r="H314" s="108" t="s">
        <v>363</v>
      </c>
      <c r="I314" s="109" t="s">
        <v>0</v>
      </c>
      <c r="J314" s="109" t="s">
        <v>0</v>
      </c>
      <c r="K314" s="109" t="s">
        <v>0</v>
      </c>
      <c r="L314" s="109" t="s">
        <v>0</v>
      </c>
      <c r="M314" s="109" t="s">
        <v>0</v>
      </c>
      <c r="N314" s="110" t="s">
        <v>0</v>
      </c>
      <c r="O314" s="111">
        <v>100</v>
      </c>
      <c r="P314" s="112">
        <v>100</v>
      </c>
      <c r="Q314" s="112"/>
      <c r="R314" s="112"/>
      <c r="S314" s="112"/>
      <c r="T314" s="112"/>
      <c r="U314" s="95">
        <f t="shared" si="12"/>
        <v>0</v>
      </c>
      <c r="V314" s="112"/>
      <c r="W314" s="112"/>
      <c r="X314" s="107"/>
      <c r="Y314" s="107">
        <f t="shared" si="13"/>
        <v>100</v>
      </c>
      <c r="Z314" s="107">
        <f t="shared" si="14"/>
        <v>100</v>
      </c>
    </row>
    <row r="315" spans="1:26" x14ac:dyDescent="0.25">
      <c r="A315" s="55" t="str">
        <f>_xlfn.XLOOKUP($G315,'.Auxiliar'!$G:$G,'.Auxiliar'!A:A,"-",0)</f>
        <v>ECO 050</v>
      </c>
      <c r="B315" s="55" t="str">
        <f>_xlfn.XLOOKUP($G315,'.Auxiliar'!$G:$G,'.Auxiliar'!B:B,"-",0)</f>
        <v>DUPLICAÇÃO</v>
      </c>
      <c r="C315" s="55" t="str">
        <f>_xlfn.XLOOKUP($G315,'.Auxiliar'!$G:$G,'.Auxiliar'!C:C,"-",0)</f>
        <v>Duplicação (4º ano)</v>
      </c>
      <c r="D315" s="55">
        <f>_xlfn.XLOOKUP($G315,'.Auxiliar'!$G:$G,'.Auxiliar'!D:D,"-",0)</f>
        <v>190.5</v>
      </c>
      <c r="E315" s="55">
        <f>_xlfn.XLOOKUP($G315,'.Auxiliar'!$G:$G,'.Auxiliar'!E:E,"-",0)</f>
        <v>261.10000000000002</v>
      </c>
      <c r="F315" s="55">
        <f>_xlfn.XLOOKUP($G315,'.Auxiliar'!$G:$G,'.Auxiliar'!F:F,"-",0)</f>
        <v>70.600000000000023</v>
      </c>
      <c r="G315" s="59" t="s">
        <v>705</v>
      </c>
      <c r="H315" s="108" t="s">
        <v>363</v>
      </c>
      <c r="I315" s="109" t="s">
        <v>0</v>
      </c>
      <c r="J315" s="109" t="s">
        <v>0</v>
      </c>
      <c r="K315" s="109" t="s">
        <v>0</v>
      </c>
      <c r="L315" s="109" t="s">
        <v>0</v>
      </c>
      <c r="M315" s="109" t="s">
        <v>0</v>
      </c>
      <c r="N315" s="110" t="s">
        <v>0</v>
      </c>
      <c r="O315" s="111">
        <v>100</v>
      </c>
      <c r="P315" s="112">
        <v>100</v>
      </c>
      <c r="Q315" s="112"/>
      <c r="R315" s="112"/>
      <c r="S315" s="112"/>
      <c r="T315" s="112"/>
      <c r="U315" s="95">
        <f t="shared" si="12"/>
        <v>0</v>
      </c>
      <c r="V315" s="112"/>
      <c r="W315" s="112"/>
      <c r="X315" s="107"/>
      <c r="Y315" s="107">
        <f t="shared" si="13"/>
        <v>100</v>
      </c>
      <c r="Z315" s="107">
        <f t="shared" si="14"/>
        <v>100</v>
      </c>
    </row>
    <row r="316" spans="1:26" x14ac:dyDescent="0.25">
      <c r="A316" s="55" t="str">
        <f>_xlfn.XLOOKUP($G316,'.Auxiliar'!$G:$G,'.Auxiliar'!A:A,"-",0)</f>
        <v>ECO 050</v>
      </c>
      <c r="B316" s="55" t="str">
        <f>_xlfn.XLOOKUP($G316,'.Auxiliar'!$G:$G,'.Auxiliar'!B:B,"-",0)</f>
        <v>DUPLICAÇÃO</v>
      </c>
      <c r="C316" s="55" t="str">
        <f>_xlfn.XLOOKUP($G316,'.Auxiliar'!$G:$G,'.Auxiliar'!C:C,"-",0)</f>
        <v>Duplicação (4º ano)</v>
      </c>
      <c r="D316" s="55">
        <f>_xlfn.XLOOKUP($G316,'.Auxiliar'!$G:$G,'.Auxiliar'!D:D,"-",0)</f>
        <v>95.7</v>
      </c>
      <c r="E316" s="55">
        <f>_xlfn.XLOOKUP($G316,'.Auxiliar'!$G:$G,'.Auxiliar'!E:E,"-",0)</f>
        <v>99.4</v>
      </c>
      <c r="F316" s="55">
        <f>_xlfn.XLOOKUP($G316,'.Auxiliar'!$G:$G,'.Auxiliar'!F:F,"-",0)</f>
        <v>3.7000000000000028</v>
      </c>
      <c r="G316" s="59" t="s">
        <v>704</v>
      </c>
      <c r="H316" s="108" t="s">
        <v>363</v>
      </c>
      <c r="I316" s="115" t="s">
        <v>1881</v>
      </c>
      <c r="J316" s="109" t="s">
        <v>0</v>
      </c>
      <c r="K316" s="115" t="s">
        <v>1881</v>
      </c>
      <c r="L316" s="109" t="s">
        <v>0</v>
      </c>
      <c r="M316" s="109" t="s">
        <v>0</v>
      </c>
      <c r="N316" s="110" t="s">
        <v>0</v>
      </c>
      <c r="O316" s="111">
        <v>0.08</v>
      </c>
      <c r="P316" s="90">
        <v>0.08</v>
      </c>
      <c r="Q316" s="90">
        <v>82.92</v>
      </c>
      <c r="R316" s="112">
        <v>82.92</v>
      </c>
      <c r="S316" s="112">
        <v>17</v>
      </c>
      <c r="T316" s="112">
        <v>5.58</v>
      </c>
      <c r="U316" s="95">
        <f t="shared" si="12"/>
        <v>17</v>
      </c>
      <c r="V316" s="112"/>
      <c r="W316" s="112"/>
      <c r="X316" s="107"/>
      <c r="Y316" s="107">
        <f t="shared" si="13"/>
        <v>100</v>
      </c>
      <c r="Z316" s="107">
        <f t="shared" si="14"/>
        <v>88.58</v>
      </c>
    </row>
    <row r="317" spans="1:26" x14ac:dyDescent="0.25">
      <c r="A317" s="55" t="str">
        <f>_xlfn.XLOOKUP($G317,'.Auxiliar'!$G:$G,'.Auxiliar'!A:A,"-",0)</f>
        <v>ECO 050</v>
      </c>
      <c r="B317" s="55" t="str">
        <f>_xlfn.XLOOKUP($G317,'.Auxiliar'!$G:$G,'.Auxiliar'!B:B,"-",0)</f>
        <v>DUPLICAÇÃO</v>
      </c>
      <c r="C317" s="55" t="str">
        <f>_xlfn.XLOOKUP($G317,'.Auxiliar'!$G:$G,'.Auxiliar'!C:C,"-",0)</f>
        <v>Duplicação (5º ano)</v>
      </c>
      <c r="D317" s="55">
        <f>_xlfn.XLOOKUP($G317,'.Auxiliar'!$G:$G,'.Auxiliar'!D:D,"-",0)</f>
        <v>257.39999999999998</v>
      </c>
      <c r="E317" s="55">
        <f>_xlfn.XLOOKUP($G317,'.Auxiliar'!$G:$G,'.Auxiliar'!E:E,"-",0)</f>
        <v>314.2</v>
      </c>
      <c r="F317" s="55">
        <f>_xlfn.XLOOKUP($G317,'.Auxiliar'!$G:$G,'.Auxiliar'!F:F,"-",0)</f>
        <v>56.800000000000011</v>
      </c>
      <c r="G317" s="59" t="s">
        <v>706</v>
      </c>
      <c r="H317" s="108" t="s">
        <v>363</v>
      </c>
      <c r="I317" s="115" t="s">
        <v>1881</v>
      </c>
      <c r="J317" s="109" t="s">
        <v>0</v>
      </c>
      <c r="K317" s="109" t="s">
        <v>363</v>
      </c>
      <c r="L317" s="109" t="s">
        <v>0</v>
      </c>
      <c r="M317" s="109" t="s">
        <v>0</v>
      </c>
      <c r="N317" s="110" t="s">
        <v>0</v>
      </c>
      <c r="O317" s="111">
        <v>100</v>
      </c>
      <c r="P317" s="112">
        <f>((F317-(286.8-275.4))/F317)*100</f>
        <v>79.929577464788679</v>
      </c>
      <c r="Q317" s="112">
        <f>(((286.8-275.4)*17%)/F317)*100</f>
        <v>3.4119718309859248</v>
      </c>
      <c r="R317" s="112">
        <f>(((286.8-275.4)*17%)/F317)*100</f>
        <v>3.4119718309859248</v>
      </c>
      <c r="S317" s="112">
        <f>(((286.8-275.4)*66.18%)/F317)*100</f>
        <v>13.282605633802854</v>
      </c>
      <c r="T317" s="112">
        <f>(((286.8-275.4)*6%)/F317)*100</f>
        <v>1.2042253521126793</v>
      </c>
      <c r="U317" s="95">
        <f t="shared" si="12"/>
        <v>16.658450704225402</v>
      </c>
      <c r="V317" s="112">
        <f>(((286.8-275.4)*(100%-17%-66.18%))/F317)*100</f>
        <v>3.3758450704225429</v>
      </c>
      <c r="W317" s="112"/>
      <c r="X317" s="107"/>
      <c r="Y317" s="107">
        <f t="shared" si="13"/>
        <v>100</v>
      </c>
      <c r="Z317" s="107">
        <f t="shared" si="14"/>
        <v>84.545774647887271</v>
      </c>
    </row>
    <row r="318" spans="1:26" x14ac:dyDescent="0.25">
      <c r="A318" s="55" t="str">
        <f>_xlfn.XLOOKUP($G318,'.Auxiliar'!$G:$G,'.Auxiliar'!A:A,"-",0)</f>
        <v>ECO 050</v>
      </c>
      <c r="B318" s="55" t="str">
        <f>_xlfn.XLOOKUP($G318,'.Auxiliar'!$G:$G,'.Auxiliar'!B:B,"-",0)</f>
        <v>OAE</v>
      </c>
      <c r="C318" s="55" t="str">
        <f>_xlfn.XLOOKUP($G318,'.Auxiliar'!$G:$G,'.Auxiliar'!C:C,"-",0)</f>
        <v>Interconexão Diamante ID-01 - BR - 050/MG - UBERABA</v>
      </c>
      <c r="D318" s="55">
        <f>_xlfn.XLOOKUP($G318,'.Auxiliar'!$G:$G,'.Auxiliar'!D:D,"-",0)</f>
        <v>124</v>
      </c>
      <c r="E318" s="55">
        <f>_xlfn.XLOOKUP($G318,'.Auxiliar'!$G:$G,'.Auxiliar'!E:E,"-",0)</f>
        <v>124</v>
      </c>
      <c r="F318" s="55">
        <f>_xlfn.XLOOKUP($G318,'.Auxiliar'!$G:$G,'.Auxiliar'!F:F,"-",0)</f>
        <v>1</v>
      </c>
      <c r="G318" s="59" t="s">
        <v>707</v>
      </c>
      <c r="H318" s="108" t="s">
        <v>363</v>
      </c>
      <c r="I318" s="109" t="s">
        <v>0</v>
      </c>
      <c r="J318" s="109" t="s">
        <v>0</v>
      </c>
      <c r="K318" s="109" t="s">
        <v>0</v>
      </c>
      <c r="L318" s="109" t="s">
        <v>0</v>
      </c>
      <c r="M318" s="109" t="s">
        <v>0</v>
      </c>
      <c r="N318" s="110" t="s">
        <v>0</v>
      </c>
      <c r="O318" s="111">
        <v>100</v>
      </c>
      <c r="P318" s="112">
        <v>100</v>
      </c>
      <c r="Q318" s="112"/>
      <c r="R318" s="112"/>
      <c r="S318" s="112"/>
      <c r="T318" s="112"/>
      <c r="U318" s="95">
        <f t="shared" si="12"/>
        <v>0</v>
      </c>
      <c r="V318" s="112"/>
      <c r="W318" s="112"/>
      <c r="X318" s="107"/>
      <c r="Y318" s="107">
        <f t="shared" si="13"/>
        <v>100</v>
      </c>
      <c r="Z318" s="107">
        <f t="shared" si="14"/>
        <v>100</v>
      </c>
    </row>
    <row r="319" spans="1:26" x14ac:dyDescent="0.25">
      <c r="A319" s="55" t="str">
        <f>_xlfn.XLOOKUP($G319,'.Auxiliar'!$G:$G,'.Auxiliar'!A:A,"-",0)</f>
        <v>ECO 050</v>
      </c>
      <c r="B319" s="55" t="str">
        <f>_xlfn.XLOOKUP($G319,'.Auxiliar'!$G:$G,'.Auxiliar'!B:B,"-",0)</f>
        <v>OAE</v>
      </c>
      <c r="C319" s="55" t="str">
        <f>_xlfn.XLOOKUP($G319,'.Auxiliar'!$G:$G,'.Auxiliar'!C:C,"-",0)</f>
        <v>Interconexão Diamante ID-02- BR - 050/MG - UBERABA</v>
      </c>
      <c r="D319" s="55">
        <f>_xlfn.XLOOKUP($G319,'.Auxiliar'!$G:$G,'.Auxiliar'!D:D,"-",0)</f>
        <v>131.30000000000001</v>
      </c>
      <c r="E319" s="55">
        <f>_xlfn.XLOOKUP($G319,'.Auxiliar'!$G:$G,'.Auxiliar'!E:E,"-",0)</f>
        <v>131.30000000000001</v>
      </c>
      <c r="F319" s="55">
        <f>_xlfn.XLOOKUP($G319,'.Auxiliar'!$G:$G,'.Auxiliar'!F:F,"-",0)</f>
        <v>1</v>
      </c>
      <c r="G319" s="59" t="s">
        <v>708</v>
      </c>
      <c r="H319" s="108" t="s">
        <v>363</v>
      </c>
      <c r="I319" s="115" t="s">
        <v>1881</v>
      </c>
      <c r="J319" s="109" t="s">
        <v>0</v>
      </c>
      <c r="K319" s="109" t="s">
        <v>363</v>
      </c>
      <c r="L319" s="109" t="s">
        <v>0</v>
      </c>
      <c r="M319" s="109" t="s">
        <v>0</v>
      </c>
      <c r="N319" s="110" t="s">
        <v>0</v>
      </c>
      <c r="O319" s="111">
        <v>100</v>
      </c>
      <c r="P319" s="112">
        <v>0</v>
      </c>
      <c r="Q319" s="112">
        <v>53</v>
      </c>
      <c r="R319" s="112">
        <v>53</v>
      </c>
      <c r="S319" s="112">
        <v>47</v>
      </c>
      <c r="T319" s="112">
        <v>18.45</v>
      </c>
      <c r="U319" s="95">
        <f t="shared" si="12"/>
        <v>47</v>
      </c>
      <c r="V319" s="112"/>
      <c r="W319" s="112"/>
      <c r="X319" s="107"/>
      <c r="Y319" s="107">
        <f t="shared" si="13"/>
        <v>100</v>
      </c>
      <c r="Z319" s="107">
        <f t="shared" si="14"/>
        <v>71.45</v>
      </c>
    </row>
    <row r="320" spans="1:26" x14ac:dyDescent="0.25">
      <c r="A320" s="55" t="str">
        <f>_xlfn.XLOOKUP($G320,'.Auxiliar'!$G:$G,'.Auxiliar'!A:A,"-",0)</f>
        <v>ECO 050</v>
      </c>
      <c r="B320" s="55" t="str">
        <f>_xlfn.XLOOKUP($G320,'.Auxiliar'!$G:$G,'.Auxiliar'!B:B,"-",0)</f>
        <v>OAE</v>
      </c>
      <c r="C320" s="55" t="str">
        <f>_xlfn.XLOOKUP($G320,'.Auxiliar'!$G:$G,'.Auxiliar'!C:C,"-",0)</f>
        <v>Interconexão Diamante ID-03- BR - 050/MG - UBERABA</v>
      </c>
      <c r="D320" s="55">
        <f>_xlfn.XLOOKUP($G320,'.Auxiliar'!$G:$G,'.Auxiliar'!D:D,"-",0)</f>
        <v>140.30000000000001</v>
      </c>
      <c r="E320" s="55">
        <f>_xlfn.XLOOKUP($G320,'.Auxiliar'!$G:$G,'.Auxiliar'!E:E,"-",0)</f>
        <v>140.30000000000001</v>
      </c>
      <c r="F320" s="55">
        <f>_xlfn.XLOOKUP($G320,'.Auxiliar'!$G:$G,'.Auxiliar'!F:F,"-",0)</f>
        <v>1</v>
      </c>
      <c r="G320" s="59" t="s">
        <v>709</v>
      </c>
      <c r="H320" s="108" t="s">
        <v>363</v>
      </c>
      <c r="I320" s="115" t="s">
        <v>1881</v>
      </c>
      <c r="J320" s="109" t="s">
        <v>0</v>
      </c>
      <c r="K320" s="109" t="s">
        <v>363</v>
      </c>
      <c r="L320" s="109" t="s">
        <v>0</v>
      </c>
      <c r="M320" s="109" t="s">
        <v>0</v>
      </c>
      <c r="N320" s="110" t="s">
        <v>0</v>
      </c>
      <c r="O320" s="111">
        <v>100</v>
      </c>
      <c r="P320" s="112">
        <v>0</v>
      </c>
      <c r="Q320" s="112">
        <v>43</v>
      </c>
      <c r="R320" s="112">
        <v>43</v>
      </c>
      <c r="S320" s="112">
        <v>57</v>
      </c>
      <c r="T320" s="112">
        <v>12.98</v>
      </c>
      <c r="U320" s="95">
        <f t="shared" si="12"/>
        <v>57</v>
      </c>
      <c r="V320" s="112"/>
      <c r="W320" s="112"/>
      <c r="X320" s="107"/>
      <c r="Y320" s="107">
        <f t="shared" si="13"/>
        <v>100</v>
      </c>
      <c r="Z320" s="107">
        <f t="shared" si="14"/>
        <v>55.980000000000004</v>
      </c>
    </row>
    <row r="321" spans="1:26" x14ac:dyDescent="0.25">
      <c r="A321" s="55" t="str">
        <f>_xlfn.XLOOKUP($G321,'.Auxiliar'!$G:$G,'.Auxiliar'!A:A,"-",0)</f>
        <v>ECO 050</v>
      </c>
      <c r="B321" s="55" t="str">
        <f>_xlfn.XLOOKUP($G321,'.Auxiliar'!$G:$G,'.Auxiliar'!B:B,"-",0)</f>
        <v>OAE</v>
      </c>
      <c r="C321" s="55" t="str">
        <f>_xlfn.XLOOKUP($G321,'.Auxiliar'!$G:$G,'.Auxiliar'!C:C,"-",0)</f>
        <v>Interconexão Diamante ID-04- BR - 050/MG - UBERABA</v>
      </c>
      <c r="D321" s="55">
        <f>_xlfn.XLOOKUP($G321,'.Auxiliar'!$G:$G,'.Auxiliar'!D:D,"-",0)</f>
        <v>151.5</v>
      </c>
      <c r="E321" s="55">
        <f>_xlfn.XLOOKUP($G321,'.Auxiliar'!$G:$G,'.Auxiliar'!E:E,"-",0)</f>
        <v>151.5</v>
      </c>
      <c r="F321" s="55">
        <f>_xlfn.XLOOKUP($G321,'.Auxiliar'!$G:$G,'.Auxiliar'!F:F,"-",0)</f>
        <v>1</v>
      </c>
      <c r="G321" s="59" t="s">
        <v>710</v>
      </c>
      <c r="H321" s="108" t="s">
        <v>363</v>
      </c>
      <c r="I321" s="109" t="s">
        <v>0</v>
      </c>
      <c r="J321" s="109" t="s">
        <v>0</v>
      </c>
      <c r="K321" s="109" t="s">
        <v>363</v>
      </c>
      <c r="L321" s="109" t="s">
        <v>0</v>
      </c>
      <c r="M321" s="109" t="s">
        <v>0</v>
      </c>
      <c r="N321" s="110" t="s">
        <v>0</v>
      </c>
      <c r="O321" s="111">
        <v>100</v>
      </c>
      <c r="P321" s="112">
        <v>0</v>
      </c>
      <c r="Q321" s="112"/>
      <c r="R321" s="112"/>
      <c r="S321" s="112"/>
      <c r="T321" s="112"/>
      <c r="U321" s="95" t="str">
        <f t="shared" si="12"/>
        <v/>
      </c>
      <c r="V321" s="112"/>
      <c r="W321" s="112"/>
      <c r="X321" s="107">
        <v>100</v>
      </c>
      <c r="Y321" s="107">
        <f t="shared" si="13"/>
        <v>100</v>
      </c>
      <c r="Z321" s="107">
        <f t="shared" si="14"/>
        <v>0</v>
      </c>
    </row>
    <row r="322" spans="1:26" x14ac:dyDescent="0.25">
      <c r="A322" s="55" t="str">
        <f>_xlfn.XLOOKUP($G322,'.Auxiliar'!$G:$G,'.Auxiliar'!A:A,"-",0)</f>
        <v>ECO 050</v>
      </c>
      <c r="B322" s="55" t="str">
        <f>_xlfn.XLOOKUP($G322,'.Auxiliar'!$G:$G,'.Auxiliar'!B:B,"-",0)</f>
        <v>OAE</v>
      </c>
      <c r="C322" s="55" t="str">
        <f>_xlfn.XLOOKUP($G322,'.Auxiliar'!$G:$G,'.Auxiliar'!C:C,"-",0)</f>
        <v>Interconexão Diamante ID-05- BR - 050/GO - CRISTALINA</v>
      </c>
      <c r="D322" s="55">
        <f>_xlfn.XLOOKUP($G322,'.Auxiliar'!$G:$G,'.Auxiliar'!D:D,"-",0)</f>
        <v>97.3</v>
      </c>
      <c r="E322" s="55">
        <f>_xlfn.XLOOKUP($G322,'.Auxiliar'!$G:$G,'.Auxiliar'!E:E,"-",0)</f>
        <v>97.3</v>
      </c>
      <c r="F322" s="55">
        <f>_xlfn.XLOOKUP($G322,'.Auxiliar'!$G:$G,'.Auxiliar'!F:F,"-",0)</f>
        <v>1</v>
      </c>
      <c r="G322" s="59" t="s">
        <v>715</v>
      </c>
      <c r="H322" s="108" t="s">
        <v>363</v>
      </c>
      <c r="I322" s="115" t="s">
        <v>1881</v>
      </c>
      <c r="J322" s="109" t="s">
        <v>0</v>
      </c>
      <c r="K322" s="109" t="s">
        <v>363</v>
      </c>
      <c r="L322" s="109" t="s">
        <v>0</v>
      </c>
      <c r="M322" s="109" t="s">
        <v>0</v>
      </c>
      <c r="N322" s="110" t="s">
        <v>0</v>
      </c>
      <c r="O322" s="111">
        <v>100</v>
      </c>
      <c r="P322" s="112">
        <v>0</v>
      </c>
      <c r="Q322" s="112">
        <v>58</v>
      </c>
      <c r="R322" s="112">
        <v>58</v>
      </c>
      <c r="S322" s="112">
        <v>42</v>
      </c>
      <c r="T322" s="112">
        <v>27.63</v>
      </c>
      <c r="U322" s="95">
        <f t="shared" si="12"/>
        <v>42</v>
      </c>
      <c r="V322" s="112"/>
      <c r="W322" s="112"/>
      <c r="X322" s="107"/>
      <c r="Y322" s="107">
        <f t="shared" si="13"/>
        <v>100</v>
      </c>
      <c r="Z322" s="107">
        <f t="shared" si="14"/>
        <v>85.63</v>
      </c>
    </row>
    <row r="323" spans="1:26" x14ac:dyDescent="0.25">
      <c r="A323" s="55" t="str">
        <f>_xlfn.XLOOKUP($G323,'.Auxiliar'!$G:$G,'.Auxiliar'!A:A,"-",0)</f>
        <v>ECO 050</v>
      </c>
      <c r="B323" s="55" t="str">
        <f>_xlfn.XLOOKUP($G323,'.Auxiliar'!$G:$G,'.Auxiliar'!B:B,"-",0)</f>
        <v>OAE</v>
      </c>
      <c r="C323" s="55" t="str">
        <f>_xlfn.XLOOKUP($G323,'.Auxiliar'!$G:$G,'.Auxiliar'!C:C,"-",0)</f>
        <v>Interconexão Diamante ID-06- BR - 050/GO - CRISTALINA</v>
      </c>
      <c r="D323" s="55">
        <f>_xlfn.XLOOKUP($G323,'.Auxiliar'!$G:$G,'.Auxiliar'!D:D,"-",0)</f>
        <v>111.7</v>
      </c>
      <c r="E323" s="55">
        <f>_xlfn.XLOOKUP($G323,'.Auxiliar'!$G:$G,'.Auxiliar'!E:E,"-",0)</f>
        <v>111.7</v>
      </c>
      <c r="F323" s="55">
        <f>_xlfn.XLOOKUP($G323,'.Auxiliar'!$G:$G,'.Auxiliar'!F:F,"-",0)</f>
        <v>1</v>
      </c>
      <c r="G323" s="59" t="s">
        <v>716</v>
      </c>
      <c r="H323" s="108" t="s">
        <v>363</v>
      </c>
      <c r="I323" s="109" t="s">
        <v>0</v>
      </c>
      <c r="J323" s="109" t="s">
        <v>0</v>
      </c>
      <c r="K323" s="109" t="s">
        <v>0</v>
      </c>
      <c r="L323" s="109" t="s">
        <v>0</v>
      </c>
      <c r="M323" s="109" t="s">
        <v>0</v>
      </c>
      <c r="N323" s="110" t="s">
        <v>0</v>
      </c>
      <c r="O323" s="111">
        <v>100</v>
      </c>
      <c r="P323" s="112">
        <v>100</v>
      </c>
      <c r="Q323" s="112"/>
      <c r="R323" s="112"/>
      <c r="S323" s="112"/>
      <c r="T323" s="112"/>
      <c r="U323" s="95">
        <f t="shared" ref="U323:U386" si="15">IF(SUM(V323:X323)=100,"",100-(P323+R323))</f>
        <v>0</v>
      </c>
      <c r="V323" s="112"/>
      <c r="W323" s="112"/>
      <c r="X323" s="107"/>
      <c r="Y323" s="107">
        <f t="shared" ref="Y323:Y386" si="16">SUM(P323,R323,S323,V323,W323,X323)</f>
        <v>100</v>
      </c>
      <c r="Z323" s="107">
        <f t="shared" ref="Z323:Z386" si="17">SUM(P323,R323,T323)</f>
        <v>100</v>
      </c>
    </row>
    <row r="324" spans="1:26" x14ac:dyDescent="0.25">
      <c r="A324" s="55" t="str">
        <f>_xlfn.XLOOKUP($G324,'.Auxiliar'!$G:$G,'.Auxiliar'!A:A,"-",0)</f>
        <v>ECO 050</v>
      </c>
      <c r="B324" s="55" t="str">
        <f>_xlfn.XLOOKUP($G324,'.Auxiliar'!$G:$G,'.Auxiliar'!B:B,"-",0)</f>
        <v>OAE</v>
      </c>
      <c r="C324" s="55" t="str">
        <f>_xlfn.XLOOKUP($G324,'.Auxiliar'!$G:$G,'.Auxiliar'!C:C,"-",0)</f>
        <v>Interconexão Diamante ID-07- BR - 050/GO - IPAMERI -Entr GO-519 (Domiciano Ribeiro)</v>
      </c>
      <c r="D324" s="55">
        <f>_xlfn.XLOOKUP($G324,'.Auxiliar'!$G:$G,'.Auxiliar'!D:D,"-",0)</f>
        <v>119.2</v>
      </c>
      <c r="E324" s="55">
        <f>_xlfn.XLOOKUP($G324,'.Auxiliar'!$G:$G,'.Auxiliar'!E:E,"-",0)</f>
        <v>119.2</v>
      </c>
      <c r="F324" s="55">
        <f>_xlfn.XLOOKUP($G324,'.Auxiliar'!$G:$G,'.Auxiliar'!F:F,"-",0)</f>
        <v>1</v>
      </c>
      <c r="G324" s="59" t="s">
        <v>717</v>
      </c>
      <c r="H324" s="108" t="s">
        <v>363</v>
      </c>
      <c r="I324" s="109" t="s">
        <v>0</v>
      </c>
      <c r="J324" s="109" t="s">
        <v>0</v>
      </c>
      <c r="K324" s="109" t="s">
        <v>0</v>
      </c>
      <c r="L324" s="109" t="s">
        <v>0</v>
      </c>
      <c r="M324" s="109" t="s">
        <v>0</v>
      </c>
      <c r="N324" s="110" t="s">
        <v>0</v>
      </c>
      <c r="O324" s="111">
        <v>100</v>
      </c>
      <c r="P324" s="112">
        <v>100</v>
      </c>
      <c r="Q324" s="112"/>
      <c r="R324" s="112"/>
      <c r="S324" s="112"/>
      <c r="T324" s="112"/>
      <c r="U324" s="95">
        <f t="shared" si="15"/>
        <v>0</v>
      </c>
      <c r="V324" s="112"/>
      <c r="W324" s="112"/>
      <c r="X324" s="107"/>
      <c r="Y324" s="107">
        <f t="shared" si="16"/>
        <v>100</v>
      </c>
      <c r="Z324" s="107">
        <f t="shared" si="17"/>
        <v>100</v>
      </c>
    </row>
    <row r="325" spans="1:26" x14ac:dyDescent="0.25">
      <c r="A325" s="55" t="str">
        <f>_xlfn.XLOOKUP($G325,'.Auxiliar'!$G:$G,'.Auxiliar'!A:A,"-",0)</f>
        <v>ECO 050</v>
      </c>
      <c r="B325" s="55" t="str">
        <f>_xlfn.XLOOKUP($G325,'.Auxiliar'!$G:$G,'.Auxiliar'!B:B,"-",0)</f>
        <v>OAE</v>
      </c>
      <c r="C325" s="55" t="str">
        <f>_xlfn.XLOOKUP($G325,'.Auxiliar'!$G:$G,'.Auxiliar'!C:C,"-",0)</f>
        <v>Interconexão Diamante ID-08- BR - 050/GO - CAMPO ALEGRE DE GOIÁS</v>
      </c>
      <c r="D325" s="55">
        <f>_xlfn.XLOOKUP($G325,'.Auxiliar'!$G:$G,'.Auxiliar'!D:D,"-",0)</f>
        <v>187</v>
      </c>
      <c r="E325" s="55">
        <f>_xlfn.XLOOKUP($G325,'.Auxiliar'!$G:$G,'.Auxiliar'!E:E,"-",0)</f>
        <v>187</v>
      </c>
      <c r="F325" s="55">
        <f>_xlfn.XLOOKUP($G325,'.Auxiliar'!$G:$G,'.Auxiliar'!F:F,"-",0)</f>
        <v>1</v>
      </c>
      <c r="G325" s="59" t="s">
        <v>718</v>
      </c>
      <c r="H325" s="108" t="s">
        <v>363</v>
      </c>
      <c r="I325" s="109" t="s">
        <v>0</v>
      </c>
      <c r="J325" s="109" t="s">
        <v>0</v>
      </c>
      <c r="K325" s="109" t="s">
        <v>0</v>
      </c>
      <c r="L325" s="109" t="s">
        <v>0</v>
      </c>
      <c r="M325" s="109" t="s">
        <v>0</v>
      </c>
      <c r="N325" s="110" t="s">
        <v>0</v>
      </c>
      <c r="O325" s="111">
        <v>100</v>
      </c>
      <c r="P325" s="112">
        <v>100</v>
      </c>
      <c r="Q325" s="112"/>
      <c r="R325" s="112"/>
      <c r="S325" s="112"/>
      <c r="T325" s="112"/>
      <c r="U325" s="95">
        <f t="shared" si="15"/>
        <v>0</v>
      </c>
      <c r="V325" s="112"/>
      <c r="W325" s="112"/>
      <c r="X325" s="107"/>
      <c r="Y325" s="107">
        <f t="shared" si="16"/>
        <v>100</v>
      </c>
      <c r="Z325" s="107">
        <f t="shared" si="17"/>
        <v>100</v>
      </c>
    </row>
    <row r="326" spans="1:26" x14ac:dyDescent="0.25">
      <c r="A326" s="55" t="str">
        <f>_xlfn.XLOOKUP($G326,'.Auxiliar'!$G:$G,'.Auxiliar'!A:A,"-",0)</f>
        <v>ECO 050</v>
      </c>
      <c r="B326" s="55" t="str">
        <f>_xlfn.XLOOKUP($G326,'.Auxiliar'!$G:$G,'.Auxiliar'!B:B,"-",0)</f>
        <v>OAE</v>
      </c>
      <c r="C326" s="55" t="str">
        <f>_xlfn.XLOOKUP($G326,'.Auxiliar'!$G:$G,'.Auxiliar'!C:C,"-",0)</f>
        <v>Interconexão Diamante ID-09- BR - 050/GO - CAMPO ALEGRE DE GOIÁS</v>
      </c>
      <c r="D326" s="55">
        <f>_xlfn.XLOOKUP($G326,'.Auxiliar'!$G:$G,'.Auxiliar'!D:D,"-",0)</f>
        <v>202.4</v>
      </c>
      <c r="E326" s="55">
        <f>_xlfn.XLOOKUP($G326,'.Auxiliar'!$G:$G,'.Auxiliar'!E:E,"-",0)</f>
        <v>202.4</v>
      </c>
      <c r="F326" s="55">
        <f>_xlfn.XLOOKUP($G326,'.Auxiliar'!$G:$G,'.Auxiliar'!F:F,"-",0)</f>
        <v>1</v>
      </c>
      <c r="G326" s="59" t="s">
        <v>719</v>
      </c>
      <c r="H326" s="108" t="s">
        <v>363</v>
      </c>
      <c r="I326" s="109" t="s">
        <v>0</v>
      </c>
      <c r="J326" s="109" t="s">
        <v>0</v>
      </c>
      <c r="K326" s="109" t="s">
        <v>0</v>
      </c>
      <c r="L326" s="109" t="s">
        <v>0</v>
      </c>
      <c r="M326" s="109" t="s">
        <v>0</v>
      </c>
      <c r="N326" s="110" t="s">
        <v>0</v>
      </c>
      <c r="O326" s="111">
        <v>100</v>
      </c>
      <c r="P326" s="112">
        <v>100</v>
      </c>
      <c r="Q326" s="112"/>
      <c r="R326" s="112"/>
      <c r="S326" s="112"/>
      <c r="T326" s="112"/>
      <c r="U326" s="95">
        <f t="shared" si="15"/>
        <v>0</v>
      </c>
      <c r="V326" s="112"/>
      <c r="W326" s="112"/>
      <c r="X326" s="107"/>
      <c r="Y326" s="107">
        <f t="shared" si="16"/>
        <v>100</v>
      </c>
      <c r="Z326" s="107">
        <f t="shared" si="17"/>
        <v>100</v>
      </c>
    </row>
    <row r="327" spans="1:26" x14ac:dyDescent="0.25">
      <c r="A327" s="55" t="str">
        <f>_xlfn.XLOOKUP($G327,'.Auxiliar'!$G:$G,'.Auxiliar'!A:A,"-",0)</f>
        <v>ECO 050</v>
      </c>
      <c r="B327" s="55" t="str">
        <f>_xlfn.XLOOKUP($G327,'.Auxiliar'!$G:$G,'.Auxiliar'!B:B,"-",0)</f>
        <v>OAE</v>
      </c>
      <c r="C327" s="55" t="str">
        <f>_xlfn.XLOOKUP($G327,'.Auxiliar'!$G:$G,'.Auxiliar'!C:C,"-",0)</f>
        <v>Interconexão Diamante ID-10- BR - 050/GO - CAMPO ALEGRE DE GOIÁS</v>
      </c>
      <c r="D327" s="55">
        <f>_xlfn.XLOOKUP($G327,'.Auxiliar'!$G:$G,'.Auxiliar'!D:D,"-",0)</f>
        <v>207.6</v>
      </c>
      <c r="E327" s="55">
        <f>_xlfn.XLOOKUP($G327,'.Auxiliar'!$G:$G,'.Auxiliar'!E:E,"-",0)</f>
        <v>207.6</v>
      </c>
      <c r="F327" s="55">
        <f>_xlfn.XLOOKUP($G327,'.Auxiliar'!$G:$G,'.Auxiliar'!F:F,"-",0)</f>
        <v>1</v>
      </c>
      <c r="G327" s="59" t="s">
        <v>720</v>
      </c>
      <c r="H327" s="108" t="s">
        <v>363</v>
      </c>
      <c r="I327" s="109" t="s">
        <v>0</v>
      </c>
      <c r="J327" s="109" t="s">
        <v>0</v>
      </c>
      <c r="K327" s="109" t="s">
        <v>0</v>
      </c>
      <c r="L327" s="109" t="s">
        <v>0</v>
      </c>
      <c r="M327" s="109" t="s">
        <v>0</v>
      </c>
      <c r="N327" s="110" t="s">
        <v>0</v>
      </c>
      <c r="O327" s="111">
        <v>100</v>
      </c>
      <c r="P327" s="112">
        <v>100</v>
      </c>
      <c r="Q327" s="112"/>
      <c r="R327" s="112"/>
      <c r="S327" s="112"/>
      <c r="T327" s="112"/>
      <c r="U327" s="95">
        <f t="shared" si="15"/>
        <v>0</v>
      </c>
      <c r="V327" s="112"/>
      <c r="W327" s="112"/>
      <c r="X327" s="107"/>
      <c r="Y327" s="107">
        <f t="shared" si="16"/>
        <v>100</v>
      </c>
      <c r="Z327" s="107">
        <f t="shared" si="17"/>
        <v>100</v>
      </c>
    </row>
    <row r="328" spans="1:26" x14ac:dyDescent="0.25">
      <c r="A328" s="55" t="str">
        <f>_xlfn.XLOOKUP($G328,'.Auxiliar'!$G:$G,'.Auxiliar'!A:A,"-",0)</f>
        <v>ECO 050</v>
      </c>
      <c r="B328" s="55" t="str">
        <f>_xlfn.XLOOKUP($G328,'.Auxiliar'!$G:$G,'.Auxiliar'!B:B,"-",0)</f>
        <v>OAE</v>
      </c>
      <c r="C328" s="55" t="str">
        <f>_xlfn.XLOOKUP($G328,'.Auxiliar'!$G:$G,'.Auxiliar'!C:C,"-",0)</f>
        <v>Interconexão Diamante ID-11- BR - 050/GO - CAMPO ALEGRE DE GOIÁS - Entr. BR-490/GO</v>
      </c>
      <c r="D328" s="55">
        <f>_xlfn.XLOOKUP($G328,'.Auxiliar'!$G:$G,'.Auxiliar'!D:D,"-",0)</f>
        <v>209.8</v>
      </c>
      <c r="E328" s="55">
        <f>_xlfn.XLOOKUP($G328,'.Auxiliar'!$G:$G,'.Auxiliar'!E:E,"-",0)</f>
        <v>209.8</v>
      </c>
      <c r="F328" s="55">
        <f>_xlfn.XLOOKUP($G328,'.Auxiliar'!$G:$G,'.Auxiliar'!F:F,"-",0)</f>
        <v>1</v>
      </c>
      <c r="G328" s="59" t="s">
        <v>721</v>
      </c>
      <c r="H328" s="108" t="s">
        <v>363</v>
      </c>
      <c r="I328" s="109" t="s">
        <v>0</v>
      </c>
      <c r="J328" s="109" t="s">
        <v>0</v>
      </c>
      <c r="K328" s="109" t="s">
        <v>0</v>
      </c>
      <c r="L328" s="109" t="s">
        <v>0</v>
      </c>
      <c r="M328" s="109" t="s">
        <v>0</v>
      </c>
      <c r="N328" s="110" t="s">
        <v>0</v>
      </c>
      <c r="O328" s="111">
        <v>100</v>
      </c>
      <c r="P328" s="112">
        <v>100</v>
      </c>
      <c r="Q328" s="112"/>
      <c r="R328" s="112"/>
      <c r="S328" s="112"/>
      <c r="T328" s="112"/>
      <c r="U328" s="95">
        <f t="shared" si="15"/>
        <v>0</v>
      </c>
      <c r="V328" s="112"/>
      <c r="W328" s="112"/>
      <c r="X328" s="107"/>
      <c r="Y328" s="107">
        <f t="shared" si="16"/>
        <v>100</v>
      </c>
      <c r="Z328" s="107">
        <f t="shared" si="17"/>
        <v>100</v>
      </c>
    </row>
    <row r="329" spans="1:26" x14ac:dyDescent="0.25">
      <c r="A329" s="55" t="str">
        <f>_xlfn.XLOOKUP($G329,'.Auxiliar'!$G:$G,'.Auxiliar'!A:A,"-",0)</f>
        <v>ECO 050</v>
      </c>
      <c r="B329" s="55" t="str">
        <f>_xlfn.XLOOKUP($G329,'.Auxiliar'!$G:$G,'.Auxiliar'!B:B,"-",0)</f>
        <v>OAE</v>
      </c>
      <c r="C329" s="55" t="str">
        <f>_xlfn.XLOOKUP($G329,'.Auxiliar'!$G:$G,'.Auxiliar'!C:C,"-",0)</f>
        <v>Interconexão Diamante ID-12- BR - 050/GO - CATALÃO</v>
      </c>
      <c r="D329" s="55">
        <f>_xlfn.XLOOKUP($G329,'.Auxiliar'!$G:$G,'.Auxiliar'!D:D,"-",0)</f>
        <v>245.4</v>
      </c>
      <c r="E329" s="55">
        <f>_xlfn.XLOOKUP($G329,'.Auxiliar'!$G:$G,'.Auxiliar'!E:E,"-",0)</f>
        <v>245.4</v>
      </c>
      <c r="F329" s="55">
        <f>_xlfn.XLOOKUP($G329,'.Auxiliar'!$G:$G,'.Auxiliar'!F:F,"-",0)</f>
        <v>1</v>
      </c>
      <c r="G329" s="59" t="s">
        <v>722</v>
      </c>
      <c r="H329" s="108" t="s">
        <v>363</v>
      </c>
      <c r="I329" s="109" t="s">
        <v>0</v>
      </c>
      <c r="J329" s="109" t="s">
        <v>0</v>
      </c>
      <c r="K329" s="109" t="s">
        <v>0</v>
      </c>
      <c r="L329" s="109" t="s">
        <v>0</v>
      </c>
      <c r="M329" s="109" t="s">
        <v>0</v>
      </c>
      <c r="N329" s="110" t="s">
        <v>0</v>
      </c>
      <c r="O329" s="111">
        <v>100</v>
      </c>
      <c r="P329" s="112">
        <v>100</v>
      </c>
      <c r="Q329" s="112"/>
      <c r="R329" s="112"/>
      <c r="S329" s="112"/>
      <c r="T329" s="112"/>
      <c r="U329" s="95">
        <f t="shared" si="15"/>
        <v>0</v>
      </c>
      <c r="V329" s="112"/>
      <c r="W329" s="112"/>
      <c r="X329" s="107"/>
      <c r="Y329" s="107">
        <f t="shared" si="16"/>
        <v>100</v>
      </c>
      <c r="Z329" s="107">
        <f t="shared" si="17"/>
        <v>100</v>
      </c>
    </row>
    <row r="330" spans="1:26" x14ac:dyDescent="0.25">
      <c r="A330" s="55" t="str">
        <f>_xlfn.XLOOKUP($G330,'.Auxiliar'!$G:$G,'.Auxiliar'!A:A,"-",0)</f>
        <v>ECO 050</v>
      </c>
      <c r="B330" s="55" t="str">
        <f>_xlfn.XLOOKUP($G330,'.Auxiliar'!$G:$G,'.Auxiliar'!B:B,"-",0)</f>
        <v>OAE</v>
      </c>
      <c r="C330" s="55" t="str">
        <f>_xlfn.XLOOKUP($G330,'.Auxiliar'!$G:$G,'.Auxiliar'!C:C,"-",0)</f>
        <v>Interconexão Diamante ID-13- BR - 050/GO - CATALÃO</v>
      </c>
      <c r="D330" s="55">
        <f>_xlfn.XLOOKUP($G330,'.Auxiliar'!$G:$G,'.Auxiliar'!D:D,"-",0)</f>
        <v>270.10000000000002</v>
      </c>
      <c r="E330" s="55">
        <f>_xlfn.XLOOKUP($G330,'.Auxiliar'!$G:$G,'.Auxiliar'!E:E,"-",0)</f>
        <v>270.10000000000002</v>
      </c>
      <c r="F330" s="55">
        <f>_xlfn.XLOOKUP($G330,'.Auxiliar'!$G:$G,'.Auxiliar'!F:F,"-",0)</f>
        <v>1</v>
      </c>
      <c r="G330" s="59" t="s">
        <v>723</v>
      </c>
      <c r="H330" s="108" t="s">
        <v>363</v>
      </c>
      <c r="I330" s="109" t="s">
        <v>0</v>
      </c>
      <c r="J330" s="109" t="s">
        <v>0</v>
      </c>
      <c r="K330" s="109" t="s">
        <v>0</v>
      </c>
      <c r="L330" s="109" t="s">
        <v>0</v>
      </c>
      <c r="M330" s="109" t="s">
        <v>0</v>
      </c>
      <c r="N330" s="110" t="s">
        <v>0</v>
      </c>
      <c r="O330" s="111">
        <v>100</v>
      </c>
      <c r="P330" s="112">
        <v>100</v>
      </c>
      <c r="Q330" s="112"/>
      <c r="R330" s="112"/>
      <c r="S330" s="112"/>
      <c r="T330" s="112"/>
      <c r="U330" s="95">
        <f t="shared" si="15"/>
        <v>0</v>
      </c>
      <c r="V330" s="112"/>
      <c r="W330" s="112"/>
      <c r="X330" s="107"/>
      <c r="Y330" s="107">
        <f t="shared" si="16"/>
        <v>100</v>
      </c>
      <c r="Z330" s="107">
        <f t="shared" si="17"/>
        <v>100</v>
      </c>
    </row>
    <row r="331" spans="1:26" x14ac:dyDescent="0.25">
      <c r="A331" s="55" t="str">
        <f>_xlfn.XLOOKUP($G331,'.Auxiliar'!$G:$G,'.Auxiliar'!A:A,"-",0)</f>
        <v>ECO 050</v>
      </c>
      <c r="B331" s="55" t="str">
        <f>_xlfn.XLOOKUP($G331,'.Auxiliar'!$G:$G,'.Auxiliar'!B:B,"-",0)</f>
        <v>OAE</v>
      </c>
      <c r="C331" s="55" t="str">
        <f>_xlfn.XLOOKUP($G331,'.Auxiliar'!$G:$G,'.Auxiliar'!C:C,"-",0)</f>
        <v>Interconexão Diamante ID-14- BR - 050/GO - CATALÃO</v>
      </c>
      <c r="D331" s="55">
        <f>_xlfn.XLOOKUP($G331,'.Auxiliar'!$G:$G,'.Auxiliar'!D:D,"-",0)</f>
        <v>273.2</v>
      </c>
      <c r="E331" s="55">
        <f>_xlfn.XLOOKUP($G331,'.Auxiliar'!$G:$G,'.Auxiliar'!E:E,"-",0)</f>
        <v>273.2</v>
      </c>
      <c r="F331" s="55">
        <f>_xlfn.XLOOKUP($G331,'.Auxiliar'!$G:$G,'.Auxiliar'!F:F,"-",0)</f>
        <v>1</v>
      </c>
      <c r="G331" s="59" t="s">
        <v>724</v>
      </c>
      <c r="H331" s="108" t="s">
        <v>363</v>
      </c>
      <c r="I331" s="109" t="s">
        <v>0</v>
      </c>
      <c r="J331" s="109" t="s">
        <v>0</v>
      </c>
      <c r="K331" s="115" t="s">
        <v>1881</v>
      </c>
      <c r="L331" s="109" t="s">
        <v>0</v>
      </c>
      <c r="M331" s="109" t="s">
        <v>0</v>
      </c>
      <c r="N331" s="110" t="s">
        <v>0</v>
      </c>
      <c r="O331" s="111">
        <v>100</v>
      </c>
      <c r="P331" s="112">
        <v>0</v>
      </c>
      <c r="Q331" s="112"/>
      <c r="R331" s="112"/>
      <c r="S331" s="112">
        <v>72.400000000000006</v>
      </c>
      <c r="T331" s="112">
        <v>33.090000000000003</v>
      </c>
      <c r="U331" s="95">
        <f t="shared" si="15"/>
        <v>100</v>
      </c>
      <c r="V331" s="112">
        <f>100-S331</f>
        <v>27.599999999999994</v>
      </c>
      <c r="W331" s="112"/>
      <c r="X331" s="107"/>
      <c r="Y331" s="107">
        <f t="shared" si="16"/>
        <v>100</v>
      </c>
      <c r="Z331" s="107">
        <f t="shared" si="17"/>
        <v>33.090000000000003</v>
      </c>
    </row>
    <row r="332" spans="1:26" x14ac:dyDescent="0.25">
      <c r="A332" s="55" t="str">
        <f>_xlfn.XLOOKUP($G332,'.Auxiliar'!$G:$G,'.Auxiliar'!A:A,"-",0)</f>
        <v>ECO 050</v>
      </c>
      <c r="B332" s="55" t="str">
        <f>_xlfn.XLOOKUP($G332,'.Auxiliar'!$G:$G,'.Auxiliar'!B:B,"-",0)</f>
        <v>OAE</v>
      </c>
      <c r="C332" s="55" t="str">
        <f>_xlfn.XLOOKUP($G332,'.Auxiliar'!$G:$G,'.Auxiliar'!C:C,"-",0)</f>
        <v>Interconexão Diamante ID-15- BR - 050/GO - CATALÃO</v>
      </c>
      <c r="D332" s="55">
        <f>_xlfn.XLOOKUP($G332,'.Auxiliar'!$G:$G,'.Auxiliar'!D:D,"-",0)</f>
        <v>280.5</v>
      </c>
      <c r="E332" s="55">
        <f>_xlfn.XLOOKUP($G332,'.Auxiliar'!$G:$G,'.Auxiliar'!E:E,"-",0)</f>
        <v>280.5</v>
      </c>
      <c r="F332" s="55">
        <f>_xlfn.XLOOKUP($G332,'.Auxiliar'!$G:$G,'.Auxiliar'!F:F,"-",0)</f>
        <v>1</v>
      </c>
      <c r="G332" s="59" t="s">
        <v>725</v>
      </c>
      <c r="H332" s="108" t="s">
        <v>363</v>
      </c>
      <c r="I332" s="109" t="s">
        <v>0</v>
      </c>
      <c r="J332" s="109" t="s">
        <v>0</v>
      </c>
      <c r="K332" s="109" t="s">
        <v>363</v>
      </c>
      <c r="L332" s="109" t="s">
        <v>0</v>
      </c>
      <c r="M332" s="109" t="s">
        <v>0</v>
      </c>
      <c r="N332" s="110" t="s">
        <v>0</v>
      </c>
      <c r="O332" s="111">
        <v>100</v>
      </c>
      <c r="P332" s="112">
        <v>0</v>
      </c>
      <c r="Q332" s="112"/>
      <c r="R332" s="112"/>
      <c r="S332" s="112">
        <v>72.400000000000006</v>
      </c>
      <c r="T332" s="112">
        <v>14.54</v>
      </c>
      <c r="U332" s="95">
        <f t="shared" si="15"/>
        <v>100</v>
      </c>
      <c r="V332" s="112">
        <f>100-S332</f>
        <v>27.599999999999994</v>
      </c>
      <c r="W332" s="112"/>
      <c r="X332" s="107"/>
      <c r="Y332" s="107">
        <f t="shared" si="16"/>
        <v>100</v>
      </c>
      <c r="Z332" s="107">
        <f t="shared" si="17"/>
        <v>14.54</v>
      </c>
    </row>
    <row r="333" spans="1:26" x14ac:dyDescent="0.25">
      <c r="A333" s="55" t="str">
        <f>_xlfn.XLOOKUP($G333,'.Auxiliar'!$G:$G,'.Auxiliar'!A:A,"-",0)</f>
        <v>ECO 050</v>
      </c>
      <c r="B333" s="55" t="str">
        <f>_xlfn.XLOOKUP($G333,'.Auxiliar'!$G:$G,'.Auxiliar'!B:B,"-",0)</f>
        <v>OAE</v>
      </c>
      <c r="C333" s="55" t="str">
        <f>_xlfn.XLOOKUP($G333,'.Auxiliar'!$G:$G,'.Auxiliar'!C:C,"-",0)</f>
        <v>Interconexão Diamante ID-16- BR - 050/GO - CUMARI</v>
      </c>
      <c r="D333" s="55">
        <f>_xlfn.XLOOKUP($G333,'.Auxiliar'!$G:$G,'.Auxiliar'!D:D,"-",0)</f>
        <v>296</v>
      </c>
      <c r="E333" s="55">
        <f>_xlfn.XLOOKUP($G333,'.Auxiliar'!$G:$G,'.Auxiliar'!E:E,"-",0)</f>
        <v>296</v>
      </c>
      <c r="F333" s="55">
        <f>_xlfn.XLOOKUP($G333,'.Auxiliar'!$G:$G,'.Auxiliar'!F:F,"-",0)</f>
        <v>1</v>
      </c>
      <c r="G333" s="59" t="s">
        <v>726</v>
      </c>
      <c r="H333" s="108" t="s">
        <v>363</v>
      </c>
      <c r="I333" s="109" t="s">
        <v>0</v>
      </c>
      <c r="J333" s="109" t="s">
        <v>0</v>
      </c>
      <c r="K333" s="109" t="s">
        <v>0</v>
      </c>
      <c r="L333" s="109" t="s">
        <v>0</v>
      </c>
      <c r="M333" s="109" t="s">
        <v>0</v>
      </c>
      <c r="N333" s="110" t="s">
        <v>0</v>
      </c>
      <c r="O333" s="111">
        <v>100</v>
      </c>
      <c r="P333" s="112">
        <v>100</v>
      </c>
      <c r="Q333" s="112"/>
      <c r="R333" s="112"/>
      <c r="S333" s="112"/>
      <c r="T333" s="112"/>
      <c r="U333" s="95">
        <f t="shared" si="15"/>
        <v>0</v>
      </c>
      <c r="V333" s="112"/>
      <c r="W333" s="112"/>
      <c r="X333" s="107"/>
      <c r="Y333" s="107">
        <f t="shared" si="16"/>
        <v>100</v>
      </c>
      <c r="Z333" s="107">
        <f t="shared" si="17"/>
        <v>100</v>
      </c>
    </row>
    <row r="334" spans="1:26" x14ac:dyDescent="0.25">
      <c r="A334" s="55" t="str">
        <f>_xlfn.XLOOKUP($G334,'.Auxiliar'!$G:$G,'.Auxiliar'!A:A,"-",0)</f>
        <v>ECO 050</v>
      </c>
      <c r="B334" s="55" t="str">
        <f>_xlfn.XLOOKUP($G334,'.Auxiliar'!$G:$G,'.Auxiliar'!B:B,"-",0)</f>
        <v>OAE</v>
      </c>
      <c r="C334" s="55" t="str">
        <f>_xlfn.XLOOKUP($G334,'.Auxiliar'!$G:$G,'.Auxiliar'!C:C,"-",0)</f>
        <v>Interconexão Tipo Trevo Completo ID-01- BR - 050/GO - CATALÃO</v>
      </c>
      <c r="D334" s="55">
        <f>_xlfn.XLOOKUP($G334,'.Auxiliar'!$G:$G,'.Auxiliar'!D:D,"-",0)</f>
        <v>276.5</v>
      </c>
      <c r="E334" s="55">
        <f>_xlfn.XLOOKUP($G334,'.Auxiliar'!$G:$G,'.Auxiliar'!E:E,"-",0)</f>
        <v>276.5</v>
      </c>
      <c r="F334" s="55">
        <f>_xlfn.XLOOKUP($G334,'.Auxiliar'!$G:$G,'.Auxiliar'!F:F,"-",0)</f>
        <v>1</v>
      </c>
      <c r="G334" s="59" t="s">
        <v>727</v>
      </c>
      <c r="H334" s="108" t="s">
        <v>363</v>
      </c>
      <c r="I334" s="109" t="s">
        <v>0</v>
      </c>
      <c r="J334" s="109" t="s">
        <v>0</v>
      </c>
      <c r="K334" s="109" t="s">
        <v>363</v>
      </c>
      <c r="L334" s="109" t="s">
        <v>0</v>
      </c>
      <c r="M334" s="109" t="s">
        <v>0</v>
      </c>
      <c r="N334" s="110" t="s">
        <v>0</v>
      </c>
      <c r="O334" s="111">
        <v>100</v>
      </c>
      <c r="P334" s="112">
        <v>0</v>
      </c>
      <c r="Q334" s="112"/>
      <c r="R334" s="112"/>
      <c r="S334" s="112">
        <v>72.400000000000006</v>
      </c>
      <c r="T334" s="112">
        <v>21.56</v>
      </c>
      <c r="U334" s="95">
        <f t="shared" si="15"/>
        <v>100</v>
      </c>
      <c r="V334" s="112">
        <f>100-S334</f>
        <v>27.599999999999994</v>
      </c>
      <c r="W334" s="112"/>
      <c r="X334" s="107"/>
      <c r="Y334" s="107">
        <f t="shared" si="16"/>
        <v>100</v>
      </c>
      <c r="Z334" s="107">
        <f t="shared" si="17"/>
        <v>21.56</v>
      </c>
    </row>
    <row r="335" spans="1:26" x14ac:dyDescent="0.25">
      <c r="A335" s="55" t="str">
        <f>_xlfn.XLOOKUP($G335,'.Auxiliar'!$G:$G,'.Auxiliar'!A:A,"-",0)</f>
        <v>ECO 050</v>
      </c>
      <c r="B335" s="55" t="str">
        <f>_xlfn.XLOOKUP($G335,'.Auxiliar'!$G:$G,'.Auxiliar'!B:B,"-",0)</f>
        <v>OAE</v>
      </c>
      <c r="C335" s="55" t="str">
        <f>_xlfn.XLOOKUP($G335,'.Auxiliar'!$G:$G,'.Auxiliar'!C:C,"-",0)</f>
        <v>Interconexão Trombeta ID-01- BR - 050/MG - ARAGUARI</v>
      </c>
      <c r="D335" s="55">
        <f>_xlfn.XLOOKUP($G335,'.Auxiliar'!$G:$G,'.Auxiliar'!D:D,"-",0)</f>
        <v>4</v>
      </c>
      <c r="E335" s="55">
        <f>_xlfn.XLOOKUP($G335,'.Auxiliar'!$G:$G,'.Auxiliar'!E:E,"-",0)</f>
        <v>4</v>
      </c>
      <c r="F335" s="55">
        <f>_xlfn.XLOOKUP($G335,'.Auxiliar'!$G:$G,'.Auxiliar'!F:F,"-",0)</f>
        <v>1</v>
      </c>
      <c r="G335" s="59" t="s">
        <v>711</v>
      </c>
      <c r="H335" s="108" t="s">
        <v>363</v>
      </c>
      <c r="I335" s="109" t="s">
        <v>0</v>
      </c>
      <c r="J335" s="109" t="s">
        <v>0</v>
      </c>
      <c r="K335" s="109" t="s">
        <v>363</v>
      </c>
      <c r="L335" s="109" t="s">
        <v>0</v>
      </c>
      <c r="M335" s="109" t="s">
        <v>0</v>
      </c>
      <c r="N335" s="110" t="s">
        <v>0</v>
      </c>
      <c r="O335" s="111">
        <v>100</v>
      </c>
      <c r="P335" s="112">
        <v>0</v>
      </c>
      <c r="Q335" s="112"/>
      <c r="R335" s="112"/>
      <c r="S335" s="112"/>
      <c r="T335" s="112"/>
      <c r="U335" s="95" t="str">
        <f t="shared" si="15"/>
        <v/>
      </c>
      <c r="V335" s="112"/>
      <c r="W335" s="112"/>
      <c r="X335" s="107">
        <v>100</v>
      </c>
      <c r="Y335" s="107">
        <f t="shared" si="16"/>
        <v>100</v>
      </c>
      <c r="Z335" s="107">
        <f t="shared" si="17"/>
        <v>0</v>
      </c>
    </row>
    <row r="336" spans="1:26" x14ac:dyDescent="0.25">
      <c r="A336" s="55" t="str">
        <f>_xlfn.XLOOKUP($G336,'.Auxiliar'!$G:$G,'.Auxiliar'!A:A,"-",0)</f>
        <v>ECO 050</v>
      </c>
      <c r="B336" s="55" t="str">
        <f>_xlfn.XLOOKUP($G336,'.Auxiliar'!$G:$G,'.Auxiliar'!B:B,"-",0)</f>
        <v>OAE</v>
      </c>
      <c r="C336" s="55" t="str">
        <f>_xlfn.XLOOKUP($G336,'.Auxiliar'!$G:$G,'.Auxiliar'!C:C,"-",0)</f>
        <v>Interconexão Trombeta ID-02- BR - 050/MG - ARAGUARI</v>
      </c>
      <c r="D336" s="55">
        <f>_xlfn.XLOOKUP($G336,'.Auxiliar'!$G:$G,'.Auxiliar'!D:D,"-",0)</f>
        <v>22</v>
      </c>
      <c r="E336" s="55">
        <f>_xlfn.XLOOKUP($G336,'.Auxiliar'!$G:$G,'.Auxiliar'!E:E,"-",0)</f>
        <v>22</v>
      </c>
      <c r="F336" s="55">
        <f>_xlfn.XLOOKUP($G336,'.Auxiliar'!$G:$G,'.Auxiliar'!F:F,"-",0)</f>
        <v>1</v>
      </c>
      <c r="G336" s="59" t="s">
        <v>712</v>
      </c>
      <c r="H336" s="108" t="s">
        <v>363</v>
      </c>
      <c r="I336" s="109" t="s">
        <v>0</v>
      </c>
      <c r="J336" s="109" t="s">
        <v>0</v>
      </c>
      <c r="K336" s="109" t="s">
        <v>363</v>
      </c>
      <c r="L336" s="109" t="s">
        <v>0</v>
      </c>
      <c r="M336" s="109" t="s">
        <v>0</v>
      </c>
      <c r="N336" s="110" t="s">
        <v>0</v>
      </c>
      <c r="O336" s="111">
        <v>100</v>
      </c>
      <c r="P336" s="112">
        <v>0</v>
      </c>
      <c r="Q336" s="112"/>
      <c r="R336" s="112"/>
      <c r="S336" s="112"/>
      <c r="T336" s="112"/>
      <c r="U336" s="95" t="str">
        <f t="shared" si="15"/>
        <v/>
      </c>
      <c r="V336" s="112"/>
      <c r="W336" s="112"/>
      <c r="X336" s="107">
        <v>100</v>
      </c>
      <c r="Y336" s="107">
        <f t="shared" si="16"/>
        <v>100</v>
      </c>
      <c r="Z336" s="107">
        <f t="shared" si="17"/>
        <v>0</v>
      </c>
    </row>
    <row r="337" spans="1:26" x14ac:dyDescent="0.25">
      <c r="A337" s="55" t="str">
        <f>_xlfn.XLOOKUP($G337,'.Auxiliar'!$G:$G,'.Auxiliar'!A:A,"-",0)</f>
        <v>ECO 050</v>
      </c>
      <c r="B337" s="55" t="str">
        <f>_xlfn.XLOOKUP($G337,'.Auxiliar'!$G:$G,'.Auxiliar'!B:B,"-",0)</f>
        <v>OAE</v>
      </c>
      <c r="C337" s="55" t="str">
        <f>_xlfn.XLOOKUP($G337,'.Auxiliar'!$G:$G,'.Auxiliar'!C:C,"-",0)</f>
        <v>Interconexão Trombeta ID-03- BR - 050/MG - UBERABA</v>
      </c>
      <c r="D337" s="55">
        <f>_xlfn.XLOOKUP($G337,'.Auxiliar'!$G:$G,'.Auxiliar'!D:D,"-",0)</f>
        <v>157.5</v>
      </c>
      <c r="E337" s="55">
        <f>_xlfn.XLOOKUP($G337,'.Auxiliar'!$G:$G,'.Auxiliar'!E:E,"-",0)</f>
        <v>157.5</v>
      </c>
      <c r="F337" s="55">
        <f>_xlfn.XLOOKUP($G337,'.Auxiliar'!$G:$G,'.Auxiliar'!F:F,"-",0)</f>
        <v>1</v>
      </c>
      <c r="G337" s="59" t="s">
        <v>713</v>
      </c>
      <c r="H337" s="108" t="s">
        <v>363</v>
      </c>
      <c r="I337" s="109" t="s">
        <v>0</v>
      </c>
      <c r="J337" s="109" t="s">
        <v>0</v>
      </c>
      <c r="K337" s="109" t="s">
        <v>0</v>
      </c>
      <c r="L337" s="109" t="s">
        <v>0</v>
      </c>
      <c r="M337" s="109" t="s">
        <v>0</v>
      </c>
      <c r="N337" s="110" t="s">
        <v>0</v>
      </c>
      <c r="O337" s="111">
        <v>100</v>
      </c>
      <c r="P337" s="112">
        <v>100</v>
      </c>
      <c r="Q337" s="112"/>
      <c r="R337" s="112"/>
      <c r="S337" s="112"/>
      <c r="T337" s="112"/>
      <c r="U337" s="95">
        <f t="shared" si="15"/>
        <v>0</v>
      </c>
      <c r="V337" s="112"/>
      <c r="W337" s="112"/>
      <c r="X337" s="107"/>
      <c r="Y337" s="107">
        <f t="shared" si="16"/>
        <v>100</v>
      </c>
      <c r="Z337" s="107">
        <f t="shared" si="17"/>
        <v>100</v>
      </c>
    </row>
    <row r="338" spans="1:26" x14ac:dyDescent="0.25">
      <c r="A338" s="55" t="str">
        <f>_xlfn.XLOOKUP($G338,'.Auxiliar'!$G:$G,'.Auxiliar'!A:A,"-",0)</f>
        <v>ECO 050</v>
      </c>
      <c r="B338" s="55" t="str">
        <f>_xlfn.XLOOKUP($G338,'.Auxiliar'!$G:$G,'.Auxiliar'!B:B,"-",0)</f>
        <v>OAE</v>
      </c>
      <c r="C338" s="55" t="str">
        <f>_xlfn.XLOOKUP($G338,'.Auxiliar'!$G:$G,'.Auxiliar'!C:C,"-",0)</f>
        <v>Interconexão Trombeta ID-04- BR - 050/GO - IPAMERI</v>
      </c>
      <c r="D338" s="55">
        <f>_xlfn.XLOOKUP($G338,'.Auxiliar'!$G:$G,'.Auxiliar'!D:D,"-",0)</f>
        <v>125.2</v>
      </c>
      <c r="E338" s="55">
        <f>_xlfn.XLOOKUP($G338,'.Auxiliar'!$G:$G,'.Auxiliar'!E:E,"-",0)</f>
        <v>125.2</v>
      </c>
      <c r="F338" s="55">
        <f>_xlfn.XLOOKUP($G338,'.Auxiliar'!$G:$G,'.Auxiliar'!F:F,"-",0)</f>
        <v>1</v>
      </c>
      <c r="G338" s="59" t="s">
        <v>728</v>
      </c>
      <c r="H338" s="108" t="s">
        <v>363</v>
      </c>
      <c r="I338" s="109" t="s">
        <v>0</v>
      </c>
      <c r="J338" s="109" t="s">
        <v>0</v>
      </c>
      <c r="K338" s="109" t="s">
        <v>0</v>
      </c>
      <c r="L338" s="109" t="s">
        <v>0</v>
      </c>
      <c r="M338" s="109" t="s">
        <v>0</v>
      </c>
      <c r="N338" s="110" t="s">
        <v>0</v>
      </c>
      <c r="O338" s="111">
        <v>100</v>
      </c>
      <c r="P338" s="112">
        <v>100</v>
      </c>
      <c r="Q338" s="112"/>
      <c r="R338" s="112"/>
      <c r="S338" s="112"/>
      <c r="T338" s="112"/>
      <c r="U338" s="95">
        <f t="shared" si="15"/>
        <v>0</v>
      </c>
      <c r="V338" s="112"/>
      <c r="W338" s="112"/>
      <c r="X338" s="107"/>
      <c r="Y338" s="107">
        <f t="shared" si="16"/>
        <v>100</v>
      </c>
      <c r="Z338" s="107">
        <f t="shared" si="17"/>
        <v>100</v>
      </c>
    </row>
    <row r="339" spans="1:26" x14ac:dyDescent="0.25">
      <c r="A339" s="55" t="str">
        <f>_xlfn.XLOOKUP($G339,'.Auxiliar'!$G:$G,'.Auxiliar'!A:A,"-",0)</f>
        <v>ECO 050</v>
      </c>
      <c r="B339" s="55" t="str">
        <f>_xlfn.XLOOKUP($G339,'.Auxiliar'!$G:$G,'.Auxiliar'!B:B,"-",0)</f>
        <v>OAE</v>
      </c>
      <c r="C339" s="55" t="str">
        <f>_xlfn.XLOOKUP($G339,'.Auxiliar'!$G:$G,'.Auxiliar'!C:C,"-",0)</f>
        <v>Interconexão Trombeta ID-05- BR - 050/GO - CAMPO ALEGRE DE GOIÁS</v>
      </c>
      <c r="D339" s="55">
        <f>_xlfn.XLOOKUP($G339,'.Auxiliar'!$G:$G,'.Auxiliar'!D:D,"-",0)</f>
        <v>154.5</v>
      </c>
      <c r="E339" s="55">
        <f>_xlfn.XLOOKUP($G339,'.Auxiliar'!$G:$G,'.Auxiliar'!E:E,"-",0)</f>
        <v>154.5</v>
      </c>
      <c r="F339" s="55">
        <f>_xlfn.XLOOKUP($G339,'.Auxiliar'!$G:$G,'.Auxiliar'!F:F,"-",0)</f>
        <v>1</v>
      </c>
      <c r="G339" s="59" t="s">
        <v>729</v>
      </c>
      <c r="H339" s="108" t="s">
        <v>363</v>
      </c>
      <c r="I339" s="109" t="s">
        <v>0</v>
      </c>
      <c r="J339" s="109" t="s">
        <v>0</v>
      </c>
      <c r="K339" s="109" t="s">
        <v>0</v>
      </c>
      <c r="L339" s="109" t="s">
        <v>0</v>
      </c>
      <c r="M339" s="109" t="s">
        <v>0</v>
      </c>
      <c r="N339" s="110" t="s">
        <v>0</v>
      </c>
      <c r="O339" s="111">
        <v>100</v>
      </c>
      <c r="P339" s="112">
        <v>100</v>
      </c>
      <c r="Q339" s="112"/>
      <c r="R339" s="112"/>
      <c r="S339" s="112"/>
      <c r="T339" s="112"/>
      <c r="U339" s="95">
        <f t="shared" si="15"/>
        <v>0</v>
      </c>
      <c r="V339" s="112"/>
      <c r="W339" s="112"/>
      <c r="X339" s="107"/>
      <c r="Y339" s="107">
        <f t="shared" si="16"/>
        <v>100</v>
      </c>
      <c r="Z339" s="107">
        <f t="shared" si="17"/>
        <v>100</v>
      </c>
    </row>
    <row r="340" spans="1:26" x14ac:dyDescent="0.25">
      <c r="A340" s="55" t="str">
        <f>_xlfn.XLOOKUP($G340,'.Auxiliar'!$G:$G,'.Auxiliar'!A:A,"-",0)</f>
        <v>ECO 050</v>
      </c>
      <c r="B340" s="55" t="str">
        <f>_xlfn.XLOOKUP($G340,'.Auxiliar'!$G:$G,'.Auxiliar'!B:B,"-",0)</f>
        <v>OAE</v>
      </c>
      <c r="C340" s="55" t="str">
        <f>_xlfn.XLOOKUP($G340,'.Auxiliar'!$G:$G,'.Auxiliar'!C:C,"-",0)</f>
        <v>Interconexão Trombeta ID-06- BR - 050/GO - CAMPO ALEGRE DE GOIÁS</v>
      </c>
      <c r="D340" s="55">
        <f>_xlfn.XLOOKUP($G340,'.Auxiliar'!$G:$G,'.Auxiliar'!D:D,"-",0)</f>
        <v>163.5</v>
      </c>
      <c r="E340" s="55">
        <f>_xlfn.XLOOKUP($G340,'.Auxiliar'!$G:$G,'.Auxiliar'!E:E,"-",0)</f>
        <v>163.5</v>
      </c>
      <c r="F340" s="55">
        <f>_xlfn.XLOOKUP($G340,'.Auxiliar'!$G:$G,'.Auxiliar'!F:F,"-",0)</f>
        <v>1</v>
      </c>
      <c r="G340" s="59" t="s">
        <v>730</v>
      </c>
      <c r="H340" s="108" t="s">
        <v>363</v>
      </c>
      <c r="I340" s="109" t="s">
        <v>0</v>
      </c>
      <c r="J340" s="109" t="s">
        <v>0</v>
      </c>
      <c r="K340" s="109" t="s">
        <v>0</v>
      </c>
      <c r="L340" s="109" t="s">
        <v>0</v>
      </c>
      <c r="M340" s="109" t="s">
        <v>0</v>
      </c>
      <c r="N340" s="110" t="s">
        <v>0</v>
      </c>
      <c r="O340" s="111">
        <v>100</v>
      </c>
      <c r="P340" s="112">
        <v>100</v>
      </c>
      <c r="Q340" s="112"/>
      <c r="R340" s="112"/>
      <c r="S340" s="112"/>
      <c r="T340" s="112"/>
      <c r="U340" s="95">
        <f t="shared" si="15"/>
        <v>0</v>
      </c>
      <c r="V340" s="112"/>
      <c r="W340" s="112"/>
      <c r="X340" s="107"/>
      <c r="Y340" s="107">
        <f t="shared" si="16"/>
        <v>100</v>
      </c>
      <c r="Z340" s="107">
        <f t="shared" si="17"/>
        <v>100</v>
      </c>
    </row>
    <row r="341" spans="1:26" x14ac:dyDescent="0.25">
      <c r="A341" s="55" t="str">
        <f>_xlfn.XLOOKUP($G341,'.Auxiliar'!$G:$G,'.Auxiliar'!A:A,"-",0)</f>
        <v>ECO 050</v>
      </c>
      <c r="B341" s="55" t="str">
        <f>_xlfn.XLOOKUP($G341,'.Auxiliar'!$G:$G,'.Auxiliar'!B:B,"-",0)</f>
        <v>OAE</v>
      </c>
      <c r="C341" s="55" t="str">
        <f>_xlfn.XLOOKUP($G341,'.Auxiliar'!$G:$G,'.Auxiliar'!C:C,"-",0)</f>
        <v>Interconexão Trombeta ID-07- BR - 050/GO - CATALÃO</v>
      </c>
      <c r="D341" s="55">
        <f>_xlfn.XLOOKUP($G341,'.Auxiliar'!$G:$G,'.Auxiliar'!D:D,"-",0)</f>
        <v>265.10000000000002</v>
      </c>
      <c r="E341" s="55">
        <f>_xlfn.XLOOKUP($G341,'.Auxiliar'!$G:$G,'.Auxiliar'!E:E,"-",0)</f>
        <v>265.10000000000002</v>
      </c>
      <c r="F341" s="55">
        <f>_xlfn.XLOOKUP($G341,'.Auxiliar'!$G:$G,'.Auxiliar'!F:F,"-",0)</f>
        <v>1</v>
      </c>
      <c r="G341" s="59" t="s">
        <v>731</v>
      </c>
      <c r="H341" s="108" t="s">
        <v>363</v>
      </c>
      <c r="I341" s="109" t="s">
        <v>0</v>
      </c>
      <c r="J341" s="109" t="s">
        <v>0</v>
      </c>
      <c r="K341" s="109" t="s">
        <v>0</v>
      </c>
      <c r="L341" s="109" t="s">
        <v>0</v>
      </c>
      <c r="M341" s="109" t="s">
        <v>0</v>
      </c>
      <c r="N341" s="110" t="s">
        <v>0</v>
      </c>
      <c r="O341" s="111">
        <v>100</v>
      </c>
      <c r="P341" s="112">
        <v>100</v>
      </c>
      <c r="Q341" s="112"/>
      <c r="R341" s="112"/>
      <c r="S341" s="112"/>
      <c r="T341" s="112"/>
      <c r="U341" s="95">
        <f t="shared" si="15"/>
        <v>0</v>
      </c>
      <c r="V341" s="112"/>
      <c r="W341" s="112"/>
      <c r="X341" s="107"/>
      <c r="Y341" s="107">
        <f t="shared" si="16"/>
        <v>100</v>
      </c>
      <c r="Z341" s="107">
        <f t="shared" si="17"/>
        <v>100</v>
      </c>
    </row>
    <row r="342" spans="1:26" x14ac:dyDescent="0.25">
      <c r="A342" s="55" t="str">
        <f>_xlfn.XLOOKUP($G342,'.Auxiliar'!$G:$G,'.Auxiliar'!A:A,"-",0)</f>
        <v>ECO 050</v>
      </c>
      <c r="B342" s="55" t="str">
        <f>_xlfn.XLOOKUP($G342,'.Auxiliar'!$G:$G,'.Auxiliar'!B:B,"-",0)</f>
        <v>OAE</v>
      </c>
      <c r="C342" s="55" t="str">
        <f>_xlfn.XLOOKUP($G342,'.Auxiliar'!$G:$G,'.Auxiliar'!C:C,"-",0)</f>
        <v>Interconexão Trombeta ID-08- BR - 050/GO - CUMARI - ENTR GO 402</v>
      </c>
      <c r="D342" s="55">
        <f>_xlfn.XLOOKUP($G342,'.Auxiliar'!$G:$G,'.Auxiliar'!D:D,"-",0)</f>
        <v>311.7</v>
      </c>
      <c r="E342" s="55">
        <f>_xlfn.XLOOKUP($G342,'.Auxiliar'!$G:$G,'.Auxiliar'!E:E,"-",0)</f>
        <v>311.7</v>
      </c>
      <c r="F342" s="55">
        <f>_xlfn.XLOOKUP($G342,'.Auxiliar'!$G:$G,'.Auxiliar'!F:F,"-",0)</f>
        <v>1</v>
      </c>
      <c r="G342" s="59" t="s">
        <v>732</v>
      </c>
      <c r="H342" s="108" t="s">
        <v>363</v>
      </c>
      <c r="I342" s="109" t="s">
        <v>0</v>
      </c>
      <c r="J342" s="109" t="s">
        <v>0</v>
      </c>
      <c r="K342" s="109" t="s">
        <v>363</v>
      </c>
      <c r="L342" s="109" t="s">
        <v>0</v>
      </c>
      <c r="M342" s="109" t="s">
        <v>0</v>
      </c>
      <c r="N342" s="110" t="s">
        <v>0</v>
      </c>
      <c r="O342" s="111">
        <v>100</v>
      </c>
      <c r="P342" s="112">
        <v>100</v>
      </c>
      <c r="Q342" s="112"/>
      <c r="R342" s="112"/>
      <c r="S342" s="112"/>
      <c r="T342" s="112"/>
      <c r="U342" s="95">
        <f t="shared" si="15"/>
        <v>0</v>
      </c>
      <c r="V342" s="112"/>
      <c r="W342" s="112"/>
      <c r="X342" s="107"/>
      <c r="Y342" s="107">
        <f t="shared" si="16"/>
        <v>100</v>
      </c>
      <c r="Z342" s="107">
        <f t="shared" si="17"/>
        <v>100</v>
      </c>
    </row>
    <row r="343" spans="1:26" x14ac:dyDescent="0.25">
      <c r="A343" s="55" t="str">
        <f>_xlfn.XLOOKUP($G343,'.Auxiliar'!$G:$G,'.Auxiliar'!A:A,"-",0)</f>
        <v>ECO 050</v>
      </c>
      <c r="B343" s="55" t="str">
        <f>_xlfn.XLOOKUP($G343,'.Auxiliar'!$G:$G,'.Auxiliar'!B:B,"-",0)</f>
        <v>OAE</v>
      </c>
      <c r="C343" s="55" t="str">
        <f>_xlfn.XLOOKUP($G343,'.Auxiliar'!$G:$G,'.Auxiliar'!C:C,"-",0)</f>
        <v>Retorno em Desnível ID-01- BR - 050/MG - UBERLÂNDIA</v>
      </c>
      <c r="D343" s="55">
        <f>_xlfn.XLOOKUP($G343,'.Auxiliar'!$G:$G,'.Auxiliar'!D:D,"-",0)</f>
        <v>101</v>
      </c>
      <c r="E343" s="55">
        <f>_xlfn.XLOOKUP($G343,'.Auxiliar'!$G:$G,'.Auxiliar'!E:E,"-",0)</f>
        <v>101</v>
      </c>
      <c r="F343" s="55">
        <f>_xlfn.XLOOKUP($G343,'.Auxiliar'!$G:$G,'.Auxiliar'!F:F,"-",0)</f>
        <v>1</v>
      </c>
      <c r="G343" s="59" t="s">
        <v>714</v>
      </c>
      <c r="H343" s="108" t="s">
        <v>363</v>
      </c>
      <c r="I343" s="115" t="s">
        <v>1881</v>
      </c>
      <c r="J343" s="109" t="s">
        <v>0</v>
      </c>
      <c r="K343" s="109" t="s">
        <v>363</v>
      </c>
      <c r="L343" s="109" t="s">
        <v>0</v>
      </c>
      <c r="M343" s="109" t="s">
        <v>0</v>
      </c>
      <c r="N343" s="110" t="s">
        <v>0</v>
      </c>
      <c r="O343" s="111">
        <v>100</v>
      </c>
      <c r="P343" s="112">
        <v>0</v>
      </c>
      <c r="Q343" s="112">
        <v>60</v>
      </c>
      <c r="R343" s="112">
        <v>60</v>
      </c>
      <c r="S343" s="112">
        <v>40</v>
      </c>
      <c r="T343" s="112">
        <v>31.82</v>
      </c>
      <c r="U343" s="95">
        <f t="shared" si="15"/>
        <v>40</v>
      </c>
      <c r="V343" s="112"/>
      <c r="W343" s="112"/>
      <c r="X343" s="107"/>
      <c r="Y343" s="107">
        <f t="shared" si="16"/>
        <v>100</v>
      </c>
      <c r="Z343" s="107">
        <f t="shared" si="17"/>
        <v>91.82</v>
      </c>
    </row>
    <row r="344" spans="1:26" x14ac:dyDescent="0.25">
      <c r="A344" s="55" t="str">
        <f>_xlfn.XLOOKUP($G344,'.Auxiliar'!$G:$G,'.Auxiliar'!A:A,"-",0)</f>
        <v>ECO 050</v>
      </c>
      <c r="B344" s="55" t="str">
        <f>_xlfn.XLOOKUP($G344,'.Auxiliar'!$G:$G,'.Auxiliar'!B:B,"-",0)</f>
        <v>OAE</v>
      </c>
      <c r="C344" s="55" t="str">
        <f>_xlfn.XLOOKUP($G344,'.Auxiliar'!$G:$G,'.Auxiliar'!C:C,"-",0)</f>
        <v>Retorno em Desnível ID-02- BR - 050/GO - IPAMERI</v>
      </c>
      <c r="D344" s="55">
        <f>_xlfn.XLOOKUP($G344,'.Auxiliar'!$G:$G,'.Auxiliar'!D:D,"-",0)</f>
        <v>140</v>
      </c>
      <c r="E344" s="55">
        <f>_xlfn.XLOOKUP($G344,'.Auxiliar'!$G:$G,'.Auxiliar'!E:E,"-",0)</f>
        <v>140</v>
      </c>
      <c r="F344" s="55">
        <f>_xlfn.XLOOKUP($G344,'.Auxiliar'!$G:$G,'.Auxiliar'!F:F,"-",0)</f>
        <v>1</v>
      </c>
      <c r="G344" s="59" t="s">
        <v>733</v>
      </c>
      <c r="H344" s="108" t="s">
        <v>363</v>
      </c>
      <c r="I344" s="109" t="s">
        <v>0</v>
      </c>
      <c r="J344" s="109" t="s">
        <v>0</v>
      </c>
      <c r="K344" s="109" t="s">
        <v>0</v>
      </c>
      <c r="L344" s="109" t="s">
        <v>0</v>
      </c>
      <c r="M344" s="109" t="s">
        <v>0</v>
      </c>
      <c r="N344" s="110" t="s">
        <v>0</v>
      </c>
      <c r="O344" s="111">
        <v>100</v>
      </c>
      <c r="P344" s="112">
        <v>100</v>
      </c>
      <c r="Q344" s="112"/>
      <c r="R344" s="112"/>
      <c r="S344" s="112"/>
      <c r="T344" s="112"/>
      <c r="U344" s="95">
        <f t="shared" si="15"/>
        <v>0</v>
      </c>
      <c r="V344" s="112"/>
      <c r="W344" s="112"/>
      <c r="X344" s="107"/>
      <c r="Y344" s="107">
        <f t="shared" si="16"/>
        <v>100</v>
      </c>
      <c r="Z344" s="107">
        <f t="shared" si="17"/>
        <v>100</v>
      </c>
    </row>
    <row r="345" spans="1:26" x14ac:dyDescent="0.25">
      <c r="A345" s="55" t="str">
        <f>_xlfn.XLOOKUP($G345,'.Auxiliar'!$G:$G,'.Auxiliar'!A:A,"-",0)</f>
        <v>ECO 050</v>
      </c>
      <c r="B345" s="55" t="str">
        <f>_xlfn.XLOOKUP($G345,'.Auxiliar'!$G:$G,'.Auxiliar'!B:B,"-",0)</f>
        <v>OAE</v>
      </c>
      <c r="C345" s="55" t="str">
        <f>_xlfn.XLOOKUP($G345,'.Auxiliar'!$G:$G,'.Auxiliar'!C:C,"-",0)</f>
        <v>Retorno em Desnível ID-03- BR - 050/GO - CAMPO ALEGRE DE GOIÁS</v>
      </c>
      <c r="D345" s="55">
        <f>_xlfn.XLOOKUP($G345,'.Auxiliar'!$G:$G,'.Auxiliar'!D:D,"-",0)</f>
        <v>222</v>
      </c>
      <c r="E345" s="55">
        <f>_xlfn.XLOOKUP($G345,'.Auxiliar'!$G:$G,'.Auxiliar'!E:E,"-",0)</f>
        <v>222</v>
      </c>
      <c r="F345" s="55">
        <f>_xlfn.XLOOKUP($G345,'.Auxiliar'!$G:$G,'.Auxiliar'!F:F,"-",0)</f>
        <v>1</v>
      </c>
      <c r="G345" s="59" t="s">
        <v>734</v>
      </c>
      <c r="H345" s="108" t="s">
        <v>363</v>
      </c>
      <c r="I345" s="109" t="s">
        <v>0</v>
      </c>
      <c r="J345" s="109" t="s">
        <v>0</v>
      </c>
      <c r="K345" s="109" t="s">
        <v>0</v>
      </c>
      <c r="L345" s="109" t="s">
        <v>0</v>
      </c>
      <c r="M345" s="109" t="s">
        <v>0</v>
      </c>
      <c r="N345" s="110" t="s">
        <v>0</v>
      </c>
      <c r="O345" s="111">
        <v>100</v>
      </c>
      <c r="P345" s="112">
        <v>100</v>
      </c>
      <c r="Q345" s="112"/>
      <c r="R345" s="112"/>
      <c r="S345" s="112"/>
      <c r="T345" s="112"/>
      <c r="U345" s="95">
        <f t="shared" si="15"/>
        <v>0</v>
      </c>
      <c r="V345" s="112"/>
      <c r="W345" s="112"/>
      <c r="X345" s="107"/>
      <c r="Y345" s="107">
        <f t="shared" si="16"/>
        <v>100</v>
      </c>
      <c r="Z345" s="107">
        <f t="shared" si="17"/>
        <v>100</v>
      </c>
    </row>
    <row r="346" spans="1:26" x14ac:dyDescent="0.25">
      <c r="A346" s="55" t="str">
        <f>_xlfn.XLOOKUP($G346,'.Auxiliar'!$G:$G,'.Auxiliar'!A:A,"-",0)</f>
        <v>ECO 050</v>
      </c>
      <c r="B346" s="55" t="str">
        <f>_xlfn.XLOOKUP($G346,'.Auxiliar'!$G:$G,'.Auxiliar'!B:B,"-",0)</f>
        <v>OAE</v>
      </c>
      <c r="C346" s="55" t="str">
        <f>_xlfn.XLOOKUP($G346,'.Auxiliar'!$G:$G,'.Auxiliar'!C:C,"-",0)</f>
        <v>Retorno em Desnível ID-04- BR - 050/GO - CATALÃO</v>
      </c>
      <c r="D346" s="55">
        <f>_xlfn.XLOOKUP($G346,'.Auxiliar'!$G:$G,'.Auxiliar'!D:D,"-",0)</f>
        <v>233</v>
      </c>
      <c r="E346" s="55">
        <f>_xlfn.XLOOKUP($G346,'.Auxiliar'!$G:$G,'.Auxiliar'!E:E,"-",0)</f>
        <v>233</v>
      </c>
      <c r="F346" s="55">
        <f>_xlfn.XLOOKUP($G346,'.Auxiliar'!$G:$G,'.Auxiliar'!F:F,"-",0)</f>
        <v>1</v>
      </c>
      <c r="G346" s="59" t="s">
        <v>735</v>
      </c>
      <c r="H346" s="108" t="s">
        <v>363</v>
      </c>
      <c r="I346" s="109" t="s">
        <v>0</v>
      </c>
      <c r="J346" s="109" t="s">
        <v>0</v>
      </c>
      <c r="K346" s="109" t="s">
        <v>0</v>
      </c>
      <c r="L346" s="109" t="s">
        <v>0</v>
      </c>
      <c r="M346" s="109" t="s">
        <v>0</v>
      </c>
      <c r="N346" s="110" t="s">
        <v>0</v>
      </c>
      <c r="O346" s="111">
        <v>100</v>
      </c>
      <c r="P346" s="112">
        <v>100</v>
      </c>
      <c r="Q346" s="112"/>
      <c r="R346" s="112"/>
      <c r="S346" s="112"/>
      <c r="T346" s="112"/>
      <c r="U346" s="95">
        <f t="shared" si="15"/>
        <v>0</v>
      </c>
      <c r="V346" s="112"/>
      <c r="W346" s="112"/>
      <c r="X346" s="107"/>
      <c r="Y346" s="107">
        <f t="shared" si="16"/>
        <v>100</v>
      </c>
      <c r="Z346" s="107">
        <f t="shared" si="17"/>
        <v>100</v>
      </c>
    </row>
    <row r="347" spans="1:26" x14ac:dyDescent="0.25">
      <c r="A347" s="55" t="str">
        <f>_xlfn.XLOOKUP($G347,'.Auxiliar'!$G:$G,'.Auxiliar'!A:A,"-",0)</f>
        <v>ECO 050</v>
      </c>
      <c r="B347" s="55" t="str">
        <f>_xlfn.XLOOKUP($G347,'.Auxiliar'!$G:$G,'.Auxiliar'!B:B,"-",0)</f>
        <v>OAE</v>
      </c>
      <c r="C347" s="55" t="str">
        <f>_xlfn.XLOOKUP($G347,'.Auxiliar'!$G:$G,'.Auxiliar'!C:C,"-",0)</f>
        <v>Retorno em Desnível ID-05- BR - 050/GO - CATALÃO</v>
      </c>
      <c r="D347" s="55">
        <f>_xlfn.XLOOKUP($G347,'.Auxiliar'!$G:$G,'.Auxiliar'!D:D,"-",0)</f>
        <v>255</v>
      </c>
      <c r="E347" s="55">
        <f>_xlfn.XLOOKUP($G347,'.Auxiliar'!$G:$G,'.Auxiliar'!E:E,"-",0)</f>
        <v>255</v>
      </c>
      <c r="F347" s="55">
        <f>_xlfn.XLOOKUP($G347,'.Auxiliar'!$G:$G,'.Auxiliar'!F:F,"-",0)</f>
        <v>1</v>
      </c>
      <c r="G347" s="59" t="s">
        <v>736</v>
      </c>
      <c r="H347" s="108" t="s">
        <v>363</v>
      </c>
      <c r="I347" s="109" t="s">
        <v>0</v>
      </c>
      <c r="J347" s="109" t="s">
        <v>0</v>
      </c>
      <c r="K347" s="109" t="s">
        <v>0</v>
      </c>
      <c r="L347" s="109" t="s">
        <v>0</v>
      </c>
      <c r="M347" s="109" t="s">
        <v>0</v>
      </c>
      <c r="N347" s="110" t="s">
        <v>0</v>
      </c>
      <c r="O347" s="111">
        <v>100</v>
      </c>
      <c r="P347" s="112">
        <v>100</v>
      </c>
      <c r="Q347" s="112"/>
      <c r="R347" s="112"/>
      <c r="S347" s="112"/>
      <c r="T347" s="112"/>
      <c r="U347" s="95">
        <f t="shared" si="15"/>
        <v>0</v>
      </c>
      <c r="V347" s="112"/>
      <c r="W347" s="112"/>
      <c r="X347" s="107"/>
      <c r="Y347" s="107">
        <f t="shared" si="16"/>
        <v>100</v>
      </c>
      <c r="Z347" s="107">
        <f t="shared" si="17"/>
        <v>100</v>
      </c>
    </row>
    <row r="348" spans="1:26" x14ac:dyDescent="0.25">
      <c r="A348" s="55" t="str">
        <f>_xlfn.XLOOKUP($G348,'.Auxiliar'!$G:$G,'.Auxiliar'!A:A,"-",0)</f>
        <v>ECO 050</v>
      </c>
      <c r="B348" s="55" t="str">
        <f>_xlfn.XLOOKUP($G348,'.Auxiliar'!$G:$G,'.Auxiliar'!B:B,"-",0)</f>
        <v>PAVIMENTAÇÃO</v>
      </c>
      <c r="C348" s="55" t="str">
        <f>_xlfn.XLOOKUP($G348,'.Auxiliar'!$G:$G,'.Auxiliar'!C:C,"-",0)</f>
        <v>Via Marginal ID-01 - Pista Norte BR 050/MG - ARAGUARI</v>
      </c>
      <c r="D348" s="55">
        <f>_xlfn.XLOOKUP($G348,'.Auxiliar'!$G:$G,'.Auxiliar'!D:D,"-",0)</f>
        <v>40</v>
      </c>
      <c r="E348" s="55">
        <f>_xlfn.XLOOKUP($G348,'.Auxiliar'!$G:$G,'.Auxiliar'!E:E,"-",0)</f>
        <v>41</v>
      </c>
      <c r="F348" s="55">
        <f>_xlfn.XLOOKUP($G348,'.Auxiliar'!$G:$G,'.Auxiliar'!F:F,"-",0)</f>
        <v>1</v>
      </c>
      <c r="G348" s="59" t="s">
        <v>690</v>
      </c>
      <c r="H348" s="108" t="s">
        <v>363</v>
      </c>
      <c r="I348" s="109" t="s">
        <v>0</v>
      </c>
      <c r="J348" s="109" t="s">
        <v>0</v>
      </c>
      <c r="K348" s="109" t="s">
        <v>0</v>
      </c>
      <c r="L348" s="109" t="s">
        <v>0</v>
      </c>
      <c r="M348" s="109" t="s">
        <v>0</v>
      </c>
      <c r="N348" s="110" t="s">
        <v>0</v>
      </c>
      <c r="O348" s="111">
        <v>100</v>
      </c>
      <c r="P348" s="112">
        <v>0</v>
      </c>
      <c r="Q348" s="112"/>
      <c r="R348" s="112"/>
      <c r="S348" s="95"/>
      <c r="T348" s="112"/>
      <c r="U348" s="95" t="str">
        <f t="shared" si="15"/>
        <v/>
      </c>
      <c r="V348" s="112"/>
      <c r="W348" s="112"/>
      <c r="X348" s="107">
        <v>100</v>
      </c>
      <c r="Y348" s="107">
        <f t="shared" si="16"/>
        <v>100</v>
      </c>
      <c r="Z348" s="107">
        <f t="shared" si="17"/>
        <v>0</v>
      </c>
    </row>
    <row r="349" spans="1:26" x14ac:dyDescent="0.25">
      <c r="A349" s="55" t="str">
        <f>_xlfn.XLOOKUP($G349,'.Auxiliar'!$G:$G,'.Auxiliar'!A:A,"-",0)</f>
        <v>ECO 050</v>
      </c>
      <c r="B349" s="55" t="str">
        <f>_xlfn.XLOOKUP($G349,'.Auxiliar'!$G:$G,'.Auxiliar'!B:B,"-",0)</f>
        <v>PAVIMENTAÇÃO</v>
      </c>
      <c r="C349" s="55" t="str">
        <f>_xlfn.XLOOKUP($G349,'.Auxiliar'!$G:$G,'.Auxiliar'!C:C,"-",0)</f>
        <v>Via Marginal ID-01 - Pista Sul BR 050/MG - ARAGUARI</v>
      </c>
      <c r="D349" s="55">
        <f>_xlfn.XLOOKUP($G349,'.Auxiliar'!$G:$G,'.Auxiliar'!D:D,"-",0)</f>
        <v>40</v>
      </c>
      <c r="E349" s="55">
        <f>_xlfn.XLOOKUP($G349,'.Auxiliar'!$G:$G,'.Auxiliar'!E:E,"-",0)</f>
        <v>41</v>
      </c>
      <c r="F349" s="55">
        <f>_xlfn.XLOOKUP($G349,'.Auxiliar'!$G:$G,'.Auxiliar'!F:F,"-",0)</f>
        <v>1</v>
      </c>
      <c r="G349" s="59" t="s">
        <v>689</v>
      </c>
      <c r="H349" s="108" t="s">
        <v>363</v>
      </c>
      <c r="I349" s="109" t="s">
        <v>0</v>
      </c>
      <c r="J349" s="109" t="s">
        <v>0</v>
      </c>
      <c r="K349" s="109" t="s">
        <v>0</v>
      </c>
      <c r="L349" s="109" t="s">
        <v>0</v>
      </c>
      <c r="M349" s="109" t="s">
        <v>0</v>
      </c>
      <c r="N349" s="110" t="s">
        <v>0</v>
      </c>
      <c r="O349" s="111">
        <v>100</v>
      </c>
      <c r="P349" s="112">
        <v>0</v>
      </c>
      <c r="Q349" s="112"/>
      <c r="R349" s="112"/>
      <c r="S349" s="95"/>
      <c r="T349" s="112"/>
      <c r="U349" s="95" t="str">
        <f t="shared" si="15"/>
        <v/>
      </c>
      <c r="V349" s="112"/>
      <c r="W349" s="112"/>
      <c r="X349" s="107">
        <v>100</v>
      </c>
      <c r="Y349" s="107">
        <f t="shared" si="16"/>
        <v>100</v>
      </c>
      <c r="Z349" s="107">
        <f t="shared" si="17"/>
        <v>0</v>
      </c>
    </row>
    <row r="350" spans="1:26" x14ac:dyDescent="0.25">
      <c r="A350" s="55" t="str">
        <f>_xlfn.XLOOKUP($G350,'.Auxiliar'!$G:$G,'.Auxiliar'!A:A,"-",0)</f>
        <v>ECO 050</v>
      </c>
      <c r="B350" s="55" t="str">
        <f>_xlfn.XLOOKUP($G350,'.Auxiliar'!$G:$G,'.Auxiliar'!B:B,"-",0)</f>
        <v>PAVIMENTAÇÃO</v>
      </c>
      <c r="C350" s="55" t="str">
        <f>_xlfn.XLOOKUP($G350,'.Auxiliar'!$G:$G,'.Auxiliar'!C:C,"-",0)</f>
        <v>Via Marginal ID-02 - Pista Norte BR 050/GO - CRISTALINA</v>
      </c>
      <c r="D350" s="55">
        <f>_xlfn.XLOOKUP($G350,'.Auxiliar'!$G:$G,'.Auxiliar'!D:D,"-",0)</f>
        <v>98</v>
      </c>
      <c r="E350" s="55">
        <f>_xlfn.XLOOKUP($G350,'.Auxiliar'!$G:$G,'.Auxiliar'!E:E,"-",0)</f>
        <v>100.8</v>
      </c>
      <c r="F350" s="55">
        <f>_xlfn.XLOOKUP($G350,'.Auxiliar'!$G:$G,'.Auxiliar'!F:F,"-",0)</f>
        <v>2.7999999999999972</v>
      </c>
      <c r="G350" s="59" t="s">
        <v>692</v>
      </c>
      <c r="H350" s="108" t="s">
        <v>363</v>
      </c>
      <c r="I350" s="115" t="s">
        <v>1881</v>
      </c>
      <c r="J350" s="109" t="s">
        <v>0</v>
      </c>
      <c r="K350" s="109" t="s">
        <v>363</v>
      </c>
      <c r="L350" s="109" t="s">
        <v>0</v>
      </c>
      <c r="M350" s="109" t="s">
        <v>0</v>
      </c>
      <c r="N350" s="110" t="s">
        <v>0</v>
      </c>
      <c r="O350" s="111">
        <v>100</v>
      </c>
      <c r="P350" s="112">
        <v>0</v>
      </c>
      <c r="Q350" s="112">
        <v>56</v>
      </c>
      <c r="R350" s="112">
        <v>56</v>
      </c>
      <c r="S350" s="112">
        <v>44</v>
      </c>
      <c r="T350" s="112">
        <v>19.05</v>
      </c>
      <c r="U350" s="95">
        <f t="shared" si="15"/>
        <v>44</v>
      </c>
      <c r="V350" s="112"/>
      <c r="W350" s="112"/>
      <c r="X350" s="107"/>
      <c r="Y350" s="107">
        <f t="shared" si="16"/>
        <v>100</v>
      </c>
      <c r="Z350" s="107">
        <f t="shared" si="17"/>
        <v>75.05</v>
      </c>
    </row>
    <row r="351" spans="1:26" x14ac:dyDescent="0.25">
      <c r="A351" s="55" t="str">
        <f>_xlfn.XLOOKUP($G351,'.Auxiliar'!$G:$G,'.Auxiliar'!A:A,"-",0)</f>
        <v>ECO 050</v>
      </c>
      <c r="B351" s="55" t="str">
        <f>_xlfn.XLOOKUP($G351,'.Auxiliar'!$G:$G,'.Auxiliar'!B:B,"-",0)</f>
        <v>PAVIMENTAÇÃO</v>
      </c>
      <c r="C351" s="55" t="str">
        <f>_xlfn.XLOOKUP($G351,'.Auxiliar'!$G:$G,'.Auxiliar'!C:C,"-",0)</f>
        <v>Via Marginal ID-02 - Pista Sul BR 050/GO - CRISTALINA</v>
      </c>
      <c r="D351" s="55">
        <f>_xlfn.XLOOKUP($G351,'.Auxiliar'!$G:$G,'.Auxiliar'!D:D,"-",0)</f>
        <v>98</v>
      </c>
      <c r="E351" s="55">
        <f>_xlfn.XLOOKUP($G351,'.Auxiliar'!$G:$G,'.Auxiliar'!E:E,"-",0)</f>
        <v>100.8</v>
      </c>
      <c r="F351" s="55">
        <f>_xlfn.XLOOKUP($G351,'.Auxiliar'!$G:$G,'.Auxiliar'!F:F,"-",0)</f>
        <v>2.7999999999999972</v>
      </c>
      <c r="G351" s="59" t="s">
        <v>691</v>
      </c>
      <c r="H351" s="108" t="s">
        <v>363</v>
      </c>
      <c r="I351" s="115" t="s">
        <v>1881</v>
      </c>
      <c r="J351" s="109" t="s">
        <v>0</v>
      </c>
      <c r="K351" s="109" t="s">
        <v>363</v>
      </c>
      <c r="L351" s="109" t="s">
        <v>0</v>
      </c>
      <c r="M351" s="109" t="s">
        <v>0</v>
      </c>
      <c r="N351" s="110" t="s">
        <v>0</v>
      </c>
      <c r="O351" s="111">
        <v>100</v>
      </c>
      <c r="P351" s="112">
        <v>0</v>
      </c>
      <c r="Q351" s="112">
        <v>79</v>
      </c>
      <c r="R351" s="112">
        <v>79</v>
      </c>
      <c r="S351" s="112">
        <v>21</v>
      </c>
      <c r="T351" s="112">
        <v>16.22</v>
      </c>
      <c r="U351" s="95">
        <f t="shared" si="15"/>
        <v>21</v>
      </c>
      <c r="V351" s="112"/>
      <c r="W351" s="112"/>
      <c r="X351" s="107"/>
      <c r="Y351" s="107">
        <f t="shared" si="16"/>
        <v>100</v>
      </c>
      <c r="Z351" s="107">
        <f t="shared" si="17"/>
        <v>95.22</v>
      </c>
    </row>
    <row r="352" spans="1:26" x14ac:dyDescent="0.25">
      <c r="A352" s="55" t="str">
        <f>_xlfn.XLOOKUP($G352,'.Auxiliar'!$G:$G,'.Auxiliar'!A:A,"-",0)</f>
        <v>ECO 050</v>
      </c>
      <c r="B352" s="55" t="str">
        <f>_xlfn.XLOOKUP($G352,'.Auxiliar'!$G:$G,'.Auxiliar'!B:B,"-",0)</f>
        <v>PAVIMENTAÇÃO</v>
      </c>
      <c r="C352" s="55" t="str">
        <f>_xlfn.XLOOKUP($G352,'.Auxiliar'!$G:$G,'.Auxiliar'!C:C,"-",0)</f>
        <v>Via Marginal ID-03 - Pista Sul BR 050/GO - CRISTALINA</v>
      </c>
      <c r="D352" s="55">
        <f>_xlfn.XLOOKUP($G352,'.Auxiliar'!$G:$G,'.Auxiliar'!D:D,"-",0)</f>
        <v>106.7</v>
      </c>
      <c r="E352" s="55">
        <f>_xlfn.XLOOKUP($G352,'.Auxiliar'!$G:$G,'.Auxiliar'!E:E,"-",0)</f>
        <v>107.3</v>
      </c>
      <c r="F352" s="55">
        <f>_xlfn.XLOOKUP($G352,'.Auxiliar'!$G:$G,'.Auxiliar'!F:F,"-",0)</f>
        <v>0.59999999999999432</v>
      </c>
      <c r="G352" s="59" t="s">
        <v>693</v>
      </c>
      <c r="H352" s="108" t="s">
        <v>363</v>
      </c>
      <c r="I352" s="109" t="s">
        <v>0</v>
      </c>
      <c r="J352" s="109" t="s">
        <v>0</v>
      </c>
      <c r="K352" s="109" t="s">
        <v>363</v>
      </c>
      <c r="L352" s="109" t="s">
        <v>0</v>
      </c>
      <c r="M352" s="109" t="s">
        <v>0</v>
      </c>
      <c r="N352" s="110" t="s">
        <v>0</v>
      </c>
      <c r="O352" s="111">
        <v>100</v>
      </c>
      <c r="P352" s="112">
        <v>0</v>
      </c>
      <c r="Q352" s="112"/>
      <c r="R352" s="112"/>
      <c r="S352" s="112"/>
      <c r="T352" s="112"/>
      <c r="U352" s="95" t="str">
        <f t="shared" si="15"/>
        <v/>
      </c>
      <c r="V352" s="112"/>
      <c r="W352" s="112"/>
      <c r="X352" s="107">
        <v>100</v>
      </c>
      <c r="Y352" s="107">
        <f t="shared" si="16"/>
        <v>100</v>
      </c>
      <c r="Z352" s="107">
        <f t="shared" si="17"/>
        <v>0</v>
      </c>
    </row>
    <row r="353" spans="1:26" x14ac:dyDescent="0.25">
      <c r="A353" s="55" t="str">
        <f>_xlfn.XLOOKUP($G353,'.Auxiliar'!$G:$G,'.Auxiliar'!A:A,"-",0)</f>
        <v>ECO 050</v>
      </c>
      <c r="B353" s="55" t="str">
        <f>_xlfn.XLOOKUP($G353,'.Auxiliar'!$G:$G,'.Auxiliar'!B:B,"-",0)</f>
        <v>PAVIMENTAÇÃO</v>
      </c>
      <c r="C353" s="55" t="str">
        <f>_xlfn.XLOOKUP($G353,'.Auxiliar'!$G:$G,'.Auxiliar'!C:C,"-",0)</f>
        <v>Via Marginal ID-04 - Pista Norte BR 050/GO - CRISTALINA</v>
      </c>
      <c r="D353" s="55">
        <f>_xlfn.XLOOKUP($G353,'.Auxiliar'!$G:$G,'.Auxiliar'!D:D,"-",0)</f>
        <v>107.3</v>
      </c>
      <c r="E353" s="55">
        <f>_xlfn.XLOOKUP($G353,'.Auxiliar'!$G:$G,'.Auxiliar'!E:E,"-",0)</f>
        <v>108</v>
      </c>
      <c r="F353" s="55">
        <f>_xlfn.XLOOKUP($G353,'.Auxiliar'!$G:$G,'.Auxiliar'!F:F,"-",0)</f>
        <v>0.70000000000000284</v>
      </c>
      <c r="G353" s="59" t="s">
        <v>694</v>
      </c>
      <c r="H353" s="108" t="s">
        <v>363</v>
      </c>
      <c r="I353" s="109" t="s">
        <v>0</v>
      </c>
      <c r="J353" s="109" t="s">
        <v>0</v>
      </c>
      <c r="K353" s="109" t="s">
        <v>363</v>
      </c>
      <c r="L353" s="109" t="s">
        <v>0</v>
      </c>
      <c r="M353" s="109" t="s">
        <v>0</v>
      </c>
      <c r="N353" s="110" t="s">
        <v>0</v>
      </c>
      <c r="O353" s="111">
        <v>100</v>
      </c>
      <c r="P353" s="112">
        <v>0</v>
      </c>
      <c r="Q353" s="112"/>
      <c r="R353" s="112"/>
      <c r="S353" s="112"/>
      <c r="T353" s="112"/>
      <c r="U353" s="95" t="str">
        <f t="shared" si="15"/>
        <v/>
      </c>
      <c r="V353" s="112"/>
      <c r="W353" s="112"/>
      <c r="X353" s="107">
        <v>100</v>
      </c>
      <c r="Y353" s="107">
        <f t="shared" si="16"/>
        <v>100</v>
      </c>
      <c r="Z353" s="107">
        <f t="shared" si="17"/>
        <v>0</v>
      </c>
    </row>
    <row r="354" spans="1:26" x14ac:dyDescent="0.25">
      <c r="A354" s="55" t="str">
        <f>_xlfn.XLOOKUP($G354,'.Auxiliar'!$G:$G,'.Auxiliar'!A:A,"-",0)</f>
        <v>ECO 050</v>
      </c>
      <c r="B354" s="55" t="str">
        <f>_xlfn.XLOOKUP($G354,'.Auxiliar'!$G:$G,'.Auxiliar'!B:B,"-",0)</f>
        <v>PAVIMENTAÇÃO</v>
      </c>
      <c r="C354" s="55" t="str">
        <f>_xlfn.XLOOKUP($G354,'.Auxiliar'!$G:$G,'.Auxiliar'!C:C,"-",0)</f>
        <v>Via Marginal ID-05 - Pista Norte BR 050/GO - CAMPO ALEGRE DE GOIÁS</v>
      </c>
      <c r="D354" s="55">
        <f>_xlfn.XLOOKUP($G354,'.Auxiliar'!$G:$G,'.Auxiliar'!D:D,"-",0)</f>
        <v>207.4</v>
      </c>
      <c r="E354" s="55">
        <f>_xlfn.XLOOKUP($G354,'.Auxiliar'!$G:$G,'.Auxiliar'!E:E,"-",0)</f>
        <v>209.6</v>
      </c>
      <c r="F354" s="55">
        <f>_xlfn.XLOOKUP($G354,'.Auxiliar'!$G:$G,'.Auxiliar'!F:F,"-",0)</f>
        <v>2.1999999999999886</v>
      </c>
      <c r="G354" s="59" t="s">
        <v>695</v>
      </c>
      <c r="H354" s="108" t="s">
        <v>363</v>
      </c>
      <c r="I354" s="109" t="s">
        <v>0</v>
      </c>
      <c r="J354" s="109" t="s">
        <v>0</v>
      </c>
      <c r="K354" s="109" t="s">
        <v>0</v>
      </c>
      <c r="L354" s="109" t="s">
        <v>0</v>
      </c>
      <c r="M354" s="109" t="s">
        <v>0</v>
      </c>
      <c r="N354" s="110" t="s">
        <v>0</v>
      </c>
      <c r="O354" s="111">
        <v>100</v>
      </c>
      <c r="P354" s="112">
        <v>100</v>
      </c>
      <c r="Q354" s="112"/>
      <c r="R354" s="112"/>
      <c r="S354" s="112"/>
      <c r="T354" s="112"/>
      <c r="U354" s="95">
        <f t="shared" si="15"/>
        <v>0</v>
      </c>
      <c r="V354" s="112"/>
      <c r="W354" s="112"/>
      <c r="X354" s="107"/>
      <c r="Y354" s="107">
        <f t="shared" si="16"/>
        <v>100</v>
      </c>
      <c r="Z354" s="107">
        <f t="shared" si="17"/>
        <v>100</v>
      </c>
    </row>
    <row r="355" spans="1:26" x14ac:dyDescent="0.25">
      <c r="A355" s="55" t="str">
        <f>_xlfn.XLOOKUP($G355,'.Auxiliar'!$G:$G,'.Auxiliar'!A:A,"-",0)</f>
        <v>ECO 050</v>
      </c>
      <c r="B355" s="55" t="str">
        <f>_xlfn.XLOOKUP($G355,'.Auxiliar'!$G:$G,'.Auxiliar'!B:B,"-",0)</f>
        <v>PAVIMENTAÇÃO</v>
      </c>
      <c r="C355" s="55" t="str">
        <f>_xlfn.XLOOKUP($G355,'.Auxiliar'!$G:$G,'.Auxiliar'!C:C,"-",0)</f>
        <v>Via Marginal ID-06 - Pista Norte BR 050/GO - CATALÃO</v>
      </c>
      <c r="D355" s="55">
        <f>_xlfn.XLOOKUP($G355,'.Auxiliar'!$G:$G,'.Auxiliar'!D:D,"-",0)</f>
        <v>245.4</v>
      </c>
      <c r="E355" s="55">
        <f>_xlfn.XLOOKUP($G355,'.Auxiliar'!$G:$G,'.Auxiliar'!E:E,"-",0)</f>
        <v>246.9</v>
      </c>
      <c r="F355" s="55">
        <f>_xlfn.XLOOKUP($G355,'.Auxiliar'!$G:$G,'.Auxiliar'!F:F,"-",0)</f>
        <v>1.5</v>
      </c>
      <c r="G355" s="59" t="s">
        <v>696</v>
      </c>
      <c r="H355" s="108" t="s">
        <v>363</v>
      </c>
      <c r="I355" s="109" t="s">
        <v>0</v>
      </c>
      <c r="J355" s="109" t="s">
        <v>0</v>
      </c>
      <c r="K355" s="109" t="s">
        <v>363</v>
      </c>
      <c r="L355" s="109" t="s">
        <v>0</v>
      </c>
      <c r="M355" s="109" t="s">
        <v>0</v>
      </c>
      <c r="N355" s="110" t="s">
        <v>0</v>
      </c>
      <c r="O355" s="111">
        <v>100</v>
      </c>
      <c r="P355" s="112">
        <v>0</v>
      </c>
      <c r="Q355" s="112"/>
      <c r="R355" s="112"/>
      <c r="S355" s="112"/>
      <c r="T355" s="112"/>
      <c r="U355" s="95" t="str">
        <f t="shared" si="15"/>
        <v/>
      </c>
      <c r="V355" s="112"/>
      <c r="W355" s="112"/>
      <c r="X355" s="107">
        <v>100</v>
      </c>
      <c r="Y355" s="107">
        <f t="shared" si="16"/>
        <v>100</v>
      </c>
      <c r="Z355" s="107">
        <f t="shared" si="17"/>
        <v>0</v>
      </c>
    </row>
    <row r="356" spans="1:26" x14ac:dyDescent="0.25">
      <c r="A356" s="55" t="str">
        <f>_xlfn.XLOOKUP($G356,'.Auxiliar'!$G:$G,'.Auxiliar'!A:A,"-",0)</f>
        <v>ECO 050</v>
      </c>
      <c r="B356" s="55" t="str">
        <f>_xlfn.XLOOKUP($G356,'.Auxiliar'!$G:$G,'.Auxiliar'!B:B,"-",0)</f>
        <v>PAVIMENTAÇÃO</v>
      </c>
      <c r="C356" s="55" t="str">
        <f>_xlfn.XLOOKUP($G356,'.Auxiliar'!$G:$G,'.Auxiliar'!C:C,"-",0)</f>
        <v>Via Marginal ID-07 - Pista Norte BR 050/GO - CATALÃO</v>
      </c>
      <c r="D356" s="55">
        <f>_xlfn.XLOOKUP($G356,'.Auxiliar'!$G:$G,'.Auxiliar'!D:D,"-",0)</f>
        <v>276.5</v>
      </c>
      <c r="E356" s="55">
        <f>_xlfn.XLOOKUP($G356,'.Auxiliar'!$G:$G,'.Auxiliar'!E:E,"-",0)</f>
        <v>280.5</v>
      </c>
      <c r="F356" s="55">
        <f>_xlfn.XLOOKUP($G356,'.Auxiliar'!$G:$G,'.Auxiliar'!F:F,"-",0)</f>
        <v>4</v>
      </c>
      <c r="G356" s="59" t="s">
        <v>697</v>
      </c>
      <c r="H356" s="108" t="s">
        <v>363</v>
      </c>
      <c r="I356" s="115" t="s">
        <v>1881</v>
      </c>
      <c r="J356" s="109" t="s">
        <v>0</v>
      </c>
      <c r="K356" s="109" t="s">
        <v>363</v>
      </c>
      <c r="L356" s="109" t="s">
        <v>0</v>
      </c>
      <c r="M356" s="109" t="s">
        <v>0</v>
      </c>
      <c r="N356" s="110" t="s">
        <v>0</v>
      </c>
      <c r="O356" s="111">
        <v>100</v>
      </c>
      <c r="P356" s="112">
        <v>0</v>
      </c>
      <c r="Q356" s="112">
        <v>15.45</v>
      </c>
      <c r="R356" s="112">
        <v>15.45</v>
      </c>
      <c r="S356" s="112">
        <v>59.95</v>
      </c>
      <c r="T356" s="112">
        <v>8.75</v>
      </c>
      <c r="U356" s="95">
        <f t="shared" si="15"/>
        <v>84.55</v>
      </c>
      <c r="V356" s="112">
        <f>100-(R356+S356)</f>
        <v>24.599999999999994</v>
      </c>
      <c r="W356" s="112"/>
      <c r="X356" s="107"/>
      <c r="Y356" s="107">
        <f t="shared" si="16"/>
        <v>100</v>
      </c>
      <c r="Z356" s="107">
        <f t="shared" si="17"/>
        <v>24.2</v>
      </c>
    </row>
    <row r="357" spans="1:26" x14ac:dyDescent="0.25">
      <c r="A357" s="55" t="str">
        <f>_xlfn.XLOOKUP($G357,'.Auxiliar'!$G:$G,'.Auxiliar'!A:A,"-",0)</f>
        <v>ECO 050</v>
      </c>
      <c r="B357" s="55" t="str">
        <f>_xlfn.XLOOKUP($G357,'.Auxiliar'!$G:$G,'.Auxiliar'!B:B,"-",0)</f>
        <v>PAVIMENTAÇÃO</v>
      </c>
      <c r="C357" s="55" t="str">
        <f>_xlfn.XLOOKUP($G357,'.Auxiliar'!$G:$G,'.Auxiliar'!C:C,"-",0)</f>
        <v>Via Marginal ID-08 - Pista Sul BR 050/GO - CATALÃO</v>
      </c>
      <c r="D357" s="55">
        <f>_xlfn.XLOOKUP($G357,'.Auxiliar'!$G:$G,'.Auxiliar'!D:D,"-",0)</f>
        <v>276.89999999999998</v>
      </c>
      <c r="E357" s="55">
        <f>_xlfn.XLOOKUP($G357,'.Auxiliar'!$G:$G,'.Auxiliar'!E:E,"-",0)</f>
        <v>283.10000000000002</v>
      </c>
      <c r="F357" s="55">
        <f>_xlfn.XLOOKUP($G357,'.Auxiliar'!$G:$G,'.Auxiliar'!F:F,"-",0)</f>
        <v>6.2000000000000455</v>
      </c>
      <c r="G357" s="59" t="s">
        <v>698</v>
      </c>
      <c r="H357" s="108" t="s">
        <v>363</v>
      </c>
      <c r="I357" s="115" t="s">
        <v>1881</v>
      </c>
      <c r="J357" s="109" t="s">
        <v>0</v>
      </c>
      <c r="K357" s="109" t="s">
        <v>363</v>
      </c>
      <c r="L357" s="109" t="s">
        <v>0</v>
      </c>
      <c r="M357" s="109" t="s">
        <v>0</v>
      </c>
      <c r="N357" s="110" t="s">
        <v>0</v>
      </c>
      <c r="O357" s="111">
        <v>100</v>
      </c>
      <c r="P357" s="112">
        <v>0</v>
      </c>
      <c r="Q357" s="112">
        <v>15.45</v>
      </c>
      <c r="R357" s="112">
        <v>15.45</v>
      </c>
      <c r="S357" s="112">
        <v>59.95</v>
      </c>
      <c r="T357" s="112">
        <v>8.75</v>
      </c>
      <c r="U357" s="95">
        <f t="shared" si="15"/>
        <v>84.55</v>
      </c>
      <c r="V357" s="112">
        <f>100-(R357+S357)</f>
        <v>24.599999999999994</v>
      </c>
      <c r="W357" s="112"/>
      <c r="X357" s="107"/>
      <c r="Y357" s="107">
        <f t="shared" si="16"/>
        <v>100</v>
      </c>
      <c r="Z357" s="107">
        <f t="shared" si="17"/>
        <v>24.2</v>
      </c>
    </row>
    <row r="358" spans="1:26" x14ac:dyDescent="0.25">
      <c r="A358" s="55" t="str">
        <f>_xlfn.XLOOKUP($G358,'.Auxiliar'!$G:$G,'.Auxiliar'!A:A,"-",0)</f>
        <v>ECOPONTE</v>
      </c>
      <c r="B358" s="55" t="str">
        <f>_xlfn.XLOOKUP($G358,'.Auxiliar'!$G:$G,'.Auxiliar'!B:B,"-",0)</f>
        <v>OAE</v>
      </c>
      <c r="C358" s="55" t="str">
        <f>_xlfn.XLOOKUP($G358,'.Auxiliar'!$G:$G,'.Auxiliar'!C:C,"-",0)</f>
        <v>Execução de Alça de Ligação Ponte - Linha Vermelha: concepção em viaduto elevado - extensão de 2,4 km</v>
      </c>
      <c r="D358" s="55">
        <f>_xlfn.XLOOKUP($G358,'.Auxiliar'!$G:$G,'.Auxiliar'!D:D,"-",0)</f>
        <v>121</v>
      </c>
      <c r="E358" s="55">
        <f>_xlfn.XLOOKUP($G358,'.Auxiliar'!$G:$G,'.Auxiliar'!E:E,"-",0)</f>
        <v>121</v>
      </c>
      <c r="F358" s="55">
        <f>_xlfn.XLOOKUP($G358,'.Auxiliar'!$G:$G,'.Auxiliar'!F:F,"-",0)</f>
        <v>1</v>
      </c>
      <c r="G358" s="59" t="s">
        <v>801</v>
      </c>
      <c r="H358" s="108" t="s">
        <v>363</v>
      </c>
      <c r="I358" s="109" t="s">
        <v>0</v>
      </c>
      <c r="J358" s="109" t="s">
        <v>0</v>
      </c>
      <c r="K358" s="109" t="s">
        <v>0</v>
      </c>
      <c r="L358" s="109" t="s">
        <v>0</v>
      </c>
      <c r="M358" s="109" t="s">
        <v>0</v>
      </c>
      <c r="N358" s="110" t="s">
        <v>0</v>
      </c>
      <c r="O358" s="111">
        <v>100</v>
      </c>
      <c r="P358" s="112">
        <v>100</v>
      </c>
      <c r="Q358" s="112"/>
      <c r="R358" s="112"/>
      <c r="S358" s="112"/>
      <c r="T358" s="112"/>
      <c r="U358" s="95">
        <f t="shared" si="15"/>
        <v>0</v>
      </c>
      <c r="V358" s="112"/>
      <c r="W358" s="112"/>
      <c r="X358" s="107"/>
      <c r="Y358" s="107">
        <f t="shared" si="16"/>
        <v>100</v>
      </c>
      <c r="Z358" s="107">
        <f t="shared" si="17"/>
        <v>100</v>
      </c>
    </row>
    <row r="359" spans="1:26" x14ac:dyDescent="0.25">
      <c r="A359" s="55" t="str">
        <f>_xlfn.XLOOKUP($G359,'.Auxiliar'!$G:$G,'.Auxiliar'!A:A,"-",0)</f>
        <v>ECOPONTE</v>
      </c>
      <c r="B359" s="55" t="str">
        <f>_xlfn.XLOOKUP($G359,'.Auxiliar'!$G:$G,'.Auxiliar'!B:B,"-",0)</f>
        <v>OAE</v>
      </c>
      <c r="C359" s="55" t="str">
        <f>_xlfn.XLOOKUP($G359,'.Auxiliar'!$G:$G,'.Auxiliar'!C:C,"-",0)</f>
        <v>Execução de Ligação entre a Ponte e a Avenida Brasil. Concepção em viaduto elevado -  (Extensão?)</v>
      </c>
      <c r="D359" s="55">
        <f>_xlfn.XLOOKUP($G359,'.Auxiliar'!$G:$G,'.Auxiliar'!D:D,"-",0)</f>
        <v>1</v>
      </c>
      <c r="E359" s="55">
        <f>_xlfn.XLOOKUP($G359,'.Auxiliar'!$G:$G,'.Auxiliar'!E:E,"-",0)</f>
        <v>1</v>
      </c>
      <c r="F359" s="55">
        <f>_xlfn.XLOOKUP($G359,'.Auxiliar'!$G:$G,'.Auxiliar'!F:F,"-",0)</f>
        <v>1</v>
      </c>
      <c r="G359" s="59" t="s">
        <v>803</v>
      </c>
      <c r="H359" s="108" t="s">
        <v>363</v>
      </c>
      <c r="I359" s="109" t="s">
        <v>0</v>
      </c>
      <c r="J359" s="109" t="s">
        <v>0</v>
      </c>
      <c r="K359" s="109" t="s">
        <v>0</v>
      </c>
      <c r="L359" s="109" t="s">
        <v>0</v>
      </c>
      <c r="M359" s="109" t="s">
        <v>0</v>
      </c>
      <c r="N359" s="110" t="s">
        <v>0</v>
      </c>
      <c r="O359" s="111">
        <v>100</v>
      </c>
      <c r="P359" s="112">
        <v>100</v>
      </c>
      <c r="Q359" s="112"/>
      <c r="R359" s="112"/>
      <c r="S359" s="112"/>
      <c r="T359" s="112"/>
      <c r="U359" s="95">
        <f t="shared" si="15"/>
        <v>0</v>
      </c>
      <c r="V359" s="112"/>
      <c r="W359" s="112"/>
      <c r="X359" s="107"/>
      <c r="Y359" s="107">
        <f t="shared" si="16"/>
        <v>100</v>
      </c>
      <c r="Z359" s="107">
        <f t="shared" si="17"/>
        <v>100</v>
      </c>
    </row>
    <row r="360" spans="1:26" x14ac:dyDescent="0.25">
      <c r="A360" s="55" t="str">
        <f>_xlfn.XLOOKUP($G360,'.Auxiliar'!$G:$G,'.Auxiliar'!A:A,"-",0)</f>
        <v>ECOPONTE</v>
      </c>
      <c r="B360" s="55" t="str">
        <f>_xlfn.XLOOKUP($G360,'.Auxiliar'!$G:$G,'.Auxiliar'!B:B,"-",0)</f>
        <v>OAE</v>
      </c>
      <c r="C360" s="55" t="str">
        <f>_xlfn.XLOOKUP($G360,'.Auxiliar'!$G:$G,'.Auxiliar'!C:C,"-",0)</f>
        <v>Execução de Mergulhão em Niteroi - Passagem subterrânea sob a Praça Renascença</v>
      </c>
      <c r="D360" s="55">
        <f>_xlfn.XLOOKUP($G360,'.Auxiliar'!$G:$G,'.Auxiliar'!D:D,"-",0)</f>
        <v>321</v>
      </c>
      <c r="E360" s="55">
        <f>_xlfn.XLOOKUP($G360,'.Auxiliar'!$G:$G,'.Auxiliar'!E:E,"-",0)</f>
        <v>321</v>
      </c>
      <c r="F360" s="55">
        <f>_xlfn.XLOOKUP($G360,'.Auxiliar'!$G:$G,'.Auxiliar'!F:F,"-",0)</f>
        <v>1</v>
      </c>
      <c r="G360" s="59" t="s">
        <v>802</v>
      </c>
      <c r="H360" s="108" t="s">
        <v>363</v>
      </c>
      <c r="I360" s="109" t="s">
        <v>0</v>
      </c>
      <c r="J360" s="109" t="s">
        <v>0</v>
      </c>
      <c r="K360" s="109" t="s">
        <v>0</v>
      </c>
      <c r="L360" s="109" t="s">
        <v>0</v>
      </c>
      <c r="M360" s="109" t="s">
        <v>0</v>
      </c>
      <c r="N360" s="110" t="s">
        <v>0</v>
      </c>
      <c r="O360" s="111">
        <v>100</v>
      </c>
      <c r="P360" s="112">
        <v>100</v>
      </c>
      <c r="Q360" s="112"/>
      <c r="R360" s="112"/>
      <c r="S360" s="112"/>
      <c r="T360" s="112"/>
      <c r="U360" s="95">
        <f t="shared" si="15"/>
        <v>0</v>
      </c>
      <c r="V360" s="112"/>
      <c r="W360" s="112"/>
      <c r="X360" s="107"/>
      <c r="Y360" s="107">
        <f t="shared" si="16"/>
        <v>100</v>
      </c>
      <c r="Z360" s="107">
        <f t="shared" si="17"/>
        <v>100</v>
      </c>
    </row>
    <row r="361" spans="1:26" x14ac:dyDescent="0.25">
      <c r="A361" s="55" t="str">
        <f>_xlfn.XLOOKUP($G361,'.Auxiliar'!$G:$G,'.Auxiliar'!A:A,"-",0)</f>
        <v>ECOPONTE</v>
      </c>
      <c r="B361" s="55" t="str">
        <f>_xlfn.XLOOKUP($G361,'.Auxiliar'!$G:$G,'.Auxiliar'!B:B,"-",0)</f>
        <v>PAVIMENTAÇÃO</v>
      </c>
      <c r="C361" s="55" t="str">
        <f>_xlfn.XLOOKUP($G361,'.Auxiliar'!$G:$G,'.Auxiliar'!C:C,"-",0)</f>
        <v>Execução de Alça de Ligação Ponte - Linha Vermelha: concepção em viaduto elevado - extensão de 2,4 km</v>
      </c>
      <c r="D361" s="55">
        <f>_xlfn.XLOOKUP($G361,'.Auxiliar'!$G:$G,'.Auxiliar'!D:D,"-",0)</f>
        <v>0</v>
      </c>
      <c r="E361" s="55">
        <f>_xlfn.XLOOKUP($G361,'.Auxiliar'!$G:$G,'.Auxiliar'!E:E,"-",0)</f>
        <v>2.4</v>
      </c>
      <c r="F361" s="55">
        <f>_xlfn.XLOOKUP($G361,'.Auxiliar'!$G:$G,'.Auxiliar'!F:F,"-",0)</f>
        <v>2.4</v>
      </c>
      <c r="G361" s="59" t="s">
        <v>799</v>
      </c>
      <c r="H361" s="108" t="s">
        <v>363</v>
      </c>
      <c r="I361" s="109" t="s">
        <v>0</v>
      </c>
      <c r="J361" s="109" t="s">
        <v>0</v>
      </c>
      <c r="K361" s="109" t="s">
        <v>0</v>
      </c>
      <c r="L361" s="109" t="s">
        <v>0</v>
      </c>
      <c r="M361" s="109" t="s">
        <v>0</v>
      </c>
      <c r="N361" s="110" t="s">
        <v>0</v>
      </c>
      <c r="O361" s="111">
        <v>100</v>
      </c>
      <c r="P361" s="112">
        <v>100</v>
      </c>
      <c r="Q361" s="112"/>
      <c r="R361" s="112"/>
      <c r="S361" s="112"/>
      <c r="T361" s="112"/>
      <c r="U361" s="95">
        <f t="shared" si="15"/>
        <v>0</v>
      </c>
      <c r="V361" s="112"/>
      <c r="W361" s="112"/>
      <c r="X361" s="107"/>
      <c r="Y361" s="107">
        <f t="shared" si="16"/>
        <v>100</v>
      </c>
      <c r="Z361" s="107">
        <f t="shared" si="17"/>
        <v>100</v>
      </c>
    </row>
    <row r="362" spans="1:26" x14ac:dyDescent="0.25">
      <c r="A362" s="55" t="str">
        <f>_xlfn.XLOOKUP($G362,'.Auxiliar'!$G:$G,'.Auxiliar'!A:A,"-",0)</f>
        <v>ECOPONTE</v>
      </c>
      <c r="B362" s="55" t="str">
        <f>_xlfn.XLOOKUP($G362,'.Auxiliar'!$G:$G,'.Auxiliar'!B:B,"-",0)</f>
        <v>PAVIMENTAÇÃO</v>
      </c>
      <c r="C362" s="55" t="str">
        <f>_xlfn.XLOOKUP($G362,'.Auxiliar'!$G:$G,'.Auxiliar'!C:C,"-",0)</f>
        <v>Execução de Ligação entre a Ponte e a Avenida Brasil. Concepção em viaduto elevado -  (Extensão?)</v>
      </c>
      <c r="D362" s="55">
        <f>_xlfn.XLOOKUP($G362,'.Auxiliar'!$G:$G,'.Auxiliar'!D:D,"-",0)</f>
        <v>0</v>
      </c>
      <c r="E362" s="55">
        <f>_xlfn.XLOOKUP($G362,'.Auxiliar'!$G:$G,'.Auxiliar'!E:E,"-",0)</f>
        <v>5</v>
      </c>
      <c r="F362" s="55">
        <f>_xlfn.XLOOKUP($G362,'.Auxiliar'!$G:$G,'.Auxiliar'!F:F,"-",0)</f>
        <v>5</v>
      </c>
      <c r="G362" s="59" t="s">
        <v>800</v>
      </c>
      <c r="H362" s="108" t="s">
        <v>363</v>
      </c>
      <c r="I362" s="109" t="s">
        <v>0</v>
      </c>
      <c r="J362" s="109" t="s">
        <v>0</v>
      </c>
      <c r="K362" s="109" t="s">
        <v>0</v>
      </c>
      <c r="L362" s="109" t="s">
        <v>0</v>
      </c>
      <c r="M362" s="109" t="s">
        <v>0</v>
      </c>
      <c r="N362" s="110" t="s">
        <v>0</v>
      </c>
      <c r="O362" s="111">
        <v>100</v>
      </c>
      <c r="P362" s="112">
        <v>100</v>
      </c>
      <c r="Q362" s="112"/>
      <c r="R362" s="112"/>
      <c r="S362" s="112"/>
      <c r="T362" s="112"/>
      <c r="U362" s="95">
        <f t="shared" si="15"/>
        <v>0</v>
      </c>
      <c r="V362" s="112"/>
      <c r="W362" s="112"/>
      <c r="X362" s="107"/>
      <c r="Y362" s="107">
        <f t="shared" si="16"/>
        <v>100</v>
      </c>
      <c r="Z362" s="107">
        <f t="shared" si="17"/>
        <v>100</v>
      </c>
    </row>
    <row r="363" spans="1:26" x14ac:dyDescent="0.25">
      <c r="A363" s="55" t="str">
        <f>_xlfn.XLOOKUP($G363,'.Auxiliar'!$G:$G,'.Auxiliar'!A:A,"-",0)</f>
        <v>ECOPONTE</v>
      </c>
      <c r="B363" s="55" t="str">
        <f>_xlfn.XLOOKUP($G363,'.Auxiliar'!$G:$G,'.Auxiliar'!B:B,"-",0)</f>
        <v>TERCEIRA FAIXA</v>
      </c>
      <c r="C363" s="55" t="str">
        <f>_xlfn.XLOOKUP($G363,'.Auxiliar'!$G:$G,'.Auxiliar'!C:C,"-",0)</f>
        <v>Alargamento da rampa N4 no Sentido Rio-Niterói entre a Praça de Pedágio e o Acesso à Avenida Feliciano Sodré - Implantação de Faixa Adicionalà Rampa N4 (Extensão?)</v>
      </c>
      <c r="D363" s="55">
        <f>_xlfn.XLOOKUP($G363,'.Auxiliar'!$G:$G,'.Auxiliar'!D:D,"-",0)</f>
        <v>0</v>
      </c>
      <c r="E363" s="55">
        <f>_xlfn.XLOOKUP($G363,'.Auxiliar'!$G:$G,'.Auxiliar'!E:E,"-",0)</f>
        <v>1</v>
      </c>
      <c r="F363" s="55">
        <f>_xlfn.XLOOKUP($G363,'.Auxiliar'!$G:$G,'.Auxiliar'!F:F,"-",0)</f>
        <v>1</v>
      </c>
      <c r="G363" s="59" t="s">
        <v>804</v>
      </c>
      <c r="H363" s="108" t="s">
        <v>363</v>
      </c>
      <c r="I363" s="109" t="s">
        <v>0</v>
      </c>
      <c r="J363" s="109" t="s">
        <v>0</v>
      </c>
      <c r="K363" s="109" t="s">
        <v>0</v>
      </c>
      <c r="L363" s="109" t="s">
        <v>0</v>
      </c>
      <c r="M363" s="109" t="s">
        <v>0</v>
      </c>
      <c r="N363" s="110" t="s">
        <v>0</v>
      </c>
      <c r="O363" s="111">
        <v>100</v>
      </c>
      <c r="P363" s="112">
        <v>100</v>
      </c>
      <c r="Q363" s="112"/>
      <c r="R363" s="112"/>
      <c r="S363" s="112"/>
      <c r="T363" s="112"/>
      <c r="U363" s="95">
        <f t="shared" si="15"/>
        <v>0</v>
      </c>
      <c r="V363" s="112"/>
      <c r="W363" s="112"/>
      <c r="X363" s="107"/>
      <c r="Y363" s="107">
        <f t="shared" si="16"/>
        <v>100</v>
      </c>
      <c r="Z363" s="107">
        <f t="shared" si="17"/>
        <v>100</v>
      </c>
    </row>
    <row r="364" spans="1:26" x14ac:dyDescent="0.25">
      <c r="A364" s="55" t="str">
        <f>_xlfn.XLOOKUP($G364,'.Auxiliar'!$G:$G,'.Auxiliar'!A:A,"-",0)</f>
        <v>ECOPONTE</v>
      </c>
      <c r="B364" s="55" t="str">
        <f>_xlfn.XLOOKUP($G364,'.Auxiliar'!$G:$G,'.Auxiliar'!B:B,"-",0)</f>
        <v>TERCEIRA FAIXA</v>
      </c>
      <c r="C364" s="55" t="str">
        <f>_xlfn.XLOOKUP($G364,'.Auxiliar'!$G:$G,'.Auxiliar'!C:C,"-",0)</f>
        <v>Alargamento do Viaduto da Rampa N12 - implantação da faixa adicional à rampa N12 (Extensão?)</v>
      </c>
      <c r="D364" s="55">
        <f>_xlfn.XLOOKUP($G364,'.Auxiliar'!$G:$G,'.Auxiliar'!D:D,"-",0)</f>
        <v>0</v>
      </c>
      <c r="E364" s="55">
        <f>_xlfn.XLOOKUP($G364,'.Auxiliar'!$G:$G,'.Auxiliar'!E:E,"-",0)</f>
        <v>1</v>
      </c>
      <c r="F364" s="55">
        <f>_xlfn.XLOOKUP($G364,'.Auxiliar'!$G:$G,'.Auxiliar'!F:F,"-",0)</f>
        <v>1</v>
      </c>
      <c r="G364" s="59" t="s">
        <v>805</v>
      </c>
      <c r="H364" s="108" t="s">
        <v>363</v>
      </c>
      <c r="I364" s="109" t="s">
        <v>0</v>
      </c>
      <c r="J364" s="109" t="s">
        <v>0</v>
      </c>
      <c r="K364" s="109" t="s">
        <v>0</v>
      </c>
      <c r="L364" s="109" t="s">
        <v>0</v>
      </c>
      <c r="M364" s="109" t="s">
        <v>0</v>
      </c>
      <c r="N364" s="110" t="s">
        <v>0</v>
      </c>
      <c r="O364" s="111">
        <v>100</v>
      </c>
      <c r="P364" s="112">
        <v>100</v>
      </c>
      <c r="Q364" s="112"/>
      <c r="R364" s="112"/>
      <c r="S364" s="112"/>
      <c r="T364" s="112"/>
      <c r="U364" s="95">
        <f t="shared" si="15"/>
        <v>0</v>
      </c>
      <c r="V364" s="112"/>
      <c r="W364" s="112"/>
      <c r="X364" s="107"/>
      <c r="Y364" s="107">
        <f t="shared" si="16"/>
        <v>100</v>
      </c>
      <c r="Z364" s="107">
        <f t="shared" si="17"/>
        <v>100</v>
      </c>
    </row>
    <row r="365" spans="1:26" x14ac:dyDescent="0.25">
      <c r="A365" s="55" t="str">
        <f>_xlfn.XLOOKUP($G365,'.Auxiliar'!$G:$G,'.Auxiliar'!A:A,"-",0)</f>
        <v>FERNÃO DIAS</v>
      </c>
      <c r="B365" s="55" t="str">
        <f>_xlfn.XLOOKUP($G365,'.Auxiliar'!$G:$G,'.Auxiliar'!B:B,"-",0)</f>
        <v>CONTORNO</v>
      </c>
      <c r="C365" s="55" t="str">
        <f>_xlfn.XLOOKUP($G365,'.Auxiliar'!$G:$G,'.Auxiliar'!C:C,"-",0)</f>
        <v>Contorno de Betim</v>
      </c>
      <c r="D365" s="55">
        <f>_xlfn.XLOOKUP($G365,'.Auxiliar'!$G:$G,'.Auxiliar'!D:D,"-",0)</f>
        <v>490</v>
      </c>
      <c r="E365" s="55">
        <f>_xlfn.XLOOKUP($G365,'.Auxiliar'!$G:$G,'.Auxiliar'!E:E,"-",0)</f>
        <v>497.5</v>
      </c>
      <c r="F365" s="55">
        <f>_xlfn.XLOOKUP($G365,'.Auxiliar'!$G:$G,'.Auxiliar'!F:F,"-",0)</f>
        <v>7.5</v>
      </c>
      <c r="G365" s="59" t="s">
        <v>501</v>
      </c>
      <c r="H365" s="108" t="s">
        <v>363</v>
      </c>
      <c r="I365" s="109" t="s">
        <v>0</v>
      </c>
      <c r="J365" s="109" t="s">
        <v>0</v>
      </c>
      <c r="K365" s="109" t="s">
        <v>0</v>
      </c>
      <c r="L365" s="109" t="s">
        <v>0</v>
      </c>
      <c r="M365" s="109" t="s">
        <v>0</v>
      </c>
      <c r="N365" s="110" t="s">
        <v>0</v>
      </c>
      <c r="O365" s="111">
        <v>100</v>
      </c>
      <c r="P365" s="112">
        <v>100</v>
      </c>
      <c r="Q365" s="112"/>
      <c r="R365" s="112"/>
      <c r="S365" s="112"/>
      <c r="T365" s="112"/>
      <c r="U365" s="95">
        <f t="shared" si="15"/>
        <v>0</v>
      </c>
      <c r="V365" s="112"/>
      <c r="W365" s="112"/>
      <c r="X365" s="107"/>
      <c r="Y365" s="107">
        <f t="shared" si="16"/>
        <v>100</v>
      </c>
      <c r="Z365" s="107">
        <f t="shared" si="17"/>
        <v>100</v>
      </c>
    </row>
    <row r="366" spans="1:26" x14ac:dyDescent="0.25">
      <c r="A366" s="55" t="str">
        <f>_xlfn.XLOOKUP($G366,'.Auxiliar'!$G:$G,'.Auxiliar'!A:A,"-",0)</f>
        <v>FERNÃO DIAS</v>
      </c>
      <c r="B366" s="55" t="str">
        <f>_xlfn.XLOOKUP($G366,'.Auxiliar'!$G:$G,'.Auxiliar'!B:B,"-",0)</f>
        <v>OAE</v>
      </c>
      <c r="C366" s="55" t="str">
        <f>_xlfn.XLOOKUP($G366,'.Auxiliar'!$G:$G,'.Auxiliar'!C:C,"-",0)</f>
        <v>Complementação do trevo de acesso a cidade de Piracaia - Obras DNIT</v>
      </c>
      <c r="D366" s="55">
        <f>_xlfn.XLOOKUP($G366,'.Auxiliar'!$G:$G,'.Auxiliar'!D:D,"-",0)</f>
        <v>19.399999999999999</v>
      </c>
      <c r="E366" s="55">
        <f>_xlfn.XLOOKUP($G366,'.Auxiliar'!$G:$G,'.Auxiliar'!E:E,"-",0)</f>
        <v>19.399999999999999</v>
      </c>
      <c r="F366" s="55">
        <f>_xlfn.XLOOKUP($G366,'.Auxiliar'!$G:$G,'.Auxiliar'!F:F,"-",0)</f>
        <v>1</v>
      </c>
      <c r="G366" s="59" t="s">
        <v>490</v>
      </c>
      <c r="H366" s="108" t="s">
        <v>363</v>
      </c>
      <c r="I366" s="109" t="s">
        <v>0</v>
      </c>
      <c r="J366" s="109" t="s">
        <v>0</v>
      </c>
      <c r="K366" s="109" t="s">
        <v>0</v>
      </c>
      <c r="L366" s="109" t="s">
        <v>0</v>
      </c>
      <c r="M366" s="109" t="s">
        <v>0</v>
      </c>
      <c r="N366" s="110" t="s">
        <v>0</v>
      </c>
      <c r="O366" s="111">
        <v>100</v>
      </c>
      <c r="P366" s="112">
        <v>100</v>
      </c>
      <c r="Q366" s="112"/>
      <c r="R366" s="112"/>
      <c r="S366" s="112"/>
      <c r="T366" s="112"/>
      <c r="U366" s="95">
        <f t="shared" si="15"/>
        <v>0</v>
      </c>
      <c r="V366" s="112"/>
      <c r="W366" s="112"/>
      <c r="X366" s="107"/>
      <c r="Y366" s="107">
        <f t="shared" si="16"/>
        <v>100</v>
      </c>
      <c r="Z366" s="107">
        <f t="shared" si="17"/>
        <v>100</v>
      </c>
    </row>
    <row r="367" spans="1:26" x14ac:dyDescent="0.25">
      <c r="A367" s="55" t="str">
        <f>_xlfn.XLOOKUP($G367,'.Auxiliar'!$G:$G,'.Auxiliar'!A:A,"-",0)</f>
        <v>FERNÃO DIAS</v>
      </c>
      <c r="B367" s="55" t="str">
        <f>_xlfn.XLOOKUP($G367,'.Auxiliar'!$G:$G,'.Auxiliar'!B:B,"-",0)</f>
        <v>OAE</v>
      </c>
      <c r="C367" s="55" t="str">
        <f>_xlfn.XLOOKUP($G367,'.Auxiliar'!$G:$G,'.Auxiliar'!C:C,"-",0)</f>
        <v>Complementação do trevo de acesso ao bairro de Garipocaba - Obras do DNIT</v>
      </c>
      <c r="D367" s="55">
        <f>_xlfn.XLOOKUP($G367,'.Auxiliar'!$G:$G,'.Auxiliar'!D:D,"-",0)</f>
        <v>10.5</v>
      </c>
      <c r="E367" s="55">
        <f>_xlfn.XLOOKUP($G367,'.Auxiliar'!$G:$G,'.Auxiliar'!E:E,"-",0)</f>
        <v>10.5</v>
      </c>
      <c r="F367" s="55">
        <f>_xlfn.XLOOKUP($G367,'.Auxiliar'!$G:$G,'.Auxiliar'!F:F,"-",0)</f>
        <v>1</v>
      </c>
      <c r="G367" s="59" t="s">
        <v>493</v>
      </c>
      <c r="H367" s="108" t="s">
        <v>363</v>
      </c>
      <c r="I367" s="109" t="s">
        <v>0</v>
      </c>
      <c r="J367" s="109" t="s">
        <v>0</v>
      </c>
      <c r="K367" s="109" t="s">
        <v>0</v>
      </c>
      <c r="L367" s="109" t="s">
        <v>0</v>
      </c>
      <c r="M367" s="109" t="s">
        <v>0</v>
      </c>
      <c r="N367" s="110" t="s">
        <v>0</v>
      </c>
      <c r="O367" s="111">
        <v>100</v>
      </c>
      <c r="P367" s="112">
        <v>100</v>
      </c>
      <c r="Q367" s="112"/>
      <c r="R367" s="112"/>
      <c r="S367" s="112"/>
      <c r="T367" s="112"/>
      <c r="U367" s="95">
        <f t="shared" si="15"/>
        <v>0</v>
      </c>
      <c r="V367" s="112"/>
      <c r="W367" s="112"/>
      <c r="X367" s="107"/>
      <c r="Y367" s="107">
        <f t="shared" si="16"/>
        <v>100</v>
      </c>
      <c r="Z367" s="107">
        <f t="shared" si="17"/>
        <v>100</v>
      </c>
    </row>
    <row r="368" spans="1:26" x14ac:dyDescent="0.25">
      <c r="A368" s="55" t="str">
        <f>_xlfn.XLOOKUP($G368,'.Auxiliar'!$G:$G,'.Auxiliar'!A:A,"-",0)</f>
        <v>FERNÃO DIAS</v>
      </c>
      <c r="B368" s="55" t="str">
        <f>_xlfn.XLOOKUP($G368,'.Auxiliar'!$G:$G,'.Auxiliar'!B:B,"-",0)</f>
        <v>OAE</v>
      </c>
      <c r="C368" s="55" t="str">
        <f>_xlfn.XLOOKUP($G368,'.Auxiliar'!$G:$G,'.Auxiliar'!C:C,"-",0)</f>
        <v>Conclusão do trevo de acesso à SP-008 - Obras DNIT</v>
      </c>
      <c r="D368" s="55">
        <f>_xlfn.XLOOKUP($G368,'.Auxiliar'!$G:$G,'.Auxiliar'!D:D,"-",0)</f>
        <v>67.7</v>
      </c>
      <c r="E368" s="55">
        <f>_xlfn.XLOOKUP($G368,'.Auxiliar'!$G:$G,'.Auxiliar'!E:E,"-",0)</f>
        <v>67.7</v>
      </c>
      <c r="F368" s="55">
        <f>_xlfn.XLOOKUP($G368,'.Auxiliar'!$G:$G,'.Auxiliar'!F:F,"-",0)</f>
        <v>1</v>
      </c>
      <c r="G368" s="59" t="s">
        <v>492</v>
      </c>
      <c r="H368" s="108" t="s">
        <v>363</v>
      </c>
      <c r="I368" s="109" t="s">
        <v>0</v>
      </c>
      <c r="J368" s="109" t="s">
        <v>0</v>
      </c>
      <c r="K368" s="109" t="s">
        <v>0</v>
      </c>
      <c r="L368" s="109" t="s">
        <v>0</v>
      </c>
      <c r="M368" s="109" t="s">
        <v>0</v>
      </c>
      <c r="N368" s="110" t="s">
        <v>0</v>
      </c>
      <c r="O368" s="111">
        <v>100</v>
      </c>
      <c r="P368" s="112">
        <v>100</v>
      </c>
      <c r="Q368" s="112"/>
      <c r="R368" s="112"/>
      <c r="S368" s="112"/>
      <c r="T368" s="112"/>
      <c r="U368" s="95">
        <f t="shared" si="15"/>
        <v>0</v>
      </c>
      <c r="V368" s="112"/>
      <c r="W368" s="112"/>
      <c r="X368" s="107"/>
      <c r="Y368" s="107">
        <f t="shared" si="16"/>
        <v>100</v>
      </c>
      <c r="Z368" s="107">
        <f t="shared" si="17"/>
        <v>100</v>
      </c>
    </row>
    <row r="369" spans="1:26" x14ac:dyDescent="0.25">
      <c r="A369" s="55" t="str">
        <f>_xlfn.XLOOKUP($G369,'.Auxiliar'!$G:$G,'.Auxiliar'!A:A,"-",0)</f>
        <v>FERNÃO DIAS</v>
      </c>
      <c r="B369" s="55" t="str">
        <f>_xlfn.XLOOKUP($G369,'.Auxiliar'!$G:$G,'.Auxiliar'!B:B,"-",0)</f>
        <v>OAE</v>
      </c>
      <c r="C369" s="55" t="str">
        <f>_xlfn.XLOOKUP($G369,'.Auxiliar'!$G:$G,'.Auxiliar'!C:C,"-",0)</f>
        <v>Conclusão do trevo de acesso ao bairro de Esmeralda - Obras do DNIT</v>
      </c>
      <c r="D369" s="55">
        <f>_xlfn.XLOOKUP($G369,'.Auxiliar'!$G:$G,'.Auxiliar'!D:D,"-",0)</f>
        <v>25.7</v>
      </c>
      <c r="E369" s="55">
        <f>_xlfn.XLOOKUP($G369,'.Auxiliar'!$G:$G,'.Auxiliar'!E:E,"-",0)</f>
        <v>25.7</v>
      </c>
      <c r="F369" s="55">
        <f>_xlfn.XLOOKUP($G369,'.Auxiliar'!$G:$G,'.Auxiliar'!F:F,"-",0)</f>
        <v>1</v>
      </c>
      <c r="G369" s="59" t="s">
        <v>496</v>
      </c>
      <c r="H369" s="108" t="s">
        <v>363</v>
      </c>
      <c r="I369" s="109" t="s">
        <v>0</v>
      </c>
      <c r="J369" s="109" t="s">
        <v>0</v>
      </c>
      <c r="K369" s="109" t="s">
        <v>0</v>
      </c>
      <c r="L369" s="109" t="s">
        <v>0</v>
      </c>
      <c r="M369" s="109" t="s">
        <v>0</v>
      </c>
      <c r="N369" s="110" t="s">
        <v>0</v>
      </c>
      <c r="O369" s="111">
        <v>100</v>
      </c>
      <c r="P369" s="112">
        <v>100</v>
      </c>
      <c r="Q369" s="112"/>
      <c r="R369" s="112"/>
      <c r="S369" s="112"/>
      <c r="T369" s="112"/>
      <c r="U369" s="95">
        <f t="shared" si="15"/>
        <v>0</v>
      </c>
      <c r="V369" s="112"/>
      <c r="W369" s="112"/>
      <c r="X369" s="107"/>
      <c r="Y369" s="107">
        <f t="shared" si="16"/>
        <v>100</v>
      </c>
      <c r="Z369" s="107">
        <f t="shared" si="17"/>
        <v>100</v>
      </c>
    </row>
    <row r="370" spans="1:26" x14ac:dyDescent="0.25">
      <c r="A370" s="55" t="str">
        <f>_xlfn.XLOOKUP($G370,'.Auxiliar'!$G:$G,'.Auxiliar'!A:A,"-",0)</f>
        <v>FERNÃO DIAS</v>
      </c>
      <c r="B370" s="55" t="str">
        <f>_xlfn.XLOOKUP($G370,'.Auxiliar'!$G:$G,'.Auxiliar'!B:B,"-",0)</f>
        <v>OAE</v>
      </c>
      <c r="C370" s="55" t="str">
        <f>_xlfn.XLOOKUP($G370,'.Auxiliar'!$G:$G,'.Auxiliar'!C:C,"-",0)</f>
        <v>Conclusão do trevo de acesso ao bairro de Guaripocaba II - Obras do DNIT</v>
      </c>
      <c r="D370" s="55">
        <f>_xlfn.XLOOKUP($G370,'.Auxiliar'!$G:$G,'.Auxiliar'!D:D,"-",0)</f>
        <v>12</v>
      </c>
      <c r="E370" s="55">
        <f>_xlfn.XLOOKUP($G370,'.Auxiliar'!$G:$G,'.Auxiliar'!E:E,"-",0)</f>
        <v>12</v>
      </c>
      <c r="F370" s="55">
        <f>_xlfn.XLOOKUP($G370,'.Auxiliar'!$G:$G,'.Auxiliar'!F:F,"-",0)</f>
        <v>1</v>
      </c>
      <c r="G370" s="59" t="s">
        <v>494</v>
      </c>
      <c r="H370" s="108" t="s">
        <v>363</v>
      </c>
      <c r="I370" s="109" t="s">
        <v>0</v>
      </c>
      <c r="J370" s="109" t="s">
        <v>0</v>
      </c>
      <c r="K370" s="109" t="s">
        <v>0</v>
      </c>
      <c r="L370" s="109" t="s">
        <v>0</v>
      </c>
      <c r="M370" s="109" t="s">
        <v>0</v>
      </c>
      <c r="N370" s="110" t="s">
        <v>0</v>
      </c>
      <c r="O370" s="111">
        <v>100</v>
      </c>
      <c r="P370" s="112">
        <v>100</v>
      </c>
      <c r="Q370" s="112"/>
      <c r="R370" s="112"/>
      <c r="S370" s="112"/>
      <c r="T370" s="112"/>
      <c r="U370" s="95">
        <f t="shared" si="15"/>
        <v>0</v>
      </c>
      <c r="V370" s="112"/>
      <c r="W370" s="112"/>
      <c r="X370" s="107"/>
      <c r="Y370" s="107">
        <f t="shared" si="16"/>
        <v>100</v>
      </c>
      <c r="Z370" s="107">
        <f t="shared" si="17"/>
        <v>100</v>
      </c>
    </row>
    <row r="371" spans="1:26" x14ac:dyDescent="0.25">
      <c r="A371" s="55" t="str">
        <f>_xlfn.XLOOKUP($G371,'.Auxiliar'!$G:$G,'.Auxiliar'!A:A,"-",0)</f>
        <v>FERNÃO DIAS</v>
      </c>
      <c r="B371" s="55" t="str">
        <f>_xlfn.XLOOKUP($G371,'.Auxiliar'!$G:$G,'.Auxiliar'!B:B,"-",0)</f>
        <v>OAE</v>
      </c>
      <c r="C371" s="55" t="str">
        <f>_xlfn.XLOOKUP($G371,'.Auxiliar'!$G:$G,'.Auxiliar'!C:C,"-",0)</f>
        <v>Conclusão do trevo de acesso ao bairro de São Sebastião - Obras do DNIT</v>
      </c>
      <c r="D371" s="55">
        <f>_xlfn.XLOOKUP($G371,'.Auxiliar'!$G:$G,'.Auxiliar'!D:D,"-",0)</f>
        <v>33</v>
      </c>
      <c r="E371" s="55">
        <f>_xlfn.XLOOKUP($G371,'.Auxiliar'!$G:$G,'.Auxiliar'!E:E,"-",0)</f>
        <v>33</v>
      </c>
      <c r="F371" s="55">
        <f>_xlfn.XLOOKUP($G371,'.Auxiliar'!$G:$G,'.Auxiliar'!F:F,"-",0)</f>
        <v>1</v>
      </c>
      <c r="G371" s="59" t="s">
        <v>497</v>
      </c>
      <c r="H371" s="108" t="s">
        <v>363</v>
      </c>
      <c r="I371" s="109" t="s">
        <v>0</v>
      </c>
      <c r="J371" s="109" t="s">
        <v>0</v>
      </c>
      <c r="K371" s="109" t="s">
        <v>0</v>
      </c>
      <c r="L371" s="109" t="s">
        <v>0</v>
      </c>
      <c r="M371" s="109" t="s">
        <v>0</v>
      </c>
      <c r="N371" s="110" t="s">
        <v>0</v>
      </c>
      <c r="O371" s="111">
        <v>100</v>
      </c>
      <c r="P371" s="112">
        <v>100</v>
      </c>
      <c r="Q371" s="112"/>
      <c r="R371" s="112"/>
      <c r="S371" s="112"/>
      <c r="T371" s="112"/>
      <c r="U371" s="95">
        <f t="shared" si="15"/>
        <v>0</v>
      </c>
      <c r="V371" s="112"/>
      <c r="W371" s="112"/>
      <c r="X371" s="107"/>
      <c r="Y371" s="107">
        <f t="shared" si="16"/>
        <v>100</v>
      </c>
      <c r="Z371" s="107">
        <f t="shared" si="17"/>
        <v>100</v>
      </c>
    </row>
    <row r="372" spans="1:26" x14ac:dyDescent="0.25">
      <c r="A372" s="55" t="str">
        <f>_xlfn.XLOOKUP($G372,'.Auxiliar'!$G:$G,'.Auxiliar'!A:A,"-",0)</f>
        <v>FERNÃO DIAS</v>
      </c>
      <c r="B372" s="55" t="str">
        <f>_xlfn.XLOOKUP($G372,'.Auxiliar'!$G:$G,'.Auxiliar'!B:B,"-",0)</f>
        <v>OAE</v>
      </c>
      <c r="C372" s="55" t="str">
        <f>_xlfn.XLOOKUP($G372,'.Auxiliar'!$G:$G,'.Auxiliar'!C:C,"-",0)</f>
        <v>Conclusão do trevo de acesso ao bairro do Bacci - Obras do DNIT</v>
      </c>
      <c r="D372" s="55">
        <f>_xlfn.XLOOKUP($G372,'.Auxiliar'!$G:$G,'.Auxiliar'!D:D,"-",0)</f>
        <v>16</v>
      </c>
      <c r="E372" s="55">
        <f>_xlfn.XLOOKUP($G372,'.Auxiliar'!$G:$G,'.Auxiliar'!E:E,"-",0)</f>
        <v>16</v>
      </c>
      <c r="F372" s="55">
        <f>_xlfn.XLOOKUP($G372,'.Auxiliar'!$G:$G,'.Auxiliar'!F:F,"-",0)</f>
        <v>1</v>
      </c>
      <c r="G372" s="59" t="s">
        <v>495</v>
      </c>
      <c r="H372" s="108" t="s">
        <v>363</v>
      </c>
      <c r="I372" s="109" t="s">
        <v>0</v>
      </c>
      <c r="J372" s="109" t="s">
        <v>0</v>
      </c>
      <c r="K372" s="109" t="s">
        <v>0</v>
      </c>
      <c r="L372" s="109" t="s">
        <v>0</v>
      </c>
      <c r="M372" s="109" t="s">
        <v>0</v>
      </c>
      <c r="N372" s="110" t="s">
        <v>0</v>
      </c>
      <c r="O372" s="111">
        <v>100</v>
      </c>
      <c r="P372" s="112">
        <v>100</v>
      </c>
      <c r="Q372" s="112"/>
      <c r="R372" s="112"/>
      <c r="S372" s="112"/>
      <c r="T372" s="112"/>
      <c r="U372" s="95">
        <f t="shared" si="15"/>
        <v>0</v>
      </c>
      <c r="V372" s="112"/>
      <c r="W372" s="112"/>
      <c r="X372" s="107"/>
      <c r="Y372" s="107">
        <f t="shared" si="16"/>
        <v>100</v>
      </c>
      <c r="Z372" s="107">
        <f t="shared" si="17"/>
        <v>100</v>
      </c>
    </row>
    <row r="373" spans="1:26" x14ac:dyDescent="0.25">
      <c r="A373" s="55" t="str">
        <f>_xlfn.XLOOKUP($G373,'.Auxiliar'!$G:$G,'.Auxiliar'!A:A,"-",0)</f>
        <v>FERNÃO DIAS</v>
      </c>
      <c r="B373" s="55" t="str">
        <f>_xlfn.XLOOKUP($G373,'.Auxiliar'!$G:$G,'.Auxiliar'!B:B,"-",0)</f>
        <v>OAE</v>
      </c>
      <c r="C373" s="55" t="str">
        <f>_xlfn.XLOOKUP($G373,'.Auxiliar'!$G:$G,'.Auxiliar'!C:C,"-",0)</f>
        <v>Conclusão trevo de terra preta - Obras DNIT</v>
      </c>
      <c r="D373" s="55">
        <f>_xlfn.XLOOKUP($G373,'.Auxiliar'!$G:$G,'.Auxiliar'!D:D,"-",0)</f>
        <v>57</v>
      </c>
      <c r="E373" s="55">
        <f>_xlfn.XLOOKUP($G373,'.Auxiliar'!$G:$G,'.Auxiliar'!E:E,"-",0)</f>
        <v>57</v>
      </c>
      <c r="F373" s="55">
        <f>_xlfn.XLOOKUP($G373,'.Auxiliar'!$G:$G,'.Auxiliar'!F:F,"-",0)</f>
        <v>1</v>
      </c>
      <c r="G373" s="59" t="s">
        <v>491</v>
      </c>
      <c r="H373" s="108" t="s">
        <v>363</v>
      </c>
      <c r="I373" s="109" t="s">
        <v>0</v>
      </c>
      <c r="J373" s="109" t="s">
        <v>0</v>
      </c>
      <c r="K373" s="109" t="s">
        <v>0</v>
      </c>
      <c r="L373" s="109" t="s">
        <v>0</v>
      </c>
      <c r="M373" s="109" t="s">
        <v>0</v>
      </c>
      <c r="N373" s="110" t="s">
        <v>0</v>
      </c>
      <c r="O373" s="111">
        <v>100</v>
      </c>
      <c r="P373" s="112">
        <v>100</v>
      </c>
      <c r="Q373" s="112"/>
      <c r="R373" s="112"/>
      <c r="S373" s="112"/>
      <c r="T373" s="112"/>
      <c r="U373" s="95">
        <f t="shared" si="15"/>
        <v>0</v>
      </c>
      <c r="V373" s="112"/>
      <c r="W373" s="112"/>
      <c r="X373" s="107"/>
      <c r="Y373" s="107">
        <f t="shared" si="16"/>
        <v>100</v>
      </c>
      <c r="Z373" s="107">
        <f t="shared" si="17"/>
        <v>100</v>
      </c>
    </row>
    <row r="374" spans="1:26" x14ac:dyDescent="0.25">
      <c r="A374" s="55" t="str">
        <f>_xlfn.XLOOKUP($G374,'.Auxiliar'!$G:$G,'.Auxiliar'!A:A,"-",0)</f>
        <v>FERNÃO DIAS</v>
      </c>
      <c r="B374" s="55" t="str">
        <f>_xlfn.XLOOKUP($G374,'.Auxiliar'!$G:$G,'.Auxiliar'!B:B,"-",0)</f>
        <v>OAE</v>
      </c>
      <c r="C374" s="55" t="str">
        <f>_xlfn.XLOOKUP($G374,'.Auxiliar'!$G:$G,'.Auxiliar'!C:C,"-",0)</f>
        <v>Implantação de Passagem em Desnível Inferior tipo Trincheira:</v>
      </c>
      <c r="D374" s="55">
        <v>477.69</v>
      </c>
      <c r="E374" s="55">
        <v>477.69</v>
      </c>
      <c r="F374" s="55">
        <f>_xlfn.XLOOKUP($G374,'.Auxiliar'!$G:$G,'.Auxiliar'!F:F,"-",0)</f>
        <v>1</v>
      </c>
      <c r="G374" s="59" t="s">
        <v>500</v>
      </c>
      <c r="H374" s="108" t="s">
        <v>363</v>
      </c>
      <c r="I374" s="109" t="s">
        <v>0</v>
      </c>
      <c r="J374" s="109" t="s">
        <v>0</v>
      </c>
      <c r="K374" s="109" t="s">
        <v>0</v>
      </c>
      <c r="L374" s="109" t="s">
        <v>0</v>
      </c>
      <c r="M374" s="109" t="s">
        <v>0</v>
      </c>
      <c r="N374" s="110" t="s">
        <v>0</v>
      </c>
      <c r="O374" s="111">
        <v>100</v>
      </c>
      <c r="P374" s="112">
        <v>100</v>
      </c>
      <c r="Q374" s="112"/>
      <c r="R374" s="112"/>
      <c r="S374" s="112"/>
      <c r="T374" s="112"/>
      <c r="U374" s="95">
        <f t="shared" si="15"/>
        <v>0</v>
      </c>
      <c r="V374" s="112"/>
      <c r="W374" s="112"/>
      <c r="X374" s="107"/>
      <c r="Y374" s="107">
        <f t="shared" si="16"/>
        <v>100</v>
      </c>
      <c r="Z374" s="107">
        <f t="shared" si="17"/>
        <v>100</v>
      </c>
    </row>
    <row r="375" spans="1:26" x14ac:dyDescent="0.25">
      <c r="A375" s="55" t="str">
        <f>_xlfn.XLOOKUP($G375,'.Auxiliar'!$G:$G,'.Auxiliar'!A:A,"-",0)</f>
        <v>FERNÃO DIAS</v>
      </c>
      <c r="B375" s="55" t="str">
        <f>_xlfn.XLOOKUP($G375,'.Auxiliar'!$G:$G,'.Auxiliar'!B:B,"-",0)</f>
        <v>OAE</v>
      </c>
      <c r="C375" s="55" t="str">
        <f>_xlfn.XLOOKUP($G375,'.Auxiliar'!$G:$G,'.Auxiliar'!C:C,"-",0)</f>
        <v>Implantação de Trevos em Desnível, com Alças, em Pista Dupla – Completo</v>
      </c>
      <c r="D375" s="55" t="s">
        <v>1855</v>
      </c>
      <c r="E375" s="55" t="s">
        <v>1855</v>
      </c>
      <c r="F375" s="55">
        <f>_xlfn.XLOOKUP($G375,'.Auxiliar'!$G:$G,'.Auxiliar'!F:F,"-",0)</f>
        <v>1</v>
      </c>
      <c r="G375" s="59" t="s">
        <v>498</v>
      </c>
      <c r="H375" s="108" t="s">
        <v>363</v>
      </c>
      <c r="I375" s="109" t="s">
        <v>0</v>
      </c>
      <c r="J375" s="109" t="s">
        <v>0</v>
      </c>
      <c r="K375" s="109" t="s">
        <v>0</v>
      </c>
      <c r="L375" s="109" t="s">
        <v>0</v>
      </c>
      <c r="M375" s="109" t="s">
        <v>0</v>
      </c>
      <c r="N375" s="110" t="s">
        <v>0</v>
      </c>
      <c r="O375" s="111">
        <v>100</v>
      </c>
      <c r="P375" s="112">
        <v>0</v>
      </c>
      <c r="Q375" s="112"/>
      <c r="R375" s="112"/>
      <c r="S375" s="112"/>
      <c r="T375" s="112"/>
      <c r="U375" s="95" t="str">
        <f t="shared" si="15"/>
        <v/>
      </c>
      <c r="V375" s="112">
        <v>8</v>
      </c>
      <c r="W375" s="112">
        <v>92</v>
      </c>
      <c r="X375" s="107"/>
      <c r="Y375" s="107">
        <f t="shared" si="16"/>
        <v>100</v>
      </c>
      <c r="Z375" s="107">
        <f t="shared" si="17"/>
        <v>0</v>
      </c>
    </row>
    <row r="376" spans="1:26" x14ac:dyDescent="0.25">
      <c r="A376" s="55" t="str">
        <f>_xlfn.XLOOKUP($G376,'.Auxiliar'!$G:$G,'.Auxiliar'!A:A,"-",0)</f>
        <v>FERNÃO DIAS</v>
      </c>
      <c r="B376" s="55" t="str">
        <f>_xlfn.XLOOKUP($G376,'.Auxiliar'!$G:$G,'.Auxiliar'!B:B,"-",0)</f>
        <v>OAE</v>
      </c>
      <c r="C376" s="55" t="str">
        <f>_xlfn.XLOOKUP($G376,'.Auxiliar'!$G:$G,'.Auxiliar'!C:C,"-",0)</f>
        <v>Implantação de Trevos em Desnível, com Alças, em Pista Dupla – Completo</v>
      </c>
      <c r="D376" s="119" t="s">
        <v>1858</v>
      </c>
      <c r="E376" s="119" t="s">
        <v>1856</v>
      </c>
      <c r="F376" s="55">
        <f>_xlfn.XLOOKUP($G376,'.Auxiliar'!$G:$G,'.Auxiliar'!F:F,"-",0)</f>
        <v>1</v>
      </c>
      <c r="G376" s="59" t="s">
        <v>498</v>
      </c>
      <c r="H376" s="108" t="s">
        <v>363</v>
      </c>
      <c r="N376" s="110"/>
      <c r="O376" s="111">
        <v>100</v>
      </c>
      <c r="P376" s="112">
        <v>0</v>
      </c>
      <c r="Q376" s="112"/>
      <c r="R376" s="112"/>
      <c r="S376" s="90">
        <v>62</v>
      </c>
      <c r="T376" s="90">
        <v>0</v>
      </c>
      <c r="U376" s="95">
        <f t="shared" si="15"/>
        <v>100</v>
      </c>
      <c r="V376" s="112">
        <f>100-S376</f>
        <v>38</v>
      </c>
      <c r="W376" s="112"/>
      <c r="X376" s="107"/>
      <c r="Y376" s="107">
        <f t="shared" si="16"/>
        <v>100</v>
      </c>
      <c r="Z376" s="107">
        <f t="shared" si="17"/>
        <v>0</v>
      </c>
    </row>
    <row r="377" spans="1:26" x14ac:dyDescent="0.25">
      <c r="A377" s="55" t="str">
        <f>_xlfn.XLOOKUP($G377,'.Auxiliar'!$G:$G,'.Auxiliar'!A:A,"-",0)</f>
        <v>FERNÃO DIAS</v>
      </c>
      <c r="B377" s="55" t="str">
        <f>_xlfn.XLOOKUP($G377,'.Auxiliar'!$G:$G,'.Auxiliar'!B:B,"-",0)</f>
        <v>OAE</v>
      </c>
      <c r="C377" s="55" t="str">
        <f>_xlfn.XLOOKUP($G377,'.Auxiliar'!$G:$G,'.Auxiliar'!C:C,"-",0)</f>
        <v>Implantação de Trevos em Desnível, com Alças, em Pista Dupla – Completo</v>
      </c>
      <c r="D377" s="119" t="s">
        <v>1860</v>
      </c>
      <c r="E377" s="119" t="s">
        <v>1860</v>
      </c>
      <c r="F377" s="55">
        <f>_xlfn.XLOOKUP($G377,'.Auxiliar'!$G:$G,'.Auxiliar'!F:F,"-",0)</f>
        <v>1</v>
      </c>
      <c r="G377" s="59" t="s">
        <v>498</v>
      </c>
      <c r="H377" s="108" t="s">
        <v>363</v>
      </c>
      <c r="N377" s="110"/>
      <c r="O377" s="111">
        <v>100</v>
      </c>
      <c r="P377" s="112">
        <v>100</v>
      </c>
      <c r="Q377" s="112"/>
      <c r="R377" s="112"/>
      <c r="S377" s="112"/>
      <c r="T377" s="112"/>
      <c r="U377" s="95">
        <f t="shared" si="15"/>
        <v>0</v>
      </c>
      <c r="V377" s="112"/>
      <c r="W377" s="112"/>
      <c r="X377" s="107"/>
      <c r="Y377" s="107">
        <f t="shared" si="16"/>
        <v>100</v>
      </c>
      <c r="Z377" s="107">
        <f t="shared" si="17"/>
        <v>100</v>
      </c>
    </row>
    <row r="378" spans="1:26" x14ac:dyDescent="0.25">
      <c r="A378" s="55" t="str">
        <f>_xlfn.XLOOKUP($G378,'.Auxiliar'!$G:$G,'.Auxiliar'!A:A,"-",0)</f>
        <v>FERNÃO DIAS</v>
      </c>
      <c r="B378" s="55" t="str">
        <f>_xlfn.XLOOKUP($G378,'.Auxiliar'!$G:$G,'.Auxiliar'!B:B,"-",0)</f>
        <v>OAE</v>
      </c>
      <c r="C378" s="55" t="str">
        <f>_xlfn.XLOOKUP($G378,'.Auxiliar'!$G:$G,'.Auxiliar'!C:C,"-",0)</f>
        <v>Implantação de Trevos em Desnível, com Alças, em Pista Dupla – Completo</v>
      </c>
      <c r="D378" s="55" t="s">
        <v>1857</v>
      </c>
      <c r="E378" s="55" t="s">
        <v>1857</v>
      </c>
      <c r="F378" s="55">
        <f>_xlfn.XLOOKUP($G378,'.Auxiliar'!$G:$G,'.Auxiliar'!F:F,"-",0)</f>
        <v>1</v>
      </c>
      <c r="G378" s="59" t="s">
        <v>498</v>
      </c>
      <c r="H378" s="108" t="s">
        <v>363</v>
      </c>
      <c r="N378" s="110"/>
      <c r="O378" s="111">
        <v>100</v>
      </c>
      <c r="P378" s="112">
        <v>0</v>
      </c>
      <c r="Q378" s="112"/>
      <c r="R378" s="112"/>
      <c r="S378" s="90">
        <v>76</v>
      </c>
      <c r="T378" s="90">
        <v>0</v>
      </c>
      <c r="U378" s="95">
        <f t="shared" si="15"/>
        <v>100</v>
      </c>
      <c r="V378" s="112">
        <f>100-S378</f>
        <v>24</v>
      </c>
      <c r="W378" s="112"/>
      <c r="X378" s="107"/>
      <c r="Y378" s="107">
        <f t="shared" si="16"/>
        <v>100</v>
      </c>
      <c r="Z378" s="107">
        <f t="shared" si="17"/>
        <v>0</v>
      </c>
    </row>
    <row r="379" spans="1:26" x14ac:dyDescent="0.25">
      <c r="A379" s="55" t="str">
        <f>_xlfn.XLOOKUP($G379,'.Auxiliar'!$G:$G,'.Auxiliar'!A:A,"-",0)</f>
        <v>FERNÃO DIAS</v>
      </c>
      <c r="B379" s="55" t="str">
        <f>_xlfn.XLOOKUP($G379,'.Auxiliar'!$G:$G,'.Auxiliar'!B:B,"-",0)</f>
        <v>OAE</v>
      </c>
      <c r="C379" s="55" t="str">
        <f>_xlfn.XLOOKUP($G379,'.Auxiliar'!$G:$G,'.Auxiliar'!C:C,"-",0)</f>
        <v>Implantação de Trevos em Desnível, com Alças, em Pista Dupla – Completo - Igarapé/MG</v>
      </c>
      <c r="D379" s="55" t="s">
        <v>1863</v>
      </c>
      <c r="E379" s="55" t="s">
        <v>1863</v>
      </c>
      <c r="F379" s="55">
        <f>_xlfn.XLOOKUP($G379,'.Auxiliar'!$G:$G,'.Auxiliar'!F:F,"-",0)</f>
        <v>1</v>
      </c>
      <c r="G379" s="59" t="s">
        <v>499</v>
      </c>
      <c r="H379" s="108" t="s">
        <v>363</v>
      </c>
      <c r="I379" s="115" t="s">
        <v>1881</v>
      </c>
      <c r="J379" s="109" t="s">
        <v>0</v>
      </c>
      <c r="K379" s="109" t="s">
        <v>0</v>
      </c>
      <c r="L379" s="109" t="s">
        <v>0</v>
      </c>
      <c r="M379" s="109" t="s">
        <v>0</v>
      </c>
      <c r="N379" s="110" t="s">
        <v>0</v>
      </c>
      <c r="O379" s="111">
        <v>14.1</v>
      </c>
      <c r="P379" s="112">
        <v>14.1</v>
      </c>
      <c r="Q379" s="112">
        <v>85.9</v>
      </c>
      <c r="R379" s="112">
        <v>85.9</v>
      </c>
      <c r="S379" s="112"/>
      <c r="T379" s="112"/>
      <c r="U379" s="95">
        <f t="shared" si="15"/>
        <v>0</v>
      </c>
      <c r="V379" s="112"/>
      <c r="W379" s="112"/>
      <c r="X379" s="107"/>
      <c r="Y379" s="107">
        <f t="shared" si="16"/>
        <v>100</v>
      </c>
      <c r="Z379" s="107">
        <f t="shared" si="17"/>
        <v>100</v>
      </c>
    </row>
    <row r="380" spans="1:26" x14ac:dyDescent="0.25">
      <c r="A380" s="55" t="str">
        <f>_xlfn.XLOOKUP($G380,'.Auxiliar'!$G:$G,'.Auxiliar'!A:A,"-",0)</f>
        <v>FERNÃO DIAS</v>
      </c>
      <c r="B380" s="55" t="str">
        <f>_xlfn.XLOOKUP($G380,'.Auxiliar'!$G:$G,'.Auxiliar'!B:B,"-",0)</f>
        <v>OAE</v>
      </c>
      <c r="C380" s="55" t="str">
        <f>_xlfn.XLOOKUP($G380,'.Auxiliar'!$G:$G,'.Auxiliar'!C:C,"-",0)</f>
        <v>Implantação de Trevos em Desnível, com Alças, em Pista Dupla – Parcial</v>
      </c>
      <c r="D380" s="55" t="s">
        <v>1861</v>
      </c>
      <c r="E380" s="55" t="s">
        <v>1861</v>
      </c>
      <c r="F380" s="55">
        <f>_xlfn.XLOOKUP($G380,'.Auxiliar'!$G:$G,'.Auxiliar'!F:F,"-",0)</f>
        <v>1</v>
      </c>
      <c r="G380" s="59" t="s">
        <v>489</v>
      </c>
      <c r="H380" s="108" t="s">
        <v>363</v>
      </c>
      <c r="I380" s="109" t="s">
        <v>0</v>
      </c>
      <c r="J380" s="109" t="s">
        <v>0</v>
      </c>
      <c r="K380" s="109" t="s">
        <v>0</v>
      </c>
      <c r="L380" s="109" t="s">
        <v>0</v>
      </c>
      <c r="M380" s="109" t="s">
        <v>0</v>
      </c>
      <c r="N380" s="110" t="s">
        <v>0</v>
      </c>
      <c r="O380" s="111">
        <v>100</v>
      </c>
      <c r="P380" s="112">
        <v>100</v>
      </c>
      <c r="Q380" s="112"/>
      <c r="R380" s="112"/>
      <c r="S380" s="112"/>
      <c r="T380" s="112"/>
      <c r="U380" s="95">
        <f t="shared" si="15"/>
        <v>0</v>
      </c>
      <c r="V380" s="112"/>
      <c r="W380" s="112"/>
      <c r="X380" s="107"/>
      <c r="Y380" s="107">
        <f t="shared" si="16"/>
        <v>100</v>
      </c>
      <c r="Z380" s="107">
        <f t="shared" si="17"/>
        <v>100</v>
      </c>
    </row>
    <row r="381" spans="1:26" x14ac:dyDescent="0.25">
      <c r="A381" s="55" t="str">
        <f>_xlfn.XLOOKUP($G381,'.Auxiliar'!$G:$G,'.Auxiliar'!A:A,"-",0)</f>
        <v>FERNÃO DIAS</v>
      </c>
      <c r="B381" s="55" t="str">
        <f>_xlfn.XLOOKUP($G381,'.Auxiliar'!$G:$G,'.Auxiliar'!B:B,"-",0)</f>
        <v>OAE</v>
      </c>
      <c r="C381" s="55" t="str">
        <f>_xlfn.XLOOKUP($G381,'.Auxiliar'!$G:$G,'.Auxiliar'!C:C,"-",0)</f>
        <v>Implantação de Trevos em Desnível, com Alças, em Pista Dupla – Parcial</v>
      </c>
      <c r="D381" s="119" t="s">
        <v>1859</v>
      </c>
      <c r="E381" s="119" t="s">
        <v>1859</v>
      </c>
      <c r="F381" s="55">
        <f>_xlfn.XLOOKUP($G381,'.Auxiliar'!$G:$G,'.Auxiliar'!F:F,"-",0)</f>
        <v>1</v>
      </c>
      <c r="G381" s="59" t="s">
        <v>489</v>
      </c>
      <c r="H381" s="108" t="s">
        <v>363</v>
      </c>
      <c r="N381" s="110"/>
      <c r="O381" s="111">
        <v>100</v>
      </c>
      <c r="P381" s="112">
        <v>100</v>
      </c>
      <c r="Q381" s="112"/>
      <c r="R381" s="112"/>
      <c r="S381" s="112"/>
      <c r="T381" s="112"/>
      <c r="U381" s="95">
        <f t="shared" si="15"/>
        <v>0</v>
      </c>
      <c r="V381" s="112"/>
      <c r="W381" s="112"/>
      <c r="X381" s="107"/>
      <c r="Y381" s="107">
        <f t="shared" si="16"/>
        <v>100</v>
      </c>
      <c r="Z381" s="107">
        <f t="shared" si="17"/>
        <v>100</v>
      </c>
    </row>
    <row r="382" spans="1:26" x14ac:dyDescent="0.25">
      <c r="A382" s="55" t="str">
        <f>_xlfn.XLOOKUP($G382,'.Auxiliar'!$G:$G,'.Auxiliar'!A:A,"-",0)</f>
        <v>FERNÃO DIAS</v>
      </c>
      <c r="B382" s="55" t="str">
        <f>_xlfn.XLOOKUP($G382,'.Auxiliar'!$G:$G,'.Auxiliar'!B:B,"-",0)</f>
        <v>OAE</v>
      </c>
      <c r="C382" s="55" t="str">
        <f>_xlfn.XLOOKUP($G382,'.Auxiliar'!$G:$G,'.Auxiliar'!C:C,"-",0)</f>
        <v>Implantação de Trevos em Desnível, com Alças, em Pista Dupla – Parcial</v>
      </c>
      <c r="D382" s="55" t="s">
        <v>1862</v>
      </c>
      <c r="E382" s="55" t="s">
        <v>1862</v>
      </c>
      <c r="F382" s="55">
        <f>_xlfn.XLOOKUP($G382,'.Auxiliar'!$G:$G,'.Auxiliar'!F:F,"-",0)</f>
        <v>1</v>
      </c>
      <c r="G382" s="59" t="s">
        <v>489</v>
      </c>
      <c r="H382" s="108" t="s">
        <v>363</v>
      </c>
      <c r="N382" s="110"/>
      <c r="O382" s="111">
        <v>100</v>
      </c>
      <c r="P382" s="112">
        <v>100</v>
      </c>
      <c r="Q382" s="112"/>
      <c r="R382" s="112"/>
      <c r="S382" s="112"/>
      <c r="T382" s="112"/>
      <c r="U382" s="95">
        <f t="shared" si="15"/>
        <v>0</v>
      </c>
      <c r="V382" s="112"/>
      <c r="W382" s="112"/>
      <c r="X382" s="107"/>
      <c r="Y382" s="107">
        <f t="shared" si="16"/>
        <v>100</v>
      </c>
      <c r="Z382" s="107">
        <f t="shared" si="17"/>
        <v>100</v>
      </c>
    </row>
    <row r="383" spans="1:26" x14ac:dyDescent="0.25">
      <c r="A383" s="55" t="str">
        <f>_xlfn.XLOOKUP($G383,'.Auxiliar'!$G:$G,'.Auxiliar'!A:A,"-",0)</f>
        <v>FERNÃO DIAS</v>
      </c>
      <c r="B383" s="55" t="str">
        <f>_xlfn.XLOOKUP($G383,'.Auxiliar'!$G:$G,'.Auxiliar'!B:B,"-",0)</f>
        <v>PAVIMENTAÇÃO</v>
      </c>
      <c r="C383" s="55" t="str">
        <f>_xlfn.XLOOKUP($G383,'.Auxiliar'!$G:$G,'.Auxiliar'!C:C,"-",0)</f>
        <v>Pìsta Norte</v>
      </c>
      <c r="D383" s="55">
        <f>_xlfn.XLOOKUP($G383,'.Auxiliar'!$G:$G,'.Auxiliar'!D:D,"-",0)</f>
        <v>52.9</v>
      </c>
      <c r="E383" s="55">
        <f>_xlfn.XLOOKUP($G383,'.Auxiliar'!$G:$G,'.Auxiliar'!E:E,"-",0)</f>
        <v>54</v>
      </c>
      <c r="F383" s="55">
        <f>_xlfn.XLOOKUP($G383,'.Auxiliar'!$G:$G,'.Auxiliar'!F:F,"-",0)</f>
        <v>1.1000000000000014</v>
      </c>
      <c r="G383" s="59" t="s">
        <v>487</v>
      </c>
      <c r="H383" s="108" t="s">
        <v>363</v>
      </c>
      <c r="I383" s="109" t="s">
        <v>0</v>
      </c>
      <c r="J383" s="109" t="s">
        <v>0</v>
      </c>
      <c r="K383" s="109" t="s">
        <v>0</v>
      </c>
      <c r="L383" s="109" t="s">
        <v>0</v>
      </c>
      <c r="M383" s="109" t="s">
        <v>0</v>
      </c>
      <c r="N383" s="110" t="s">
        <v>0</v>
      </c>
      <c r="O383" s="111">
        <v>100</v>
      </c>
      <c r="P383" s="112">
        <v>100</v>
      </c>
      <c r="Q383" s="112"/>
      <c r="R383" s="112"/>
      <c r="S383" s="112"/>
      <c r="T383" s="112"/>
      <c r="U383" s="95">
        <f t="shared" si="15"/>
        <v>0</v>
      </c>
      <c r="V383" s="112"/>
      <c r="W383" s="112"/>
      <c r="X383" s="107"/>
      <c r="Y383" s="107">
        <f t="shared" si="16"/>
        <v>100</v>
      </c>
      <c r="Z383" s="107">
        <f t="shared" si="17"/>
        <v>100</v>
      </c>
    </row>
    <row r="384" spans="1:26" x14ac:dyDescent="0.25">
      <c r="A384" s="55" t="str">
        <f>_xlfn.XLOOKUP($G384,'.Auxiliar'!$G:$G,'.Auxiliar'!A:A,"-",0)</f>
        <v>FERNÃO DIAS</v>
      </c>
      <c r="B384" s="55" t="str">
        <f>_xlfn.XLOOKUP($G384,'.Auxiliar'!$G:$G,'.Auxiliar'!B:B,"-",0)</f>
        <v>PAVIMENTAÇÃO</v>
      </c>
      <c r="C384" s="55" t="str">
        <f>_xlfn.XLOOKUP($G384,'.Auxiliar'!$G:$G,'.Auxiliar'!C:C,"-",0)</f>
        <v>Pista Norte Atibaia</v>
      </c>
      <c r="D384" s="55">
        <f>_xlfn.XLOOKUP($G384,'.Auxiliar'!$G:$G,'.Auxiliar'!D:D,"-",0)</f>
        <v>49</v>
      </c>
      <c r="E384" s="55">
        <f>_xlfn.XLOOKUP($G384,'.Auxiliar'!$G:$G,'.Auxiliar'!E:E,"-",0)</f>
        <v>50</v>
      </c>
      <c r="F384" s="55">
        <f>_xlfn.XLOOKUP($G384,'.Auxiliar'!$G:$G,'.Auxiliar'!F:F,"-",0)</f>
        <v>1</v>
      </c>
      <c r="G384" s="59" t="s">
        <v>473</v>
      </c>
      <c r="H384" s="108" t="s">
        <v>363</v>
      </c>
      <c r="I384" s="109" t="s">
        <v>0</v>
      </c>
      <c r="J384" s="109" t="s">
        <v>0</v>
      </c>
      <c r="K384" s="109" t="s">
        <v>0</v>
      </c>
      <c r="L384" s="109" t="s">
        <v>0</v>
      </c>
      <c r="M384" s="109" t="s">
        <v>0</v>
      </c>
      <c r="N384" s="110" t="s">
        <v>0</v>
      </c>
      <c r="O384" s="111">
        <v>100</v>
      </c>
      <c r="P384" s="112">
        <v>100</v>
      </c>
      <c r="Q384" s="112"/>
      <c r="R384" s="112"/>
      <c r="S384" s="112"/>
      <c r="T384" s="112"/>
      <c r="U384" s="95">
        <f t="shared" si="15"/>
        <v>0</v>
      </c>
      <c r="V384" s="112"/>
      <c r="W384" s="112"/>
      <c r="X384" s="107"/>
      <c r="Y384" s="107">
        <f t="shared" si="16"/>
        <v>100</v>
      </c>
      <c r="Z384" s="107">
        <f t="shared" si="17"/>
        <v>100</v>
      </c>
    </row>
    <row r="385" spans="1:26" x14ac:dyDescent="0.25">
      <c r="A385" s="55" t="str">
        <f>_xlfn.XLOOKUP($G385,'.Auxiliar'!$G:$G,'.Auxiliar'!A:A,"-",0)</f>
        <v>FERNÃO DIAS</v>
      </c>
      <c r="B385" s="55" t="str">
        <f>_xlfn.XLOOKUP($G385,'.Auxiliar'!$G:$G,'.Auxiliar'!B:B,"-",0)</f>
        <v>PAVIMENTAÇÃO</v>
      </c>
      <c r="C385" s="55" t="str">
        <f>_xlfn.XLOOKUP($G385,'.Auxiliar'!$G:$G,'.Auxiliar'!C:C,"-",0)</f>
        <v>Ruas Laterais em Pista Simples - em segmentos descontínuos</v>
      </c>
      <c r="D385" s="55">
        <f>_xlfn.XLOOKUP($G385,'.Auxiliar'!$G:$G,'.Auxiliar'!D:D,"-",0)</f>
        <v>44</v>
      </c>
      <c r="E385" s="55">
        <f>_xlfn.XLOOKUP($G385,'.Auxiliar'!$G:$G,'.Auxiliar'!E:E,"-",0)</f>
        <v>46</v>
      </c>
      <c r="F385" s="55">
        <f>_xlfn.XLOOKUP($G385,'.Auxiliar'!$G:$G,'.Auxiliar'!F:F,"-",0)</f>
        <v>2</v>
      </c>
      <c r="G385" s="59" t="s">
        <v>484</v>
      </c>
      <c r="H385" s="108" t="s">
        <v>363</v>
      </c>
      <c r="I385" s="109" t="s">
        <v>0</v>
      </c>
      <c r="J385" s="109" t="s">
        <v>0</v>
      </c>
      <c r="K385" s="109" t="s">
        <v>0</v>
      </c>
      <c r="L385" s="109" t="s">
        <v>0</v>
      </c>
      <c r="M385" s="109" t="s">
        <v>0</v>
      </c>
      <c r="N385" s="110" t="s">
        <v>0</v>
      </c>
      <c r="O385" s="111">
        <v>100</v>
      </c>
      <c r="P385" s="112">
        <v>100</v>
      </c>
      <c r="Q385" s="112"/>
      <c r="R385" s="112"/>
      <c r="S385" s="112"/>
      <c r="T385" s="112"/>
      <c r="U385" s="95">
        <f t="shared" si="15"/>
        <v>0</v>
      </c>
      <c r="V385" s="112"/>
      <c r="W385" s="112"/>
      <c r="X385" s="107"/>
      <c r="Y385" s="107">
        <f t="shared" si="16"/>
        <v>100</v>
      </c>
      <c r="Z385" s="107">
        <f t="shared" si="17"/>
        <v>100</v>
      </c>
    </row>
    <row r="386" spans="1:26" x14ac:dyDescent="0.25">
      <c r="A386" s="55" t="str">
        <f>_xlfn.XLOOKUP($G386,'.Auxiliar'!$G:$G,'.Auxiliar'!A:A,"-",0)</f>
        <v>FERNÃO DIAS</v>
      </c>
      <c r="B386" s="55" t="str">
        <f>_xlfn.XLOOKUP($G386,'.Auxiliar'!$G:$G,'.Auxiliar'!B:B,"-",0)</f>
        <v>PAVIMENTAÇÃO</v>
      </c>
      <c r="C386" s="55" t="str">
        <f>_xlfn.XLOOKUP($G386,'.Auxiliar'!$G:$G,'.Auxiliar'!C:C,"-",0)</f>
        <v>Ruas Laterais em Pista Simples - em segmentos descontínuos</v>
      </c>
      <c r="D386" s="55">
        <f>_xlfn.XLOOKUP($G386,'.Auxiliar'!$G:$G,'.Auxiliar'!D:D,"-",0)</f>
        <v>478.2</v>
      </c>
      <c r="E386" s="55">
        <f>_xlfn.XLOOKUP($G386,'.Auxiliar'!$G:$G,'.Auxiliar'!E:E,"-",0)</f>
        <v>497</v>
      </c>
      <c r="F386" s="55">
        <f>_xlfn.XLOOKUP($G386,'.Auxiliar'!$G:$G,'.Auxiliar'!F:F,"-",0)</f>
        <v>18.800000000000011</v>
      </c>
      <c r="G386" s="59" t="s">
        <v>475</v>
      </c>
      <c r="H386" s="108" t="s">
        <v>363</v>
      </c>
      <c r="I386" s="109" t="s">
        <v>0</v>
      </c>
      <c r="J386" s="109" t="s">
        <v>0</v>
      </c>
      <c r="K386" s="109" t="s">
        <v>0</v>
      </c>
      <c r="L386" s="109" t="s">
        <v>0</v>
      </c>
      <c r="M386" s="109" t="s">
        <v>0</v>
      </c>
      <c r="N386" s="110" t="s">
        <v>0</v>
      </c>
      <c r="O386" s="111">
        <v>100</v>
      </c>
      <c r="P386" s="112">
        <v>100</v>
      </c>
      <c r="Q386" s="112"/>
      <c r="R386" s="112"/>
      <c r="S386" s="112"/>
      <c r="T386" s="112"/>
      <c r="U386" s="95">
        <f t="shared" si="15"/>
        <v>0</v>
      </c>
      <c r="V386" s="112"/>
      <c r="W386" s="112"/>
      <c r="X386" s="107"/>
      <c r="Y386" s="107">
        <f t="shared" si="16"/>
        <v>100</v>
      </c>
      <c r="Z386" s="107">
        <f t="shared" si="17"/>
        <v>100</v>
      </c>
    </row>
    <row r="387" spans="1:26" x14ac:dyDescent="0.25">
      <c r="A387" s="55" t="str">
        <f>_xlfn.XLOOKUP($G387,'.Auxiliar'!$G:$G,'.Auxiliar'!A:A,"-",0)</f>
        <v>FERNÃO DIAS</v>
      </c>
      <c r="B387" s="55" t="str">
        <f>_xlfn.XLOOKUP($G387,'.Auxiliar'!$G:$G,'.Auxiliar'!B:B,"-",0)</f>
        <v>PAVIMENTAÇÃO</v>
      </c>
      <c r="C387" s="55" t="str">
        <f>_xlfn.XLOOKUP($G387,'.Auxiliar'!$G:$G,'.Auxiliar'!C:C,"-",0)</f>
        <v>Ruas Laterais em Pista Simples - em segmentos descontínuos</v>
      </c>
      <c r="D387" s="55">
        <f>_xlfn.XLOOKUP($G387,'.Auxiliar'!$G:$G,'.Auxiliar'!D:D,"-",0)</f>
        <v>534</v>
      </c>
      <c r="E387" s="55">
        <f>_xlfn.XLOOKUP($G387,'.Auxiliar'!$G:$G,'.Auxiliar'!E:E,"-",0)</f>
        <v>536</v>
      </c>
      <c r="F387" s="55">
        <f>_xlfn.XLOOKUP($G387,'.Auxiliar'!$G:$G,'.Auxiliar'!F:F,"-",0)</f>
        <v>2</v>
      </c>
      <c r="G387" s="59" t="s">
        <v>476</v>
      </c>
      <c r="H387" s="108" t="s">
        <v>363</v>
      </c>
      <c r="I387" s="109" t="s">
        <v>0</v>
      </c>
      <c r="J387" s="109" t="s">
        <v>0</v>
      </c>
      <c r="K387" s="109" t="s">
        <v>0</v>
      </c>
      <c r="L387" s="109" t="s">
        <v>0</v>
      </c>
      <c r="M387" s="109" t="s">
        <v>0</v>
      </c>
      <c r="N387" s="110" t="s">
        <v>0</v>
      </c>
      <c r="O387" s="111">
        <v>100</v>
      </c>
      <c r="P387" s="112">
        <v>100</v>
      </c>
      <c r="Q387" s="112"/>
      <c r="R387" s="112"/>
      <c r="S387" s="112"/>
      <c r="T387" s="112"/>
      <c r="U387" s="95">
        <f t="shared" ref="U387:U450" si="18">IF(SUM(V387:X387)=100,"",100-(P387+R387))</f>
        <v>0</v>
      </c>
      <c r="V387" s="112"/>
      <c r="W387" s="112"/>
      <c r="X387" s="107"/>
      <c r="Y387" s="107">
        <f t="shared" ref="Y387:Y450" si="19">SUM(P387,R387,S387,V387,W387,X387)</f>
        <v>100</v>
      </c>
      <c r="Z387" s="107">
        <f t="shared" ref="Z387:Z450" si="20">SUM(P387,R387,T387)</f>
        <v>100</v>
      </c>
    </row>
    <row r="388" spans="1:26" x14ac:dyDescent="0.25">
      <c r="A388" s="55" t="str">
        <f>_xlfn.XLOOKUP($G388,'.Auxiliar'!$G:$G,'.Auxiliar'!A:A,"-",0)</f>
        <v>FERNÃO DIAS</v>
      </c>
      <c r="B388" s="55" t="str">
        <f>_xlfn.XLOOKUP($G388,'.Auxiliar'!$G:$G,'.Auxiliar'!B:B,"-",0)</f>
        <v>PAVIMENTAÇÃO</v>
      </c>
      <c r="C388" s="55" t="str">
        <f>_xlfn.XLOOKUP($G388,'.Auxiliar'!$G:$G,'.Auxiliar'!C:C,"-",0)</f>
        <v>Ruas Laterais em Pista Simples - em segmentos descontínuos</v>
      </c>
      <c r="D388" s="55">
        <f>_xlfn.XLOOKUP($G388,'.Auxiliar'!$G:$G,'.Auxiliar'!D:D,"-",0)</f>
        <v>55</v>
      </c>
      <c r="E388" s="55">
        <f>_xlfn.XLOOKUP($G388,'.Auxiliar'!$G:$G,'.Auxiliar'!E:E,"-",0)</f>
        <v>65</v>
      </c>
      <c r="F388" s="55">
        <f>_xlfn.XLOOKUP($G388,'.Auxiliar'!$G:$G,'.Auxiliar'!F:F,"-",0)</f>
        <v>10</v>
      </c>
      <c r="G388" s="59" t="s">
        <v>485</v>
      </c>
      <c r="H388" s="108" t="s">
        <v>363</v>
      </c>
      <c r="I388" s="109" t="s">
        <v>0</v>
      </c>
      <c r="J388" s="109" t="s">
        <v>0</v>
      </c>
      <c r="K388" s="109" t="s">
        <v>0</v>
      </c>
      <c r="L388" s="109" t="s">
        <v>0</v>
      </c>
      <c r="M388" s="109" t="s">
        <v>0</v>
      </c>
      <c r="N388" s="110" t="s">
        <v>0</v>
      </c>
      <c r="O388" s="111">
        <v>100</v>
      </c>
      <c r="P388" s="112">
        <v>100</v>
      </c>
      <c r="Q388" s="112"/>
      <c r="R388" s="112"/>
      <c r="S388" s="112"/>
      <c r="T388" s="112"/>
      <c r="U388" s="95">
        <f t="shared" si="18"/>
        <v>0</v>
      </c>
      <c r="V388" s="112"/>
      <c r="W388" s="112"/>
      <c r="X388" s="107"/>
      <c r="Y388" s="107">
        <f t="shared" si="19"/>
        <v>100</v>
      </c>
      <c r="Z388" s="107">
        <f t="shared" si="20"/>
        <v>100</v>
      </c>
    </row>
    <row r="389" spans="1:26" x14ac:dyDescent="0.25">
      <c r="A389" s="55" t="str">
        <f>_xlfn.XLOOKUP($G389,'.Auxiliar'!$G:$G,'.Auxiliar'!A:A,"-",0)</f>
        <v>FERNÃO DIAS</v>
      </c>
      <c r="B389" s="55" t="str">
        <f>_xlfn.XLOOKUP($G389,'.Auxiliar'!$G:$G,'.Auxiliar'!B:B,"-",0)</f>
        <v>PAVIMENTAÇÃO</v>
      </c>
      <c r="C389" s="55" t="str">
        <f>_xlfn.XLOOKUP($G389,'.Auxiliar'!$G:$G,'.Auxiliar'!C:C,"-",0)</f>
        <v>Ruas Laterais em Pista Simples - em segmentos descontínuos</v>
      </c>
      <c r="D389" s="55">
        <f>_xlfn.XLOOKUP($G389,'.Auxiliar'!$G:$G,'.Auxiliar'!D:D,"-",0)</f>
        <v>588</v>
      </c>
      <c r="E389" s="55">
        <f>_xlfn.XLOOKUP($G389,'.Auxiliar'!$G:$G,'.Auxiliar'!E:E,"-",0)</f>
        <v>591</v>
      </c>
      <c r="F389" s="55">
        <f>_xlfn.XLOOKUP($G389,'.Auxiliar'!$G:$G,'.Auxiliar'!F:F,"-",0)</f>
        <v>3</v>
      </c>
      <c r="G389" s="59" t="s">
        <v>477</v>
      </c>
      <c r="H389" s="108" t="s">
        <v>363</v>
      </c>
      <c r="I389" s="109" t="s">
        <v>0</v>
      </c>
      <c r="J389" s="109" t="s">
        <v>0</v>
      </c>
      <c r="K389" s="109" t="s">
        <v>0</v>
      </c>
      <c r="L389" s="109" t="s">
        <v>0</v>
      </c>
      <c r="M389" s="109" t="s">
        <v>0</v>
      </c>
      <c r="N389" s="110" t="s">
        <v>0</v>
      </c>
      <c r="O389" s="111">
        <v>100</v>
      </c>
      <c r="P389" s="112">
        <v>100</v>
      </c>
      <c r="Q389" s="112"/>
      <c r="R389" s="112"/>
      <c r="S389" s="112"/>
      <c r="T389" s="112"/>
      <c r="U389" s="95">
        <f t="shared" si="18"/>
        <v>0</v>
      </c>
      <c r="V389" s="112"/>
      <c r="W389" s="112"/>
      <c r="X389" s="107"/>
      <c r="Y389" s="107">
        <f t="shared" si="19"/>
        <v>100</v>
      </c>
      <c r="Z389" s="107">
        <f t="shared" si="20"/>
        <v>100</v>
      </c>
    </row>
    <row r="390" spans="1:26" x14ac:dyDescent="0.25">
      <c r="A390" s="55" t="str">
        <f>_xlfn.XLOOKUP($G390,'.Auxiliar'!$G:$G,'.Auxiliar'!A:A,"-",0)</f>
        <v>FERNÃO DIAS</v>
      </c>
      <c r="B390" s="55" t="str">
        <f>_xlfn.XLOOKUP($G390,'.Auxiliar'!$G:$G,'.Auxiliar'!B:B,"-",0)</f>
        <v>PAVIMENTAÇÃO</v>
      </c>
      <c r="C390" s="55" t="str">
        <f>_xlfn.XLOOKUP($G390,'.Auxiliar'!$G:$G,'.Auxiliar'!C:C,"-",0)</f>
        <v>Ruas Laterais em Pista Simples - em segmentos descontínuos</v>
      </c>
      <c r="D390" s="55">
        <f>_xlfn.XLOOKUP($G390,'.Auxiliar'!$G:$G,'.Auxiliar'!D:D,"-",0)</f>
        <v>662</v>
      </c>
      <c r="E390" s="55">
        <f>_xlfn.XLOOKUP($G390,'.Auxiliar'!$G:$G,'.Auxiliar'!E:E,"-",0)</f>
        <v>668</v>
      </c>
      <c r="F390" s="55">
        <f>_xlfn.XLOOKUP($G390,'.Auxiliar'!$G:$G,'.Auxiliar'!F:F,"-",0)</f>
        <v>6</v>
      </c>
      <c r="G390" s="59" t="s">
        <v>478</v>
      </c>
      <c r="H390" s="108" t="s">
        <v>363</v>
      </c>
      <c r="I390" s="109" t="s">
        <v>0</v>
      </c>
      <c r="J390" s="109" t="s">
        <v>0</v>
      </c>
      <c r="K390" s="109" t="s">
        <v>0</v>
      </c>
      <c r="L390" s="109" t="s">
        <v>0</v>
      </c>
      <c r="M390" s="109" t="s">
        <v>0</v>
      </c>
      <c r="N390" s="110" t="s">
        <v>0</v>
      </c>
      <c r="O390" s="111">
        <v>100</v>
      </c>
      <c r="P390" s="112">
        <v>100</v>
      </c>
      <c r="Q390" s="112"/>
      <c r="R390" s="112"/>
      <c r="S390" s="112"/>
      <c r="T390" s="112"/>
      <c r="U390" s="95">
        <f t="shared" si="18"/>
        <v>0</v>
      </c>
      <c r="V390" s="112"/>
      <c r="W390" s="112"/>
      <c r="X390" s="107"/>
      <c r="Y390" s="107">
        <f t="shared" si="19"/>
        <v>100</v>
      </c>
      <c r="Z390" s="107">
        <f t="shared" si="20"/>
        <v>100</v>
      </c>
    </row>
    <row r="391" spans="1:26" x14ac:dyDescent="0.25">
      <c r="A391" s="55" t="str">
        <f>_xlfn.XLOOKUP($G391,'.Auxiliar'!$G:$G,'.Auxiliar'!A:A,"-",0)</f>
        <v>FERNÃO DIAS</v>
      </c>
      <c r="B391" s="55" t="str">
        <f>_xlfn.XLOOKUP($G391,'.Auxiliar'!$G:$G,'.Auxiliar'!B:B,"-",0)</f>
        <v>PAVIMENTAÇÃO</v>
      </c>
      <c r="C391" s="55" t="str">
        <f>_xlfn.XLOOKUP($G391,'.Auxiliar'!$G:$G,'.Auxiliar'!C:C,"-",0)</f>
        <v>Ruas Laterais em Pista Simples - em segmentos descontínuos</v>
      </c>
      <c r="D391" s="55">
        <f>_xlfn.XLOOKUP($G391,'.Auxiliar'!$G:$G,'.Auxiliar'!D:D,"-",0)</f>
        <v>684</v>
      </c>
      <c r="E391" s="55">
        <f>_xlfn.XLOOKUP($G391,'.Auxiliar'!$G:$G,'.Auxiliar'!E:E,"-",0)</f>
        <v>685</v>
      </c>
      <c r="F391" s="55">
        <f>_xlfn.XLOOKUP($G391,'.Auxiliar'!$G:$G,'.Auxiliar'!F:F,"-",0)</f>
        <v>1</v>
      </c>
      <c r="G391" s="59" t="s">
        <v>479</v>
      </c>
      <c r="H391" s="108" t="s">
        <v>363</v>
      </c>
      <c r="I391" s="109" t="s">
        <v>0</v>
      </c>
      <c r="J391" s="109" t="s">
        <v>0</v>
      </c>
      <c r="K391" s="109" t="s">
        <v>0</v>
      </c>
      <c r="L391" s="109" t="s">
        <v>0</v>
      </c>
      <c r="M391" s="109" t="s">
        <v>0</v>
      </c>
      <c r="N391" s="110" t="s">
        <v>0</v>
      </c>
      <c r="O391" s="111">
        <v>100</v>
      </c>
      <c r="P391" s="112">
        <v>100</v>
      </c>
      <c r="Q391" s="112"/>
      <c r="R391" s="112"/>
      <c r="S391" s="112"/>
      <c r="T391" s="112"/>
      <c r="U391" s="95">
        <f t="shared" si="18"/>
        <v>0</v>
      </c>
      <c r="V391" s="112"/>
      <c r="W391" s="112"/>
      <c r="X391" s="107"/>
      <c r="Y391" s="107">
        <f t="shared" si="19"/>
        <v>100</v>
      </c>
      <c r="Z391" s="107">
        <f t="shared" si="20"/>
        <v>100</v>
      </c>
    </row>
    <row r="392" spans="1:26" x14ac:dyDescent="0.25">
      <c r="A392" s="55" t="str">
        <f>_xlfn.XLOOKUP($G392,'.Auxiliar'!$G:$G,'.Auxiliar'!A:A,"-",0)</f>
        <v>FERNÃO DIAS</v>
      </c>
      <c r="B392" s="55" t="str">
        <f>_xlfn.XLOOKUP($G392,'.Auxiliar'!$G:$G,'.Auxiliar'!B:B,"-",0)</f>
        <v>PAVIMENTAÇÃO</v>
      </c>
      <c r="C392" s="55" t="str">
        <f>_xlfn.XLOOKUP($G392,'.Auxiliar'!$G:$G,'.Auxiliar'!C:C,"-",0)</f>
        <v>Ruas Laterais em Pista Simples - em segmentos descontínuos</v>
      </c>
      <c r="D392" s="55">
        <f>_xlfn.XLOOKUP($G392,'.Auxiliar'!$G:$G,'.Auxiliar'!D:D,"-",0)</f>
        <v>723</v>
      </c>
      <c r="E392" s="55">
        <f>_xlfn.XLOOKUP($G392,'.Auxiliar'!$G:$G,'.Auxiliar'!E:E,"-",0)</f>
        <v>724</v>
      </c>
      <c r="F392" s="55">
        <f>_xlfn.XLOOKUP($G392,'.Auxiliar'!$G:$G,'.Auxiliar'!F:F,"-",0)</f>
        <v>1</v>
      </c>
      <c r="G392" s="59" t="s">
        <v>480</v>
      </c>
      <c r="H392" s="108" t="s">
        <v>363</v>
      </c>
      <c r="I392" s="109" t="s">
        <v>0</v>
      </c>
      <c r="J392" s="109" t="s">
        <v>0</v>
      </c>
      <c r="K392" s="109" t="s">
        <v>0</v>
      </c>
      <c r="L392" s="109" t="s">
        <v>0</v>
      </c>
      <c r="M392" s="109" t="s">
        <v>0</v>
      </c>
      <c r="N392" s="110" t="s">
        <v>0</v>
      </c>
      <c r="O392" s="111">
        <v>100</v>
      </c>
      <c r="P392" s="112">
        <v>100</v>
      </c>
      <c r="Q392" s="112"/>
      <c r="R392" s="112"/>
      <c r="S392" s="112"/>
      <c r="T392" s="112"/>
      <c r="U392" s="95">
        <f t="shared" si="18"/>
        <v>0</v>
      </c>
      <c r="V392" s="112"/>
      <c r="W392" s="112"/>
      <c r="X392" s="107"/>
      <c r="Y392" s="107">
        <f t="shared" si="19"/>
        <v>100</v>
      </c>
      <c r="Z392" s="107">
        <f t="shared" si="20"/>
        <v>100</v>
      </c>
    </row>
    <row r="393" spans="1:26" x14ac:dyDescent="0.25">
      <c r="A393" s="55" t="str">
        <f>_xlfn.XLOOKUP($G393,'.Auxiliar'!$G:$G,'.Auxiliar'!A:A,"-",0)</f>
        <v>FERNÃO DIAS</v>
      </c>
      <c r="B393" s="55" t="str">
        <f>_xlfn.XLOOKUP($G393,'.Auxiliar'!$G:$G,'.Auxiliar'!B:B,"-",0)</f>
        <v>PAVIMENTAÇÃO</v>
      </c>
      <c r="C393" s="55" t="str">
        <f>_xlfn.XLOOKUP($G393,'.Auxiliar'!$G:$G,'.Auxiliar'!C:C,"-",0)</f>
        <v>Ruas Laterais em Pista Simples - em segmentos descontínuos</v>
      </c>
      <c r="D393" s="55">
        <f>_xlfn.XLOOKUP($G393,'.Auxiliar'!$G:$G,'.Auxiliar'!D:D,"-",0)</f>
        <v>869</v>
      </c>
      <c r="E393" s="55">
        <f>_xlfn.XLOOKUP($G393,'.Auxiliar'!$G:$G,'.Auxiliar'!E:E,"-",0)</f>
        <v>871</v>
      </c>
      <c r="F393" s="55">
        <f>_xlfn.XLOOKUP($G393,'.Auxiliar'!$G:$G,'.Auxiliar'!F:F,"-",0)</f>
        <v>2</v>
      </c>
      <c r="G393" s="59" t="s">
        <v>481</v>
      </c>
      <c r="H393" s="108" t="s">
        <v>363</v>
      </c>
      <c r="I393" s="109" t="s">
        <v>0</v>
      </c>
      <c r="J393" s="109" t="s">
        <v>0</v>
      </c>
      <c r="K393" s="109" t="s">
        <v>0</v>
      </c>
      <c r="L393" s="109" t="s">
        <v>0</v>
      </c>
      <c r="M393" s="109" t="s">
        <v>0</v>
      </c>
      <c r="N393" s="110" t="s">
        <v>0</v>
      </c>
      <c r="O393" s="111">
        <v>100</v>
      </c>
      <c r="P393" s="112">
        <v>100</v>
      </c>
      <c r="Q393" s="112"/>
      <c r="R393" s="112"/>
      <c r="S393" s="112"/>
      <c r="T393" s="112"/>
      <c r="U393" s="95">
        <f t="shared" si="18"/>
        <v>0</v>
      </c>
      <c r="V393" s="112"/>
      <c r="W393" s="112"/>
      <c r="X393" s="107"/>
      <c r="Y393" s="107">
        <f t="shared" si="19"/>
        <v>100</v>
      </c>
      <c r="Z393" s="107">
        <f t="shared" si="20"/>
        <v>100</v>
      </c>
    </row>
    <row r="394" spans="1:26" x14ac:dyDescent="0.25">
      <c r="A394" s="55" t="str">
        <f>_xlfn.XLOOKUP($G394,'.Auxiliar'!$G:$G,'.Auxiliar'!A:A,"-",0)</f>
        <v>FERNÃO DIAS</v>
      </c>
      <c r="B394" s="55" t="str">
        <f>_xlfn.XLOOKUP($G394,'.Auxiliar'!$G:$G,'.Auxiliar'!B:B,"-",0)</f>
        <v>PAVIMENTAÇÃO</v>
      </c>
      <c r="C394" s="55" t="str">
        <f>_xlfn.XLOOKUP($G394,'.Auxiliar'!$G:$G,'.Auxiliar'!C:C,"-",0)</f>
        <v>Ruas Laterais em Pista Simples - em segmentos descontínuos</v>
      </c>
      <c r="D394" s="55">
        <f>_xlfn.XLOOKUP($G394,'.Auxiliar'!$G:$G,'.Auxiliar'!D:D,"-",0)</f>
        <v>877</v>
      </c>
      <c r="E394" s="55">
        <f>_xlfn.XLOOKUP($G394,'.Auxiliar'!$G:$G,'.Auxiliar'!E:E,"-",0)</f>
        <v>890</v>
      </c>
      <c r="F394" s="55">
        <f>_xlfn.XLOOKUP($G394,'.Auxiliar'!$G:$G,'.Auxiliar'!F:F,"-",0)</f>
        <v>13</v>
      </c>
      <c r="G394" s="59" t="s">
        <v>482</v>
      </c>
      <c r="H394" s="108" t="s">
        <v>363</v>
      </c>
      <c r="I394" s="109" t="s">
        <v>0</v>
      </c>
      <c r="J394" s="109" t="s">
        <v>0</v>
      </c>
      <c r="K394" s="109" t="s">
        <v>0</v>
      </c>
      <c r="L394" s="109" t="s">
        <v>0</v>
      </c>
      <c r="M394" s="109" t="s">
        <v>0</v>
      </c>
      <c r="N394" s="110" t="s">
        <v>0</v>
      </c>
      <c r="O394" s="111">
        <v>100</v>
      </c>
      <c r="P394" s="112">
        <v>100</v>
      </c>
      <c r="Q394" s="112"/>
      <c r="R394" s="112"/>
      <c r="S394" s="112"/>
      <c r="T394" s="112"/>
      <c r="U394" s="95">
        <f t="shared" si="18"/>
        <v>0</v>
      </c>
      <c r="V394" s="112"/>
      <c r="W394" s="112"/>
      <c r="X394" s="107"/>
      <c r="Y394" s="107">
        <f t="shared" si="19"/>
        <v>100</v>
      </c>
      <c r="Z394" s="107">
        <f t="shared" si="20"/>
        <v>100</v>
      </c>
    </row>
    <row r="395" spans="1:26" x14ac:dyDescent="0.25">
      <c r="A395" s="55" t="str">
        <f>_xlfn.XLOOKUP($G395,'.Auxiliar'!$G:$G,'.Auxiliar'!A:A,"-",0)</f>
        <v>FERNÃO DIAS</v>
      </c>
      <c r="B395" s="55" t="str">
        <f>_xlfn.XLOOKUP($G395,'.Auxiliar'!$G:$G,'.Auxiliar'!B:B,"-",0)</f>
        <v>PAVIMENTAÇÃO</v>
      </c>
      <c r="C395" s="55" t="str">
        <f>_xlfn.XLOOKUP($G395,'.Auxiliar'!$G:$G,'.Auxiliar'!C:C,"-",0)</f>
        <v>Ruas Laterais em Pista Simples - em segmentos descontínuos</v>
      </c>
      <c r="D395" s="55">
        <f>_xlfn.XLOOKUP($G395,'.Auxiliar'!$G:$G,'.Auxiliar'!D:D,"-",0)</f>
        <v>935</v>
      </c>
      <c r="E395" s="55">
        <f>_xlfn.XLOOKUP($G395,'.Auxiliar'!$G:$G,'.Auxiliar'!E:E,"-",0)</f>
        <v>937</v>
      </c>
      <c r="F395" s="55">
        <f>_xlfn.XLOOKUP($G395,'.Auxiliar'!$G:$G,'.Auxiliar'!F:F,"-",0)</f>
        <v>2</v>
      </c>
      <c r="G395" s="59" t="s">
        <v>483</v>
      </c>
      <c r="H395" s="108" t="s">
        <v>363</v>
      </c>
      <c r="I395" s="109" t="s">
        <v>0</v>
      </c>
      <c r="J395" s="109" t="s">
        <v>0</v>
      </c>
      <c r="K395" s="109" t="s">
        <v>0</v>
      </c>
      <c r="L395" s="109" t="s">
        <v>0</v>
      </c>
      <c r="M395" s="109" t="s">
        <v>0</v>
      </c>
      <c r="N395" s="110" t="s">
        <v>0</v>
      </c>
      <c r="O395" s="111">
        <v>100</v>
      </c>
      <c r="P395" s="112">
        <v>100</v>
      </c>
      <c r="Q395" s="112"/>
      <c r="R395" s="112"/>
      <c r="S395" s="112"/>
      <c r="T395" s="112"/>
      <c r="U395" s="95">
        <f t="shared" si="18"/>
        <v>0</v>
      </c>
      <c r="V395" s="112"/>
      <c r="W395" s="112"/>
      <c r="X395" s="107"/>
      <c r="Y395" s="107">
        <f t="shared" si="19"/>
        <v>100</v>
      </c>
      <c r="Z395" s="107">
        <f t="shared" si="20"/>
        <v>100</v>
      </c>
    </row>
    <row r="396" spans="1:26" x14ac:dyDescent="0.25">
      <c r="A396" s="55" t="str">
        <f>_xlfn.XLOOKUP($G396,'.Auxiliar'!$G:$G,'.Auxiliar'!A:A,"-",0)</f>
        <v>FERNÃO DIAS</v>
      </c>
      <c r="B396" s="55" t="str">
        <f>_xlfn.XLOOKUP($G396,'.Auxiliar'!$G:$G,'.Auxiliar'!B:B,"-",0)</f>
        <v>PAVIMENTAÇÃO</v>
      </c>
      <c r="C396" s="55" t="str">
        <f>_xlfn.XLOOKUP($G396,'.Auxiliar'!$G:$G,'.Auxiliar'!C:C,"-",0)</f>
        <v>Ruas Laterais em Pista Simples - em segmentos descontínuos - região de Itaguara</v>
      </c>
      <c r="D396" s="55">
        <f>_xlfn.XLOOKUP($G396,'.Auxiliar'!$G:$G,'.Auxiliar'!D:D,"-",0)</f>
        <v>561</v>
      </c>
      <c r="E396" s="55">
        <f>_xlfn.XLOOKUP($G396,'.Auxiliar'!$G:$G,'.Auxiliar'!E:E,"-",0)</f>
        <v>565</v>
      </c>
      <c r="F396" s="55">
        <f>_xlfn.XLOOKUP($G396,'.Auxiliar'!$G:$G,'.Auxiliar'!F:F,"-",0)</f>
        <v>4</v>
      </c>
      <c r="G396" s="59" t="s">
        <v>486</v>
      </c>
      <c r="H396" s="108" t="s">
        <v>363</v>
      </c>
      <c r="I396" s="109" t="s">
        <v>0</v>
      </c>
      <c r="J396" s="109" t="s">
        <v>0</v>
      </c>
      <c r="K396" s="109" t="s">
        <v>0</v>
      </c>
      <c r="L396" s="109" t="s">
        <v>0</v>
      </c>
      <c r="M396" s="109" t="s">
        <v>0</v>
      </c>
      <c r="N396" s="110" t="s">
        <v>0</v>
      </c>
      <c r="O396" s="111">
        <v>100</v>
      </c>
      <c r="P396" s="112">
        <v>100</v>
      </c>
      <c r="Q396" s="112"/>
      <c r="R396" s="112"/>
      <c r="S396" s="112"/>
      <c r="T396" s="112"/>
      <c r="U396" s="95">
        <f t="shared" si="18"/>
        <v>0</v>
      </c>
      <c r="V396" s="112"/>
      <c r="W396" s="112"/>
      <c r="X396" s="107"/>
      <c r="Y396" s="107">
        <f t="shared" si="19"/>
        <v>100</v>
      </c>
      <c r="Z396" s="107">
        <f t="shared" si="20"/>
        <v>100</v>
      </c>
    </row>
    <row r="397" spans="1:26" x14ac:dyDescent="0.25">
      <c r="A397" s="55" t="str">
        <f>_xlfn.XLOOKUP($G397,'.Auxiliar'!$G:$G,'.Auxiliar'!A:A,"-",0)</f>
        <v>FERNÃO DIAS</v>
      </c>
      <c r="B397" s="55" t="str">
        <f>_xlfn.XLOOKUP($G397,'.Auxiliar'!$G:$G,'.Auxiliar'!B:B,"-",0)</f>
        <v>PAVIMENTAÇÃO</v>
      </c>
      <c r="C397" s="55" t="str">
        <f>_xlfn.XLOOKUP($G397,'.Auxiliar'!$G:$G,'.Auxiliar'!C:C,"-",0)</f>
        <v>Ruas Laterais em Pista Simples - em segmentos descontínuos – Região de Mairiporã</v>
      </c>
      <c r="D397" s="55">
        <f>_xlfn.XLOOKUP($G397,'.Auxiliar'!$G:$G,'.Auxiliar'!D:D,"-",0)</f>
        <v>66</v>
      </c>
      <c r="E397" s="55">
        <f>_xlfn.XLOOKUP($G397,'.Auxiliar'!$G:$G,'.Auxiliar'!E:E,"-",0)</f>
        <v>68</v>
      </c>
      <c r="F397" s="55">
        <f>_xlfn.XLOOKUP($G397,'.Auxiliar'!$G:$G,'.Auxiliar'!F:F,"-",0)</f>
        <v>2</v>
      </c>
      <c r="G397" s="59" t="s">
        <v>488</v>
      </c>
      <c r="H397" s="108" t="s">
        <v>363</v>
      </c>
      <c r="I397" s="109" t="s">
        <v>0</v>
      </c>
      <c r="J397" s="109" t="s">
        <v>0</v>
      </c>
      <c r="K397" s="109" t="s">
        <v>0</v>
      </c>
      <c r="L397" s="109" t="s">
        <v>0</v>
      </c>
      <c r="M397" s="109" t="s">
        <v>0</v>
      </c>
      <c r="N397" s="110" t="s">
        <v>0</v>
      </c>
      <c r="O397" s="111">
        <v>100</v>
      </c>
      <c r="P397" s="112">
        <v>100</v>
      </c>
      <c r="Q397" s="112"/>
      <c r="R397" s="112"/>
      <c r="S397" s="112"/>
      <c r="T397" s="112"/>
      <c r="U397" s="95">
        <f t="shared" si="18"/>
        <v>0</v>
      </c>
      <c r="V397" s="112"/>
      <c r="W397" s="112"/>
      <c r="X397" s="107"/>
      <c r="Y397" s="107">
        <f t="shared" si="19"/>
        <v>100</v>
      </c>
      <c r="Z397" s="107">
        <f t="shared" si="20"/>
        <v>100</v>
      </c>
    </row>
    <row r="398" spans="1:26" x14ac:dyDescent="0.25">
      <c r="A398" s="55" t="str">
        <f>_xlfn.XLOOKUP($G398,'.Auxiliar'!$G:$G,'.Auxiliar'!A:A,"-",0)</f>
        <v>FERNÃO DIAS</v>
      </c>
      <c r="B398" s="55" t="str">
        <f>_xlfn.XLOOKUP($G398,'.Auxiliar'!$G:$G,'.Auxiliar'!B:B,"-",0)</f>
        <v>PAVIMENTAÇÃO</v>
      </c>
      <c r="C398" s="55" t="str">
        <f>_xlfn.XLOOKUP($G398,'.Auxiliar'!$G:$G,'.Auxiliar'!C:C,"-",0)</f>
        <v>Ruas Laterais em Pista Simples - segmentos descontínuos - região de Vargem</v>
      </c>
      <c r="D398" s="55">
        <f>_xlfn.XLOOKUP($G398,'.Auxiliar'!$G:$G,'.Auxiliar'!D:D,"-",0)</f>
        <v>3.5</v>
      </c>
      <c r="E398" s="55">
        <f>_xlfn.XLOOKUP($G398,'.Auxiliar'!$G:$G,'.Auxiliar'!E:E,"-",0)</f>
        <v>4</v>
      </c>
      <c r="F398" s="55">
        <f>_xlfn.XLOOKUP($G398,'.Auxiliar'!$G:$G,'.Auxiliar'!F:F,"-",0)</f>
        <v>0.5</v>
      </c>
      <c r="G398" s="59" t="s">
        <v>474</v>
      </c>
      <c r="H398" s="108" t="s">
        <v>363</v>
      </c>
      <c r="I398" s="109" t="s">
        <v>0</v>
      </c>
      <c r="J398" s="109" t="s">
        <v>0</v>
      </c>
      <c r="K398" s="109" t="s">
        <v>0</v>
      </c>
      <c r="L398" s="109" t="s">
        <v>0</v>
      </c>
      <c r="M398" s="109" t="s">
        <v>0</v>
      </c>
      <c r="N398" s="110" t="s">
        <v>0</v>
      </c>
      <c r="O398" s="111">
        <v>100</v>
      </c>
      <c r="P398" s="112">
        <v>100</v>
      </c>
      <c r="Q398" s="112"/>
      <c r="R398" s="112"/>
      <c r="S398" s="112"/>
      <c r="T398" s="112"/>
      <c r="U398" s="95">
        <f t="shared" si="18"/>
        <v>0</v>
      </c>
      <c r="V398" s="112"/>
      <c r="W398" s="112"/>
      <c r="X398" s="107"/>
      <c r="Y398" s="107">
        <f t="shared" si="19"/>
        <v>100</v>
      </c>
      <c r="Z398" s="107">
        <f t="shared" si="20"/>
        <v>100</v>
      </c>
    </row>
    <row r="399" spans="1:26" x14ac:dyDescent="0.25">
      <c r="A399" s="55" t="str">
        <f>_xlfn.XLOOKUP($G399,'.Auxiliar'!$G:$G,'.Auxiliar'!A:A,"-",0)</f>
        <v>FERNÃO DIAS</v>
      </c>
      <c r="B399" s="55" t="str">
        <f>_xlfn.XLOOKUP($G399,'.Auxiliar'!$G:$G,'.Auxiliar'!B:B,"-",0)</f>
        <v xml:space="preserve">TERCEIRA FAIXA </v>
      </c>
      <c r="C399" s="55" t="str">
        <f>_xlfn.XLOOKUP($G399,'.Auxiliar'!$G:$G,'.Auxiliar'!C:C,"-",0)</f>
        <v>Pista Norte</v>
      </c>
      <c r="D399" s="55">
        <f>_xlfn.XLOOKUP($G399,'.Auxiliar'!$G:$G,'.Auxiliar'!D:D,"-",0)</f>
        <v>35.36</v>
      </c>
      <c r="E399" s="55">
        <f>_xlfn.XLOOKUP($G399,'.Auxiliar'!$G:$G,'.Auxiliar'!E:E,"-",0)</f>
        <v>41</v>
      </c>
      <c r="F399" s="55">
        <f>_xlfn.XLOOKUP($G399,'.Auxiliar'!$G:$G,'.Auxiliar'!F:F,"-",0)</f>
        <v>5.6400000000000006</v>
      </c>
      <c r="G399" s="59" t="s">
        <v>504</v>
      </c>
      <c r="H399" s="108" t="s">
        <v>363</v>
      </c>
      <c r="I399" s="115" t="s">
        <v>1881</v>
      </c>
      <c r="J399" s="109" t="s">
        <v>363</v>
      </c>
      <c r="K399" s="109" t="s">
        <v>0</v>
      </c>
      <c r="L399" s="109" t="s">
        <v>0</v>
      </c>
      <c r="M399" s="109" t="s">
        <v>0</v>
      </c>
      <c r="N399" s="110" t="s">
        <v>0</v>
      </c>
      <c r="O399" s="111">
        <v>11.34</v>
      </c>
      <c r="P399" s="112">
        <v>11.34</v>
      </c>
      <c r="Q399" s="112">
        <v>63.67</v>
      </c>
      <c r="R399" s="112">
        <v>22.18</v>
      </c>
      <c r="S399" s="112">
        <v>66.48</v>
      </c>
      <c r="T399" s="112">
        <v>11.64</v>
      </c>
      <c r="U399" s="95">
        <f t="shared" si="18"/>
        <v>66.48</v>
      </c>
      <c r="V399" s="112"/>
      <c r="W399" s="112"/>
      <c r="X399" s="107"/>
      <c r="Y399" s="107">
        <f t="shared" si="19"/>
        <v>100</v>
      </c>
      <c r="Z399" s="107">
        <f t="shared" si="20"/>
        <v>45.16</v>
      </c>
    </row>
    <row r="400" spans="1:26" x14ac:dyDescent="0.25">
      <c r="A400" s="55" t="str">
        <f>_xlfn.XLOOKUP($G400,'.Auxiliar'!$G:$G,'.Auxiliar'!A:A,"-",0)</f>
        <v>FERNÃO DIAS</v>
      </c>
      <c r="B400" s="55" t="str">
        <f>_xlfn.XLOOKUP($G400,'.Auxiliar'!$G:$G,'.Auxiliar'!B:B,"-",0)</f>
        <v xml:space="preserve">TERCEIRA FAIXA </v>
      </c>
      <c r="C400" s="55" t="str">
        <f>_xlfn.XLOOKUP($G400,'.Auxiliar'!$G:$G,'.Auxiliar'!C:C,"-",0)</f>
        <v>Pista Norte</v>
      </c>
      <c r="D400" s="55">
        <f>_xlfn.XLOOKUP($G400,'.Auxiliar'!$G:$G,'.Auxiliar'!D:D,"-",0)</f>
        <v>48.81</v>
      </c>
      <c r="E400" s="55">
        <f>_xlfn.XLOOKUP($G400,'.Auxiliar'!$G:$G,'.Auxiliar'!E:E,"-",0)</f>
        <v>58.86</v>
      </c>
      <c r="F400" s="55">
        <f>_xlfn.XLOOKUP($G400,'.Auxiliar'!$G:$G,'.Auxiliar'!F:F,"-",0)</f>
        <v>10.049999999999997</v>
      </c>
      <c r="G400" s="59" t="s">
        <v>506</v>
      </c>
      <c r="H400" s="108" t="s">
        <v>363</v>
      </c>
      <c r="I400" s="115" t="s">
        <v>1881</v>
      </c>
      <c r="J400" s="109" t="s">
        <v>363</v>
      </c>
      <c r="K400" s="109" t="s">
        <v>0</v>
      </c>
      <c r="L400" s="109" t="s">
        <v>0</v>
      </c>
      <c r="M400" s="109" t="s">
        <v>0</v>
      </c>
      <c r="N400" s="110" t="s">
        <v>0</v>
      </c>
      <c r="O400" s="111">
        <v>2.3199999999999998</v>
      </c>
      <c r="P400" s="112">
        <v>2.3199999999999998</v>
      </c>
      <c r="Q400" s="112">
        <v>4.8600000000000003</v>
      </c>
      <c r="R400" s="112">
        <v>11.13</v>
      </c>
      <c r="S400" s="112">
        <v>83.62</v>
      </c>
      <c r="T400" s="112">
        <v>0</v>
      </c>
      <c r="U400" s="95">
        <f t="shared" si="18"/>
        <v>86.55</v>
      </c>
      <c r="V400" s="112">
        <v>2.93</v>
      </c>
      <c r="W400" s="112"/>
      <c r="X400" s="107"/>
      <c r="Y400" s="107">
        <f t="shared" si="19"/>
        <v>100.00000000000001</v>
      </c>
      <c r="Z400" s="107">
        <f t="shared" si="20"/>
        <v>13.450000000000001</v>
      </c>
    </row>
    <row r="401" spans="1:26" x14ac:dyDescent="0.25">
      <c r="A401" s="55" t="str">
        <f>_xlfn.XLOOKUP($G401,'.Auxiliar'!$G:$G,'.Auxiliar'!A:A,"-",0)</f>
        <v>FERNÃO DIAS</v>
      </c>
      <c r="B401" s="55" t="str">
        <f>_xlfn.XLOOKUP($G401,'.Auxiliar'!$G:$G,'.Auxiliar'!B:B,"-",0)</f>
        <v xml:space="preserve">TERCEIRA FAIXA </v>
      </c>
      <c r="C401" s="55" t="str">
        <f>_xlfn.XLOOKUP($G401,'.Auxiliar'!$G:$G,'.Auxiliar'!C:C,"-",0)</f>
        <v>Pista Sul</v>
      </c>
      <c r="D401" s="55">
        <f>_xlfn.XLOOKUP($G401,'.Auxiliar'!$G:$G,'.Auxiliar'!D:D,"-",0)</f>
        <v>22.3</v>
      </c>
      <c r="E401" s="55">
        <f>_xlfn.XLOOKUP($G401,'.Auxiliar'!$G:$G,'.Auxiliar'!E:E,"-",0)</f>
        <v>41</v>
      </c>
      <c r="F401" s="55">
        <f>_xlfn.XLOOKUP($G401,'.Auxiliar'!$G:$G,'.Auxiliar'!F:F,"-",0)</f>
        <v>18.7</v>
      </c>
      <c r="G401" s="59" t="s">
        <v>503</v>
      </c>
      <c r="H401" s="108" t="s">
        <v>363</v>
      </c>
      <c r="I401" s="115" t="s">
        <v>1881</v>
      </c>
      <c r="J401" s="109" t="s">
        <v>363</v>
      </c>
      <c r="K401" s="109" t="s">
        <v>0</v>
      </c>
      <c r="L401" s="109" t="s">
        <v>0</v>
      </c>
      <c r="M401" s="109" t="s">
        <v>0</v>
      </c>
      <c r="N401" s="110" t="s">
        <v>0</v>
      </c>
      <c r="O401" s="111">
        <v>10.61</v>
      </c>
      <c r="P401" s="112">
        <v>10.61</v>
      </c>
      <c r="Q401" s="112">
        <v>35.83</v>
      </c>
      <c r="R401" s="112">
        <v>18.8</v>
      </c>
      <c r="S401" s="112">
        <v>70.59</v>
      </c>
      <c r="T401" s="112">
        <v>5.54</v>
      </c>
      <c r="U401" s="95">
        <f t="shared" si="18"/>
        <v>70.59</v>
      </c>
      <c r="V401" s="112"/>
      <c r="W401" s="112"/>
      <c r="X401" s="107"/>
      <c r="Y401" s="107">
        <f t="shared" si="19"/>
        <v>100</v>
      </c>
      <c r="Z401" s="107">
        <f t="shared" si="20"/>
        <v>34.950000000000003</v>
      </c>
    </row>
    <row r="402" spans="1:26" x14ac:dyDescent="0.25">
      <c r="A402" s="55" t="str">
        <f>_xlfn.XLOOKUP($G402,'.Auxiliar'!$G:$G,'.Auxiliar'!A:A,"-",0)</f>
        <v>FERNÃO DIAS</v>
      </c>
      <c r="B402" s="55" t="str">
        <f>_xlfn.XLOOKUP($G402,'.Auxiliar'!$G:$G,'.Auxiliar'!B:B,"-",0)</f>
        <v xml:space="preserve">TERCEIRA FAIXA </v>
      </c>
      <c r="C402" s="55" t="str">
        <f>_xlfn.XLOOKUP($G402,'.Auxiliar'!$G:$G,'.Auxiliar'!C:C,"-",0)</f>
        <v>Pista Sul</v>
      </c>
      <c r="D402" s="55">
        <f>_xlfn.XLOOKUP($G402,'.Auxiliar'!$G:$G,'.Auxiliar'!D:D,"-",0)</f>
        <v>48.72</v>
      </c>
      <c r="E402" s="55">
        <f>_xlfn.XLOOKUP($G402,'.Auxiliar'!$G:$G,'.Auxiliar'!E:E,"-",0)</f>
        <v>50.37</v>
      </c>
      <c r="F402" s="55">
        <f>_xlfn.XLOOKUP($G402,'.Auxiliar'!$G:$G,'.Auxiliar'!F:F,"-",0)</f>
        <v>1.6499999999999986</v>
      </c>
      <c r="G402" s="59" t="s">
        <v>505</v>
      </c>
      <c r="H402" s="108" t="s">
        <v>363</v>
      </c>
      <c r="I402" s="109" t="s">
        <v>0</v>
      </c>
      <c r="J402" s="109" t="s">
        <v>363</v>
      </c>
      <c r="K402" s="109" t="s">
        <v>0</v>
      </c>
      <c r="L402" s="109" t="s">
        <v>0</v>
      </c>
      <c r="M402" s="109" t="s">
        <v>0</v>
      </c>
      <c r="N402" s="110" t="s">
        <v>0</v>
      </c>
      <c r="O402" s="111">
        <v>1.85</v>
      </c>
      <c r="P402" s="112">
        <v>1.85</v>
      </c>
      <c r="Q402" s="112">
        <v>31.82</v>
      </c>
      <c r="R402" s="112">
        <v>0</v>
      </c>
      <c r="S402" s="112">
        <v>98.15</v>
      </c>
      <c r="T402" s="112">
        <v>0</v>
      </c>
      <c r="U402" s="95">
        <f t="shared" si="18"/>
        <v>98.15</v>
      </c>
      <c r="V402" s="112"/>
      <c r="W402" s="112"/>
      <c r="X402" s="107"/>
      <c r="Y402" s="107">
        <f t="shared" si="19"/>
        <v>100</v>
      </c>
      <c r="Z402" s="107">
        <f t="shared" si="20"/>
        <v>1.85</v>
      </c>
    </row>
    <row r="403" spans="1:26" x14ac:dyDescent="0.25">
      <c r="A403" s="55" t="str">
        <f>_xlfn.XLOOKUP($G403,'.Auxiliar'!$G:$G,'.Auxiliar'!A:A,"-",0)</f>
        <v>FERNÃO DIAS</v>
      </c>
      <c r="B403" s="55" t="str">
        <f>_xlfn.XLOOKUP($G403,'.Auxiliar'!$G:$G,'.Auxiliar'!B:B,"-",0)</f>
        <v xml:space="preserve">TERCEIRA FAIXA </v>
      </c>
      <c r="C403" s="55" t="str">
        <f>_xlfn.XLOOKUP($G403,'.Auxiliar'!$G:$G,'.Auxiliar'!C:C,"-",0)</f>
        <v>Pista Sul</v>
      </c>
      <c r="D403" s="55">
        <f>_xlfn.XLOOKUP($G403,'.Auxiliar'!$G:$G,'.Auxiliar'!D:D,"-",0)</f>
        <v>52.14</v>
      </c>
      <c r="E403" s="55">
        <f>_xlfn.XLOOKUP($G403,'.Auxiliar'!$G:$G,'.Auxiliar'!E:E,"-",0)</f>
        <v>54.08</v>
      </c>
      <c r="F403" s="55">
        <f>_xlfn.XLOOKUP($G403,'.Auxiliar'!$G:$G,'.Auxiliar'!F:F,"-",0)</f>
        <v>1.9399999999999977</v>
      </c>
      <c r="G403" s="59" t="s">
        <v>507</v>
      </c>
      <c r="H403" s="108" t="s">
        <v>363</v>
      </c>
      <c r="I403" s="109" t="s">
        <v>0</v>
      </c>
      <c r="J403" s="109" t="s">
        <v>363</v>
      </c>
      <c r="K403" s="109" t="s">
        <v>0</v>
      </c>
      <c r="L403" s="109" t="s">
        <v>0</v>
      </c>
      <c r="M403" s="109" t="s">
        <v>0</v>
      </c>
      <c r="N403" s="110" t="s">
        <v>0</v>
      </c>
      <c r="O403" s="111">
        <v>2.0499999999999998</v>
      </c>
      <c r="P403" s="112">
        <v>2.0499999999999998</v>
      </c>
      <c r="Q403" s="112">
        <v>30.38</v>
      </c>
      <c r="R403" s="112">
        <v>0</v>
      </c>
      <c r="S403" s="112">
        <v>97.95</v>
      </c>
      <c r="T403" s="112">
        <v>0</v>
      </c>
      <c r="U403" s="95">
        <f t="shared" si="18"/>
        <v>97.95</v>
      </c>
      <c r="V403" s="112"/>
      <c r="W403" s="112"/>
      <c r="X403" s="107"/>
      <c r="Y403" s="107">
        <f t="shared" si="19"/>
        <v>100</v>
      </c>
      <c r="Z403" s="107">
        <f t="shared" si="20"/>
        <v>2.0499999999999998</v>
      </c>
    </row>
    <row r="404" spans="1:26" x14ac:dyDescent="0.25">
      <c r="A404" s="55" t="str">
        <f>_xlfn.XLOOKUP($G404,'.Auxiliar'!$G:$G,'.Auxiliar'!A:A,"-",0)</f>
        <v>FERNÃO DIAS</v>
      </c>
      <c r="B404" s="55" t="str">
        <f>_xlfn.XLOOKUP($G404,'.Auxiliar'!$G:$G,'.Auxiliar'!B:B,"-",0)</f>
        <v xml:space="preserve">TERCEIRA FAIXA </v>
      </c>
      <c r="C404" s="55" t="str">
        <f>_xlfn.XLOOKUP($G404,'.Auxiliar'!$G:$G,'.Auxiliar'!C:C,"-",0)</f>
        <v>Pista Sul</v>
      </c>
      <c r="D404" s="55">
        <f>_xlfn.XLOOKUP($G404,'.Auxiliar'!$G:$G,'.Auxiliar'!D:D,"-",0)</f>
        <v>56.2</v>
      </c>
      <c r="E404" s="55">
        <f>_xlfn.XLOOKUP($G404,'.Auxiliar'!$G:$G,'.Auxiliar'!E:E,"-",0)</f>
        <v>65.8</v>
      </c>
      <c r="F404" s="55">
        <f>_xlfn.XLOOKUP($G404,'.Auxiliar'!$G:$G,'.Auxiliar'!F:F,"-",0)</f>
        <v>9.5999999999999943</v>
      </c>
      <c r="G404" s="59" t="s">
        <v>508</v>
      </c>
      <c r="H404" s="108" t="s">
        <v>363</v>
      </c>
      <c r="I404" s="115" t="s">
        <v>1881</v>
      </c>
      <c r="J404" s="109" t="s">
        <v>363</v>
      </c>
      <c r="K404" s="109" t="s">
        <v>0</v>
      </c>
      <c r="L404" s="109" t="s">
        <v>0</v>
      </c>
      <c r="M404" s="109" t="s">
        <v>0</v>
      </c>
      <c r="N404" s="110" t="s">
        <v>0</v>
      </c>
      <c r="O404" s="111">
        <v>2.34</v>
      </c>
      <c r="P404" s="112">
        <v>2.34</v>
      </c>
      <c r="Q404" s="112">
        <v>22.79</v>
      </c>
      <c r="R404" s="112">
        <v>4.07</v>
      </c>
      <c r="S404" s="112">
        <v>72.67</v>
      </c>
      <c r="T404" s="112">
        <v>0</v>
      </c>
      <c r="U404" s="95">
        <f t="shared" si="18"/>
        <v>93.59</v>
      </c>
      <c r="V404" s="112">
        <v>20.92</v>
      </c>
      <c r="W404" s="112"/>
      <c r="X404" s="107"/>
      <c r="Y404" s="107">
        <f t="shared" si="19"/>
        <v>100</v>
      </c>
      <c r="Z404" s="107">
        <f t="shared" si="20"/>
        <v>6.41</v>
      </c>
    </row>
    <row r="405" spans="1:26" x14ac:dyDescent="0.25">
      <c r="A405" s="55" t="str">
        <f>_xlfn.XLOOKUP($G405,'.Auxiliar'!$G:$G,'.Auxiliar'!A:A,"-",0)</f>
        <v>FERNÃO DIAS</v>
      </c>
      <c r="B405" s="55" t="str">
        <f>_xlfn.XLOOKUP($G405,'.Auxiliar'!$G:$G,'.Auxiliar'!B:B,"-",0)</f>
        <v xml:space="preserve">TERCEIRA FAIXA </v>
      </c>
      <c r="C405" s="55" t="str">
        <f>_xlfn.XLOOKUP($G405,'.Auxiliar'!$G:$G,'.Auxiliar'!C:C,"-",0)</f>
        <v>terceiras faixas, em segmentos descontínuos</v>
      </c>
      <c r="D405" s="55">
        <f>_xlfn.XLOOKUP($G405,'.Auxiliar'!$G:$G,'.Auxiliar'!D:D,"-",0)</f>
        <v>0</v>
      </c>
      <c r="E405" s="55">
        <f>_xlfn.XLOOKUP($G405,'.Auxiliar'!$G:$G,'.Auxiliar'!E:E,"-",0)</f>
        <v>88</v>
      </c>
      <c r="F405" s="55">
        <f>_xlfn.XLOOKUP($G405,'.Auxiliar'!$G:$G,'.Auxiliar'!F:F,"-",0)</f>
        <v>88</v>
      </c>
      <c r="G405" s="59" t="s">
        <v>502</v>
      </c>
      <c r="H405" s="108" t="s">
        <v>363</v>
      </c>
      <c r="I405" s="109" t="s">
        <v>0</v>
      </c>
      <c r="J405" s="109" t="s">
        <v>0</v>
      </c>
      <c r="K405" s="109" t="s">
        <v>0</v>
      </c>
      <c r="L405" s="109" t="s">
        <v>0</v>
      </c>
      <c r="M405" s="109" t="s">
        <v>0</v>
      </c>
      <c r="N405" s="110" t="s">
        <v>0</v>
      </c>
      <c r="O405" s="111">
        <v>100</v>
      </c>
      <c r="P405" s="112">
        <v>100</v>
      </c>
      <c r="Q405" s="112"/>
      <c r="R405" s="112"/>
      <c r="S405" s="112"/>
      <c r="T405" s="112"/>
      <c r="U405" s="95">
        <f t="shared" si="18"/>
        <v>0</v>
      </c>
      <c r="V405" s="112"/>
      <c r="W405" s="112"/>
      <c r="X405" s="107"/>
      <c r="Y405" s="107">
        <f t="shared" si="19"/>
        <v>100</v>
      </c>
      <c r="Z405" s="107">
        <f t="shared" si="20"/>
        <v>100</v>
      </c>
    </row>
    <row r="406" spans="1:26" x14ac:dyDescent="0.25">
      <c r="A406" s="55" t="str">
        <f>_xlfn.XLOOKUP($G406,'.Auxiliar'!$G:$G,'.Auxiliar'!A:A,"-",0)</f>
        <v>FLUMINENSE</v>
      </c>
      <c r="B406" s="55" t="str">
        <f>_xlfn.XLOOKUP($G406,'.Auxiliar'!$G:$G,'.Auxiliar'!B:B,"-",0)</f>
        <v>CONTORNO</v>
      </c>
      <c r="C406" s="55" t="str">
        <f>_xlfn.XLOOKUP($G406,'.Auxiliar'!$G:$G,'.Auxiliar'!C:C,"-",0)</f>
        <v>Execução de Variantes e Contornos (inclusive OAE's): - Avenida do Contorno – Barreto (Niterói).</v>
      </c>
      <c r="D406" s="55">
        <f>_xlfn.XLOOKUP($G406,'.Auxiliar'!$G:$G,'.Auxiliar'!D:D,"-",0)</f>
        <v>317.7</v>
      </c>
      <c r="E406" s="55">
        <f>_xlfn.XLOOKUP($G406,'.Auxiliar'!$G:$G,'.Auxiliar'!E:E,"-",0)</f>
        <v>320.10000000000002</v>
      </c>
      <c r="F406" s="55">
        <f>_xlfn.XLOOKUP($G406,'.Auxiliar'!$G:$G,'.Auxiliar'!F:F,"-",0)</f>
        <v>4.8000000000000682</v>
      </c>
      <c r="G406" s="59" t="s">
        <v>666</v>
      </c>
      <c r="H406" s="108" t="s">
        <v>363</v>
      </c>
      <c r="I406" s="109" t="s">
        <v>0</v>
      </c>
      <c r="J406" s="109" t="s">
        <v>0</v>
      </c>
      <c r="K406" s="109" t="s">
        <v>0</v>
      </c>
      <c r="L406" s="109" t="s">
        <v>0</v>
      </c>
      <c r="M406" s="109" t="s">
        <v>0</v>
      </c>
      <c r="N406" s="110" t="s">
        <v>0</v>
      </c>
      <c r="O406" s="111">
        <v>100</v>
      </c>
      <c r="P406" s="112">
        <v>100</v>
      </c>
      <c r="Q406" s="112"/>
      <c r="R406" s="112"/>
      <c r="S406" s="112"/>
      <c r="T406" s="112"/>
      <c r="U406" s="95">
        <f t="shared" si="18"/>
        <v>0</v>
      </c>
      <c r="V406" s="112"/>
      <c r="W406" s="112"/>
      <c r="X406" s="107"/>
      <c r="Y406" s="107">
        <f t="shared" si="19"/>
        <v>100</v>
      </c>
      <c r="Z406" s="107">
        <f t="shared" si="20"/>
        <v>100</v>
      </c>
    </row>
    <row r="407" spans="1:26" x14ac:dyDescent="0.25">
      <c r="A407" s="55" t="str">
        <f>_xlfn.XLOOKUP($G407,'.Auxiliar'!$G:$G,'.Auxiliar'!A:A,"-",0)</f>
        <v>FLUMINENSE</v>
      </c>
      <c r="B407" s="55" t="str">
        <f>_xlfn.XLOOKUP($G407,'.Auxiliar'!$G:$G,'.Auxiliar'!B:B,"-",0)</f>
        <v>DUPLICAÇÃO</v>
      </c>
      <c r="C407" s="55" t="str">
        <f>_xlfn.XLOOKUP($G407,'.Auxiliar'!$G:$G,'.Auxiliar'!C:C,"-",0)</f>
        <v>Duplicações (inclusive OAE's):</v>
      </c>
      <c r="D407" s="55">
        <f>_xlfn.XLOOKUP($G407,'.Auxiliar'!$G:$G,'.Auxiliar'!D:D,"-",0)</f>
        <v>102</v>
      </c>
      <c r="E407" s="55">
        <f>_xlfn.XLOOKUP($G407,'.Auxiliar'!$G:$G,'.Auxiliar'!E:E,"-",0)</f>
        <v>103.5</v>
      </c>
      <c r="F407" s="55">
        <f>_xlfn.XLOOKUP($G407,'.Auxiliar'!$G:$G,'.Auxiliar'!F:F,"-",0)</f>
        <v>1.5</v>
      </c>
      <c r="G407" s="59" t="s">
        <v>632</v>
      </c>
      <c r="H407" s="108" t="s">
        <v>363</v>
      </c>
      <c r="I407" s="109" t="s">
        <v>0</v>
      </c>
      <c r="J407" s="109" t="s">
        <v>0</v>
      </c>
      <c r="K407" s="109" t="s">
        <v>363</v>
      </c>
      <c r="L407" s="109" t="s">
        <v>0</v>
      </c>
      <c r="M407" s="109" t="s">
        <v>0</v>
      </c>
      <c r="N407" s="110" t="s">
        <v>0</v>
      </c>
      <c r="O407" s="111">
        <v>100</v>
      </c>
      <c r="P407" s="112">
        <v>100</v>
      </c>
      <c r="Q407" s="112"/>
      <c r="R407" s="112"/>
      <c r="S407" s="112"/>
      <c r="T407" s="112"/>
      <c r="U407" s="95">
        <f t="shared" si="18"/>
        <v>0</v>
      </c>
      <c r="V407" s="112"/>
      <c r="W407" s="112"/>
      <c r="X407" s="107"/>
      <c r="Y407" s="107">
        <f t="shared" si="19"/>
        <v>100</v>
      </c>
      <c r="Z407" s="107">
        <f t="shared" si="20"/>
        <v>100</v>
      </c>
    </row>
    <row r="408" spans="1:26" x14ac:dyDescent="0.25">
      <c r="A408" s="55" t="str">
        <f>_xlfn.XLOOKUP($G408,'.Auxiliar'!$G:$G,'.Auxiliar'!A:A,"-",0)</f>
        <v>FLUMINENSE</v>
      </c>
      <c r="B408" s="55" t="str">
        <f>_xlfn.XLOOKUP($G408,'.Auxiliar'!$G:$G,'.Auxiliar'!B:B,"-",0)</f>
        <v>DUPLICAÇÃO</v>
      </c>
      <c r="C408" s="55" t="str">
        <f>_xlfn.XLOOKUP($G408,'.Auxiliar'!$G:$G,'.Auxiliar'!C:C,"-",0)</f>
        <v>Duplicações (inclusive OAE's):</v>
      </c>
      <c r="D408" s="55">
        <f>_xlfn.XLOOKUP($G408,'.Auxiliar'!$G:$G,'.Auxiliar'!D:D,"-",0)</f>
        <v>103.5</v>
      </c>
      <c r="E408" s="55">
        <f>_xlfn.XLOOKUP($G408,'.Auxiliar'!$G:$G,'.Auxiliar'!E:E,"-",0)</f>
        <v>105.2</v>
      </c>
      <c r="F408" s="55">
        <f>_xlfn.XLOOKUP($G408,'.Auxiliar'!$G:$G,'.Auxiliar'!F:F,"-",0)</f>
        <v>1.7000000000000028</v>
      </c>
      <c r="G408" s="59" t="s">
        <v>633</v>
      </c>
      <c r="H408" s="108" t="s">
        <v>363</v>
      </c>
      <c r="I408" s="109" t="s">
        <v>0</v>
      </c>
      <c r="J408" s="109" t="s">
        <v>0</v>
      </c>
      <c r="K408" s="109" t="s">
        <v>363</v>
      </c>
      <c r="L408" s="109" t="s">
        <v>0</v>
      </c>
      <c r="M408" s="109" t="s">
        <v>0</v>
      </c>
      <c r="N408" s="110" t="s">
        <v>0</v>
      </c>
      <c r="O408" s="111">
        <v>100</v>
      </c>
      <c r="P408" s="112">
        <v>100</v>
      </c>
      <c r="Q408" s="112"/>
      <c r="R408" s="112"/>
      <c r="S408" s="112"/>
      <c r="T408" s="112"/>
      <c r="U408" s="95">
        <f t="shared" si="18"/>
        <v>0</v>
      </c>
      <c r="V408" s="112"/>
      <c r="W408" s="112"/>
      <c r="X408" s="107"/>
      <c r="Y408" s="107">
        <f t="shared" si="19"/>
        <v>100</v>
      </c>
      <c r="Z408" s="107">
        <f t="shared" si="20"/>
        <v>100</v>
      </c>
    </row>
    <row r="409" spans="1:26" x14ac:dyDescent="0.25">
      <c r="A409" s="55" t="str">
        <f>_xlfn.XLOOKUP($G409,'.Auxiliar'!$G:$G,'.Auxiliar'!A:A,"-",0)</f>
        <v>FLUMINENSE</v>
      </c>
      <c r="B409" s="55" t="str">
        <f>_xlfn.XLOOKUP($G409,'.Auxiliar'!$G:$G,'.Auxiliar'!B:B,"-",0)</f>
        <v>DUPLICAÇÃO</v>
      </c>
      <c r="C409" s="55" t="str">
        <f>_xlfn.XLOOKUP($G409,'.Auxiliar'!$G:$G,'.Auxiliar'!C:C,"-",0)</f>
        <v>Duplicações (inclusive OAE's):</v>
      </c>
      <c r="D409" s="55">
        <f>_xlfn.XLOOKUP($G409,'.Auxiliar'!$G:$G,'.Auxiliar'!D:D,"-",0)</f>
        <v>105.2</v>
      </c>
      <c r="E409" s="55">
        <f>_xlfn.XLOOKUP($G409,'.Auxiliar'!$G:$G,'.Auxiliar'!E:E,"-",0)</f>
        <v>117.8</v>
      </c>
      <c r="F409" s="55">
        <f>_xlfn.XLOOKUP($G409,'.Auxiliar'!$G:$G,'.Auxiliar'!F:F,"-",0)</f>
        <v>12.599999999999994</v>
      </c>
      <c r="G409" s="59" t="s">
        <v>634</v>
      </c>
      <c r="H409" s="108" t="s">
        <v>363</v>
      </c>
      <c r="I409" s="109" t="s">
        <v>0</v>
      </c>
      <c r="J409" s="109" t="s">
        <v>0</v>
      </c>
      <c r="K409" s="109" t="s">
        <v>363</v>
      </c>
      <c r="L409" s="109" t="s">
        <v>0</v>
      </c>
      <c r="M409" s="109" t="s">
        <v>0</v>
      </c>
      <c r="N409" s="110" t="s">
        <v>0</v>
      </c>
      <c r="O409" s="111">
        <v>100</v>
      </c>
      <c r="P409" s="112">
        <v>100</v>
      </c>
      <c r="Q409" s="112"/>
      <c r="R409" s="112"/>
      <c r="S409" s="112"/>
      <c r="T409" s="112"/>
      <c r="U409" s="95">
        <f t="shared" si="18"/>
        <v>0</v>
      </c>
      <c r="V409" s="112"/>
      <c r="W409" s="112"/>
      <c r="X409" s="107"/>
      <c r="Y409" s="107">
        <f t="shared" si="19"/>
        <v>100</v>
      </c>
      <c r="Z409" s="107">
        <f t="shared" si="20"/>
        <v>100</v>
      </c>
    </row>
    <row r="410" spans="1:26" x14ac:dyDescent="0.25">
      <c r="A410" s="55" t="str">
        <f>_xlfn.XLOOKUP($G410,'.Auxiliar'!$G:$G,'.Auxiliar'!A:A,"-",0)</f>
        <v>FLUMINENSE</v>
      </c>
      <c r="B410" s="55" t="str">
        <f>_xlfn.XLOOKUP($G410,'.Auxiliar'!$G:$G,'.Auxiliar'!B:B,"-",0)</f>
        <v>DUPLICAÇÃO</v>
      </c>
      <c r="C410" s="55" t="str">
        <f>_xlfn.XLOOKUP($G410,'.Auxiliar'!$G:$G,'.Auxiliar'!C:C,"-",0)</f>
        <v>Duplicações (inclusive OAE's):</v>
      </c>
      <c r="D410" s="55">
        <f>_xlfn.XLOOKUP($G410,'.Auxiliar'!$G:$G,'.Auxiliar'!D:D,"-",0)</f>
        <v>117.8</v>
      </c>
      <c r="E410" s="55">
        <f>_xlfn.XLOOKUP($G410,'.Auxiliar'!$G:$G,'.Auxiliar'!E:E,"-",0)</f>
        <v>121.3</v>
      </c>
      <c r="F410" s="55">
        <f>_xlfn.XLOOKUP($G410,'.Auxiliar'!$G:$G,'.Auxiliar'!F:F,"-",0)</f>
        <v>3.5</v>
      </c>
      <c r="G410" s="59" t="s">
        <v>635</v>
      </c>
      <c r="H410" s="108" t="s">
        <v>363</v>
      </c>
      <c r="I410" s="109" t="s">
        <v>0</v>
      </c>
      <c r="J410" s="109" t="s">
        <v>0</v>
      </c>
      <c r="K410" s="109" t="s">
        <v>363</v>
      </c>
      <c r="L410" s="109" t="s">
        <v>0</v>
      </c>
      <c r="M410" s="109" t="s">
        <v>0</v>
      </c>
      <c r="N410" s="110" t="s">
        <v>0</v>
      </c>
      <c r="O410" s="111">
        <v>100</v>
      </c>
      <c r="P410" s="112">
        <v>100</v>
      </c>
      <c r="Q410" s="112"/>
      <c r="R410" s="112"/>
      <c r="S410" s="112"/>
      <c r="T410" s="112"/>
      <c r="U410" s="95">
        <f t="shared" si="18"/>
        <v>0</v>
      </c>
      <c r="V410" s="112"/>
      <c r="W410" s="112"/>
      <c r="X410" s="107"/>
      <c r="Y410" s="107">
        <f t="shared" si="19"/>
        <v>100</v>
      </c>
      <c r="Z410" s="107">
        <f t="shared" si="20"/>
        <v>100</v>
      </c>
    </row>
    <row r="411" spans="1:26" x14ac:dyDescent="0.25">
      <c r="A411" s="55" t="str">
        <f>_xlfn.XLOOKUP($G411,'.Auxiliar'!$G:$G,'.Auxiliar'!A:A,"-",0)</f>
        <v>FLUMINENSE</v>
      </c>
      <c r="B411" s="55" t="str">
        <f>_xlfn.XLOOKUP($G411,'.Auxiliar'!$G:$G,'.Auxiliar'!B:B,"-",0)</f>
        <v>DUPLICAÇÃO</v>
      </c>
      <c r="C411" s="55" t="str">
        <f>_xlfn.XLOOKUP($G411,'.Auxiliar'!$G:$G,'.Auxiliar'!C:C,"-",0)</f>
        <v>Duplicações (inclusive OAE's):</v>
      </c>
      <c r="D411" s="55">
        <f>_xlfn.XLOOKUP($G411,'.Auxiliar'!$G:$G,'.Auxiliar'!D:D,"-",0)</f>
        <v>121.3</v>
      </c>
      <c r="E411" s="55">
        <f>_xlfn.XLOOKUP($G411,'.Auxiliar'!$G:$G,'.Auxiliar'!E:E,"-",0)</f>
        <v>123.2</v>
      </c>
      <c r="F411" s="55">
        <f>_xlfn.XLOOKUP($G411,'.Auxiliar'!$G:$G,'.Auxiliar'!F:F,"-",0)</f>
        <v>1.9000000000000057</v>
      </c>
      <c r="G411" s="59" t="s">
        <v>636</v>
      </c>
      <c r="H411" s="108" t="s">
        <v>363</v>
      </c>
      <c r="I411" s="109" t="s">
        <v>0</v>
      </c>
      <c r="J411" s="109" t="s">
        <v>0</v>
      </c>
      <c r="K411" s="109" t="s">
        <v>363</v>
      </c>
      <c r="L411" s="109" t="s">
        <v>0</v>
      </c>
      <c r="M411" s="109" t="s">
        <v>0</v>
      </c>
      <c r="N411" s="110" t="s">
        <v>0</v>
      </c>
      <c r="O411" s="111">
        <v>100</v>
      </c>
      <c r="P411" s="112">
        <v>100</v>
      </c>
      <c r="Q411" s="112"/>
      <c r="R411" s="112"/>
      <c r="S411" s="112"/>
      <c r="T411" s="112"/>
      <c r="U411" s="95">
        <f t="shared" si="18"/>
        <v>0</v>
      </c>
      <c r="V411" s="112"/>
      <c r="W411" s="112"/>
      <c r="X411" s="107"/>
      <c r="Y411" s="107">
        <f t="shared" si="19"/>
        <v>100</v>
      </c>
      <c r="Z411" s="107">
        <f t="shared" si="20"/>
        <v>100</v>
      </c>
    </row>
    <row r="412" spans="1:26" x14ac:dyDescent="0.25">
      <c r="A412" s="55" t="str">
        <f>_xlfn.XLOOKUP($G412,'.Auxiliar'!$G:$G,'.Auxiliar'!A:A,"-",0)</f>
        <v>FLUMINENSE</v>
      </c>
      <c r="B412" s="55" t="str">
        <f>_xlfn.XLOOKUP($G412,'.Auxiliar'!$G:$G,'.Auxiliar'!B:B,"-",0)</f>
        <v>DUPLICAÇÃO</v>
      </c>
      <c r="C412" s="55" t="str">
        <f>_xlfn.XLOOKUP($G412,'.Auxiliar'!$G:$G,'.Auxiliar'!C:C,"-",0)</f>
        <v>Duplicações (inclusive OAE's):</v>
      </c>
      <c r="D412" s="55">
        <f>_xlfn.XLOOKUP($G412,'.Auxiliar'!$G:$G,'.Auxiliar'!D:D,"-",0)</f>
        <v>123.2</v>
      </c>
      <c r="E412" s="55">
        <f>_xlfn.XLOOKUP($G412,'.Auxiliar'!$G:$G,'.Auxiliar'!E:E,"-",0)</f>
        <v>132.5</v>
      </c>
      <c r="F412" s="55">
        <f>_xlfn.XLOOKUP($G412,'.Auxiliar'!$G:$G,'.Auxiliar'!F:F,"-",0)</f>
        <v>9.2999999999999972</v>
      </c>
      <c r="G412" s="59" t="s">
        <v>637</v>
      </c>
      <c r="H412" s="108" t="s">
        <v>363</v>
      </c>
      <c r="I412" s="109" t="s">
        <v>0</v>
      </c>
      <c r="J412" s="109" t="s">
        <v>0</v>
      </c>
      <c r="K412" s="109" t="s">
        <v>363</v>
      </c>
      <c r="L412" s="109" t="s">
        <v>0</v>
      </c>
      <c r="M412" s="109" t="s">
        <v>0</v>
      </c>
      <c r="N412" s="110" t="s">
        <v>0</v>
      </c>
      <c r="O412" s="111">
        <v>100</v>
      </c>
      <c r="P412" s="112">
        <v>100</v>
      </c>
      <c r="Q412" s="112"/>
      <c r="R412" s="112"/>
      <c r="S412" s="112"/>
      <c r="T412" s="112"/>
      <c r="U412" s="95">
        <f t="shared" si="18"/>
        <v>0</v>
      </c>
      <c r="V412" s="112"/>
      <c r="W412" s="112"/>
      <c r="X412" s="107"/>
      <c r="Y412" s="107">
        <f t="shared" si="19"/>
        <v>100</v>
      </c>
      <c r="Z412" s="107">
        <f t="shared" si="20"/>
        <v>100</v>
      </c>
    </row>
    <row r="413" spans="1:26" x14ac:dyDescent="0.25">
      <c r="A413" s="55" t="str">
        <f>_xlfn.XLOOKUP($G413,'.Auxiliar'!$G:$G,'.Auxiliar'!A:A,"-",0)</f>
        <v>FLUMINENSE</v>
      </c>
      <c r="B413" s="55" t="str">
        <f>_xlfn.XLOOKUP($G413,'.Auxiliar'!$G:$G,'.Auxiliar'!B:B,"-",0)</f>
        <v>DUPLICAÇÃO</v>
      </c>
      <c r="C413" s="55" t="str">
        <f>_xlfn.XLOOKUP($G413,'.Auxiliar'!$G:$G,'.Auxiliar'!C:C,"-",0)</f>
        <v>Duplicações (inclusive OAE's):</v>
      </c>
      <c r="D413" s="55">
        <f>_xlfn.XLOOKUP($G413,'.Auxiliar'!$G:$G,'.Auxiliar'!D:D,"-",0)</f>
        <v>132.5</v>
      </c>
      <c r="E413" s="55">
        <f>_xlfn.XLOOKUP($G413,'.Auxiliar'!$G:$G,'.Auxiliar'!E:E,"-",0)</f>
        <v>144.19999999999999</v>
      </c>
      <c r="F413" s="55">
        <f>_xlfn.XLOOKUP($G413,'.Auxiliar'!$G:$G,'.Auxiliar'!F:F,"-",0)</f>
        <v>11.699999999999989</v>
      </c>
      <c r="G413" s="59" t="s">
        <v>638</v>
      </c>
      <c r="H413" s="108" t="s">
        <v>363</v>
      </c>
      <c r="I413" s="109" t="s">
        <v>0</v>
      </c>
      <c r="J413" s="109" t="s">
        <v>0</v>
      </c>
      <c r="K413" s="109" t="s">
        <v>363</v>
      </c>
      <c r="L413" s="109" t="s">
        <v>0</v>
      </c>
      <c r="M413" s="109" t="s">
        <v>0</v>
      </c>
      <c r="N413" s="110" t="s">
        <v>0</v>
      </c>
      <c r="O413" s="111">
        <v>100</v>
      </c>
      <c r="P413" s="112">
        <v>100</v>
      </c>
      <c r="Q413" s="112"/>
      <c r="R413" s="112"/>
      <c r="S413" s="112"/>
      <c r="T413" s="112"/>
      <c r="U413" s="95">
        <f t="shared" si="18"/>
        <v>0</v>
      </c>
      <c r="V413" s="112"/>
      <c r="W413" s="112"/>
      <c r="X413" s="107"/>
      <c r="Y413" s="107">
        <f t="shared" si="19"/>
        <v>100</v>
      </c>
      <c r="Z413" s="107">
        <f t="shared" si="20"/>
        <v>100</v>
      </c>
    </row>
    <row r="414" spans="1:26" x14ac:dyDescent="0.25">
      <c r="A414" s="55" t="str">
        <f>_xlfn.XLOOKUP($G414,'.Auxiliar'!$G:$G,'.Auxiliar'!A:A,"-",0)</f>
        <v>FLUMINENSE</v>
      </c>
      <c r="B414" s="55" t="str">
        <f>_xlfn.XLOOKUP($G414,'.Auxiliar'!$G:$G,'.Auxiliar'!B:B,"-",0)</f>
        <v>DUPLICAÇÃO</v>
      </c>
      <c r="C414" s="55" t="str">
        <f>_xlfn.XLOOKUP($G414,'.Auxiliar'!$G:$G,'.Auxiliar'!C:C,"-",0)</f>
        <v>Duplicações (inclusive OAE's):</v>
      </c>
      <c r="D414" s="55">
        <f>_xlfn.XLOOKUP($G414,'.Auxiliar'!$G:$G,'.Auxiliar'!D:D,"-",0)</f>
        <v>190.3</v>
      </c>
      <c r="E414" s="55">
        <f>_xlfn.XLOOKUP($G414,'.Auxiliar'!$G:$G,'.Auxiliar'!E:E,"-",0)</f>
        <v>202</v>
      </c>
      <c r="F414" s="55">
        <f>_xlfn.XLOOKUP($G414,'.Auxiliar'!$G:$G,'.Auxiliar'!F:F,"-",0)</f>
        <v>11.699999999999989</v>
      </c>
      <c r="G414" s="59" t="s">
        <v>639</v>
      </c>
      <c r="H414" s="108" t="s">
        <v>363</v>
      </c>
      <c r="I414" s="109" t="s">
        <v>0</v>
      </c>
      <c r="J414" s="109" t="s">
        <v>0</v>
      </c>
      <c r="K414" s="109" t="s">
        <v>363</v>
      </c>
      <c r="L414" s="109" t="s">
        <v>0</v>
      </c>
      <c r="M414" s="109" t="s">
        <v>0</v>
      </c>
      <c r="N414" s="110" t="s">
        <v>0</v>
      </c>
      <c r="O414" s="111">
        <v>100</v>
      </c>
      <c r="P414" s="112">
        <v>100</v>
      </c>
      <c r="Q414" s="112"/>
      <c r="R414" s="112"/>
      <c r="S414" s="112"/>
      <c r="T414" s="112"/>
      <c r="U414" s="95">
        <f t="shared" si="18"/>
        <v>0</v>
      </c>
      <c r="V414" s="112"/>
      <c r="W414" s="112"/>
      <c r="X414" s="107"/>
      <c r="Y414" s="107">
        <f t="shared" si="19"/>
        <v>100</v>
      </c>
      <c r="Z414" s="107">
        <f t="shared" si="20"/>
        <v>100</v>
      </c>
    </row>
    <row r="415" spans="1:26" x14ac:dyDescent="0.25">
      <c r="A415" s="55" t="str">
        <f>_xlfn.XLOOKUP($G415,'.Auxiliar'!$G:$G,'.Auxiliar'!A:A,"-",0)</f>
        <v>FLUMINENSE</v>
      </c>
      <c r="B415" s="55" t="str">
        <f>_xlfn.XLOOKUP($G415,'.Auxiliar'!$G:$G,'.Auxiliar'!B:B,"-",0)</f>
        <v>DUPLICAÇÃO</v>
      </c>
      <c r="C415" s="55" t="str">
        <f>_xlfn.XLOOKUP($G415,'.Auxiliar'!$G:$G,'.Auxiliar'!C:C,"-",0)</f>
        <v>Duplicações (inclusive OAE's):</v>
      </c>
      <c r="D415" s="55">
        <f>_xlfn.XLOOKUP($G415,'.Auxiliar'!$G:$G,'.Auxiliar'!D:D,"-",0)</f>
        <v>202</v>
      </c>
      <c r="E415" s="55">
        <f>_xlfn.XLOOKUP($G415,'.Auxiliar'!$G:$G,'.Auxiliar'!E:E,"-",0)</f>
        <v>205.6</v>
      </c>
      <c r="F415" s="55">
        <f>_xlfn.XLOOKUP($G415,'.Auxiliar'!$G:$G,'.Auxiliar'!F:F,"-",0)</f>
        <v>3.5999999999999943</v>
      </c>
      <c r="G415" s="59" t="s">
        <v>640</v>
      </c>
      <c r="H415" s="108" t="s">
        <v>363</v>
      </c>
      <c r="I415" s="109" t="s">
        <v>0</v>
      </c>
      <c r="J415" s="109" t="s">
        <v>0</v>
      </c>
      <c r="K415" s="109" t="s">
        <v>363</v>
      </c>
      <c r="L415" s="109" t="s">
        <v>0</v>
      </c>
      <c r="M415" s="109" t="s">
        <v>0</v>
      </c>
      <c r="N415" s="110" t="s">
        <v>0</v>
      </c>
      <c r="O415" s="111">
        <v>100</v>
      </c>
      <c r="P415" s="112">
        <v>100</v>
      </c>
      <c r="Q415" s="112"/>
      <c r="R415" s="112"/>
      <c r="S415" s="112"/>
      <c r="T415" s="112"/>
      <c r="U415" s="95">
        <f t="shared" si="18"/>
        <v>0</v>
      </c>
      <c r="V415" s="112"/>
      <c r="W415" s="112"/>
      <c r="X415" s="107"/>
      <c r="Y415" s="107">
        <f t="shared" si="19"/>
        <v>100</v>
      </c>
      <c r="Z415" s="107">
        <f t="shared" si="20"/>
        <v>100</v>
      </c>
    </row>
    <row r="416" spans="1:26" x14ac:dyDescent="0.25">
      <c r="A416" s="55" t="str">
        <f>_xlfn.XLOOKUP($G416,'.Auxiliar'!$G:$G,'.Auxiliar'!A:A,"-",0)</f>
        <v>FLUMINENSE</v>
      </c>
      <c r="B416" s="55" t="str">
        <f>_xlfn.XLOOKUP($G416,'.Auxiliar'!$G:$G,'.Auxiliar'!B:B,"-",0)</f>
        <v>DUPLICAÇÃO</v>
      </c>
      <c r="C416" s="55" t="str">
        <f>_xlfn.XLOOKUP($G416,'.Auxiliar'!$G:$G,'.Auxiliar'!C:C,"-",0)</f>
        <v>Duplicações (inclusive OAE's):</v>
      </c>
      <c r="D416" s="55">
        <f>_xlfn.XLOOKUP($G416,'.Auxiliar'!$G:$G,'.Auxiliar'!D:D,"-",0)</f>
        <v>208.6</v>
      </c>
      <c r="E416" s="55">
        <f>_xlfn.XLOOKUP($G416,'.Auxiliar'!$G:$G,'.Auxiliar'!E:E,"-",0)</f>
        <v>210</v>
      </c>
      <c r="F416" s="55">
        <f>_xlfn.XLOOKUP($G416,'.Auxiliar'!$G:$G,'.Auxiliar'!F:F,"-",0)</f>
        <v>1.4000000000000057</v>
      </c>
      <c r="G416" s="59" t="s">
        <v>641</v>
      </c>
      <c r="H416" s="108" t="s">
        <v>363</v>
      </c>
      <c r="I416" s="109" t="s">
        <v>0</v>
      </c>
      <c r="J416" s="109" t="s">
        <v>0</v>
      </c>
      <c r="K416" s="109" t="s">
        <v>363</v>
      </c>
      <c r="L416" s="109" t="s">
        <v>0</v>
      </c>
      <c r="M416" s="109" t="s">
        <v>0</v>
      </c>
      <c r="N416" s="110" t="s">
        <v>0</v>
      </c>
      <c r="O416" s="111">
        <v>100</v>
      </c>
      <c r="P416" s="112">
        <v>100</v>
      </c>
      <c r="Q416" s="112"/>
      <c r="R416" s="112"/>
      <c r="S416" s="112"/>
      <c r="T416" s="112"/>
      <c r="U416" s="95">
        <f t="shared" si="18"/>
        <v>0</v>
      </c>
      <c r="V416" s="112"/>
      <c r="W416" s="112"/>
      <c r="X416" s="107"/>
      <c r="Y416" s="107">
        <f t="shared" si="19"/>
        <v>100</v>
      </c>
      <c r="Z416" s="107">
        <f t="shared" si="20"/>
        <v>100</v>
      </c>
    </row>
    <row r="417" spans="1:26" x14ac:dyDescent="0.25">
      <c r="A417" s="55" t="str">
        <f>_xlfn.XLOOKUP($G417,'.Auxiliar'!$G:$G,'.Auxiliar'!A:A,"-",0)</f>
        <v>FLUMINENSE</v>
      </c>
      <c r="B417" s="55" t="str">
        <f>_xlfn.XLOOKUP($G417,'.Auxiliar'!$G:$G,'.Auxiliar'!B:B,"-",0)</f>
        <v>DUPLICAÇÃO</v>
      </c>
      <c r="C417" s="55" t="str">
        <f>_xlfn.XLOOKUP($G417,'.Auxiliar'!$G:$G,'.Auxiliar'!C:C,"-",0)</f>
        <v>Duplicações (inclusive OAE's):</v>
      </c>
      <c r="D417" s="55">
        <f>_xlfn.XLOOKUP($G417,'.Auxiliar'!$G:$G,'.Auxiliar'!D:D,"-",0)</f>
        <v>210</v>
      </c>
      <c r="E417" s="55">
        <f>_xlfn.XLOOKUP($G417,'.Auxiliar'!$G:$G,'.Auxiliar'!E:E,"-",0)</f>
        <v>215.3</v>
      </c>
      <c r="F417" s="55">
        <f>_xlfn.XLOOKUP($G417,'.Auxiliar'!$G:$G,'.Auxiliar'!F:F,"-",0)</f>
        <v>5.3000000000000114</v>
      </c>
      <c r="G417" s="59" t="s">
        <v>642</v>
      </c>
      <c r="H417" s="108" t="s">
        <v>363</v>
      </c>
      <c r="I417" s="109" t="s">
        <v>0</v>
      </c>
      <c r="J417" s="109" t="s">
        <v>0</v>
      </c>
      <c r="K417" s="109" t="s">
        <v>363</v>
      </c>
      <c r="L417" s="109" t="s">
        <v>0</v>
      </c>
      <c r="M417" s="109" t="s">
        <v>0</v>
      </c>
      <c r="N417" s="110" t="s">
        <v>0</v>
      </c>
      <c r="O417" s="111">
        <v>100</v>
      </c>
      <c r="P417" s="112">
        <v>100</v>
      </c>
      <c r="Q417" s="90"/>
      <c r="R417" s="112"/>
      <c r="S417" s="112"/>
      <c r="T417" s="112"/>
      <c r="U417" s="95">
        <f t="shared" si="18"/>
        <v>0</v>
      </c>
      <c r="V417" s="112"/>
      <c r="W417" s="112"/>
      <c r="X417" s="107"/>
      <c r="Y417" s="107">
        <f t="shared" si="19"/>
        <v>100</v>
      </c>
      <c r="Z417" s="107">
        <f t="shared" si="20"/>
        <v>100</v>
      </c>
    </row>
    <row r="418" spans="1:26" x14ac:dyDescent="0.25">
      <c r="A418" s="55" t="str">
        <f>_xlfn.XLOOKUP($G418,'.Auxiliar'!$G:$G,'.Auxiliar'!A:A,"-",0)</f>
        <v>FLUMINENSE</v>
      </c>
      <c r="B418" s="55" t="str">
        <f>_xlfn.XLOOKUP($G418,'.Auxiliar'!$G:$G,'.Auxiliar'!B:B,"-",0)</f>
        <v>DUPLICAÇÃO</v>
      </c>
      <c r="C418" s="55" t="str">
        <f>_xlfn.XLOOKUP($G418,'.Auxiliar'!$G:$G,'.Auxiliar'!C:C,"-",0)</f>
        <v>Duplicações (inclusive OAE's):</v>
      </c>
      <c r="D418" s="55">
        <f>_xlfn.XLOOKUP($G418,'.Auxiliar'!$G:$G,'.Auxiliar'!D:D,"-",0)</f>
        <v>215.3</v>
      </c>
      <c r="E418" s="55">
        <f>_xlfn.XLOOKUP($G418,'.Auxiliar'!$G:$G,'.Auxiliar'!E:E,"-",0)</f>
        <v>217.1</v>
      </c>
      <c r="F418" s="55">
        <f>_xlfn.XLOOKUP($G418,'.Auxiliar'!$G:$G,'.Auxiliar'!F:F,"-",0)</f>
        <v>1.7999999999999829</v>
      </c>
      <c r="G418" s="59" t="s">
        <v>833</v>
      </c>
      <c r="H418" s="113" t="s">
        <v>1881</v>
      </c>
      <c r="I418" s="109" t="s">
        <v>368</v>
      </c>
      <c r="J418" s="109" t="s">
        <v>0</v>
      </c>
      <c r="K418" s="109" t="s">
        <v>363</v>
      </c>
      <c r="L418" s="109" t="s">
        <v>0</v>
      </c>
      <c r="M418" s="109" t="s">
        <v>0</v>
      </c>
      <c r="N418" s="110" t="s">
        <v>0</v>
      </c>
      <c r="O418" s="111">
        <v>100</v>
      </c>
      <c r="P418" s="112">
        <f>15.77-1.03</f>
        <v>14.74</v>
      </c>
      <c r="Q418" s="90">
        <f>100-P418</f>
        <v>85.26</v>
      </c>
      <c r="R418" s="112">
        <f>100-P418</f>
        <v>85.26</v>
      </c>
      <c r="S418" s="112"/>
      <c r="T418" s="112"/>
      <c r="U418" s="95">
        <f t="shared" si="18"/>
        <v>0</v>
      </c>
      <c r="V418" s="112"/>
      <c r="W418" s="112"/>
      <c r="X418" s="107"/>
      <c r="Y418" s="107">
        <f t="shared" si="19"/>
        <v>100</v>
      </c>
      <c r="Z418" s="107">
        <f t="shared" si="20"/>
        <v>100</v>
      </c>
    </row>
    <row r="419" spans="1:26" x14ac:dyDescent="0.25">
      <c r="A419" s="55" t="str">
        <f>_xlfn.XLOOKUP($G419,'.Auxiliar'!$G:$G,'.Auxiliar'!A:A,"-",0)</f>
        <v>FLUMINENSE</v>
      </c>
      <c r="B419" s="55" t="str">
        <f>_xlfn.XLOOKUP($G419,'.Auxiliar'!$G:$G,'.Auxiliar'!B:B,"-",0)</f>
        <v>DUPLICAÇÃO</v>
      </c>
      <c r="C419" s="55" t="str">
        <f>_xlfn.XLOOKUP($G419,'.Auxiliar'!$G:$G,'.Auxiliar'!C:C,"-",0)</f>
        <v>Duplicações (inclusive OAE's):</v>
      </c>
      <c r="D419" s="55">
        <f>_xlfn.XLOOKUP($G419,'.Auxiliar'!$G:$G,'.Auxiliar'!D:D,"-",0)</f>
        <v>217.1</v>
      </c>
      <c r="E419" s="55">
        <f>_xlfn.XLOOKUP($G419,'.Auxiliar'!$G:$G,'.Auxiliar'!E:E,"-",0)</f>
        <v>228.8</v>
      </c>
      <c r="F419" s="55">
        <f>_xlfn.XLOOKUP($G419,'.Auxiliar'!$G:$G,'.Auxiliar'!F:F,"-",0)</f>
        <v>11.700000000000017</v>
      </c>
      <c r="G419" s="59" t="s">
        <v>643</v>
      </c>
      <c r="H419" s="108" t="s">
        <v>363</v>
      </c>
      <c r="I419" s="109" t="s">
        <v>0</v>
      </c>
      <c r="J419" s="109" t="s">
        <v>0</v>
      </c>
      <c r="K419" s="109" t="s">
        <v>363</v>
      </c>
      <c r="L419" s="109" t="s">
        <v>0</v>
      </c>
      <c r="M419" s="109" t="s">
        <v>0</v>
      </c>
      <c r="N419" s="110" t="s">
        <v>0</v>
      </c>
      <c r="O419" s="111">
        <v>100</v>
      </c>
      <c r="P419" s="112">
        <v>100</v>
      </c>
      <c r="Q419" s="90"/>
      <c r="R419" s="112"/>
      <c r="S419" s="112"/>
      <c r="T419" s="112"/>
      <c r="U419" s="95">
        <f t="shared" si="18"/>
        <v>0</v>
      </c>
      <c r="V419" s="112"/>
      <c r="W419" s="112"/>
      <c r="X419" s="107"/>
      <c r="Y419" s="107">
        <f t="shared" si="19"/>
        <v>100</v>
      </c>
      <c r="Z419" s="107">
        <f t="shared" si="20"/>
        <v>100</v>
      </c>
    </row>
    <row r="420" spans="1:26" x14ac:dyDescent="0.25">
      <c r="A420" s="55" t="str">
        <f>_xlfn.XLOOKUP($G420,'.Auxiliar'!$G:$G,'.Auxiliar'!A:A,"-",0)</f>
        <v>FLUMINENSE</v>
      </c>
      <c r="B420" s="55" t="str">
        <f>_xlfn.XLOOKUP($G420,'.Auxiliar'!$G:$G,'.Auxiliar'!B:B,"-",0)</f>
        <v>DUPLICAÇÃO</v>
      </c>
      <c r="C420" s="55" t="str">
        <f>_xlfn.XLOOKUP($G420,'.Auxiliar'!$G:$G,'.Auxiliar'!C:C,"-",0)</f>
        <v>Duplicações (inclusive OAE's):</v>
      </c>
      <c r="D420" s="55">
        <f>_xlfn.XLOOKUP($G420,'.Auxiliar'!$G:$G,'.Auxiliar'!D:D,"-",0)</f>
        <v>228.8</v>
      </c>
      <c r="E420" s="55">
        <f>_xlfn.XLOOKUP($G420,'.Auxiliar'!$G:$G,'.Auxiliar'!E:E,"-",0)</f>
        <v>248.8</v>
      </c>
      <c r="F420" s="55">
        <f>_xlfn.XLOOKUP($G420,'.Auxiliar'!$G:$G,'.Auxiliar'!F:F,"-",0)</f>
        <v>20</v>
      </c>
      <c r="G420" s="59" t="s">
        <v>644</v>
      </c>
      <c r="H420" s="108" t="s">
        <v>363</v>
      </c>
      <c r="I420" s="109" t="s">
        <v>0</v>
      </c>
      <c r="J420" s="109" t="s">
        <v>0</v>
      </c>
      <c r="K420" s="109" t="s">
        <v>363</v>
      </c>
      <c r="L420" s="109" t="s">
        <v>0</v>
      </c>
      <c r="M420" s="109" t="s">
        <v>0</v>
      </c>
      <c r="N420" s="110" t="s">
        <v>0</v>
      </c>
      <c r="O420" s="111">
        <v>100</v>
      </c>
      <c r="P420" s="112">
        <v>100</v>
      </c>
      <c r="Q420" s="112"/>
      <c r="R420" s="112"/>
      <c r="S420" s="112"/>
      <c r="T420" s="112"/>
      <c r="U420" s="95">
        <f t="shared" si="18"/>
        <v>0</v>
      </c>
      <c r="V420" s="112"/>
      <c r="W420" s="112"/>
      <c r="X420" s="107"/>
      <c r="Y420" s="107">
        <f t="shared" si="19"/>
        <v>100</v>
      </c>
      <c r="Z420" s="107">
        <f t="shared" si="20"/>
        <v>100</v>
      </c>
    </row>
    <row r="421" spans="1:26" x14ac:dyDescent="0.25">
      <c r="A421" s="55" t="str">
        <f>_xlfn.XLOOKUP($G421,'.Auxiliar'!$G:$G,'.Auxiliar'!A:A,"-",0)</f>
        <v>FLUMINENSE</v>
      </c>
      <c r="B421" s="55" t="str">
        <f>_xlfn.XLOOKUP($G421,'.Auxiliar'!$G:$G,'.Auxiliar'!B:B,"-",0)</f>
        <v>DUPLICAÇÃO</v>
      </c>
      <c r="C421" s="55" t="str">
        <f>_xlfn.XLOOKUP($G421,'.Auxiliar'!$G:$G,'.Auxiliar'!C:C,"-",0)</f>
        <v>Duplicações (inclusive OAE's):</v>
      </c>
      <c r="D421" s="55">
        <f>_xlfn.XLOOKUP($G421,'.Auxiliar'!$G:$G,'.Auxiliar'!D:D,"-",0)</f>
        <v>248.8</v>
      </c>
      <c r="E421" s="55">
        <f>_xlfn.XLOOKUP($G421,'.Auxiliar'!$G:$G,'.Auxiliar'!E:E,"-",0)</f>
        <v>261.2</v>
      </c>
      <c r="F421" s="55">
        <f>_xlfn.XLOOKUP($G421,'.Auxiliar'!$G:$G,'.Auxiliar'!F:F,"-",0)</f>
        <v>12.399999999999977</v>
      </c>
      <c r="G421" s="59" t="s">
        <v>645</v>
      </c>
      <c r="H421" s="108" t="s">
        <v>363</v>
      </c>
      <c r="I421" s="109" t="s">
        <v>0</v>
      </c>
      <c r="J421" s="109" t="s">
        <v>0</v>
      </c>
      <c r="K421" s="109" t="s">
        <v>363</v>
      </c>
      <c r="L421" s="109" t="s">
        <v>0</v>
      </c>
      <c r="M421" s="109" t="s">
        <v>0</v>
      </c>
      <c r="N421" s="110" t="s">
        <v>0</v>
      </c>
      <c r="O421" s="111">
        <v>100</v>
      </c>
      <c r="P421" s="112">
        <v>99.9</v>
      </c>
      <c r="Q421" s="112"/>
      <c r="R421" s="112"/>
      <c r="S421" s="112"/>
      <c r="T421" s="112"/>
      <c r="U421" s="95">
        <f t="shared" si="18"/>
        <v>9.9999999999994316E-2</v>
      </c>
      <c r="V421" s="112"/>
      <c r="W421" s="112"/>
      <c r="X421" s="107">
        <v>0.1</v>
      </c>
      <c r="Y421" s="107">
        <f t="shared" si="19"/>
        <v>100</v>
      </c>
      <c r="Z421" s="107">
        <f t="shared" si="20"/>
        <v>99.9</v>
      </c>
    </row>
    <row r="422" spans="1:26" x14ac:dyDescent="0.25">
      <c r="A422" s="55" t="str">
        <f>_xlfn.XLOOKUP($G422,'.Auxiliar'!$G:$G,'.Auxiliar'!A:A,"-",0)</f>
        <v>FLUMINENSE</v>
      </c>
      <c r="B422" s="55" t="str">
        <f>_xlfn.XLOOKUP($G422,'.Auxiliar'!$G:$G,'.Auxiliar'!B:B,"-",0)</f>
        <v>DUPLICAÇÃO</v>
      </c>
      <c r="C422" s="55" t="str">
        <f>_xlfn.XLOOKUP($G422,'.Auxiliar'!$G:$G,'.Auxiliar'!C:C,"-",0)</f>
        <v>Duplicações (inclusive OAE's):</v>
      </c>
      <c r="D422" s="55">
        <f>_xlfn.XLOOKUP($G422,'.Auxiliar'!$G:$G,'.Auxiliar'!D:D,"-",0)</f>
        <v>84.6</v>
      </c>
      <c r="E422" s="55">
        <f>_xlfn.XLOOKUP($G422,'.Auxiliar'!$G:$G,'.Auxiliar'!E:E,"-",0)</f>
        <v>102</v>
      </c>
      <c r="F422" s="55">
        <f>_xlfn.XLOOKUP($G422,'.Auxiliar'!$G:$G,'.Auxiliar'!F:F,"-",0)</f>
        <v>17.400000000000006</v>
      </c>
      <c r="G422" s="59" t="s">
        <v>631</v>
      </c>
      <c r="H422" s="108" t="s">
        <v>363</v>
      </c>
      <c r="I422" s="109" t="s">
        <v>0</v>
      </c>
      <c r="J422" s="109" t="s">
        <v>0</v>
      </c>
      <c r="K422" s="109" t="s">
        <v>363</v>
      </c>
      <c r="L422" s="109" t="s">
        <v>0</v>
      </c>
      <c r="M422" s="109" t="s">
        <v>0</v>
      </c>
      <c r="N422" s="110" t="s">
        <v>0</v>
      </c>
      <c r="O422" s="111">
        <v>100</v>
      </c>
      <c r="P422" s="112">
        <v>100</v>
      </c>
      <c r="Q422" s="112"/>
      <c r="R422" s="112"/>
      <c r="S422" s="112"/>
      <c r="T422" s="112"/>
      <c r="U422" s="95">
        <f t="shared" si="18"/>
        <v>0</v>
      </c>
      <c r="V422" s="112"/>
      <c r="W422" s="112"/>
      <c r="X422" s="107"/>
      <c r="Y422" s="107">
        <f t="shared" si="19"/>
        <v>100</v>
      </c>
      <c r="Z422" s="107">
        <f t="shared" si="20"/>
        <v>100</v>
      </c>
    </row>
    <row r="423" spans="1:26" x14ac:dyDescent="0.25">
      <c r="A423" s="55" t="str">
        <f>_xlfn.XLOOKUP($G423,'.Auxiliar'!$G:$G,'.Auxiliar'!A:A,"-",0)</f>
        <v>FLUMINENSE</v>
      </c>
      <c r="B423" s="55" t="str">
        <f>_xlfn.XLOOKUP($G423,'.Auxiliar'!$G:$G,'.Auxiliar'!B:B,"-",0)</f>
        <v>OAE</v>
      </c>
      <c r="C423" s="55" t="str">
        <f>_xlfn.XLOOKUP($G423,'.Auxiliar'!$G:$G,'.Auxiliar'!C:C,"-",0)</f>
        <v>Implantação de OAE: 1 unidade no trecho Manilha – Varandinha (rua lateral)</v>
      </c>
      <c r="D423" s="55">
        <f>_xlfn.XLOOKUP($G423,'.Auxiliar'!$G:$G,'.Auxiliar'!D:D,"-",0)</f>
        <v>1</v>
      </c>
      <c r="E423" s="55">
        <f>_xlfn.XLOOKUP($G423,'.Auxiliar'!$G:$G,'.Auxiliar'!E:E,"-",0)</f>
        <v>1</v>
      </c>
      <c r="F423" s="55">
        <f>_xlfn.XLOOKUP($G423,'.Auxiliar'!$G:$G,'.Auxiliar'!F:F,"-",0)</f>
        <v>1</v>
      </c>
      <c r="G423" s="59" t="s">
        <v>657</v>
      </c>
      <c r="H423" s="108" t="s">
        <v>363</v>
      </c>
      <c r="I423" s="109" t="s">
        <v>0</v>
      </c>
      <c r="J423" s="109" t="s">
        <v>0</v>
      </c>
      <c r="K423" s="109" t="s">
        <v>0</v>
      </c>
      <c r="L423" s="109" t="s">
        <v>0</v>
      </c>
      <c r="M423" s="109" t="s">
        <v>0</v>
      </c>
      <c r="N423" s="110" t="s">
        <v>0</v>
      </c>
      <c r="O423" s="111">
        <v>100</v>
      </c>
      <c r="P423" s="112">
        <v>100</v>
      </c>
      <c r="Q423" s="112"/>
      <c r="R423" s="112"/>
      <c r="S423" s="112"/>
      <c r="T423" s="112"/>
      <c r="U423" s="95">
        <f t="shared" si="18"/>
        <v>0</v>
      </c>
      <c r="V423" s="112"/>
      <c r="W423" s="112"/>
      <c r="X423" s="107"/>
      <c r="Y423" s="107">
        <f t="shared" si="19"/>
        <v>100</v>
      </c>
      <c r="Z423" s="107">
        <f t="shared" si="20"/>
        <v>100</v>
      </c>
    </row>
    <row r="424" spans="1:26" x14ac:dyDescent="0.25">
      <c r="A424" s="55" t="str">
        <f>_xlfn.XLOOKUP($G424,'.Auxiliar'!$G:$G,'.Auxiliar'!A:A,"-",0)</f>
        <v>FLUMINENSE</v>
      </c>
      <c r="B424" s="55" t="str">
        <f>_xlfn.XLOOKUP($G424,'.Auxiliar'!$G:$G,'.Auxiliar'!B:B,"-",0)</f>
        <v>OAE</v>
      </c>
      <c r="C424" s="55" t="str">
        <f>_xlfn.XLOOKUP($G424,'.Auxiliar'!$G:$G,'.Auxiliar'!C:C,"-",0)</f>
        <v>Implantação de trevo no km 194,1:</v>
      </c>
      <c r="D424" s="55">
        <f>_xlfn.XLOOKUP($G424,'.Auxiliar'!$G:$G,'.Auxiliar'!D:D,"-",0)</f>
        <v>194.1</v>
      </c>
      <c r="E424" s="55">
        <f>_xlfn.XLOOKUP($G424,'.Auxiliar'!$G:$G,'.Auxiliar'!E:E,"-",0)</f>
        <v>194.1</v>
      </c>
      <c r="F424" s="55">
        <f>_xlfn.XLOOKUP($G424,'.Auxiliar'!$G:$G,'.Auxiliar'!F:F,"-",0)</f>
        <v>1</v>
      </c>
      <c r="G424" s="59" t="s">
        <v>656</v>
      </c>
      <c r="H424" s="108" t="s">
        <v>363</v>
      </c>
      <c r="I424" s="109" t="s">
        <v>0</v>
      </c>
      <c r="J424" s="109" t="s">
        <v>0</v>
      </c>
      <c r="K424" s="109" t="s">
        <v>363</v>
      </c>
      <c r="L424" s="109" t="s">
        <v>0</v>
      </c>
      <c r="M424" s="109" t="s">
        <v>0</v>
      </c>
      <c r="N424" s="110" t="s">
        <v>0</v>
      </c>
      <c r="O424" s="111">
        <v>100</v>
      </c>
      <c r="P424" s="112">
        <v>100</v>
      </c>
      <c r="Q424" s="112"/>
      <c r="R424" s="112"/>
      <c r="S424" s="112"/>
      <c r="T424" s="112"/>
      <c r="U424" s="95">
        <f t="shared" si="18"/>
        <v>0</v>
      </c>
      <c r="V424" s="112"/>
      <c r="W424" s="112"/>
      <c r="X424" s="107"/>
      <c r="Y424" s="107">
        <f t="shared" si="19"/>
        <v>100</v>
      </c>
      <c r="Z424" s="107">
        <f t="shared" si="20"/>
        <v>100</v>
      </c>
    </row>
    <row r="425" spans="1:26" x14ac:dyDescent="0.25">
      <c r="A425" s="55" t="str">
        <f>_xlfn.XLOOKUP($G425,'.Auxiliar'!$G:$G,'.Auxiliar'!A:A,"-",0)</f>
        <v>FLUMINENSE</v>
      </c>
      <c r="B425" s="55" t="str">
        <f>_xlfn.XLOOKUP($G425,'.Auxiliar'!$G:$G,'.Auxiliar'!B:B,"-",0)</f>
        <v>OAE</v>
      </c>
      <c r="C425" s="55" t="str">
        <f>_xlfn.XLOOKUP($G425,'.Auxiliar'!$G:$G,'.Auxiliar'!C:C,"-",0)</f>
        <v>Implantação de trevo no km 265,7: 1 unidade no km 265,7 (Green Valley),</v>
      </c>
      <c r="D425" s="55">
        <f>_xlfn.XLOOKUP($G425,'.Auxiliar'!$G:$G,'.Auxiliar'!D:D,"-",0)</f>
        <v>265.7</v>
      </c>
      <c r="E425" s="55">
        <f>_xlfn.XLOOKUP($G425,'.Auxiliar'!$G:$G,'.Auxiliar'!E:E,"-",0)</f>
        <v>265.7</v>
      </c>
      <c r="F425" s="55">
        <f>_xlfn.XLOOKUP($G425,'.Auxiliar'!$G:$G,'.Auxiliar'!F:F,"-",0)</f>
        <v>1</v>
      </c>
      <c r="G425" s="59" t="s">
        <v>655</v>
      </c>
      <c r="H425" s="108" t="s">
        <v>363</v>
      </c>
      <c r="I425" s="109" t="s">
        <v>0</v>
      </c>
      <c r="J425" s="109" t="s">
        <v>0</v>
      </c>
      <c r="K425" s="109" t="s">
        <v>0</v>
      </c>
      <c r="L425" s="109" t="s">
        <v>0</v>
      </c>
      <c r="M425" s="109" t="s">
        <v>0</v>
      </c>
      <c r="N425" s="110" t="s">
        <v>0</v>
      </c>
      <c r="O425" s="111">
        <v>100</v>
      </c>
      <c r="P425" s="112">
        <v>100</v>
      </c>
      <c r="Q425" s="112"/>
      <c r="R425" s="112"/>
      <c r="S425" s="112"/>
      <c r="T425" s="112"/>
      <c r="U425" s="95">
        <f t="shared" si="18"/>
        <v>0</v>
      </c>
      <c r="V425" s="112"/>
      <c r="W425" s="112"/>
      <c r="X425" s="107"/>
      <c r="Y425" s="107">
        <f t="shared" si="19"/>
        <v>100</v>
      </c>
      <c r="Z425" s="107">
        <f t="shared" si="20"/>
        <v>100</v>
      </c>
    </row>
    <row r="426" spans="1:26" x14ac:dyDescent="0.25">
      <c r="A426" s="55" t="str">
        <f>_xlfn.XLOOKUP($G426,'.Auxiliar'!$G:$G,'.Auxiliar'!A:A,"-",0)</f>
        <v>FLUMINENSE</v>
      </c>
      <c r="B426" s="55" t="str">
        <f>_xlfn.XLOOKUP($G426,'.Auxiliar'!$G:$G,'.Auxiliar'!B:B,"-",0)</f>
        <v>OAE</v>
      </c>
      <c r="C426" s="55" t="str">
        <f>_xlfn.XLOOKUP($G426,'.Auxiliar'!$G:$G,'.Auxiliar'!C:C,"-",0)</f>
        <v>Implantação de Trevos em desnível – Completo:</v>
      </c>
      <c r="D426" s="55">
        <f>_xlfn.XLOOKUP($G426,'.Auxiliar'!$G:$G,'.Auxiliar'!D:D,"-",0)</f>
        <v>101.1</v>
      </c>
      <c r="E426" s="55">
        <f>_xlfn.XLOOKUP($G426,'.Auxiliar'!$G:$G,'.Auxiliar'!E:E,"-",0)</f>
        <v>101.1</v>
      </c>
      <c r="F426" s="55">
        <f>_xlfn.XLOOKUP($G426,'.Auxiliar'!$G:$G,'.Auxiliar'!F:F,"-",0)</f>
        <v>1</v>
      </c>
      <c r="G426" s="59" t="s">
        <v>659</v>
      </c>
      <c r="H426" s="108" t="s">
        <v>363</v>
      </c>
      <c r="I426" s="109" t="s">
        <v>0</v>
      </c>
      <c r="J426" s="109" t="s">
        <v>0</v>
      </c>
      <c r="K426" s="109" t="s">
        <v>363</v>
      </c>
      <c r="L426" s="109" t="s">
        <v>0</v>
      </c>
      <c r="M426" s="109" t="s">
        <v>0</v>
      </c>
      <c r="N426" s="110" t="s">
        <v>0</v>
      </c>
      <c r="O426" s="111">
        <v>100</v>
      </c>
      <c r="P426" s="112">
        <v>100</v>
      </c>
      <c r="Q426" s="112"/>
      <c r="R426" s="112"/>
      <c r="S426" s="112"/>
      <c r="T426" s="112"/>
      <c r="U426" s="95">
        <f t="shared" si="18"/>
        <v>0</v>
      </c>
      <c r="V426" s="112"/>
      <c r="W426" s="112"/>
      <c r="X426" s="107"/>
      <c r="Y426" s="107">
        <f t="shared" si="19"/>
        <v>100</v>
      </c>
      <c r="Z426" s="107">
        <f t="shared" si="20"/>
        <v>100</v>
      </c>
    </row>
    <row r="427" spans="1:26" x14ac:dyDescent="0.25">
      <c r="A427" s="55" t="str">
        <f>_xlfn.XLOOKUP($G427,'.Auxiliar'!$G:$G,'.Auxiliar'!A:A,"-",0)</f>
        <v>FLUMINENSE</v>
      </c>
      <c r="B427" s="55" t="str">
        <f>_xlfn.XLOOKUP($G427,'.Auxiliar'!$G:$G,'.Auxiliar'!B:B,"-",0)</f>
        <v>OAE</v>
      </c>
      <c r="C427" s="55" t="str">
        <f>_xlfn.XLOOKUP($G427,'.Auxiliar'!$G:$G,'.Auxiliar'!C:C,"-",0)</f>
        <v>Implantação de Trevos em desnível – Completo:</v>
      </c>
      <c r="D427" s="55">
        <f>_xlfn.XLOOKUP($G427,'.Auxiliar'!$G:$G,'.Auxiliar'!D:D,"-",0)</f>
        <v>113.3</v>
      </c>
      <c r="E427" s="55">
        <f>_xlfn.XLOOKUP($G427,'.Auxiliar'!$G:$G,'.Auxiliar'!E:E,"-",0)</f>
        <v>113.3</v>
      </c>
      <c r="F427" s="55">
        <f>_xlfn.XLOOKUP($G427,'.Auxiliar'!$G:$G,'.Auxiliar'!F:F,"-",0)</f>
        <v>1</v>
      </c>
      <c r="G427" s="59" t="s">
        <v>660</v>
      </c>
      <c r="H427" s="108" t="s">
        <v>363</v>
      </c>
      <c r="I427" s="109" t="s">
        <v>0</v>
      </c>
      <c r="J427" s="109" t="s">
        <v>0</v>
      </c>
      <c r="K427" s="109" t="s">
        <v>363</v>
      </c>
      <c r="L427" s="109" t="s">
        <v>0</v>
      </c>
      <c r="M427" s="109" t="s">
        <v>0</v>
      </c>
      <c r="N427" s="110" t="s">
        <v>0</v>
      </c>
      <c r="O427" s="111">
        <v>100</v>
      </c>
      <c r="P427" s="112">
        <v>100</v>
      </c>
      <c r="Q427" s="112"/>
      <c r="R427" s="112"/>
      <c r="S427" s="112"/>
      <c r="T427" s="112"/>
      <c r="U427" s="95">
        <f t="shared" si="18"/>
        <v>0</v>
      </c>
      <c r="V427" s="112"/>
      <c r="W427" s="112"/>
      <c r="X427" s="107"/>
      <c r="Y427" s="107">
        <f t="shared" si="19"/>
        <v>100</v>
      </c>
      <c r="Z427" s="107">
        <f t="shared" si="20"/>
        <v>100</v>
      </c>
    </row>
    <row r="428" spans="1:26" x14ac:dyDescent="0.25">
      <c r="A428" s="55" t="str">
        <f>_xlfn.XLOOKUP($G428,'.Auxiliar'!$G:$G,'.Auxiliar'!A:A,"-",0)</f>
        <v>FLUMINENSE</v>
      </c>
      <c r="B428" s="55" t="str">
        <f>_xlfn.XLOOKUP($G428,'.Auxiliar'!$G:$G,'.Auxiliar'!B:B,"-",0)</f>
        <v>OAE</v>
      </c>
      <c r="C428" s="55" t="str">
        <f>_xlfn.XLOOKUP($G428,'.Auxiliar'!$G:$G,'.Auxiliar'!C:C,"-",0)</f>
        <v>Implantação de Trevos em desnível – Completo:</v>
      </c>
      <c r="D428" s="55">
        <f>_xlfn.XLOOKUP($G428,'.Auxiliar'!$G:$G,'.Auxiliar'!D:D,"-",0)</f>
        <v>122.14</v>
      </c>
      <c r="E428" s="55">
        <f>_xlfn.XLOOKUP($G428,'.Auxiliar'!$G:$G,'.Auxiliar'!E:E,"-",0)</f>
        <v>122.14</v>
      </c>
      <c r="F428" s="55">
        <f>_xlfn.XLOOKUP($G428,'.Auxiliar'!$G:$G,'.Auxiliar'!F:F,"-",0)</f>
        <v>1</v>
      </c>
      <c r="G428" s="59" t="s">
        <v>661</v>
      </c>
      <c r="H428" s="108" t="s">
        <v>363</v>
      </c>
      <c r="I428" s="109" t="s">
        <v>0</v>
      </c>
      <c r="J428" s="109" t="s">
        <v>0</v>
      </c>
      <c r="K428" s="109" t="s">
        <v>363</v>
      </c>
      <c r="L428" s="109" t="s">
        <v>0</v>
      </c>
      <c r="M428" s="109" t="s">
        <v>0</v>
      </c>
      <c r="N428" s="110" t="s">
        <v>0</v>
      </c>
      <c r="O428" s="111">
        <v>100</v>
      </c>
      <c r="P428" s="112">
        <v>100</v>
      </c>
      <c r="Q428" s="112"/>
      <c r="R428" s="112"/>
      <c r="S428" s="112"/>
      <c r="T428" s="112"/>
      <c r="U428" s="95">
        <f t="shared" si="18"/>
        <v>0</v>
      </c>
      <c r="V428" s="112"/>
      <c r="W428" s="112"/>
      <c r="X428" s="107"/>
      <c r="Y428" s="107">
        <f t="shared" si="19"/>
        <v>100</v>
      </c>
      <c r="Z428" s="107">
        <f t="shared" si="20"/>
        <v>100</v>
      </c>
    </row>
    <row r="429" spans="1:26" x14ac:dyDescent="0.25">
      <c r="A429" s="55" t="str">
        <f>_xlfn.XLOOKUP($G429,'.Auxiliar'!$G:$G,'.Auxiliar'!A:A,"-",0)</f>
        <v>FLUMINENSE</v>
      </c>
      <c r="B429" s="55" t="str">
        <f>_xlfn.XLOOKUP($G429,'.Auxiliar'!$G:$G,'.Auxiliar'!B:B,"-",0)</f>
        <v>OAE</v>
      </c>
      <c r="C429" s="55" t="str">
        <f>_xlfn.XLOOKUP($G429,'.Auxiliar'!$G:$G,'.Auxiliar'!C:C,"-",0)</f>
        <v>Implantação de Trevos em desnível – Completo:</v>
      </c>
      <c r="D429" s="55">
        <f>_xlfn.XLOOKUP($G429,'.Auxiliar'!$G:$G,'.Auxiliar'!D:D,"-",0)</f>
        <v>125</v>
      </c>
      <c r="E429" s="55">
        <f>_xlfn.XLOOKUP($G429,'.Auxiliar'!$G:$G,'.Auxiliar'!E:E,"-",0)</f>
        <v>125</v>
      </c>
      <c r="F429" s="55">
        <f>_xlfn.XLOOKUP($G429,'.Auxiliar'!$G:$G,'.Auxiliar'!F:F,"-",0)</f>
        <v>1</v>
      </c>
      <c r="G429" s="59" t="s">
        <v>662</v>
      </c>
      <c r="H429" s="108" t="s">
        <v>363</v>
      </c>
      <c r="I429" s="109" t="s">
        <v>0</v>
      </c>
      <c r="J429" s="109" t="s">
        <v>0</v>
      </c>
      <c r="K429" s="109" t="s">
        <v>0</v>
      </c>
      <c r="L429" s="109" t="s">
        <v>0</v>
      </c>
      <c r="M429" s="109" t="s">
        <v>0</v>
      </c>
      <c r="N429" s="110" t="s">
        <v>0</v>
      </c>
      <c r="O429" s="111">
        <v>100</v>
      </c>
      <c r="P429" s="112">
        <v>100</v>
      </c>
      <c r="Q429" s="112"/>
      <c r="R429" s="112"/>
      <c r="S429" s="112"/>
      <c r="T429" s="112"/>
      <c r="U429" s="95">
        <f t="shared" si="18"/>
        <v>0</v>
      </c>
      <c r="V429" s="112"/>
      <c r="W429" s="112"/>
      <c r="X429" s="107"/>
      <c r="Y429" s="107">
        <f t="shared" si="19"/>
        <v>100</v>
      </c>
      <c r="Z429" s="107">
        <f t="shared" si="20"/>
        <v>100</v>
      </c>
    </row>
    <row r="430" spans="1:26" x14ac:dyDescent="0.25">
      <c r="A430" s="55" t="str">
        <f>_xlfn.XLOOKUP($G430,'.Auxiliar'!$G:$G,'.Auxiliar'!A:A,"-",0)</f>
        <v>FLUMINENSE</v>
      </c>
      <c r="B430" s="55" t="str">
        <f>_xlfn.XLOOKUP($G430,'.Auxiliar'!$G:$G,'.Auxiliar'!B:B,"-",0)</f>
        <v>OAE</v>
      </c>
      <c r="C430" s="55" t="str">
        <f>_xlfn.XLOOKUP($G430,'.Auxiliar'!$G:$G,'.Auxiliar'!C:C,"-",0)</f>
        <v>Implantação de Trevos em desnível – Completo:</v>
      </c>
      <c r="D430" s="55">
        <f>_xlfn.XLOOKUP($G430,'.Auxiliar'!$G:$G,'.Auxiliar'!D:D,"-",0)</f>
        <v>132.30000000000001</v>
      </c>
      <c r="E430" s="55">
        <f>_xlfn.XLOOKUP($G430,'.Auxiliar'!$G:$G,'.Auxiliar'!E:E,"-",0)</f>
        <v>132.30000000000001</v>
      </c>
      <c r="F430" s="55">
        <f>_xlfn.XLOOKUP($G430,'.Auxiliar'!$G:$G,'.Auxiliar'!F:F,"-",0)</f>
        <v>1</v>
      </c>
      <c r="G430" s="59" t="s">
        <v>663</v>
      </c>
      <c r="H430" s="108" t="s">
        <v>363</v>
      </c>
      <c r="I430" s="109" t="s">
        <v>0</v>
      </c>
      <c r="J430" s="109" t="s">
        <v>0</v>
      </c>
      <c r="K430" s="109" t="s">
        <v>0</v>
      </c>
      <c r="L430" s="109" t="s">
        <v>0</v>
      </c>
      <c r="M430" s="109" t="s">
        <v>0</v>
      </c>
      <c r="N430" s="110" t="s">
        <v>0</v>
      </c>
      <c r="O430" s="111">
        <v>100</v>
      </c>
      <c r="P430" s="112">
        <v>100</v>
      </c>
      <c r="Q430" s="112"/>
      <c r="R430" s="112"/>
      <c r="S430" s="112"/>
      <c r="T430" s="112"/>
      <c r="U430" s="95">
        <f t="shared" si="18"/>
        <v>0</v>
      </c>
      <c r="V430" s="112"/>
      <c r="W430" s="112"/>
      <c r="X430" s="107"/>
      <c r="Y430" s="107">
        <f t="shared" si="19"/>
        <v>100</v>
      </c>
      <c r="Z430" s="107">
        <f t="shared" si="20"/>
        <v>100</v>
      </c>
    </row>
    <row r="431" spans="1:26" x14ac:dyDescent="0.25">
      <c r="A431" s="55" t="str">
        <f>_xlfn.XLOOKUP($G431,'.Auxiliar'!$G:$G,'.Auxiliar'!A:A,"-",0)</f>
        <v>FLUMINENSE</v>
      </c>
      <c r="B431" s="55" t="str">
        <f>_xlfn.XLOOKUP($G431,'.Auxiliar'!$G:$G,'.Auxiliar'!B:B,"-",0)</f>
        <v>OAE</v>
      </c>
      <c r="C431" s="55" t="str">
        <f>_xlfn.XLOOKUP($G431,'.Auxiliar'!$G:$G,'.Auxiliar'!C:C,"-",0)</f>
        <v>Implantação de Trevos em desnível – Completo:</v>
      </c>
      <c r="D431" s="55">
        <f>_xlfn.XLOOKUP($G431,'.Auxiliar'!$G:$G,'.Auxiliar'!D:D,"-",0)</f>
        <v>138.5</v>
      </c>
      <c r="E431" s="55">
        <f>_xlfn.XLOOKUP($G431,'.Auxiliar'!$G:$G,'.Auxiliar'!E:E,"-",0)</f>
        <v>138.5</v>
      </c>
      <c r="F431" s="55">
        <f>_xlfn.XLOOKUP($G431,'.Auxiliar'!$G:$G,'.Auxiliar'!F:F,"-",0)</f>
        <v>1</v>
      </c>
      <c r="G431" s="59" t="s">
        <v>664</v>
      </c>
      <c r="H431" s="108" t="s">
        <v>363</v>
      </c>
      <c r="I431" s="109" t="s">
        <v>0</v>
      </c>
      <c r="J431" s="109" t="s">
        <v>0</v>
      </c>
      <c r="K431" s="109" t="s">
        <v>0</v>
      </c>
      <c r="L431" s="109" t="s">
        <v>0</v>
      </c>
      <c r="M431" s="109" t="s">
        <v>0</v>
      </c>
      <c r="N431" s="110" t="s">
        <v>0</v>
      </c>
      <c r="O431" s="111">
        <v>100</v>
      </c>
      <c r="P431" s="112">
        <v>100</v>
      </c>
      <c r="Q431" s="112"/>
      <c r="R431" s="112"/>
      <c r="S431" s="112"/>
      <c r="T431" s="112"/>
      <c r="U431" s="95">
        <f t="shared" si="18"/>
        <v>0</v>
      </c>
      <c r="V431" s="112"/>
      <c r="W431" s="112"/>
      <c r="X431" s="107"/>
      <c r="Y431" s="107">
        <f t="shared" si="19"/>
        <v>100</v>
      </c>
      <c r="Z431" s="107">
        <f t="shared" si="20"/>
        <v>100</v>
      </c>
    </row>
    <row r="432" spans="1:26" x14ac:dyDescent="0.25">
      <c r="A432" s="55" t="str">
        <f>_xlfn.XLOOKUP($G432,'.Auxiliar'!$G:$G,'.Auxiliar'!A:A,"-",0)</f>
        <v>FLUMINENSE</v>
      </c>
      <c r="B432" s="55" t="str">
        <f>_xlfn.XLOOKUP($G432,'.Auxiliar'!$G:$G,'.Auxiliar'!B:B,"-",0)</f>
        <v>OAE</v>
      </c>
      <c r="C432" s="55" t="str">
        <f>_xlfn.XLOOKUP($G432,'.Auxiliar'!$G:$G,'.Auxiliar'!C:C,"-",0)</f>
        <v>Implantação de Trevos em desnível – Completo:</v>
      </c>
      <c r="D432" s="55">
        <f>_xlfn.XLOOKUP($G432,'.Auxiliar'!$G:$G,'.Auxiliar'!D:D,"-",0)</f>
        <v>144.5</v>
      </c>
      <c r="E432" s="55">
        <f>_xlfn.XLOOKUP($G432,'.Auxiliar'!$G:$G,'.Auxiliar'!E:E,"-",0)</f>
        <v>144.5</v>
      </c>
      <c r="F432" s="55">
        <f>_xlfn.XLOOKUP($G432,'.Auxiliar'!$G:$G,'.Auxiliar'!F:F,"-",0)</f>
        <v>1</v>
      </c>
      <c r="G432" s="59" t="s">
        <v>665</v>
      </c>
      <c r="H432" s="108" t="s">
        <v>363</v>
      </c>
      <c r="I432" s="109" t="s">
        <v>0</v>
      </c>
      <c r="J432" s="109" t="s">
        <v>0</v>
      </c>
      <c r="K432" s="109" t="s">
        <v>0</v>
      </c>
      <c r="L432" s="109" t="s">
        <v>0</v>
      </c>
      <c r="M432" s="109" t="s">
        <v>0</v>
      </c>
      <c r="N432" s="110" t="s">
        <v>0</v>
      </c>
      <c r="O432" s="111">
        <v>100</v>
      </c>
      <c r="P432" s="112">
        <v>100</v>
      </c>
      <c r="Q432" s="112"/>
      <c r="R432" s="112"/>
      <c r="S432" s="112"/>
      <c r="T432" s="112"/>
      <c r="U432" s="95">
        <f t="shared" si="18"/>
        <v>0</v>
      </c>
      <c r="V432" s="112"/>
      <c r="W432" s="112"/>
      <c r="X432" s="107"/>
      <c r="Y432" s="107">
        <f t="shared" si="19"/>
        <v>100</v>
      </c>
      <c r="Z432" s="107">
        <f t="shared" si="20"/>
        <v>100</v>
      </c>
    </row>
    <row r="433" spans="1:26" x14ac:dyDescent="0.25">
      <c r="A433" s="55" t="str">
        <f>_xlfn.XLOOKUP($G433,'.Auxiliar'!$G:$G,'.Auxiliar'!A:A,"-",0)</f>
        <v>FLUMINENSE</v>
      </c>
      <c r="B433" s="55" t="str">
        <f>_xlfn.XLOOKUP($G433,'.Auxiliar'!$G:$G,'.Auxiliar'!B:B,"-",0)</f>
        <v>OAE</v>
      </c>
      <c r="C433" s="55" t="str">
        <f>_xlfn.XLOOKUP($G433,'.Auxiliar'!$G:$G,'.Auxiliar'!C:C,"-",0)</f>
        <v>Implantação de Trevos em desnível – Completo:</v>
      </c>
      <c r="D433" s="55">
        <f>_xlfn.XLOOKUP($G433,'.Auxiliar'!$G:$G,'.Auxiliar'!D:D,"-",0)</f>
        <v>92.8</v>
      </c>
      <c r="E433" s="55">
        <f>_xlfn.XLOOKUP($G433,'.Auxiliar'!$G:$G,'.Auxiliar'!E:E,"-",0)</f>
        <v>92.8</v>
      </c>
      <c r="F433" s="55">
        <f>_xlfn.XLOOKUP($G433,'.Auxiliar'!$G:$G,'.Auxiliar'!F:F,"-",0)</f>
        <v>1</v>
      </c>
      <c r="G433" s="59" t="s">
        <v>658</v>
      </c>
      <c r="H433" s="108" t="s">
        <v>363</v>
      </c>
      <c r="I433" s="109" t="s">
        <v>0</v>
      </c>
      <c r="J433" s="109" t="s">
        <v>0</v>
      </c>
      <c r="K433" s="109" t="s">
        <v>363</v>
      </c>
      <c r="L433" s="109" t="s">
        <v>0</v>
      </c>
      <c r="M433" s="109" t="s">
        <v>0</v>
      </c>
      <c r="N433" s="110" t="s">
        <v>0</v>
      </c>
      <c r="O433" s="111">
        <v>100</v>
      </c>
      <c r="P433" s="112">
        <v>100</v>
      </c>
      <c r="Q433" s="112"/>
      <c r="R433" s="112"/>
      <c r="S433" s="112"/>
      <c r="T433" s="112"/>
      <c r="U433" s="95">
        <f t="shared" si="18"/>
        <v>0</v>
      </c>
      <c r="V433" s="112"/>
      <c r="W433" s="112"/>
      <c r="X433" s="107"/>
      <c r="Y433" s="107">
        <f t="shared" si="19"/>
        <v>100</v>
      </c>
      <c r="Z433" s="107">
        <f t="shared" si="20"/>
        <v>100</v>
      </c>
    </row>
    <row r="434" spans="1:26" x14ac:dyDescent="0.25">
      <c r="A434" s="55" t="str">
        <f>_xlfn.XLOOKUP($G434,'.Auxiliar'!$G:$G,'.Auxiliar'!A:A,"-",0)</f>
        <v>FLUMINENSE</v>
      </c>
      <c r="B434" s="55" t="str">
        <f>_xlfn.XLOOKUP($G434,'.Auxiliar'!$G:$G,'.Auxiliar'!B:B,"-",0)</f>
        <v>OAE</v>
      </c>
      <c r="C434" s="55" t="str">
        <f>_xlfn.XLOOKUP($G434,'.Auxiliar'!$G:$G,'.Auxiliar'!C:C,"-",0)</f>
        <v>Implantação de Trevos em desnível – Completo:Conclusão do trevo em desnível de Silva Jardim,</v>
      </c>
      <c r="D434" s="55">
        <f>_xlfn.XLOOKUP($G434,'.Auxiliar'!$G:$G,'.Auxiliar'!D:D,"-",0)</f>
        <v>236.7</v>
      </c>
      <c r="E434" s="55">
        <f>_xlfn.XLOOKUP($G434,'.Auxiliar'!$G:$G,'.Auxiliar'!E:E,"-",0)</f>
        <v>236.7</v>
      </c>
      <c r="F434" s="55">
        <f>_xlfn.XLOOKUP($G434,'.Auxiliar'!$G:$G,'.Auxiliar'!F:F,"-",0)</f>
        <v>1</v>
      </c>
      <c r="G434" s="59" t="s">
        <v>854</v>
      </c>
      <c r="H434" s="108" t="s">
        <v>0</v>
      </c>
      <c r="I434" s="109" t="s">
        <v>368</v>
      </c>
      <c r="J434" s="109" t="s">
        <v>0</v>
      </c>
      <c r="K434" s="109" t="s">
        <v>363</v>
      </c>
      <c r="L434" s="109" t="s">
        <v>0</v>
      </c>
      <c r="M434" s="109" t="s">
        <v>0</v>
      </c>
      <c r="N434" s="110" t="s">
        <v>0</v>
      </c>
      <c r="O434" s="111">
        <v>100</v>
      </c>
      <c r="P434" s="112">
        <v>100</v>
      </c>
      <c r="Q434" s="112"/>
      <c r="R434" s="112"/>
      <c r="S434" s="112"/>
      <c r="T434" s="112"/>
      <c r="U434" s="95">
        <f t="shared" si="18"/>
        <v>0</v>
      </c>
      <c r="V434" s="112"/>
      <c r="W434" s="112"/>
      <c r="X434" s="107"/>
      <c r="Y434" s="107">
        <f t="shared" si="19"/>
        <v>100</v>
      </c>
      <c r="Z434" s="107">
        <f t="shared" si="20"/>
        <v>100</v>
      </c>
    </row>
    <row r="435" spans="1:26" x14ac:dyDescent="0.25">
      <c r="A435" s="55" t="str">
        <f>_xlfn.XLOOKUP($G435,'.Auxiliar'!$G:$G,'.Auxiliar'!A:A,"-",0)</f>
        <v>FLUMINENSE</v>
      </c>
      <c r="B435" s="55" t="str">
        <f>_xlfn.XLOOKUP($G435,'.Auxiliar'!$G:$G,'.Auxiliar'!B:B,"-",0)</f>
        <v>OAE</v>
      </c>
      <c r="C435" s="55" t="str">
        <f>_xlfn.XLOOKUP($G435,'.Auxiliar'!$G:$G,'.Auxiliar'!C:C,"-",0)</f>
        <v>Implantação de Trevos em Desnível, com Alças, em Pista Dupla – Parcial: km 169,7– RJ-168 para Macaé
e Glicério</v>
      </c>
      <c r="D435" s="55">
        <f>_xlfn.XLOOKUP($G435,'.Auxiliar'!$G:$G,'.Auxiliar'!D:D,"-",0)</f>
        <v>169.7</v>
      </c>
      <c r="E435" s="55">
        <f>_xlfn.XLOOKUP($G435,'.Auxiliar'!$G:$G,'.Auxiliar'!E:E,"-",0)</f>
        <v>169.7</v>
      </c>
      <c r="F435" s="55">
        <f>_xlfn.XLOOKUP($G435,'.Auxiliar'!$G:$G,'.Auxiliar'!F:F,"-",0)</f>
        <v>1</v>
      </c>
      <c r="G435" s="59" t="s">
        <v>646</v>
      </c>
      <c r="H435" s="108" t="s">
        <v>363</v>
      </c>
      <c r="I435" s="109" t="s">
        <v>0</v>
      </c>
      <c r="J435" s="109" t="s">
        <v>0</v>
      </c>
      <c r="K435" s="109" t="s">
        <v>363</v>
      </c>
      <c r="L435" s="109" t="s">
        <v>0</v>
      </c>
      <c r="M435" s="109" t="s">
        <v>0</v>
      </c>
      <c r="N435" s="110" t="s">
        <v>0</v>
      </c>
      <c r="O435" s="111">
        <v>100</v>
      </c>
      <c r="P435" s="112">
        <v>100</v>
      </c>
      <c r="Q435" s="112"/>
      <c r="R435" s="112"/>
      <c r="S435" s="112"/>
      <c r="T435" s="112"/>
      <c r="U435" s="95">
        <f t="shared" si="18"/>
        <v>0</v>
      </c>
      <c r="V435" s="112"/>
      <c r="W435" s="112"/>
      <c r="X435" s="107"/>
      <c r="Y435" s="107">
        <f t="shared" si="19"/>
        <v>100</v>
      </c>
      <c r="Z435" s="107">
        <f t="shared" si="20"/>
        <v>100</v>
      </c>
    </row>
    <row r="436" spans="1:26" x14ac:dyDescent="0.25">
      <c r="A436" s="55" t="str">
        <f>_xlfn.XLOOKUP($G436,'.Auxiliar'!$G:$G,'.Auxiliar'!A:A,"-",0)</f>
        <v>FLUMINENSE</v>
      </c>
      <c r="B436" s="55" t="str">
        <f>_xlfn.XLOOKUP($G436,'.Auxiliar'!$G:$G,'.Auxiliar'!B:B,"-",0)</f>
        <v>OAE</v>
      </c>
      <c r="C436" s="55" t="str">
        <f>_xlfn.XLOOKUP($G436,'.Auxiliar'!$G:$G,'.Auxiliar'!C:C,"-",0)</f>
        <v>Implantação de Trevos em Desnível, com Alças, em Pista Dupla – Parcial: km 190,6– Rio Dourado e Rio das Ostras</v>
      </c>
      <c r="D436" s="55">
        <f>_xlfn.XLOOKUP($G436,'.Auxiliar'!$G:$G,'.Auxiliar'!D:D,"-",0)</f>
        <v>190.6</v>
      </c>
      <c r="E436" s="55">
        <f>_xlfn.XLOOKUP($G436,'.Auxiliar'!$G:$G,'.Auxiliar'!E:E,"-",0)</f>
        <v>190.6</v>
      </c>
      <c r="F436" s="55">
        <f>_xlfn.XLOOKUP($G436,'.Auxiliar'!$G:$G,'.Auxiliar'!F:F,"-",0)</f>
        <v>1</v>
      </c>
      <c r="G436" s="59" t="s">
        <v>647</v>
      </c>
      <c r="H436" s="108" t="s">
        <v>363</v>
      </c>
      <c r="I436" s="109" t="s">
        <v>0</v>
      </c>
      <c r="J436" s="109" t="s">
        <v>0</v>
      </c>
      <c r="K436" s="109" t="s">
        <v>363</v>
      </c>
      <c r="L436" s="109" t="s">
        <v>0</v>
      </c>
      <c r="M436" s="109" t="s">
        <v>0</v>
      </c>
      <c r="N436" s="110" t="s">
        <v>0</v>
      </c>
      <c r="O436" s="111">
        <v>100</v>
      </c>
      <c r="P436" s="112">
        <v>100</v>
      </c>
      <c r="Q436" s="112"/>
      <c r="R436" s="112"/>
      <c r="S436" s="112"/>
      <c r="T436" s="112"/>
      <c r="U436" s="95">
        <f t="shared" si="18"/>
        <v>0</v>
      </c>
      <c r="V436" s="112"/>
      <c r="W436" s="112"/>
      <c r="X436" s="107"/>
      <c r="Y436" s="107">
        <f t="shared" si="19"/>
        <v>100</v>
      </c>
      <c r="Z436" s="107">
        <f t="shared" si="20"/>
        <v>100</v>
      </c>
    </row>
    <row r="437" spans="1:26" x14ac:dyDescent="0.25">
      <c r="A437" s="55" t="str">
        <f>_xlfn.XLOOKUP($G437,'.Auxiliar'!$G:$G,'.Auxiliar'!A:A,"-",0)</f>
        <v>FLUMINENSE</v>
      </c>
      <c r="B437" s="55" t="str">
        <f>_xlfn.XLOOKUP($G437,'.Auxiliar'!$G:$G,'.Auxiliar'!B:B,"-",0)</f>
        <v>OAE</v>
      </c>
      <c r="C437" s="55" t="str">
        <f>_xlfn.XLOOKUP($G437,'.Auxiliar'!$G:$G,'.Auxiliar'!C:C,"-",0)</f>
        <v>Implantação de Trevos em Desnível, com Alças, em Pista Dupla – Parcial: km 204,1 – Distrito Industrial</v>
      </c>
      <c r="D437" s="55">
        <f>_xlfn.XLOOKUP($G437,'.Auxiliar'!$G:$G,'.Auxiliar'!D:D,"-",0)</f>
        <v>204.1</v>
      </c>
      <c r="E437" s="55">
        <f>_xlfn.XLOOKUP($G437,'.Auxiliar'!$G:$G,'.Auxiliar'!E:E,"-",0)</f>
        <v>204.1</v>
      </c>
      <c r="F437" s="55">
        <f>_xlfn.XLOOKUP($G437,'.Auxiliar'!$G:$G,'.Auxiliar'!F:F,"-",0)</f>
        <v>1</v>
      </c>
      <c r="G437" s="59" t="s">
        <v>648</v>
      </c>
      <c r="H437" s="108" t="s">
        <v>363</v>
      </c>
      <c r="I437" s="109" t="s">
        <v>0</v>
      </c>
      <c r="J437" s="109" t="s">
        <v>0</v>
      </c>
      <c r="K437" s="109" t="s">
        <v>363</v>
      </c>
      <c r="L437" s="109" t="s">
        <v>0</v>
      </c>
      <c r="M437" s="109" t="s">
        <v>0</v>
      </c>
      <c r="N437" s="110" t="s">
        <v>0</v>
      </c>
      <c r="O437" s="111">
        <v>100</v>
      </c>
      <c r="P437" s="112">
        <v>100</v>
      </c>
      <c r="Q437" s="112"/>
      <c r="R437" s="112"/>
      <c r="S437" s="112"/>
      <c r="T437" s="112"/>
      <c r="U437" s="95">
        <f t="shared" si="18"/>
        <v>0</v>
      </c>
      <c r="V437" s="112"/>
      <c r="W437" s="112"/>
      <c r="X437" s="107"/>
      <c r="Y437" s="107">
        <f t="shared" si="19"/>
        <v>100</v>
      </c>
      <c r="Z437" s="107">
        <f t="shared" si="20"/>
        <v>100</v>
      </c>
    </row>
    <row r="438" spans="1:26" x14ac:dyDescent="0.25">
      <c r="A438" s="55" t="str">
        <f>_xlfn.XLOOKUP($G438,'.Auxiliar'!$G:$G,'.Auxiliar'!A:A,"-",0)</f>
        <v>FLUMINENSE</v>
      </c>
      <c r="B438" s="55" t="str">
        <f>_xlfn.XLOOKUP($G438,'.Auxiliar'!$G:$G,'.Auxiliar'!B:B,"-",0)</f>
        <v>OAE</v>
      </c>
      <c r="C438" s="55" t="str">
        <f>_xlfn.XLOOKUP($G438,'.Auxiliar'!$G:$G,'.Auxiliar'!C:C,"-",0)</f>
        <v>Implantação de Trevos em Desnível, com Alças, em Pista Dupla – Parcial: km 244,1– Cesário Alvim</v>
      </c>
      <c r="D438" s="55">
        <f>_xlfn.XLOOKUP($G438,'.Auxiliar'!$G:$G,'.Auxiliar'!D:D,"-",0)</f>
        <v>244.1</v>
      </c>
      <c r="E438" s="55">
        <f>_xlfn.XLOOKUP($G438,'.Auxiliar'!$G:$G,'.Auxiliar'!E:E,"-",0)</f>
        <v>244.1</v>
      </c>
      <c r="F438" s="55">
        <f>_xlfn.XLOOKUP($G438,'.Auxiliar'!$G:$G,'.Auxiliar'!F:F,"-",0)</f>
        <v>1</v>
      </c>
      <c r="G438" s="59" t="s">
        <v>652</v>
      </c>
      <c r="H438" s="108" t="s">
        <v>363</v>
      </c>
      <c r="I438" s="109" t="s">
        <v>0</v>
      </c>
      <c r="J438" s="109" t="s">
        <v>0</v>
      </c>
      <c r="K438" s="109" t="s">
        <v>363</v>
      </c>
      <c r="L438" s="109" t="s">
        <v>0</v>
      </c>
      <c r="M438" s="109" t="s">
        <v>0</v>
      </c>
      <c r="N438" s="110" t="s">
        <v>0</v>
      </c>
      <c r="O438" s="111">
        <v>100</v>
      </c>
      <c r="P438" s="112">
        <v>100</v>
      </c>
      <c r="Q438" s="112"/>
      <c r="R438" s="112"/>
      <c r="S438" s="112"/>
      <c r="T438" s="112"/>
      <c r="U438" s="95">
        <f t="shared" si="18"/>
        <v>0</v>
      </c>
      <c r="V438" s="112"/>
      <c r="W438" s="112"/>
      <c r="X438" s="107"/>
      <c r="Y438" s="107">
        <f t="shared" si="19"/>
        <v>100</v>
      </c>
      <c r="Z438" s="107">
        <f t="shared" si="20"/>
        <v>100</v>
      </c>
    </row>
    <row r="439" spans="1:26" x14ac:dyDescent="0.25">
      <c r="A439" s="55" t="str">
        <f>_xlfn.XLOOKUP($G439,'.Auxiliar'!$G:$G,'.Auxiliar'!A:A,"-",0)</f>
        <v>FLUMINENSE</v>
      </c>
      <c r="B439" s="55" t="str">
        <f>_xlfn.XLOOKUP($G439,'.Auxiliar'!$G:$G,'.Auxiliar'!B:B,"-",0)</f>
        <v>OAE</v>
      </c>
      <c r="C439" s="55" t="str">
        <f>_xlfn.XLOOKUP($G439,'.Auxiliar'!$G:$G,'.Auxiliar'!C:C,"-",0)</f>
        <v>Implantação de Trevos em Desnível, com Alças, em Pista Dupla – Parcial: km 260,1.</v>
      </c>
      <c r="D439" s="55">
        <f>_xlfn.XLOOKUP($G439,'.Auxiliar'!$G:$G,'.Auxiliar'!D:D,"-",0)</f>
        <v>260.10000000000002</v>
      </c>
      <c r="E439" s="55">
        <f>_xlfn.XLOOKUP($G439,'.Auxiliar'!$G:$G,'.Auxiliar'!E:E,"-",0)</f>
        <v>260.10000000000002</v>
      </c>
      <c r="F439" s="55">
        <f>_xlfn.XLOOKUP($G439,'.Auxiliar'!$G:$G,'.Auxiliar'!F:F,"-",0)</f>
        <v>1</v>
      </c>
      <c r="G439" s="59" t="s">
        <v>654</v>
      </c>
      <c r="H439" s="108" t="s">
        <v>363</v>
      </c>
      <c r="I439" s="109" t="s">
        <v>0</v>
      </c>
      <c r="J439" s="109" t="s">
        <v>0</v>
      </c>
      <c r="K439" s="109" t="s">
        <v>363</v>
      </c>
      <c r="L439" s="109" t="s">
        <v>0</v>
      </c>
      <c r="M439" s="109" t="s">
        <v>0</v>
      </c>
      <c r="N439" s="110" t="s">
        <v>0</v>
      </c>
      <c r="O439" s="111">
        <v>100</v>
      </c>
      <c r="P439" s="112">
        <v>40</v>
      </c>
      <c r="Q439" s="112"/>
      <c r="R439" s="112"/>
      <c r="S439" s="112"/>
      <c r="T439" s="112"/>
      <c r="U439" s="95">
        <f t="shared" si="18"/>
        <v>60</v>
      </c>
      <c r="V439" s="112"/>
      <c r="W439" s="112"/>
      <c r="X439" s="107">
        <v>60</v>
      </c>
      <c r="Y439" s="107">
        <f t="shared" si="19"/>
        <v>100</v>
      </c>
      <c r="Z439" s="107">
        <f t="shared" si="20"/>
        <v>40</v>
      </c>
    </row>
    <row r="440" spans="1:26" x14ac:dyDescent="0.25">
      <c r="A440" s="55" t="str">
        <f>_xlfn.XLOOKUP($G440,'.Auxiliar'!$G:$G,'.Auxiliar'!A:A,"-",0)</f>
        <v>FLUMINENSE</v>
      </c>
      <c r="B440" s="55" t="str">
        <f>_xlfn.XLOOKUP($G440,'.Auxiliar'!$G:$G,'.Auxiliar'!B:B,"-",0)</f>
        <v>OAE</v>
      </c>
      <c r="C440" s="55" t="str">
        <f>_xlfn.XLOOKUP($G440,'.Auxiliar'!$G:$G,'.Auxiliar'!C:C,"-",0)</f>
        <v>Implantação de Trevos em Desnível, com Alças, em Pista Dupla – Parcial: km 297,4 – Complemento
do trevo de Manilha</v>
      </c>
      <c r="D440" s="55">
        <f>_xlfn.XLOOKUP($G440,'.Auxiliar'!$G:$G,'.Auxiliar'!D:D,"-",0)</f>
        <v>297.39999999999998</v>
      </c>
      <c r="E440" s="55">
        <f>_xlfn.XLOOKUP($G440,'.Auxiliar'!$G:$G,'.Auxiliar'!E:E,"-",0)</f>
        <v>297.39999999999998</v>
      </c>
      <c r="F440" s="55">
        <f>_xlfn.XLOOKUP($G440,'.Auxiliar'!$G:$G,'.Auxiliar'!F:F,"-",0)</f>
        <v>1</v>
      </c>
      <c r="G440" s="59" t="s">
        <v>653</v>
      </c>
      <c r="H440" s="108" t="s">
        <v>363</v>
      </c>
      <c r="I440" s="109" t="s">
        <v>0</v>
      </c>
      <c r="J440" s="109" t="s">
        <v>0</v>
      </c>
      <c r="K440" s="109" t="s">
        <v>363</v>
      </c>
      <c r="L440" s="109" t="s">
        <v>0</v>
      </c>
      <c r="M440" s="109" t="s">
        <v>0</v>
      </c>
      <c r="N440" s="110" t="s">
        <v>0</v>
      </c>
      <c r="O440" s="111">
        <v>100</v>
      </c>
      <c r="P440" s="112">
        <v>30</v>
      </c>
      <c r="Q440" s="112"/>
      <c r="R440" s="112"/>
      <c r="S440" s="112"/>
      <c r="T440" s="112"/>
      <c r="U440" s="95">
        <f t="shared" si="18"/>
        <v>70</v>
      </c>
      <c r="V440" s="112"/>
      <c r="W440" s="112"/>
      <c r="X440" s="107">
        <v>70</v>
      </c>
      <c r="Y440" s="107">
        <f t="shared" si="19"/>
        <v>100</v>
      </c>
      <c r="Z440" s="107">
        <f t="shared" si="20"/>
        <v>30</v>
      </c>
    </row>
    <row r="441" spans="1:26" x14ac:dyDescent="0.25">
      <c r="A441" s="55" t="str">
        <f>_xlfn.XLOOKUP($G441,'.Auxiliar'!$G:$G,'.Auxiliar'!A:A,"-",0)</f>
        <v>FLUMINENSE</v>
      </c>
      <c r="B441" s="55" t="str">
        <f>_xlfn.XLOOKUP($G441,'.Auxiliar'!$G:$G,'.Auxiliar'!B:B,"-",0)</f>
        <v>OAE</v>
      </c>
      <c r="C441" s="55" t="str">
        <f>_xlfn.XLOOKUP($G441,'.Auxiliar'!$G:$G,'.Auxiliar'!C:C,"-",0)</f>
        <v>Implantação de Trevos em Desnível, com Alças, em Pista Dupla – Parcial:Conclusão do trevo em desnível de Silva Jardim, localizado no km 236+700</v>
      </c>
      <c r="D441" s="55">
        <f>_xlfn.XLOOKUP($G441,'.Auxiliar'!$G:$G,'.Auxiliar'!D:D,"-",0)</f>
        <v>236.7</v>
      </c>
      <c r="E441" s="55">
        <f>_xlfn.XLOOKUP($G441,'.Auxiliar'!$G:$G,'.Auxiliar'!E:E,"-",0)</f>
        <v>236.7</v>
      </c>
      <c r="F441" s="55">
        <f>_xlfn.XLOOKUP($G441,'.Auxiliar'!$G:$G,'.Auxiliar'!F:F,"-",0)</f>
        <v>1</v>
      </c>
      <c r="G441" s="59" t="s">
        <v>855</v>
      </c>
      <c r="H441" s="108" t="s">
        <v>0</v>
      </c>
      <c r="I441" s="109" t="s">
        <v>368</v>
      </c>
      <c r="J441" s="109" t="s">
        <v>0</v>
      </c>
      <c r="K441" s="109" t="s">
        <v>363</v>
      </c>
      <c r="L441" s="109" t="s">
        <v>0</v>
      </c>
      <c r="M441" s="109" t="s">
        <v>0</v>
      </c>
      <c r="N441" s="110" t="s">
        <v>0</v>
      </c>
      <c r="O441" s="111">
        <v>100</v>
      </c>
      <c r="P441" s="112">
        <v>100</v>
      </c>
      <c r="Q441" s="112"/>
      <c r="R441" s="112"/>
      <c r="S441" s="112"/>
      <c r="T441" s="112"/>
      <c r="U441" s="95">
        <f t="shared" si="18"/>
        <v>0</v>
      </c>
      <c r="V441" s="112"/>
      <c r="W441" s="112"/>
      <c r="X441" s="107"/>
      <c r="Y441" s="107">
        <f t="shared" si="19"/>
        <v>100</v>
      </c>
      <c r="Z441" s="107">
        <f t="shared" si="20"/>
        <v>100</v>
      </c>
    </row>
    <row r="442" spans="1:26" x14ac:dyDescent="0.25">
      <c r="A442" s="55" t="str">
        <f>_xlfn.XLOOKUP($G442,'.Auxiliar'!$G:$G,'.Auxiliar'!A:A,"-",0)</f>
        <v>FLUMINENSE</v>
      </c>
      <c r="B442" s="55" t="str">
        <f>_xlfn.XLOOKUP($G442,'.Auxiliar'!$G:$G,'.Auxiliar'!B:B,"-",0)</f>
        <v>OAE</v>
      </c>
      <c r="C442" s="55" t="str">
        <f>_xlfn.XLOOKUP($G442,'.Auxiliar'!$G:$G,'.Auxiliar'!C:C,"-",0)</f>
        <v>Implantação de Trevos em Desnível, com Alças, em Pista Dupla – Parcial:km 243,4–
Imbau</v>
      </c>
      <c r="D442" s="55">
        <f>_xlfn.XLOOKUP($G442,'.Auxiliar'!$G:$G,'.Auxiliar'!D:D,"-",0)</f>
        <v>243.4</v>
      </c>
      <c r="E442" s="55">
        <f>_xlfn.XLOOKUP($G442,'.Auxiliar'!$G:$G,'.Auxiliar'!E:E,"-",0)</f>
        <v>243.4</v>
      </c>
      <c r="F442" s="55">
        <f>_xlfn.XLOOKUP($G442,'.Auxiliar'!$G:$G,'.Auxiliar'!F:F,"-",0)</f>
        <v>1</v>
      </c>
      <c r="G442" s="59" t="s">
        <v>649</v>
      </c>
      <c r="H442" s="108" t="s">
        <v>363</v>
      </c>
      <c r="I442" s="109" t="s">
        <v>0</v>
      </c>
      <c r="J442" s="109" t="s">
        <v>0</v>
      </c>
      <c r="K442" s="109" t="s">
        <v>363</v>
      </c>
      <c r="L442" s="109" t="s">
        <v>0</v>
      </c>
      <c r="M442" s="109" t="s">
        <v>0</v>
      </c>
      <c r="N442" s="110" t="s">
        <v>0</v>
      </c>
      <c r="O442" s="111">
        <v>100</v>
      </c>
      <c r="P442" s="112">
        <v>100</v>
      </c>
      <c r="Q442" s="112"/>
      <c r="R442" s="112"/>
      <c r="S442" s="112"/>
      <c r="T442" s="112"/>
      <c r="U442" s="95">
        <f t="shared" si="18"/>
        <v>0</v>
      </c>
      <c r="V442" s="112"/>
      <c r="W442" s="112"/>
      <c r="X442" s="107"/>
      <c r="Y442" s="107">
        <f t="shared" si="19"/>
        <v>100</v>
      </c>
      <c r="Z442" s="107">
        <f t="shared" si="20"/>
        <v>100</v>
      </c>
    </row>
    <row r="443" spans="1:26" x14ac:dyDescent="0.25">
      <c r="A443" s="55" t="str">
        <f>_xlfn.XLOOKUP($G443,'.Auxiliar'!$G:$G,'.Auxiliar'!A:A,"-",0)</f>
        <v>FLUMINENSE</v>
      </c>
      <c r="B443" s="55" t="str">
        <f>_xlfn.XLOOKUP($G443,'.Auxiliar'!$G:$G,'.Auxiliar'!B:B,"-",0)</f>
        <v>OAE</v>
      </c>
      <c r="C443" s="55" t="str">
        <f>_xlfn.XLOOKUP($G443,'.Auxiliar'!$G:$G,'.Auxiliar'!C:C,"-",0)</f>
        <v>Implantação de Trevos em Desnível, com Alças, em Pista Dupla – Parcial:km 248,2 – Caxito</v>
      </c>
      <c r="D443" s="55">
        <f>_xlfn.XLOOKUP($G443,'.Auxiliar'!$G:$G,'.Auxiliar'!D:D,"-",0)</f>
        <v>248.2</v>
      </c>
      <c r="E443" s="55">
        <f>_xlfn.XLOOKUP($G443,'.Auxiliar'!$G:$G,'.Auxiliar'!E:E,"-",0)</f>
        <v>248.2</v>
      </c>
      <c r="F443" s="55">
        <f>_xlfn.XLOOKUP($G443,'.Auxiliar'!$G:$G,'.Auxiliar'!F:F,"-",0)</f>
        <v>1</v>
      </c>
      <c r="G443" s="59" t="s">
        <v>651</v>
      </c>
      <c r="H443" s="108" t="s">
        <v>363</v>
      </c>
      <c r="I443" s="109" t="s">
        <v>0</v>
      </c>
      <c r="J443" s="109" t="s">
        <v>0</v>
      </c>
      <c r="K443" s="109" t="s">
        <v>363</v>
      </c>
      <c r="L443" s="109" t="s">
        <v>0</v>
      </c>
      <c r="M443" s="109" t="s">
        <v>0</v>
      </c>
      <c r="N443" s="110" t="s">
        <v>0</v>
      </c>
      <c r="O443" s="111">
        <v>100</v>
      </c>
      <c r="P443" s="112">
        <v>100</v>
      </c>
      <c r="Q443" s="112"/>
      <c r="R443" s="112"/>
      <c r="S443" s="112"/>
      <c r="T443" s="112"/>
      <c r="U443" s="95">
        <f t="shared" si="18"/>
        <v>0</v>
      </c>
      <c r="V443" s="112"/>
      <c r="W443" s="112"/>
      <c r="X443" s="107"/>
      <c r="Y443" s="107">
        <f t="shared" si="19"/>
        <v>100</v>
      </c>
      <c r="Z443" s="107">
        <f t="shared" si="20"/>
        <v>100</v>
      </c>
    </row>
    <row r="444" spans="1:26" x14ac:dyDescent="0.25">
      <c r="A444" s="55" t="str">
        <f>_xlfn.XLOOKUP($G444,'.Auxiliar'!$G:$G,'.Auxiliar'!A:A,"-",0)</f>
        <v>FLUMINENSE</v>
      </c>
      <c r="B444" s="55" t="str">
        <f>_xlfn.XLOOKUP($G444,'.Auxiliar'!$G:$G,'.Auxiliar'!B:B,"-",0)</f>
        <v>OAE</v>
      </c>
      <c r="C444" s="55" t="str">
        <f>_xlfn.XLOOKUP($G444,'.Auxiliar'!$G:$G,'.Auxiliar'!C:C,"-",0)</f>
        <v>Implantação de Trevos em Desnível, com Alças, em Pista Dupla – Parcial:km 253,3 – Mato Alto</v>
      </c>
      <c r="D444" s="55">
        <f>_xlfn.XLOOKUP($G444,'.Auxiliar'!$G:$G,'.Auxiliar'!D:D,"-",0)</f>
        <v>253.3</v>
      </c>
      <c r="E444" s="55">
        <f>_xlfn.XLOOKUP($G444,'.Auxiliar'!$G:$G,'.Auxiliar'!E:E,"-",0)</f>
        <v>253.3</v>
      </c>
      <c r="F444" s="55">
        <f>_xlfn.XLOOKUP($G444,'.Auxiliar'!$G:$G,'.Auxiliar'!F:F,"-",0)</f>
        <v>1</v>
      </c>
      <c r="G444" s="59" t="s">
        <v>650</v>
      </c>
      <c r="H444" s="108" t="s">
        <v>363</v>
      </c>
      <c r="I444" s="109" t="s">
        <v>0</v>
      </c>
      <c r="J444" s="109" t="s">
        <v>0</v>
      </c>
      <c r="K444" s="109" t="s">
        <v>363</v>
      </c>
      <c r="L444" s="109" t="s">
        <v>0</v>
      </c>
      <c r="M444" s="109" t="s">
        <v>0</v>
      </c>
      <c r="N444" s="110" t="s">
        <v>0</v>
      </c>
      <c r="O444" s="111">
        <v>100</v>
      </c>
      <c r="P444" s="112">
        <v>100</v>
      </c>
      <c r="Q444" s="112"/>
      <c r="R444" s="112"/>
      <c r="S444" s="112"/>
      <c r="T444" s="112"/>
      <c r="U444" s="95">
        <f t="shared" si="18"/>
        <v>0</v>
      </c>
      <c r="V444" s="112"/>
      <c r="W444" s="112"/>
      <c r="X444" s="107"/>
      <c r="Y444" s="107">
        <f t="shared" si="19"/>
        <v>100</v>
      </c>
      <c r="Z444" s="107">
        <f t="shared" si="20"/>
        <v>100</v>
      </c>
    </row>
    <row r="445" spans="1:26" x14ac:dyDescent="0.25">
      <c r="A445" s="55" t="str">
        <f>_xlfn.XLOOKUP($G445,'.Auxiliar'!$G:$G,'.Auxiliar'!A:A,"-",0)</f>
        <v>FLUMINENSE</v>
      </c>
      <c r="B445" s="55" t="str">
        <f>_xlfn.XLOOKUP($G445,'.Auxiliar'!$G:$G,'.Auxiliar'!B:B,"-",0)</f>
        <v>PAVIMENTAÇÃO</v>
      </c>
      <c r="C445" s="55" t="str">
        <f>_xlfn.XLOOKUP($G445,'.Auxiliar'!$G:$G,'.Auxiliar'!C:C,"-",0)</f>
        <v>Execução de Ruas Laterais em Pista Simples:</v>
      </c>
      <c r="D445" s="55">
        <f>_xlfn.XLOOKUP($G445,'.Auxiliar'!$G:$G,'.Auxiliar'!D:D,"-",0)</f>
        <v>0</v>
      </c>
      <c r="E445" s="55">
        <f>_xlfn.XLOOKUP($G445,'.Auxiliar'!$G:$G,'.Auxiliar'!E:E,"-",0)</f>
        <v>3.8</v>
      </c>
      <c r="F445" s="55">
        <f>_xlfn.XLOOKUP($G445,'.Auxiliar'!$G:$G,'.Auxiliar'!F:F,"-",0)</f>
        <v>3.8</v>
      </c>
      <c r="G445" s="59" t="s">
        <v>630</v>
      </c>
      <c r="H445" s="108" t="s">
        <v>363</v>
      </c>
      <c r="I445" s="109" t="s">
        <v>0</v>
      </c>
      <c r="J445" s="109" t="s">
        <v>0</v>
      </c>
      <c r="K445" s="109" t="s">
        <v>0</v>
      </c>
      <c r="L445" s="109" t="s">
        <v>0</v>
      </c>
      <c r="M445" s="109" t="s">
        <v>0</v>
      </c>
      <c r="N445" s="110" t="s">
        <v>0</v>
      </c>
      <c r="O445" s="111">
        <v>100</v>
      </c>
      <c r="P445" s="112">
        <v>100</v>
      </c>
      <c r="Q445" s="112"/>
      <c r="R445" s="112"/>
      <c r="S445" s="112"/>
      <c r="T445" s="112"/>
      <c r="U445" s="95">
        <f t="shared" si="18"/>
        <v>0</v>
      </c>
      <c r="V445" s="112"/>
      <c r="W445" s="112"/>
      <c r="X445" s="107"/>
      <c r="Y445" s="107">
        <f t="shared" si="19"/>
        <v>100</v>
      </c>
      <c r="Z445" s="107">
        <f t="shared" si="20"/>
        <v>100</v>
      </c>
    </row>
    <row r="446" spans="1:26" x14ac:dyDescent="0.25">
      <c r="A446" s="55" t="str">
        <f>_xlfn.XLOOKUP($G446,'.Auxiliar'!$G:$G,'.Auxiliar'!A:A,"-",0)</f>
        <v>FLUMINENSE</v>
      </c>
      <c r="B446" s="55" t="str">
        <f>_xlfn.XLOOKUP($G446,'.Auxiliar'!$G:$G,'.Auxiliar'!B:B,"-",0)</f>
        <v>TERCEIRA FAIXA</v>
      </c>
      <c r="C446" s="55" t="str">
        <f>_xlfn.XLOOKUP($G446,'.Auxiliar'!$G:$G,'.Auxiliar'!C:C,"-",0)</f>
        <v>Terceiras Faixas: nos dois sentidos da pista (norte e sul), do km 297,5 (Manilha) ao km
306,4 (São Gonçalo)</v>
      </c>
      <c r="D446" s="55">
        <f>_xlfn.XLOOKUP($G446,'.Auxiliar'!$G:$G,'.Auxiliar'!D:D,"-",0)</f>
        <v>297.5</v>
      </c>
      <c r="E446" s="55">
        <f>_xlfn.XLOOKUP($G446,'.Auxiliar'!$G:$G,'.Auxiliar'!E:E,"-",0)</f>
        <v>306.39999999999998</v>
      </c>
      <c r="F446" s="55">
        <f>_xlfn.XLOOKUP($G446,'.Auxiliar'!$G:$G,'.Auxiliar'!F:F,"-",0)</f>
        <v>8.8999999999999773</v>
      </c>
      <c r="G446" s="59" t="s">
        <v>667</v>
      </c>
      <c r="H446" s="108" t="s">
        <v>363</v>
      </c>
      <c r="I446" s="109" t="s">
        <v>0</v>
      </c>
      <c r="J446" s="109" t="s">
        <v>0</v>
      </c>
      <c r="K446" s="109" t="s">
        <v>363</v>
      </c>
      <c r="L446" s="109" t="s">
        <v>0</v>
      </c>
      <c r="M446" s="109" t="s">
        <v>0</v>
      </c>
      <c r="N446" s="110" t="s">
        <v>0</v>
      </c>
      <c r="O446" s="111">
        <v>100</v>
      </c>
      <c r="P446" s="112">
        <v>29.46</v>
      </c>
      <c r="Q446" s="112"/>
      <c r="R446" s="112"/>
      <c r="S446" s="112"/>
      <c r="T446" s="112"/>
      <c r="U446" s="95">
        <f t="shared" si="18"/>
        <v>70.539999999999992</v>
      </c>
      <c r="V446" s="112"/>
      <c r="W446" s="112"/>
      <c r="X446" s="107">
        <v>70.540000000000006</v>
      </c>
      <c r="Y446" s="107">
        <f t="shared" si="19"/>
        <v>100</v>
      </c>
      <c r="Z446" s="107">
        <f t="shared" si="20"/>
        <v>29.46</v>
      </c>
    </row>
    <row r="447" spans="1:26" x14ac:dyDescent="0.25">
      <c r="A447" s="55" t="str">
        <f>_xlfn.XLOOKUP($G447,'.Auxiliar'!$G:$G,'.Auxiliar'!A:A,"-",0)</f>
        <v>LITORAL</v>
      </c>
      <c r="B447" s="55" t="str">
        <f>_xlfn.XLOOKUP($G447,'.Auxiliar'!$G:$G,'.Auxiliar'!B:B,"-",0)</f>
        <v>CONTORNO</v>
      </c>
      <c r="C447" s="55" t="str">
        <f>_xlfn.XLOOKUP($G447,'.Auxiliar'!$G:$G,'.Auxiliar'!C:C,"-",0)</f>
        <v>Contorno de Florianópolis, em pista dupla</v>
      </c>
      <c r="D447" s="55">
        <f>_xlfn.XLOOKUP($G447,'.Auxiliar'!$G:$G,'.Auxiliar'!D:D,"-",0)</f>
        <v>0</v>
      </c>
      <c r="E447" s="55">
        <f>_xlfn.XLOOKUP($G447,'.Auxiliar'!$G:$G,'.Auxiliar'!E:E,"-",0)</f>
        <v>47.33</v>
      </c>
      <c r="F447" s="55">
        <f>_xlfn.XLOOKUP($G447,'.Auxiliar'!$G:$G,'.Auxiliar'!F:F,"-",0)</f>
        <v>94.66</v>
      </c>
      <c r="G447" s="59" t="s">
        <v>543</v>
      </c>
      <c r="H447" s="108" t="s">
        <v>363</v>
      </c>
      <c r="I447" s="115" t="s">
        <v>1881</v>
      </c>
      <c r="J447" s="109" t="s">
        <v>0</v>
      </c>
      <c r="K447" s="109" t="s">
        <v>363</v>
      </c>
      <c r="L447" s="109" t="s">
        <v>0</v>
      </c>
      <c r="M447" s="109" t="s">
        <v>0</v>
      </c>
      <c r="N447" s="110" t="s">
        <v>0</v>
      </c>
      <c r="O447" s="111">
        <v>63.73</v>
      </c>
      <c r="P447" s="112">
        <v>60.1</v>
      </c>
      <c r="Q447" s="112">
        <f>87.81-O447</f>
        <v>24.080000000000005</v>
      </c>
      <c r="R447" s="112">
        <v>29.2</v>
      </c>
      <c r="S447" s="112">
        <v>10.7</v>
      </c>
      <c r="T447" s="112">
        <f>97.71-SUM(R447,P447)</f>
        <v>8.4099999999999966</v>
      </c>
      <c r="U447" s="95">
        <f t="shared" si="18"/>
        <v>10.700000000000003</v>
      </c>
      <c r="V447" s="112"/>
      <c r="W447" s="112"/>
      <c r="X447" s="107"/>
      <c r="Y447" s="107">
        <f t="shared" si="19"/>
        <v>100</v>
      </c>
      <c r="Z447" s="107">
        <f t="shared" si="20"/>
        <v>97.71</v>
      </c>
    </row>
    <row r="448" spans="1:26" x14ac:dyDescent="0.25">
      <c r="A448" s="55" t="str">
        <f>_xlfn.XLOOKUP($G448,'.Auxiliar'!$G:$G,'.Auxiliar'!A:A,"-",0)</f>
        <v>LITORAL</v>
      </c>
      <c r="B448" s="55" t="str">
        <f>_xlfn.XLOOKUP($G448,'.Auxiliar'!$G:$G,'.Auxiliar'!B:B,"-",0)</f>
        <v>OAE</v>
      </c>
      <c r="C448" s="55" t="str">
        <f>_xlfn.XLOOKUP($G448,'.Auxiliar'!$G:$G,'.Auxiliar'!C:C,"-",0)</f>
        <v>Túnel do Contorno de Florianopolis - 4 túneis duplo</v>
      </c>
      <c r="D448" s="55">
        <f>_xlfn.XLOOKUP($G448,'.Auxiliar'!$G:$G,'.Auxiliar'!D:D,"-",0)</f>
        <v>0</v>
      </c>
      <c r="E448" s="55">
        <f>_xlfn.XLOOKUP($G448,'.Auxiliar'!$G:$G,'.Auxiliar'!E:E,"-",0)</f>
        <v>7</v>
      </c>
      <c r="F448" s="55">
        <f>_xlfn.XLOOKUP($G448,'.Auxiliar'!$G:$G,'.Auxiliar'!F:F,"-",0)</f>
        <v>7</v>
      </c>
      <c r="G448" s="59" t="s">
        <v>530</v>
      </c>
      <c r="H448" s="108" t="s">
        <v>363</v>
      </c>
      <c r="I448" s="115" t="s">
        <v>1881</v>
      </c>
      <c r="J448" s="109" t="s">
        <v>0</v>
      </c>
      <c r="K448" s="109" t="s">
        <v>363</v>
      </c>
      <c r="L448" s="109" t="s">
        <v>0</v>
      </c>
      <c r="M448" s="109" t="s">
        <v>0</v>
      </c>
      <c r="N448" s="110" t="s">
        <v>0</v>
      </c>
      <c r="O448" s="111">
        <v>60.88</v>
      </c>
      <c r="P448" s="112">
        <f>AVERAGE(73.01,47.63,62.55,62.5)</f>
        <v>61.422499999999999</v>
      </c>
      <c r="Q448" s="112">
        <v>31.75</v>
      </c>
      <c r="R448" s="112">
        <f>AVERAGE(28.73+0.25,4.35+10.95,13.47+5.48,7.25+0.44)</f>
        <v>17.73</v>
      </c>
      <c r="S448" s="112">
        <f>100-(P448+R448)</f>
        <v>20.847499999999997</v>
      </c>
      <c r="T448" s="112">
        <v>14.65</v>
      </c>
      <c r="U448" s="95">
        <f t="shared" si="18"/>
        <v>20.847499999999997</v>
      </c>
      <c r="V448" s="112"/>
      <c r="W448" s="112"/>
      <c r="X448" s="107"/>
      <c r="Y448" s="107">
        <f t="shared" si="19"/>
        <v>100</v>
      </c>
      <c r="Z448" s="107">
        <f t="shared" si="20"/>
        <v>93.802500000000009</v>
      </c>
    </row>
    <row r="449" spans="1:26" x14ac:dyDescent="0.25">
      <c r="A449" s="55" t="str">
        <f>_xlfn.XLOOKUP($G449,'.Auxiliar'!$G:$G,'.Auxiliar'!A:A,"-",0)</f>
        <v>LITORAL</v>
      </c>
      <c r="B449" s="55" t="str">
        <f>_xlfn.XLOOKUP($G449,'.Auxiliar'!$G:$G,'.Auxiliar'!B:B,"-",0)</f>
        <v>OAE</v>
      </c>
      <c r="C449" s="55" t="str">
        <f>_xlfn.XLOOKUP($G449,'.Auxiliar'!$G:$G,'.Auxiliar'!C:C,"-",0)</f>
        <v>Implantação de Trevos em Desnível, com Alças, em Pista Dupla – Parcial: a definir</v>
      </c>
      <c r="D449" s="55">
        <v>51</v>
      </c>
      <c r="E449" s="55">
        <v>51</v>
      </c>
      <c r="F449" s="55">
        <f>_xlfn.XLOOKUP($G449,'.Auxiliar'!$G:$G,'.Auxiliar'!F:F,"-",0)</f>
        <v>1</v>
      </c>
      <c r="G449" s="59" t="s">
        <v>520</v>
      </c>
      <c r="H449" s="108" t="s">
        <v>363</v>
      </c>
      <c r="I449" s="109" t="s">
        <v>0</v>
      </c>
      <c r="J449" s="109" t="s">
        <v>0</v>
      </c>
      <c r="K449" s="109" t="s">
        <v>363</v>
      </c>
      <c r="L449" s="109" t="s">
        <v>0</v>
      </c>
      <c r="M449" s="109" t="s">
        <v>0</v>
      </c>
      <c r="N449" s="110" t="s">
        <v>0</v>
      </c>
      <c r="O449" s="111">
        <v>100</v>
      </c>
      <c r="P449" s="112">
        <v>100</v>
      </c>
      <c r="Q449" s="112"/>
      <c r="R449" s="112"/>
      <c r="S449" s="112"/>
      <c r="T449" s="112"/>
      <c r="U449" s="95">
        <f t="shared" si="18"/>
        <v>0</v>
      </c>
      <c r="V449" s="112"/>
      <c r="W449" s="112"/>
      <c r="X449" s="107"/>
      <c r="Y449" s="107">
        <f t="shared" si="19"/>
        <v>100</v>
      </c>
      <c r="Z449" s="107">
        <f t="shared" si="20"/>
        <v>100</v>
      </c>
    </row>
    <row r="450" spans="1:26" x14ac:dyDescent="0.25">
      <c r="A450" s="55" t="str">
        <f>_xlfn.XLOOKUP($G450,'.Auxiliar'!$G:$G,'.Auxiliar'!A:A,"-",0)</f>
        <v>LITORAL</v>
      </c>
      <c r="B450" s="55" t="str">
        <f>_xlfn.XLOOKUP($G450,'.Auxiliar'!$G:$G,'.Auxiliar'!B:B,"-",0)</f>
        <v>OAE</v>
      </c>
      <c r="C450" s="55" t="str">
        <f>_xlfn.XLOOKUP($G450,'.Auxiliar'!$G:$G,'.Auxiliar'!C:C,"-",0)</f>
        <v>Implantação de Trevos em Desnível, com Alças, em Pista Dupla – Parcial: Complementação da PR-09 - Estrada da Graciosa</v>
      </c>
      <c r="D450" s="55">
        <f>_xlfn.XLOOKUP($G450,'.Auxiliar'!$G:$G,'.Auxiliar'!D:D,"-",0)</f>
        <v>73.3</v>
      </c>
      <c r="E450" s="55">
        <f>_xlfn.XLOOKUP($G450,'.Auxiliar'!$G:$G,'.Auxiliar'!E:E,"-",0)</f>
        <v>73.3</v>
      </c>
      <c r="F450" s="55">
        <f>_xlfn.XLOOKUP($G450,'.Auxiliar'!$G:$G,'.Auxiliar'!F:F,"-",0)</f>
        <v>1</v>
      </c>
      <c r="G450" s="59" t="s">
        <v>521</v>
      </c>
      <c r="H450" s="108" t="s">
        <v>363</v>
      </c>
      <c r="I450" s="109" t="s">
        <v>0</v>
      </c>
      <c r="J450" s="109" t="s">
        <v>0</v>
      </c>
      <c r="K450" s="109" t="s">
        <v>0</v>
      </c>
      <c r="L450" s="109" t="s">
        <v>0</v>
      </c>
      <c r="M450" s="109" t="s">
        <v>0</v>
      </c>
      <c r="N450" s="110" t="s">
        <v>0</v>
      </c>
      <c r="O450" s="111">
        <v>100</v>
      </c>
      <c r="P450" s="112">
        <v>100</v>
      </c>
      <c r="Q450" s="112"/>
      <c r="R450" s="112"/>
      <c r="S450" s="112"/>
      <c r="T450" s="112"/>
      <c r="U450" s="95">
        <f t="shared" si="18"/>
        <v>0</v>
      </c>
      <c r="V450" s="112"/>
      <c r="W450" s="112"/>
      <c r="X450" s="107"/>
      <c r="Y450" s="107">
        <f t="shared" si="19"/>
        <v>100</v>
      </c>
      <c r="Z450" s="107">
        <f t="shared" si="20"/>
        <v>100</v>
      </c>
    </row>
    <row r="451" spans="1:26" x14ac:dyDescent="0.25">
      <c r="A451" s="55" t="str">
        <f>_xlfn.XLOOKUP($G451,'.Auxiliar'!$G:$G,'.Auxiliar'!A:A,"-",0)</f>
        <v>LITORAL</v>
      </c>
      <c r="B451" s="55" t="str">
        <f>_xlfn.XLOOKUP($G451,'.Auxiliar'!$G:$G,'.Auxiliar'!B:B,"-",0)</f>
        <v>OAE</v>
      </c>
      <c r="C451" s="55" t="str">
        <f>_xlfn.XLOOKUP($G451,'.Auxiliar'!$G:$G,'.Auxiliar'!C:C,"-",0)</f>
        <v>Implantação de Trevos em Desnível, com Alças, em Pista simples – Parcial: km 663,260 (PNV 2009)</v>
      </c>
      <c r="D451" s="55">
        <f>_xlfn.XLOOKUP($G451,'.Auxiliar'!$G:$G,'.Auxiliar'!D:D,"-",0)</f>
        <v>663.26</v>
      </c>
      <c r="E451" s="55">
        <f>_xlfn.XLOOKUP($G451,'.Auxiliar'!$G:$G,'.Auxiliar'!E:E,"-",0)</f>
        <v>663.26</v>
      </c>
      <c r="F451" s="55">
        <f>_xlfn.XLOOKUP($G451,'.Auxiliar'!$G:$G,'.Auxiliar'!F:F,"-",0)</f>
        <v>1</v>
      </c>
      <c r="G451" s="59" t="s">
        <v>522</v>
      </c>
      <c r="H451" s="108" t="s">
        <v>363</v>
      </c>
      <c r="I451" s="109" t="s">
        <v>0</v>
      </c>
      <c r="J451" s="109" t="s">
        <v>0</v>
      </c>
      <c r="K451" s="109" t="s">
        <v>363</v>
      </c>
      <c r="L451" s="109" t="s">
        <v>0</v>
      </c>
      <c r="M451" s="109" t="s">
        <v>0</v>
      </c>
      <c r="N451" s="110" t="s">
        <v>0</v>
      </c>
      <c r="O451" s="111">
        <v>100</v>
      </c>
      <c r="P451" s="112">
        <v>100</v>
      </c>
      <c r="Q451" s="112"/>
      <c r="R451" s="112"/>
      <c r="S451" s="112"/>
      <c r="T451" s="112"/>
      <c r="U451" s="95">
        <f t="shared" ref="U451:U514" si="21">IF(SUM(V451:X451)=100,"",100-(P451+R451))</f>
        <v>0</v>
      </c>
      <c r="V451" s="112"/>
      <c r="W451" s="112"/>
      <c r="X451" s="107"/>
      <c r="Y451" s="107">
        <f t="shared" ref="Y451:Y514" si="22">SUM(P451,R451,S451,V451,W451,X451)</f>
        <v>100</v>
      </c>
      <c r="Z451" s="107">
        <f t="shared" ref="Z451:Z514" si="23">SUM(P451,R451,T451)</f>
        <v>100</v>
      </c>
    </row>
    <row r="452" spans="1:26" x14ac:dyDescent="0.25">
      <c r="A452" s="55" t="str">
        <f>_xlfn.XLOOKUP($G452,'.Auxiliar'!$G:$G,'.Auxiliar'!A:A,"-",0)</f>
        <v>LITORAL</v>
      </c>
      <c r="B452" s="55" t="str">
        <f>_xlfn.XLOOKUP($G452,'.Auxiliar'!$G:$G,'.Auxiliar'!B:B,"-",0)</f>
        <v>OAE</v>
      </c>
      <c r="C452" s="55" t="str">
        <f>_xlfn.XLOOKUP($G452,'.Auxiliar'!$G:$G,'.Auxiliar'!C:C,"-",0)</f>
        <v>Implantação de Trevos em Desnível, com Alças, em Pista Dupla – Parcial:</v>
      </c>
      <c r="D452" s="55">
        <f>_xlfn.XLOOKUP($G452,'.Auxiliar'!$G:$G,'.Auxiliar'!D:D,"-",0)</f>
        <v>617.45000000000005</v>
      </c>
      <c r="E452" s="55">
        <f>_xlfn.XLOOKUP($G452,'.Auxiliar'!$G:$G,'.Auxiliar'!E:E,"-",0)</f>
        <v>617.45000000000005</v>
      </c>
      <c r="F452" s="55">
        <f>_xlfn.XLOOKUP($G452,'.Auxiliar'!$G:$G,'.Auxiliar'!F:F,"-",0)</f>
        <v>1</v>
      </c>
      <c r="G452" s="59" t="s">
        <v>523</v>
      </c>
      <c r="H452" s="108" t="s">
        <v>363</v>
      </c>
      <c r="I452" s="109" t="s">
        <v>0</v>
      </c>
      <c r="J452" s="109" t="s">
        <v>0</v>
      </c>
      <c r="K452" s="109" t="s">
        <v>363</v>
      </c>
      <c r="L452" s="109" t="s">
        <v>0</v>
      </c>
      <c r="M452" s="109" t="s">
        <v>0</v>
      </c>
      <c r="N452" s="110" t="s">
        <v>0</v>
      </c>
      <c r="O452" s="111">
        <v>100</v>
      </c>
      <c r="P452" s="112">
        <v>100</v>
      </c>
      <c r="Q452" s="112"/>
      <c r="R452" s="112"/>
      <c r="S452" s="112"/>
      <c r="T452" s="112"/>
      <c r="U452" s="95">
        <f t="shared" si="21"/>
        <v>0</v>
      </c>
      <c r="V452" s="112"/>
      <c r="W452" s="112"/>
      <c r="X452" s="107"/>
      <c r="Y452" s="107">
        <f t="shared" si="22"/>
        <v>100</v>
      </c>
      <c r="Z452" s="107">
        <f t="shared" si="23"/>
        <v>100</v>
      </c>
    </row>
    <row r="453" spans="1:26" x14ac:dyDescent="0.25">
      <c r="A453" s="55" t="str">
        <f>_xlfn.XLOOKUP($G453,'.Auxiliar'!$G:$G,'.Auxiliar'!A:A,"-",0)</f>
        <v>LITORAL</v>
      </c>
      <c r="B453" s="55" t="str">
        <f>_xlfn.XLOOKUP($G453,'.Auxiliar'!$G:$G,'.Auxiliar'!B:B,"-",0)</f>
        <v>OAE</v>
      </c>
      <c r="C453" s="55" t="str">
        <f>_xlfn.XLOOKUP($G453,'.Auxiliar'!$G:$G,'.Auxiliar'!C:C,"-",0)</f>
        <v>Implantação de Trevos em Desnível, com Alças, em Pista Dupla – Parcial:</v>
      </c>
      <c r="D453" s="55">
        <f>_xlfn.XLOOKUP($G453,'.Auxiliar'!$G:$G,'.Auxiliar'!D:D,"-",0)</f>
        <v>648.29999999999995</v>
      </c>
      <c r="E453" s="55">
        <f>_xlfn.XLOOKUP($G453,'.Auxiliar'!$G:$G,'.Auxiliar'!E:E,"-",0)</f>
        <v>648.29999999999995</v>
      </c>
      <c r="F453" s="55">
        <f>_xlfn.XLOOKUP($G453,'.Auxiliar'!$G:$G,'.Auxiliar'!F:F,"-",0)</f>
        <v>1</v>
      </c>
      <c r="G453" s="59" t="s">
        <v>524</v>
      </c>
      <c r="H453" s="108" t="s">
        <v>363</v>
      </c>
      <c r="I453" s="109" t="s">
        <v>0</v>
      </c>
      <c r="J453" s="109" t="s">
        <v>0</v>
      </c>
      <c r="K453" s="109" t="s">
        <v>363</v>
      </c>
      <c r="L453" s="109" t="s">
        <v>0</v>
      </c>
      <c r="M453" s="109" t="s">
        <v>0</v>
      </c>
      <c r="N453" s="110" t="s">
        <v>0</v>
      </c>
      <c r="O453" s="111">
        <v>100</v>
      </c>
      <c r="P453" s="112">
        <v>100</v>
      </c>
      <c r="Q453" s="112"/>
      <c r="R453" s="112"/>
      <c r="S453" s="112"/>
      <c r="T453" s="112"/>
      <c r="U453" s="95">
        <f t="shared" si="21"/>
        <v>0</v>
      </c>
      <c r="V453" s="112"/>
      <c r="W453" s="112"/>
      <c r="X453" s="107"/>
      <c r="Y453" s="107">
        <f t="shared" si="22"/>
        <v>100</v>
      </c>
      <c r="Z453" s="107">
        <f t="shared" si="23"/>
        <v>100</v>
      </c>
    </row>
    <row r="454" spans="1:26" x14ac:dyDescent="0.25">
      <c r="A454" s="55" t="str">
        <f>_xlfn.XLOOKUP($G454,'.Auxiliar'!$G:$G,'.Auxiliar'!A:A,"-",0)</f>
        <v>LITORAL</v>
      </c>
      <c r="B454" s="55" t="str">
        <f>_xlfn.XLOOKUP($G454,'.Auxiliar'!$G:$G,'.Auxiliar'!B:B,"-",0)</f>
        <v>OAE</v>
      </c>
      <c r="C454" s="55" t="str">
        <f>_xlfn.XLOOKUP($G454,'.Auxiliar'!$G:$G,'.Auxiliar'!C:C,"-",0)</f>
        <v>Implantação de Trevos em Desnível, com Alças, em Pista Dupla – Parcial:</v>
      </c>
      <c r="D454" s="55">
        <f>_xlfn.XLOOKUP($G454,'.Auxiliar'!$G:$G,'.Auxiliar'!D:D,"-",0)</f>
        <v>633</v>
      </c>
      <c r="E454" s="55">
        <f>_xlfn.XLOOKUP($G454,'.Auxiliar'!$G:$G,'.Auxiliar'!E:E,"-",0)</f>
        <v>633</v>
      </c>
      <c r="F454" s="55">
        <f>_xlfn.XLOOKUP($G454,'.Auxiliar'!$G:$G,'.Auxiliar'!F:F,"-",0)</f>
        <v>1</v>
      </c>
      <c r="G454" s="59" t="s">
        <v>525</v>
      </c>
      <c r="H454" s="108" t="s">
        <v>363</v>
      </c>
      <c r="I454" s="109" t="s">
        <v>0</v>
      </c>
      <c r="J454" s="109" t="s">
        <v>0</v>
      </c>
      <c r="K454" s="109" t="s">
        <v>363</v>
      </c>
      <c r="L454" s="109" t="s">
        <v>0</v>
      </c>
      <c r="M454" s="109" t="s">
        <v>0</v>
      </c>
      <c r="N454" s="110" t="s">
        <v>0</v>
      </c>
      <c r="O454" s="111">
        <v>100</v>
      </c>
      <c r="P454" s="112">
        <v>100</v>
      </c>
      <c r="Q454" s="112"/>
      <c r="R454" s="112"/>
      <c r="S454" s="112"/>
      <c r="T454" s="112"/>
      <c r="U454" s="95">
        <f t="shared" si="21"/>
        <v>0</v>
      </c>
      <c r="V454" s="112"/>
      <c r="W454" s="112"/>
      <c r="X454" s="107"/>
      <c r="Y454" s="107">
        <f t="shared" si="22"/>
        <v>100</v>
      </c>
      <c r="Z454" s="107">
        <f t="shared" si="23"/>
        <v>100</v>
      </c>
    </row>
    <row r="455" spans="1:26" x14ac:dyDescent="0.25">
      <c r="A455" s="55" t="str">
        <f>_xlfn.XLOOKUP($G455,'.Auxiliar'!$G:$G,'.Auxiliar'!A:A,"-",0)</f>
        <v>LITORAL</v>
      </c>
      <c r="B455" s="55" t="str">
        <f>_xlfn.XLOOKUP($G455,'.Auxiliar'!$G:$G,'.Auxiliar'!B:B,"-",0)</f>
        <v>OAE</v>
      </c>
      <c r="C455" s="55" t="str">
        <f>_xlfn.XLOOKUP($G455,'.Auxiliar'!$G:$G,'.Auxiliar'!C:C,"-",0)</f>
        <v>Implantação Alças de Trevo:</v>
      </c>
      <c r="D455" s="55">
        <f>_xlfn.XLOOKUP($G455,'.Auxiliar'!$G:$G,'.Auxiliar'!D:D,"-",0)</f>
        <v>637.26</v>
      </c>
      <c r="E455" s="55">
        <f>_xlfn.XLOOKUP($G455,'.Auxiliar'!$G:$G,'.Auxiliar'!E:E,"-",0)</f>
        <v>637.26</v>
      </c>
      <c r="F455" s="55">
        <f>_xlfn.XLOOKUP($G455,'.Auxiliar'!$G:$G,'.Auxiliar'!F:F,"-",0)</f>
        <v>1</v>
      </c>
      <c r="G455" s="59" t="s">
        <v>528</v>
      </c>
      <c r="H455" s="108" t="s">
        <v>363</v>
      </c>
      <c r="I455" s="109" t="s">
        <v>0</v>
      </c>
      <c r="J455" s="109" t="s">
        <v>0</v>
      </c>
      <c r="K455" s="109" t="s">
        <v>0</v>
      </c>
      <c r="L455" s="109" t="s">
        <v>0</v>
      </c>
      <c r="M455" s="109" t="s">
        <v>0</v>
      </c>
      <c r="N455" s="110" t="s">
        <v>0</v>
      </c>
      <c r="O455" s="111">
        <v>100</v>
      </c>
      <c r="P455" s="112">
        <v>100</v>
      </c>
      <c r="Q455" s="112"/>
      <c r="R455" s="112"/>
      <c r="S455" s="112"/>
      <c r="T455" s="112"/>
      <c r="U455" s="95">
        <f t="shared" si="21"/>
        <v>0</v>
      </c>
      <c r="V455" s="112"/>
      <c r="W455" s="112"/>
      <c r="X455" s="107"/>
      <c r="Y455" s="107">
        <f t="shared" si="22"/>
        <v>100</v>
      </c>
      <c r="Z455" s="107">
        <f t="shared" si="23"/>
        <v>100</v>
      </c>
    </row>
    <row r="456" spans="1:26" x14ac:dyDescent="0.25">
      <c r="A456" s="55" t="str">
        <f>_xlfn.XLOOKUP($G456,'.Auxiliar'!$G:$G,'.Auxiliar'!A:A,"-",0)</f>
        <v>LITORAL</v>
      </c>
      <c r="B456" s="55" t="str">
        <f>_xlfn.XLOOKUP($G456,'.Auxiliar'!$G:$G,'.Auxiliar'!B:B,"-",0)</f>
        <v>OAE</v>
      </c>
      <c r="C456" s="55" t="str">
        <f>_xlfn.XLOOKUP($G456,'.Auxiliar'!$G:$G,'.Auxiliar'!C:C,"-",0)</f>
        <v>Implantação Alças de Trevo:</v>
      </c>
      <c r="D456" s="55">
        <f>_xlfn.XLOOKUP($G456,'.Auxiliar'!$G:$G,'.Auxiliar'!D:D,"-",0)</f>
        <v>644.1</v>
      </c>
      <c r="E456" s="55">
        <f>_xlfn.XLOOKUP($G456,'.Auxiliar'!$G:$G,'.Auxiliar'!E:E,"-",0)</f>
        <v>644.1</v>
      </c>
      <c r="F456" s="55">
        <f>_xlfn.XLOOKUP($G456,'.Auxiliar'!$G:$G,'.Auxiliar'!F:F,"-",0)</f>
        <v>1</v>
      </c>
      <c r="G456" s="59" t="s">
        <v>529</v>
      </c>
      <c r="H456" s="108" t="s">
        <v>363</v>
      </c>
      <c r="I456" s="109" t="s">
        <v>0</v>
      </c>
      <c r="J456" s="109" t="s">
        <v>0</v>
      </c>
      <c r="K456" s="109" t="s">
        <v>0</v>
      </c>
      <c r="L456" s="109" t="s">
        <v>0</v>
      </c>
      <c r="M456" s="109" t="s">
        <v>0</v>
      </c>
      <c r="N456" s="110" t="s">
        <v>0</v>
      </c>
      <c r="O456" s="111">
        <v>100</v>
      </c>
      <c r="P456" s="112">
        <v>100</v>
      </c>
      <c r="Q456" s="112"/>
      <c r="R456" s="112"/>
      <c r="S456" s="112"/>
      <c r="T456" s="112"/>
      <c r="U456" s="95">
        <f t="shared" si="21"/>
        <v>0</v>
      </c>
      <c r="V456" s="112"/>
      <c r="W456" s="112"/>
      <c r="X456" s="107"/>
      <c r="Y456" s="107">
        <f t="shared" si="22"/>
        <v>100</v>
      </c>
      <c r="Z456" s="107">
        <f t="shared" si="23"/>
        <v>100</v>
      </c>
    </row>
    <row r="457" spans="1:26" x14ac:dyDescent="0.25">
      <c r="A457" s="55" t="str">
        <f>_xlfn.XLOOKUP($G457,'.Auxiliar'!$G:$G,'.Auxiliar'!A:A,"-",0)</f>
        <v>LITORAL</v>
      </c>
      <c r="B457" s="55" t="str">
        <f>_xlfn.XLOOKUP($G457,'.Auxiliar'!$G:$G,'.Auxiliar'!B:B,"-",0)</f>
        <v>OAE</v>
      </c>
      <c r="C457" s="55" t="str">
        <f>_xlfn.XLOOKUP($G457,'.Auxiliar'!$G:$G,'.Auxiliar'!C:C,"-",0)</f>
        <v>Implantação de Trevos em Desnível, com Alças, em Pista simples – Parcial: Elevação da ponte sobre o rio Camboriú</v>
      </c>
      <c r="D457" s="55">
        <v>136.9</v>
      </c>
      <c r="E457" s="55">
        <v>139.9</v>
      </c>
      <c r="F457" s="55">
        <f>_xlfn.XLOOKUP($G457,'.Auxiliar'!$G:$G,'.Auxiliar'!F:F,"-",0)</f>
        <v>1</v>
      </c>
      <c r="G457" s="59" t="s">
        <v>531</v>
      </c>
      <c r="H457" s="108" t="s">
        <v>363</v>
      </c>
      <c r="I457" s="109" t="s">
        <v>0</v>
      </c>
      <c r="J457" s="109" t="s">
        <v>0</v>
      </c>
      <c r="K457" s="109" t="s">
        <v>363</v>
      </c>
      <c r="L457" s="109" t="s">
        <v>0</v>
      </c>
      <c r="M457" s="109" t="s">
        <v>0</v>
      </c>
      <c r="N457" s="110" t="s">
        <v>0</v>
      </c>
      <c r="O457" s="111">
        <v>100</v>
      </c>
      <c r="P457" s="112">
        <v>0</v>
      </c>
      <c r="Q457" s="112"/>
      <c r="R457" s="112"/>
      <c r="S457" s="112">
        <v>24.2</v>
      </c>
      <c r="T457" s="112">
        <v>0</v>
      </c>
      <c r="U457" s="95">
        <f t="shared" si="21"/>
        <v>100</v>
      </c>
      <c r="V457" s="112">
        <f>100-S457</f>
        <v>75.8</v>
      </c>
      <c r="W457" s="112"/>
      <c r="X457" s="107"/>
      <c r="Y457" s="107">
        <f t="shared" si="22"/>
        <v>100</v>
      </c>
      <c r="Z457" s="107">
        <f t="shared" si="23"/>
        <v>0</v>
      </c>
    </row>
    <row r="458" spans="1:26" x14ac:dyDescent="0.25">
      <c r="A458" s="55" t="str">
        <f>_xlfn.XLOOKUP($G458,'.Auxiliar'!$G:$G,'.Auxiliar'!A:A,"-",0)</f>
        <v>LITORAL</v>
      </c>
      <c r="B458" s="55" t="str">
        <f>_xlfn.XLOOKUP($G458,'.Auxiliar'!$G:$G,'.Auxiliar'!B:B,"-",0)</f>
        <v>OAE</v>
      </c>
      <c r="C458" s="55" t="str">
        <f>_xlfn.XLOOKUP($G458,'.Auxiliar'!$G:$G,'.Auxiliar'!C:C,"-",0)</f>
        <v>Implantação de Trevos em Desnível, com Alças, em Pista simples – Parcial:</v>
      </c>
      <c r="D458" s="55">
        <f>_xlfn.XLOOKUP($G458,'.Auxiliar'!$G:$G,'.Auxiliar'!D:D,"-",0)</f>
        <v>109.2</v>
      </c>
      <c r="E458" s="55">
        <f>_xlfn.XLOOKUP($G458,'.Auxiliar'!$G:$G,'.Auxiliar'!E:E,"-",0)</f>
        <v>109.2</v>
      </c>
      <c r="F458" s="55">
        <f>_xlfn.XLOOKUP($G458,'.Auxiliar'!$G:$G,'.Auxiliar'!F:F,"-",0)</f>
        <v>1</v>
      </c>
      <c r="G458" s="59" t="s">
        <v>532</v>
      </c>
      <c r="H458" s="108" t="s">
        <v>363</v>
      </c>
      <c r="I458" s="115" t="s">
        <v>1881</v>
      </c>
      <c r="J458" s="109" t="s">
        <v>0</v>
      </c>
      <c r="K458" s="109" t="s">
        <v>363</v>
      </c>
      <c r="L458" s="109" t="s">
        <v>0</v>
      </c>
      <c r="M458" s="109" t="s">
        <v>0</v>
      </c>
      <c r="N458" s="110" t="s">
        <v>0</v>
      </c>
      <c r="O458" s="111">
        <v>28.32</v>
      </c>
      <c r="P458" s="112">
        <v>55.75</v>
      </c>
      <c r="Q458" s="112">
        <v>11.54</v>
      </c>
      <c r="R458" s="112">
        <v>2.11</v>
      </c>
      <c r="S458" s="112">
        <v>16.96</v>
      </c>
      <c r="T458" s="112">
        <v>0.34</v>
      </c>
      <c r="U458" s="95">
        <f t="shared" si="21"/>
        <v>42.14</v>
      </c>
      <c r="V458" s="112">
        <f>100-SUM(P458,R458,S458)</f>
        <v>25.180000000000007</v>
      </c>
      <c r="W458" s="112"/>
      <c r="X458" s="107"/>
      <c r="Y458" s="107">
        <f t="shared" si="22"/>
        <v>100</v>
      </c>
      <c r="Z458" s="107">
        <f t="shared" si="23"/>
        <v>58.2</v>
      </c>
    </row>
    <row r="459" spans="1:26" x14ac:dyDescent="0.25">
      <c r="A459" s="55" t="str">
        <f>_xlfn.XLOOKUP($G459,'.Auxiliar'!$G:$G,'.Auxiliar'!A:A,"-",0)</f>
        <v>LITORAL</v>
      </c>
      <c r="B459" s="55" t="str">
        <f>_xlfn.XLOOKUP($G459,'.Auxiliar'!$G:$G,'.Auxiliar'!B:B,"-",0)</f>
        <v>OAE</v>
      </c>
      <c r="C459" s="55" t="str">
        <f>_xlfn.XLOOKUP($G459,'.Auxiliar'!$G:$G,'.Auxiliar'!C:C,"-",0)</f>
        <v>Implantação de Trevos em Desnível, com Alças, em Pista simples – Parcial:</v>
      </c>
      <c r="D459" s="55">
        <f>_xlfn.XLOOKUP($G459,'.Auxiliar'!$G:$G,'.Auxiliar'!D:D,"-",0)</f>
        <v>140.30000000000001</v>
      </c>
      <c r="E459" s="55">
        <f>_xlfn.XLOOKUP($G459,'.Auxiliar'!$G:$G,'.Auxiliar'!E:E,"-",0)</f>
        <v>140.30000000000001</v>
      </c>
      <c r="F459" s="55">
        <f>_xlfn.XLOOKUP($G459,'.Auxiliar'!$G:$G,'.Auxiliar'!F:F,"-",0)</f>
        <v>1</v>
      </c>
      <c r="G459" s="59" t="s">
        <v>533</v>
      </c>
      <c r="H459" s="108" t="s">
        <v>363</v>
      </c>
      <c r="I459" s="109" t="s">
        <v>0</v>
      </c>
      <c r="J459" s="109" t="s">
        <v>0</v>
      </c>
      <c r="K459" s="109" t="s">
        <v>363</v>
      </c>
      <c r="L459" s="109" t="s">
        <v>0</v>
      </c>
      <c r="M459" s="109" t="s">
        <v>0</v>
      </c>
      <c r="N459" s="110" t="s">
        <v>0</v>
      </c>
      <c r="O459" s="111">
        <v>100</v>
      </c>
      <c r="P459" s="112">
        <v>100</v>
      </c>
      <c r="Q459" s="112"/>
      <c r="R459" s="112"/>
      <c r="S459" s="112"/>
      <c r="T459" s="112"/>
      <c r="U459" s="95">
        <f t="shared" si="21"/>
        <v>0</v>
      </c>
      <c r="V459" s="112"/>
      <c r="W459" s="112"/>
      <c r="X459" s="107"/>
      <c r="Y459" s="107">
        <f t="shared" si="22"/>
        <v>100</v>
      </c>
      <c r="Z459" s="107">
        <f t="shared" si="23"/>
        <v>100</v>
      </c>
    </row>
    <row r="460" spans="1:26" x14ac:dyDescent="0.25">
      <c r="A460" s="55" t="str">
        <f>_xlfn.XLOOKUP($G460,'.Auxiliar'!$G:$G,'.Auxiliar'!A:A,"-",0)</f>
        <v>LITORAL</v>
      </c>
      <c r="B460" s="55" t="str">
        <f>_xlfn.XLOOKUP($G460,'.Auxiliar'!$G:$G,'.Auxiliar'!B:B,"-",0)</f>
        <v>OAE</v>
      </c>
      <c r="C460" s="55" t="str">
        <f>_xlfn.XLOOKUP($G460,'.Auxiliar'!$G:$G,'.Auxiliar'!C:C,"-",0)</f>
        <v>Implantação de Trevos em Desnível, com Alças, em Pista simples – Completo: Trevo de interseção c/ a SC 408</v>
      </c>
      <c r="D460" s="55">
        <v>204.2</v>
      </c>
      <c r="E460" s="55">
        <v>204.2</v>
      </c>
      <c r="F460" s="55">
        <f>_xlfn.XLOOKUP($G460,'.Auxiliar'!$G:$G,'.Auxiliar'!F:F,"-",0)</f>
        <v>1</v>
      </c>
      <c r="G460" s="59" t="s">
        <v>534</v>
      </c>
      <c r="H460" s="108" t="s">
        <v>363</v>
      </c>
      <c r="I460" s="115" t="s">
        <v>1881</v>
      </c>
      <c r="J460" s="109" t="s">
        <v>0</v>
      </c>
      <c r="K460" s="109" t="s">
        <v>363</v>
      </c>
      <c r="L460" s="109" t="s">
        <v>0</v>
      </c>
      <c r="M460" s="109" t="s">
        <v>0</v>
      </c>
      <c r="N460" s="110" t="s">
        <v>0</v>
      </c>
      <c r="O460" s="111">
        <v>79.03</v>
      </c>
      <c r="P460" s="112">
        <v>79.03</v>
      </c>
      <c r="Q460" s="112">
        <v>20.97</v>
      </c>
      <c r="R460" s="112">
        <v>20.97</v>
      </c>
      <c r="S460" s="112"/>
      <c r="T460" s="112"/>
      <c r="U460" s="95">
        <f t="shared" si="21"/>
        <v>0</v>
      </c>
      <c r="V460" s="112"/>
      <c r="W460" s="112"/>
      <c r="X460" s="107"/>
      <c r="Y460" s="107">
        <f t="shared" si="22"/>
        <v>100</v>
      </c>
      <c r="Z460" s="107">
        <f t="shared" si="23"/>
        <v>100</v>
      </c>
    </row>
    <row r="461" spans="1:26" x14ac:dyDescent="0.25">
      <c r="A461" s="55" t="str">
        <f>_xlfn.XLOOKUP($G461,'.Auxiliar'!$G:$G,'.Auxiliar'!A:A,"-",0)</f>
        <v>LITORAL</v>
      </c>
      <c r="B461" s="55" t="str">
        <f>_xlfn.XLOOKUP($G461,'.Auxiliar'!$G:$G,'.Auxiliar'!B:B,"-",0)</f>
        <v>OAE</v>
      </c>
      <c r="C461" s="55" t="str">
        <f>_xlfn.XLOOKUP($G461,'.Auxiliar'!$G:$G,'.Auxiliar'!C:C,"-",0)</f>
        <v>Implantação de Trevos em Desnível, com Alças, em Pista simples – Completo: Trevo de interseção c/ a SC-407</v>
      </c>
      <c r="D461" s="55">
        <v>215.4</v>
      </c>
      <c r="E461" s="55">
        <v>215.4</v>
      </c>
      <c r="F461" s="55">
        <f>_xlfn.XLOOKUP($G461,'.Auxiliar'!$G:$G,'.Auxiliar'!F:F,"-",0)</f>
        <v>1</v>
      </c>
      <c r="G461" s="59" t="s">
        <v>535</v>
      </c>
      <c r="H461" s="108" t="s">
        <v>363</v>
      </c>
      <c r="I461" s="109" t="s">
        <v>0</v>
      </c>
      <c r="J461" s="109" t="s">
        <v>0</v>
      </c>
      <c r="K461" s="109" t="s">
        <v>363</v>
      </c>
      <c r="L461" s="109" t="s">
        <v>0</v>
      </c>
      <c r="M461" s="109" t="s">
        <v>0</v>
      </c>
      <c r="N461" s="110" t="s">
        <v>0</v>
      </c>
      <c r="O461" s="111">
        <v>100</v>
      </c>
      <c r="P461" s="112">
        <v>100</v>
      </c>
      <c r="Q461" s="112"/>
      <c r="R461" s="112"/>
      <c r="S461" s="112"/>
      <c r="T461" s="112"/>
      <c r="U461" s="95">
        <f t="shared" si="21"/>
        <v>0</v>
      </c>
      <c r="V461" s="112"/>
      <c r="W461" s="112"/>
      <c r="X461" s="107"/>
      <c r="Y461" s="107">
        <f t="shared" si="22"/>
        <v>100</v>
      </c>
      <c r="Z461" s="107">
        <f t="shared" si="23"/>
        <v>100</v>
      </c>
    </row>
    <row r="462" spans="1:26" x14ac:dyDescent="0.25">
      <c r="A462" s="55" t="str">
        <f>_xlfn.XLOOKUP($G462,'.Auxiliar'!$G:$G,'.Auxiliar'!A:A,"-",0)</f>
        <v>LITORAL</v>
      </c>
      <c r="B462" s="55" t="str">
        <f>_xlfn.XLOOKUP($G462,'.Auxiliar'!$G:$G,'.Auxiliar'!B:B,"-",0)</f>
        <v>OAE</v>
      </c>
      <c r="C462" s="55" t="str">
        <f>_xlfn.XLOOKUP($G462,'.Auxiliar'!$G:$G,'.Auxiliar'!C:C,"-",0)</f>
        <v>Implantação de Trevos em Desnível, com Alças, em Pista simples – Completo: Contorno de Florianopolis trevos na interseção c/ vias locais</v>
      </c>
      <c r="D462" s="55">
        <f>_xlfn.XLOOKUP($G462,'.Auxiliar'!$G:$G,'.Auxiliar'!D:D,"-",0)</f>
        <v>1</v>
      </c>
      <c r="E462" s="55">
        <f>_xlfn.XLOOKUP($G462,'.Auxiliar'!$G:$G,'.Auxiliar'!E:E,"-",0)</f>
        <v>1</v>
      </c>
      <c r="F462" s="55">
        <f>_xlfn.XLOOKUP($G462,'.Auxiliar'!$G:$G,'.Auxiliar'!F:F,"-",0)</f>
        <v>1</v>
      </c>
      <c r="G462" s="59" t="s">
        <v>536</v>
      </c>
      <c r="H462" s="108" t="s">
        <v>363</v>
      </c>
      <c r="I462" s="109" t="s">
        <v>0</v>
      </c>
      <c r="J462" s="109" t="s">
        <v>0</v>
      </c>
      <c r="K462" s="109" t="s">
        <v>363</v>
      </c>
      <c r="L462" s="109" t="s">
        <v>0</v>
      </c>
      <c r="M462" s="109" t="s">
        <v>0</v>
      </c>
      <c r="N462" s="110" t="s">
        <v>0</v>
      </c>
      <c r="O462" s="111">
        <v>100</v>
      </c>
      <c r="P462" s="112">
        <v>0</v>
      </c>
      <c r="Q462" s="112"/>
      <c r="R462" s="112"/>
      <c r="S462" s="95"/>
      <c r="T462" s="112"/>
      <c r="U462" s="95" t="str">
        <f t="shared" si="21"/>
        <v/>
      </c>
      <c r="V462" s="112"/>
      <c r="W462" s="112"/>
      <c r="X462" s="107">
        <v>100</v>
      </c>
      <c r="Y462" s="107">
        <f t="shared" si="22"/>
        <v>100</v>
      </c>
      <c r="Z462" s="107">
        <f t="shared" si="23"/>
        <v>0</v>
      </c>
    </row>
    <row r="463" spans="1:26" x14ac:dyDescent="0.25">
      <c r="A463" s="55" t="str">
        <f>_xlfn.XLOOKUP($G463,'.Auxiliar'!$G:$G,'.Auxiliar'!A:A,"-",0)</f>
        <v>LITORAL</v>
      </c>
      <c r="B463" s="55" t="str">
        <f>_xlfn.XLOOKUP($G463,'.Auxiliar'!$G:$G,'.Auxiliar'!B:B,"-",0)</f>
        <v>OAE</v>
      </c>
      <c r="C463" s="55" t="str">
        <f>_xlfn.XLOOKUP($G463,'.Auxiliar'!$G:$G,'.Auxiliar'!C:C,"-",0)</f>
        <v>Implantação de Trevos em Desnível, com Alças, em Pista simples – Completo: Contorno de Florianopolis trevos na interseção c/ vias locais</v>
      </c>
      <c r="D463" s="55">
        <v>193.4</v>
      </c>
      <c r="E463" s="55">
        <v>193.4</v>
      </c>
      <c r="F463" s="55">
        <f>_xlfn.XLOOKUP($G463,'.Auxiliar'!$G:$G,'.Auxiliar'!F:F,"-",0)</f>
        <v>1</v>
      </c>
      <c r="G463" s="59" t="s">
        <v>536</v>
      </c>
      <c r="H463" s="108" t="s">
        <v>363</v>
      </c>
      <c r="I463" s="115" t="s">
        <v>1881</v>
      </c>
      <c r="J463" s="109" t="s">
        <v>0</v>
      </c>
      <c r="K463" s="109" t="s">
        <v>363</v>
      </c>
      <c r="L463" s="109" t="s">
        <v>0</v>
      </c>
      <c r="M463" s="109" t="s">
        <v>0</v>
      </c>
      <c r="N463" s="110" t="s">
        <v>0</v>
      </c>
      <c r="O463" s="111">
        <v>93.12</v>
      </c>
      <c r="P463" s="112">
        <v>93.12</v>
      </c>
      <c r="Q463" s="112">
        <v>6.88</v>
      </c>
      <c r="R463" s="112">
        <v>6.88</v>
      </c>
      <c r="S463" s="112"/>
      <c r="T463" s="112"/>
      <c r="U463" s="95">
        <f t="shared" si="21"/>
        <v>0</v>
      </c>
      <c r="V463" s="112"/>
      <c r="W463" s="112"/>
      <c r="X463" s="107"/>
      <c r="Y463" s="107">
        <f t="shared" si="22"/>
        <v>100</v>
      </c>
      <c r="Z463" s="107">
        <f t="shared" si="23"/>
        <v>100</v>
      </c>
    </row>
    <row r="464" spans="1:26" x14ac:dyDescent="0.25">
      <c r="A464" s="55" t="str">
        <f>_xlfn.XLOOKUP($G464,'.Auxiliar'!$G:$G,'.Auxiliar'!A:A,"-",0)</f>
        <v>LITORAL</v>
      </c>
      <c r="B464" s="55" t="str">
        <f>_xlfn.XLOOKUP($G464,'.Auxiliar'!$G:$G,'.Auxiliar'!B:B,"-",0)</f>
        <v>OAE</v>
      </c>
      <c r="C464" s="55" t="str">
        <f>_xlfn.XLOOKUP($G464,'.Auxiliar'!$G:$G,'.Auxiliar'!C:C,"-",0)</f>
        <v>Implantação de Trevos em Desnível, com Alças, em Pista Dupla – Completo - Contorno de Florianopolis - nas interseções c/ BR-101/SC</v>
      </c>
      <c r="D464" s="55">
        <v>176.8</v>
      </c>
      <c r="E464" s="55">
        <v>176.8</v>
      </c>
      <c r="F464" s="55">
        <f>_xlfn.XLOOKUP($G464,'.Auxiliar'!$G:$G,'.Auxiliar'!F:F,"-",0)</f>
        <v>1</v>
      </c>
      <c r="G464" s="59" t="s">
        <v>537</v>
      </c>
      <c r="H464" s="108" t="s">
        <v>363</v>
      </c>
      <c r="I464" s="115" t="s">
        <v>1881</v>
      </c>
      <c r="J464" s="109" t="s">
        <v>0</v>
      </c>
      <c r="K464" s="109" t="s">
        <v>363</v>
      </c>
      <c r="L464" s="109" t="s">
        <v>0</v>
      </c>
      <c r="M464" s="109" t="s">
        <v>0</v>
      </c>
      <c r="N464" s="110" t="s">
        <v>0</v>
      </c>
      <c r="O464" s="111">
        <v>45.99</v>
      </c>
      <c r="P464" s="112">
        <v>45.99</v>
      </c>
      <c r="Q464" s="112">
        <v>49.92</v>
      </c>
      <c r="R464" s="112">
        <f>42.03+7.89</f>
        <v>49.92</v>
      </c>
      <c r="S464" s="112">
        <f>100-SUM(P464,R464)</f>
        <v>4.0900000000000034</v>
      </c>
      <c r="T464" s="112">
        <v>4.09</v>
      </c>
      <c r="U464" s="95">
        <f t="shared" si="21"/>
        <v>4.0900000000000034</v>
      </c>
      <c r="V464" s="112"/>
      <c r="W464" s="112"/>
      <c r="X464" s="107"/>
      <c r="Y464" s="107">
        <f t="shared" si="22"/>
        <v>100</v>
      </c>
      <c r="Z464" s="107">
        <f t="shared" si="23"/>
        <v>100</v>
      </c>
    </row>
    <row r="465" spans="1:26" x14ac:dyDescent="0.25">
      <c r="A465" s="55" t="str">
        <f>_xlfn.XLOOKUP($G465,'.Auxiliar'!$G:$G,'.Auxiliar'!A:A,"-",0)</f>
        <v>LITORAL</v>
      </c>
      <c r="B465" s="55" t="str">
        <f>_xlfn.XLOOKUP($G465,'.Auxiliar'!$G:$G,'.Auxiliar'!B:B,"-",0)</f>
        <v>OAE</v>
      </c>
      <c r="C465" s="55" t="str">
        <f>_xlfn.XLOOKUP($G465,'.Auxiliar'!$G:$G,'.Auxiliar'!C:C,"-",0)</f>
        <v>Implantação de Trevos em Desnível, com Alças, em Pista Dupla – Completo - Contorno de Florianopolis - nas interseções c/ BR-101/SC</v>
      </c>
      <c r="D465" s="55">
        <v>220</v>
      </c>
      <c r="E465" s="55">
        <v>220</v>
      </c>
      <c r="F465" s="55">
        <f>_xlfn.XLOOKUP($G465,'.Auxiliar'!$G:$G,'.Auxiliar'!F:F,"-",0)</f>
        <v>1</v>
      </c>
      <c r="G465" s="59" t="s">
        <v>537</v>
      </c>
      <c r="H465" s="108" t="s">
        <v>363</v>
      </c>
      <c r="I465" s="115" t="s">
        <v>1881</v>
      </c>
      <c r="J465" s="109" t="s">
        <v>0</v>
      </c>
      <c r="K465" s="109" t="s">
        <v>363</v>
      </c>
      <c r="L465" s="109" t="s">
        <v>0</v>
      </c>
      <c r="M465" s="109" t="s">
        <v>0</v>
      </c>
      <c r="N465" s="110" t="s">
        <v>0</v>
      </c>
      <c r="O465" s="111">
        <v>3.11</v>
      </c>
      <c r="P465" s="112">
        <v>22.29</v>
      </c>
      <c r="Q465" s="112">
        <v>95.72</v>
      </c>
      <c r="R465" s="112">
        <f>33.52+3.29</f>
        <v>36.81</v>
      </c>
      <c r="S465" s="112">
        <f t="shared" ref="S465:S466" si="24">100-SUM(P465,R465)</f>
        <v>40.9</v>
      </c>
      <c r="T465" s="112">
        <v>30.98</v>
      </c>
      <c r="U465" s="95">
        <f t="shared" si="21"/>
        <v>40.9</v>
      </c>
      <c r="V465" s="112"/>
      <c r="W465" s="112"/>
      <c r="X465" s="107"/>
      <c r="Y465" s="107">
        <f t="shared" si="22"/>
        <v>100</v>
      </c>
      <c r="Z465" s="107">
        <f t="shared" si="23"/>
        <v>90.08</v>
      </c>
    </row>
    <row r="466" spans="1:26" x14ac:dyDescent="0.25">
      <c r="A466" s="55" t="str">
        <f>_xlfn.XLOOKUP($G466,'.Auxiliar'!$G:$G,'.Auxiliar'!A:A,"-",0)</f>
        <v>LITORAL</v>
      </c>
      <c r="B466" s="55" t="str">
        <f>_xlfn.XLOOKUP($G466,'.Auxiliar'!$G:$G,'.Auxiliar'!B:B,"-",0)</f>
        <v>OAE</v>
      </c>
      <c r="C466" s="55" t="str">
        <f>_xlfn.XLOOKUP($G466,'.Auxiliar'!$G:$G,'.Auxiliar'!C:C,"-",0)</f>
        <v>Implantação de Trevos em Desnível, com Alças, em Pista Dupla – Completo - Contorno de Florianopolis - nas interseções c/ a BR-282/SC.</v>
      </c>
      <c r="D466" s="55">
        <v>228.9</v>
      </c>
      <c r="E466" s="55">
        <v>228.9</v>
      </c>
      <c r="F466" s="55">
        <f>_xlfn.XLOOKUP($G466,'.Auxiliar'!$G:$G,'.Auxiliar'!F:F,"-",0)</f>
        <v>1</v>
      </c>
      <c r="G466" s="59" t="s">
        <v>538</v>
      </c>
      <c r="H466" s="108" t="s">
        <v>363</v>
      </c>
      <c r="I466" s="115" t="s">
        <v>1881</v>
      </c>
      <c r="J466" s="109" t="s">
        <v>0</v>
      </c>
      <c r="K466" s="109" t="s">
        <v>363</v>
      </c>
      <c r="L466" s="109" t="s">
        <v>0</v>
      </c>
      <c r="M466" s="109" t="s">
        <v>0</v>
      </c>
      <c r="N466" s="110" t="s">
        <v>0</v>
      </c>
      <c r="O466" s="111">
        <v>30.95</v>
      </c>
      <c r="P466" s="112">
        <v>30.95</v>
      </c>
      <c r="Q466" s="112">
        <v>35.21</v>
      </c>
      <c r="R466" s="112">
        <f>18.76+16.45</f>
        <v>35.21</v>
      </c>
      <c r="S466" s="112">
        <f t="shared" si="24"/>
        <v>33.840000000000003</v>
      </c>
      <c r="T466" s="112">
        <v>18.350000000000001</v>
      </c>
      <c r="U466" s="95">
        <f t="shared" si="21"/>
        <v>33.840000000000003</v>
      </c>
      <c r="V466" s="112"/>
      <c r="W466" s="112"/>
      <c r="X466" s="107"/>
      <c r="Y466" s="107">
        <f t="shared" si="22"/>
        <v>100</v>
      </c>
      <c r="Z466" s="107">
        <f t="shared" si="23"/>
        <v>84.509999999999991</v>
      </c>
    </row>
    <row r="467" spans="1:26" x14ac:dyDescent="0.25">
      <c r="A467" s="55" t="str">
        <f>_xlfn.XLOOKUP($G467,'.Auxiliar'!$G:$G,'.Auxiliar'!A:A,"-",0)</f>
        <v>LITORAL</v>
      </c>
      <c r="B467" s="55" t="str">
        <f>_xlfn.XLOOKUP($G467,'.Auxiliar'!$G:$G,'.Auxiliar'!B:B,"-",0)</f>
        <v>OAE</v>
      </c>
      <c r="C467" s="55" t="str">
        <f>_xlfn.XLOOKUP($G467,'.Auxiliar'!$G:$G,'.Auxiliar'!C:C,"-",0)</f>
        <v>Passagens em Desnível Inferior tipo Galeria: no Contorno de Florianópolis</v>
      </c>
      <c r="D467" s="55">
        <v>184.6</v>
      </c>
      <c r="E467" s="55">
        <v>184.6</v>
      </c>
      <c r="F467" s="55">
        <f>_xlfn.XLOOKUP($G467,'.Auxiliar'!$G:$G,'.Auxiliar'!F:F,"-",0)</f>
        <v>1</v>
      </c>
      <c r="G467" s="59" t="s">
        <v>539</v>
      </c>
      <c r="H467" s="108" t="s">
        <v>363</v>
      </c>
      <c r="I467" s="115" t="s">
        <v>1881</v>
      </c>
      <c r="J467" s="109" t="s">
        <v>0</v>
      </c>
      <c r="K467" s="109" t="s">
        <v>363</v>
      </c>
      <c r="L467" s="109" t="s">
        <v>0</v>
      </c>
      <c r="M467" s="109" t="s">
        <v>0</v>
      </c>
      <c r="N467" s="110" t="s">
        <v>0</v>
      </c>
      <c r="O467" s="111">
        <v>76.86</v>
      </c>
      <c r="P467" s="112">
        <v>76.86</v>
      </c>
      <c r="Q467" s="112">
        <v>23.14</v>
      </c>
      <c r="R467" s="112">
        <v>23.14</v>
      </c>
      <c r="S467" s="112"/>
      <c r="T467" s="112"/>
      <c r="U467" s="95">
        <f t="shared" si="21"/>
        <v>0</v>
      </c>
      <c r="V467" s="112"/>
      <c r="W467" s="112"/>
      <c r="X467" s="107"/>
      <c r="Y467" s="107">
        <f t="shared" si="22"/>
        <v>100</v>
      </c>
      <c r="Z467" s="107">
        <f t="shared" si="23"/>
        <v>100</v>
      </c>
    </row>
    <row r="468" spans="1:26" x14ac:dyDescent="0.25">
      <c r="A468" s="55" t="str">
        <f>_xlfn.XLOOKUP($G468,'.Auxiliar'!$G:$G,'.Auxiliar'!A:A,"-",0)</f>
        <v>LITORAL</v>
      </c>
      <c r="B468" s="55" t="str">
        <f>_xlfn.XLOOKUP($G468,'.Auxiliar'!$G:$G,'.Auxiliar'!B:B,"-",0)</f>
        <v>OAE</v>
      </c>
      <c r="C468" s="55" t="str">
        <f>_xlfn.XLOOKUP($G468,'.Auxiliar'!$G:$G,'.Auxiliar'!C:C,"-",0)</f>
        <v>Passagens em Desnível Inferior tipo Galeria: no Contorno de Florianópolis</v>
      </c>
      <c r="D468" s="55">
        <v>186.06</v>
      </c>
      <c r="E468" s="55">
        <v>186.06</v>
      </c>
      <c r="F468" s="55">
        <f>_xlfn.XLOOKUP($G468,'.Auxiliar'!$G:$G,'.Auxiliar'!F:F,"-",0)</f>
        <v>1</v>
      </c>
      <c r="G468" s="59" t="s">
        <v>539</v>
      </c>
      <c r="H468" s="108" t="s">
        <v>363</v>
      </c>
      <c r="I468" s="115" t="s">
        <v>1881</v>
      </c>
      <c r="J468" s="109" t="s">
        <v>0</v>
      </c>
      <c r="K468" s="109" t="s">
        <v>363</v>
      </c>
      <c r="L468" s="109" t="s">
        <v>0</v>
      </c>
      <c r="M468" s="109" t="s">
        <v>0</v>
      </c>
      <c r="N468" s="110" t="s">
        <v>0</v>
      </c>
      <c r="O468" s="111">
        <v>74.599999999999994</v>
      </c>
      <c r="P468" s="112">
        <v>74.599999999999994</v>
      </c>
      <c r="Q468" s="112">
        <v>25.4</v>
      </c>
      <c r="R468" s="112">
        <v>25.4</v>
      </c>
      <c r="S468" s="112"/>
      <c r="T468" s="112"/>
      <c r="U468" s="95">
        <f t="shared" si="21"/>
        <v>0</v>
      </c>
      <c r="V468" s="112"/>
      <c r="W468" s="112"/>
      <c r="X468" s="107"/>
      <c r="Y468" s="107">
        <f t="shared" si="22"/>
        <v>100</v>
      </c>
      <c r="Z468" s="107">
        <f t="shared" si="23"/>
        <v>100</v>
      </c>
    </row>
    <row r="469" spans="1:26" x14ac:dyDescent="0.25">
      <c r="A469" s="55" t="str">
        <f>_xlfn.XLOOKUP($G469,'.Auxiliar'!$G:$G,'.Auxiliar'!A:A,"-",0)</f>
        <v>LITORAL</v>
      </c>
      <c r="B469" s="55" t="str">
        <f>_xlfn.XLOOKUP($G469,'.Auxiliar'!$G:$G,'.Auxiliar'!B:B,"-",0)</f>
        <v>OAE</v>
      </c>
      <c r="C469" s="55" t="str">
        <f>_xlfn.XLOOKUP($G469,'.Auxiliar'!$G:$G,'.Auxiliar'!C:C,"-",0)</f>
        <v>Passagens em Desnível Inferior tipo Galeria: no Contorno de Florianópolis</v>
      </c>
      <c r="D469" s="55">
        <v>191.23</v>
      </c>
      <c r="E469" s="55">
        <v>191.23</v>
      </c>
      <c r="F469" s="55">
        <f>_xlfn.XLOOKUP($G469,'.Auxiliar'!$G:$G,'.Auxiliar'!F:F,"-",0)</f>
        <v>1</v>
      </c>
      <c r="G469" s="59" t="s">
        <v>539</v>
      </c>
      <c r="H469" s="108" t="s">
        <v>363</v>
      </c>
      <c r="I469" s="115" t="s">
        <v>1881</v>
      </c>
      <c r="J469" s="109" t="s">
        <v>0</v>
      </c>
      <c r="K469" s="109" t="s">
        <v>363</v>
      </c>
      <c r="L469" s="109" t="s">
        <v>0</v>
      </c>
      <c r="M469" s="109" t="s">
        <v>0</v>
      </c>
      <c r="N469" s="110" t="s">
        <v>0</v>
      </c>
      <c r="O469" s="111">
        <v>86.32</v>
      </c>
      <c r="P469" s="112">
        <v>86.32</v>
      </c>
      <c r="Q469" s="112">
        <v>13.68</v>
      </c>
      <c r="R469" s="112">
        <v>13.68</v>
      </c>
      <c r="S469" s="112"/>
      <c r="T469" s="112"/>
      <c r="U469" s="95">
        <f t="shared" si="21"/>
        <v>0</v>
      </c>
      <c r="V469" s="112"/>
      <c r="W469" s="112"/>
      <c r="X469" s="107"/>
      <c r="Y469" s="107">
        <f t="shared" si="22"/>
        <v>100</v>
      </c>
      <c r="Z469" s="107">
        <f t="shared" si="23"/>
        <v>100</v>
      </c>
    </row>
    <row r="470" spans="1:26" x14ac:dyDescent="0.25">
      <c r="A470" s="55" t="str">
        <f>_xlfn.XLOOKUP($G470,'.Auxiliar'!$G:$G,'.Auxiliar'!A:A,"-",0)</f>
        <v>LITORAL</v>
      </c>
      <c r="B470" s="55" t="str">
        <f>_xlfn.XLOOKUP($G470,'.Auxiliar'!$G:$G,'.Auxiliar'!B:B,"-",0)</f>
        <v>OAE</v>
      </c>
      <c r="C470" s="55" t="str">
        <f>_xlfn.XLOOKUP($G470,'.Auxiliar'!$G:$G,'.Auxiliar'!C:C,"-",0)</f>
        <v>Passagens em Desnível Inferior tipo Galeria: no Contorno de Florianópolis</v>
      </c>
      <c r="D470" s="55">
        <v>206.5</v>
      </c>
      <c r="E470" s="55">
        <v>206.5</v>
      </c>
      <c r="F470" s="55">
        <f>_xlfn.XLOOKUP($G470,'.Auxiliar'!$G:$G,'.Auxiliar'!F:F,"-",0)</f>
        <v>1</v>
      </c>
      <c r="G470" s="59" t="s">
        <v>539</v>
      </c>
      <c r="H470" s="108" t="s">
        <v>363</v>
      </c>
      <c r="I470" s="109" t="s">
        <v>0</v>
      </c>
      <c r="J470" s="109" t="s">
        <v>0</v>
      </c>
      <c r="K470" s="109" t="s">
        <v>363</v>
      </c>
      <c r="L470" s="109" t="s">
        <v>0</v>
      </c>
      <c r="M470" s="109" t="s">
        <v>0</v>
      </c>
      <c r="N470" s="110" t="s">
        <v>0</v>
      </c>
      <c r="O470" s="111">
        <v>100</v>
      </c>
      <c r="P470" s="112">
        <v>100</v>
      </c>
      <c r="Q470" s="112"/>
      <c r="R470" s="112"/>
      <c r="S470" s="112"/>
      <c r="T470" s="112"/>
      <c r="U470" s="95">
        <f t="shared" si="21"/>
        <v>0</v>
      </c>
      <c r="V470" s="112"/>
      <c r="W470" s="112"/>
      <c r="X470" s="107"/>
      <c r="Y470" s="107">
        <f t="shared" si="22"/>
        <v>100</v>
      </c>
      <c r="Z470" s="107">
        <f t="shared" si="23"/>
        <v>100</v>
      </c>
    </row>
    <row r="471" spans="1:26" x14ac:dyDescent="0.25">
      <c r="A471" s="55" t="str">
        <f>_xlfn.XLOOKUP($G471,'.Auxiliar'!$G:$G,'.Auxiliar'!A:A,"-",0)</f>
        <v>LITORAL</v>
      </c>
      <c r="B471" s="55" t="str">
        <f>_xlfn.XLOOKUP($G471,'.Auxiliar'!$G:$G,'.Auxiliar'!B:B,"-",0)</f>
        <v>OAE</v>
      </c>
      <c r="C471" s="55" t="str">
        <f>_xlfn.XLOOKUP($G471,'.Auxiliar'!$G:$G,'.Auxiliar'!C:C,"-",0)</f>
        <v>Passagens em Desnível Inferior tipo Galeria: a definir</v>
      </c>
      <c r="D471" s="55">
        <v>213.72</v>
      </c>
      <c r="E471" s="55">
        <v>213.72</v>
      </c>
      <c r="F471" s="55">
        <f>_xlfn.XLOOKUP($G471,'.Auxiliar'!$G:$G,'.Auxiliar'!F:F,"-",0)</f>
        <v>1</v>
      </c>
      <c r="G471" s="59" t="s">
        <v>540</v>
      </c>
      <c r="H471" s="108" t="s">
        <v>363</v>
      </c>
      <c r="I471" s="109" t="s">
        <v>0</v>
      </c>
      <c r="J471" s="109" t="s">
        <v>0</v>
      </c>
      <c r="K471" s="109" t="s">
        <v>363</v>
      </c>
      <c r="L471" s="109" t="s">
        <v>0</v>
      </c>
      <c r="M471" s="109" t="s">
        <v>0</v>
      </c>
      <c r="N471" s="110" t="s">
        <v>0</v>
      </c>
      <c r="O471" s="111">
        <v>100</v>
      </c>
      <c r="P471" s="112">
        <v>100</v>
      </c>
      <c r="Q471" s="112"/>
      <c r="R471" s="112"/>
      <c r="S471" s="112"/>
      <c r="T471" s="112"/>
      <c r="U471" s="95">
        <f t="shared" si="21"/>
        <v>0</v>
      </c>
      <c r="V471" s="112"/>
      <c r="W471" s="112"/>
      <c r="X471" s="107"/>
      <c r="Y471" s="107">
        <f t="shared" si="22"/>
        <v>100</v>
      </c>
      <c r="Z471" s="107">
        <f t="shared" si="23"/>
        <v>100</v>
      </c>
    </row>
    <row r="472" spans="1:26" x14ac:dyDescent="0.25">
      <c r="A472" s="55" t="str">
        <f>_xlfn.XLOOKUP($G472,'.Auxiliar'!$G:$G,'.Auxiliar'!A:A,"-",0)</f>
        <v>LITORAL</v>
      </c>
      <c r="B472" s="55" t="str">
        <f>_xlfn.XLOOKUP($G472,'.Auxiliar'!$G:$G,'.Auxiliar'!B:B,"-",0)</f>
        <v>OAE</v>
      </c>
      <c r="C472" s="55" t="str">
        <f>_xlfn.XLOOKUP($G472,'.Auxiliar'!$G:$G,'.Auxiliar'!C:C,"-",0)</f>
        <v>Passagens em Desnível Inferior tipo Galeria: a definir</v>
      </c>
      <c r="D472" s="55">
        <v>220.4</v>
      </c>
      <c r="E472" s="55">
        <v>220.4</v>
      </c>
      <c r="F472" s="55">
        <f>_xlfn.XLOOKUP($G472,'.Auxiliar'!$G:$G,'.Auxiliar'!F:F,"-",0)</f>
        <v>1</v>
      </c>
      <c r="G472" s="59" t="s">
        <v>540</v>
      </c>
      <c r="H472" s="108" t="s">
        <v>363</v>
      </c>
      <c r="I472" s="115" t="s">
        <v>1881</v>
      </c>
      <c r="J472" s="109" t="s">
        <v>0</v>
      </c>
      <c r="K472" s="109" t="s">
        <v>363</v>
      </c>
      <c r="L472" s="109" t="s">
        <v>0</v>
      </c>
      <c r="M472" s="109" t="s">
        <v>0</v>
      </c>
      <c r="N472" s="110" t="s">
        <v>0</v>
      </c>
      <c r="O472" s="111">
        <v>0</v>
      </c>
      <c r="P472" s="112">
        <v>53.31</v>
      </c>
      <c r="Q472" s="112">
        <v>46.45</v>
      </c>
      <c r="R472" s="112">
        <f>99.76-P472</f>
        <v>46.45</v>
      </c>
      <c r="S472" s="112">
        <f t="shared" ref="S472:S473" si="25">100-SUM(P472,R472)</f>
        <v>0.23999999999999488</v>
      </c>
      <c r="T472" s="112">
        <v>0.24</v>
      </c>
      <c r="U472" s="95">
        <f t="shared" si="21"/>
        <v>0.23999999999999488</v>
      </c>
      <c r="V472" s="112"/>
      <c r="W472" s="112"/>
      <c r="X472" s="107"/>
      <c r="Y472" s="107">
        <f t="shared" si="22"/>
        <v>100</v>
      </c>
      <c r="Z472" s="107">
        <f t="shared" si="23"/>
        <v>100</v>
      </c>
    </row>
    <row r="473" spans="1:26" x14ac:dyDescent="0.25">
      <c r="A473" s="55" t="str">
        <f>_xlfn.XLOOKUP($G473,'.Auxiliar'!$G:$G,'.Auxiliar'!A:A,"-",0)</f>
        <v>LITORAL</v>
      </c>
      <c r="B473" s="55" t="str">
        <f>_xlfn.XLOOKUP($G473,'.Auxiliar'!$G:$G,'.Auxiliar'!B:B,"-",0)</f>
        <v>OAE</v>
      </c>
      <c r="C473" s="55" t="str">
        <f>_xlfn.XLOOKUP($G473,'.Auxiliar'!$G:$G,'.Auxiliar'!C:C,"-",0)</f>
        <v>Passagens em Desnível Inferior tipo Galeria: a definir</v>
      </c>
      <c r="D473" s="55">
        <v>224.04</v>
      </c>
      <c r="E473" s="55">
        <v>224.04</v>
      </c>
      <c r="F473" s="55">
        <f>_xlfn.XLOOKUP($G473,'.Auxiliar'!$G:$G,'.Auxiliar'!F:F,"-",0)</f>
        <v>1</v>
      </c>
      <c r="G473" s="59" t="s">
        <v>540</v>
      </c>
      <c r="H473" s="108" t="s">
        <v>363</v>
      </c>
      <c r="I473" s="115" t="s">
        <v>1881</v>
      </c>
      <c r="J473" s="109" t="s">
        <v>0</v>
      </c>
      <c r="K473" s="109" t="s">
        <v>363</v>
      </c>
      <c r="L473" s="109" t="s">
        <v>0</v>
      </c>
      <c r="M473" s="109" t="s">
        <v>0</v>
      </c>
      <c r="N473" s="110" t="s">
        <v>0</v>
      </c>
      <c r="O473" s="111">
        <v>61.84</v>
      </c>
      <c r="P473" s="112">
        <v>61.84</v>
      </c>
      <c r="Q473" s="112">
        <v>33.47</v>
      </c>
      <c r="R473" s="112">
        <v>30.64</v>
      </c>
      <c r="S473" s="112">
        <f t="shared" si="25"/>
        <v>7.519999999999996</v>
      </c>
      <c r="T473" s="112">
        <v>4.0199999999999996</v>
      </c>
      <c r="U473" s="95">
        <f t="shared" si="21"/>
        <v>7.519999999999996</v>
      </c>
      <c r="V473" s="112"/>
      <c r="W473" s="112"/>
      <c r="X473" s="107"/>
      <c r="Y473" s="107">
        <f t="shared" si="22"/>
        <v>100</v>
      </c>
      <c r="Z473" s="107">
        <f t="shared" si="23"/>
        <v>96.5</v>
      </c>
    </row>
    <row r="474" spans="1:26" x14ac:dyDescent="0.25">
      <c r="A474" s="55" t="str">
        <f>_xlfn.XLOOKUP($G474,'.Auxiliar'!$G:$G,'.Auxiliar'!A:A,"-",0)</f>
        <v>LITORAL</v>
      </c>
      <c r="B474" s="55" t="str">
        <f>_xlfn.XLOOKUP($G474,'.Auxiliar'!$G:$G,'.Auxiliar'!B:B,"-",0)</f>
        <v>OAE</v>
      </c>
      <c r="C474" s="55" t="str">
        <f>_xlfn.XLOOKUP($G474,'.Auxiliar'!$G:$G,'.Auxiliar'!C:C,"-",0)</f>
        <v>Implantação de Passagens em Desnível Inferior Tipo Viaduto:</v>
      </c>
      <c r="D474" s="55">
        <f>_xlfn.XLOOKUP($G474,'.Auxiliar'!$G:$G,'.Auxiliar'!D:D,"-",0)</f>
        <v>646.04999999999995</v>
      </c>
      <c r="E474" s="55">
        <f>_xlfn.XLOOKUP($G474,'.Auxiliar'!$G:$G,'.Auxiliar'!E:E,"-",0)</f>
        <v>646.04999999999995</v>
      </c>
      <c r="F474" s="55">
        <f>_xlfn.XLOOKUP($G474,'.Auxiliar'!$G:$G,'.Auxiliar'!F:F,"-",0)</f>
        <v>1</v>
      </c>
      <c r="G474" s="59" t="s">
        <v>526</v>
      </c>
      <c r="H474" s="108" t="s">
        <v>363</v>
      </c>
      <c r="I474" s="109" t="s">
        <v>0</v>
      </c>
      <c r="J474" s="109" t="s">
        <v>0</v>
      </c>
      <c r="K474" s="109" t="s">
        <v>363</v>
      </c>
      <c r="L474" s="109" t="s">
        <v>0</v>
      </c>
      <c r="M474" s="109" t="s">
        <v>0</v>
      </c>
      <c r="N474" s="110" t="s">
        <v>0</v>
      </c>
      <c r="O474" s="111">
        <v>100</v>
      </c>
      <c r="P474" s="112">
        <v>100</v>
      </c>
      <c r="Q474" s="112"/>
      <c r="R474" s="112"/>
      <c r="S474" s="112"/>
      <c r="T474" s="112"/>
      <c r="U474" s="95">
        <f t="shared" si="21"/>
        <v>0</v>
      </c>
      <c r="V474" s="112"/>
      <c r="W474" s="112"/>
      <c r="X474" s="107"/>
      <c r="Y474" s="107">
        <f t="shared" si="22"/>
        <v>100</v>
      </c>
      <c r="Z474" s="107">
        <f t="shared" si="23"/>
        <v>100</v>
      </c>
    </row>
    <row r="475" spans="1:26" x14ac:dyDescent="0.25">
      <c r="A475" s="55" t="str">
        <f>_xlfn.XLOOKUP($G475,'.Auxiliar'!$G:$G,'.Auxiliar'!A:A,"-",0)</f>
        <v>LITORAL</v>
      </c>
      <c r="B475" s="55" t="str">
        <f>_xlfn.XLOOKUP($G475,'.Auxiliar'!$G:$G,'.Auxiliar'!B:B,"-",0)</f>
        <v>OAE</v>
      </c>
      <c r="C475" s="55" t="str">
        <f>_xlfn.XLOOKUP($G475,'.Auxiliar'!$G:$G,'.Auxiliar'!C:C,"-",0)</f>
        <v>Implantação de Passagens em Desnível Inferior Tipo Viaduto:</v>
      </c>
      <c r="D475" s="55">
        <f>_xlfn.XLOOKUP($G475,'.Auxiliar'!$G:$G,'.Auxiliar'!D:D,"-",0)</f>
        <v>639.25</v>
      </c>
      <c r="E475" s="55">
        <f>_xlfn.XLOOKUP($G475,'.Auxiliar'!$G:$G,'.Auxiliar'!E:E,"-",0)</f>
        <v>639.25</v>
      </c>
      <c r="F475" s="55">
        <f>_xlfn.XLOOKUP($G475,'.Auxiliar'!$G:$G,'.Auxiliar'!F:F,"-",0)</f>
        <v>1</v>
      </c>
      <c r="G475" s="59" t="s">
        <v>527</v>
      </c>
      <c r="H475" s="108" t="s">
        <v>363</v>
      </c>
      <c r="I475" s="109" t="s">
        <v>0</v>
      </c>
      <c r="J475" s="109" t="s">
        <v>0</v>
      </c>
      <c r="K475" s="109" t="s">
        <v>363</v>
      </c>
      <c r="L475" s="109" t="s">
        <v>0</v>
      </c>
      <c r="M475" s="109" t="s">
        <v>0</v>
      </c>
      <c r="N475" s="110" t="s">
        <v>0</v>
      </c>
      <c r="O475" s="111">
        <v>100</v>
      </c>
      <c r="P475" s="112">
        <v>100</v>
      </c>
      <c r="Q475" s="112"/>
      <c r="R475" s="112"/>
      <c r="S475" s="112"/>
      <c r="T475" s="112"/>
      <c r="U475" s="95">
        <f t="shared" si="21"/>
        <v>0</v>
      </c>
      <c r="V475" s="112"/>
      <c r="W475" s="112"/>
      <c r="X475" s="107"/>
      <c r="Y475" s="107">
        <f t="shared" si="22"/>
        <v>100</v>
      </c>
      <c r="Z475" s="107">
        <f t="shared" si="23"/>
        <v>100</v>
      </c>
    </row>
    <row r="476" spans="1:26" x14ac:dyDescent="0.25">
      <c r="A476" s="55" t="str">
        <f>_xlfn.XLOOKUP($G476,'.Auxiliar'!$G:$G,'.Auxiliar'!A:A,"-",0)</f>
        <v>LITORAL</v>
      </c>
      <c r="B476" s="55" t="str">
        <f>_xlfn.XLOOKUP($G476,'.Auxiliar'!$G:$G,'.Auxiliar'!B:B,"-",0)</f>
        <v>OAE</v>
      </c>
      <c r="C476" s="55" t="str">
        <f>_xlfn.XLOOKUP($G476,'.Auxiliar'!$G:$G,'.Auxiliar'!C:C,"-",0)</f>
        <v>Implantação de Passagens em Desnível Inferior Tipo Viaduto: km 169,65 da BR-101/SC</v>
      </c>
      <c r="D476" s="55">
        <f>_xlfn.XLOOKUP($G476,'.Auxiliar'!$G:$G,'.Auxiliar'!D:D,"-",0)</f>
        <v>169.65</v>
      </c>
      <c r="E476" s="55">
        <f>_xlfn.XLOOKUP($G476,'.Auxiliar'!$G:$G,'.Auxiliar'!E:E,"-",0)</f>
        <v>169.65</v>
      </c>
      <c r="F476" s="55">
        <f>_xlfn.XLOOKUP($G476,'.Auxiliar'!$G:$G,'.Auxiliar'!F:F,"-",0)</f>
        <v>1</v>
      </c>
      <c r="G476" s="59" t="s">
        <v>542</v>
      </c>
      <c r="H476" s="108" t="s">
        <v>363</v>
      </c>
      <c r="I476" s="109" t="s">
        <v>0</v>
      </c>
      <c r="J476" s="109" t="s">
        <v>0</v>
      </c>
      <c r="K476" s="109" t="s">
        <v>363</v>
      </c>
      <c r="L476" s="109" t="s">
        <v>0</v>
      </c>
      <c r="M476" s="109" t="s">
        <v>0</v>
      </c>
      <c r="N476" s="110" t="s">
        <v>0</v>
      </c>
      <c r="O476" s="111">
        <v>100</v>
      </c>
      <c r="P476" s="112">
        <v>100</v>
      </c>
      <c r="Q476" s="112"/>
      <c r="R476" s="112"/>
      <c r="S476" s="112"/>
      <c r="T476" s="112"/>
      <c r="U476" s="95">
        <f t="shared" si="21"/>
        <v>0</v>
      </c>
      <c r="V476" s="112"/>
      <c r="W476" s="112"/>
      <c r="X476" s="107"/>
      <c r="Y476" s="107">
        <f t="shared" si="22"/>
        <v>100</v>
      </c>
      <c r="Z476" s="107">
        <f t="shared" si="23"/>
        <v>100</v>
      </c>
    </row>
    <row r="477" spans="1:26" x14ac:dyDescent="0.25">
      <c r="A477" s="55" t="str">
        <f>_xlfn.XLOOKUP($G477,'.Auxiliar'!$G:$G,'.Auxiliar'!A:A,"-",0)</f>
        <v>LITORAL</v>
      </c>
      <c r="B477" s="55" t="str">
        <f>_xlfn.XLOOKUP($G477,'.Auxiliar'!$G:$G,'.Auxiliar'!B:B,"-",0)</f>
        <v>OAE</v>
      </c>
      <c r="C477" s="55" t="str">
        <f>_xlfn.XLOOKUP($G477,'.Auxiliar'!$G:$G,'.Auxiliar'!C:C,"-",0)</f>
        <v>Implantação de Passagens em Desnível Inferior Tipo Viaduto: no Contorno Florianópolis</v>
      </c>
      <c r="D477" s="55">
        <v>178.83</v>
      </c>
      <c r="E477" s="55">
        <v>178.83</v>
      </c>
      <c r="F477" s="55">
        <f>_xlfn.XLOOKUP($G477,'.Auxiliar'!$G:$G,'.Auxiliar'!F:F,"-",0)</f>
        <v>1</v>
      </c>
      <c r="G477" s="59" t="s">
        <v>541</v>
      </c>
      <c r="H477" s="108" t="s">
        <v>363</v>
      </c>
      <c r="I477" s="115" t="s">
        <v>1881</v>
      </c>
      <c r="J477" s="109" t="s">
        <v>0</v>
      </c>
      <c r="K477" s="109" t="s">
        <v>363</v>
      </c>
      <c r="L477" s="109" t="s">
        <v>0</v>
      </c>
      <c r="M477" s="109" t="s">
        <v>0</v>
      </c>
      <c r="N477" s="110" t="s">
        <v>0</v>
      </c>
      <c r="O477" s="111">
        <v>76.45</v>
      </c>
      <c r="P477" s="112">
        <v>76.45</v>
      </c>
      <c r="Q477" s="112">
        <v>21.05</v>
      </c>
      <c r="R477" s="112">
        <v>19.809999999999999</v>
      </c>
      <c r="S477" s="112">
        <f>100-SUM(P477,R477)</f>
        <v>3.7399999999999949</v>
      </c>
      <c r="T477" s="112">
        <v>3.74</v>
      </c>
      <c r="U477" s="95">
        <f t="shared" si="21"/>
        <v>3.7399999999999949</v>
      </c>
      <c r="V477" s="112"/>
      <c r="W477" s="112"/>
      <c r="X477" s="107"/>
      <c r="Y477" s="107">
        <f t="shared" si="22"/>
        <v>100</v>
      </c>
      <c r="Z477" s="107">
        <f t="shared" si="23"/>
        <v>100</v>
      </c>
    </row>
    <row r="478" spans="1:26" ht="14.25" customHeight="1" x14ac:dyDescent="0.25">
      <c r="A478" s="55" t="str">
        <f>_xlfn.XLOOKUP($G478,'.Auxiliar'!$G:$G,'.Auxiliar'!A:A,"-",0)</f>
        <v>LITORAL</v>
      </c>
      <c r="B478" s="55" t="str">
        <f>_xlfn.XLOOKUP($G478,'.Auxiliar'!$G:$G,'.Auxiliar'!B:B,"-",0)</f>
        <v>OAE</v>
      </c>
      <c r="C478" s="55" t="str">
        <f>_xlfn.XLOOKUP($G478,'.Auxiliar'!$G:$G,'.Auxiliar'!C:C,"-",0)</f>
        <v>Implantação de Passagens em Desnível Inferior Tipo Viaduto: no Contorno Florianópolis</v>
      </c>
      <c r="D478" s="55">
        <v>182.5</v>
      </c>
      <c r="E478" s="55">
        <v>182.5</v>
      </c>
      <c r="F478" s="55">
        <f>_xlfn.XLOOKUP($G478,'.Auxiliar'!$G:$G,'.Auxiliar'!F:F,"-",0)</f>
        <v>1</v>
      </c>
      <c r="G478" s="59" t="s">
        <v>541</v>
      </c>
      <c r="H478" s="108" t="s">
        <v>363</v>
      </c>
      <c r="I478" s="115" t="s">
        <v>1881</v>
      </c>
      <c r="J478" s="109" t="s">
        <v>0</v>
      </c>
      <c r="K478" s="109" t="s">
        <v>363</v>
      </c>
      <c r="L478" s="109" t="s">
        <v>0</v>
      </c>
      <c r="M478" s="109" t="s">
        <v>0</v>
      </c>
      <c r="N478" s="110" t="s">
        <v>0</v>
      </c>
      <c r="O478" s="111">
        <v>95.99</v>
      </c>
      <c r="P478" s="112">
        <v>95.99</v>
      </c>
      <c r="Q478" s="112">
        <f>100-O478</f>
        <v>4.0100000000000051</v>
      </c>
      <c r="R478" s="112">
        <f>100-P478</f>
        <v>4.0100000000000051</v>
      </c>
      <c r="S478" s="112"/>
      <c r="T478" s="112"/>
      <c r="U478" s="95">
        <f t="shared" si="21"/>
        <v>0</v>
      </c>
      <c r="V478" s="112"/>
      <c r="W478" s="112"/>
      <c r="X478" s="107"/>
      <c r="Y478" s="107">
        <f t="shared" si="22"/>
        <v>100</v>
      </c>
      <c r="Z478" s="107">
        <f t="shared" si="23"/>
        <v>100</v>
      </c>
    </row>
    <row r="479" spans="1:26" x14ac:dyDescent="0.25">
      <c r="A479" s="55" t="str">
        <f>_xlfn.XLOOKUP($G479,'.Auxiliar'!$G:$G,'.Auxiliar'!A:A,"-",0)</f>
        <v>LITORAL</v>
      </c>
      <c r="B479" s="55" t="str">
        <f>_xlfn.XLOOKUP($G479,'.Auxiliar'!$G:$G,'.Auxiliar'!B:B,"-",0)</f>
        <v>OAE</v>
      </c>
      <c r="C479" s="55" t="str">
        <f>_xlfn.XLOOKUP($G479,'.Auxiliar'!$G:$G,'.Auxiliar'!C:C,"-",0)</f>
        <v>Implantação de Passagens em Desnível Inferior Tipo Viaduto: no Contorno Florianópolis</v>
      </c>
      <c r="D479" s="55">
        <v>188.18</v>
      </c>
      <c r="E479" s="55">
        <v>188.18</v>
      </c>
      <c r="F479" s="55">
        <f>_xlfn.XLOOKUP($G479,'.Auxiliar'!$G:$G,'.Auxiliar'!F:F,"-",0)</f>
        <v>1</v>
      </c>
      <c r="G479" s="59" t="s">
        <v>541</v>
      </c>
      <c r="H479" s="108" t="s">
        <v>363</v>
      </c>
      <c r="I479" s="115" t="s">
        <v>1881</v>
      </c>
      <c r="J479" s="109" t="s">
        <v>0</v>
      </c>
      <c r="K479" s="109" t="s">
        <v>363</v>
      </c>
      <c r="L479" s="109" t="s">
        <v>0</v>
      </c>
      <c r="M479" s="109" t="s">
        <v>0</v>
      </c>
      <c r="N479" s="110" t="s">
        <v>0</v>
      </c>
      <c r="O479" s="111">
        <v>94.29</v>
      </c>
      <c r="P479" s="112">
        <v>94.29</v>
      </c>
      <c r="Q479" s="112">
        <f>100-O479</f>
        <v>5.7099999999999937</v>
      </c>
      <c r="R479" s="112">
        <f>100-P479</f>
        <v>5.7099999999999937</v>
      </c>
      <c r="S479" s="112"/>
      <c r="T479" s="112"/>
      <c r="U479" s="95">
        <f t="shared" si="21"/>
        <v>0</v>
      </c>
      <c r="V479" s="112"/>
      <c r="W479" s="112"/>
      <c r="X479" s="107"/>
      <c r="Y479" s="107">
        <f t="shared" si="22"/>
        <v>100</v>
      </c>
      <c r="Z479" s="107">
        <f t="shared" si="23"/>
        <v>100</v>
      </c>
    </row>
    <row r="480" spans="1:26" x14ac:dyDescent="0.25">
      <c r="A480" s="55" t="str">
        <f>_xlfn.XLOOKUP($G480,'.Auxiliar'!$G:$G,'.Auxiliar'!A:A,"-",0)</f>
        <v>LITORAL</v>
      </c>
      <c r="B480" s="55" t="str">
        <f>_xlfn.XLOOKUP($G480,'.Auxiliar'!$G:$G,'.Auxiliar'!B:B,"-",0)</f>
        <v>OAE</v>
      </c>
      <c r="C480" s="55" t="str">
        <f>_xlfn.XLOOKUP($G480,'.Auxiliar'!$G:$G,'.Auxiliar'!C:C,"-",0)</f>
        <v>Implantação de Passagens em Desnível Inferior Tipo Viaduto: no Contorno Florianópolis</v>
      </c>
      <c r="D480" s="55">
        <v>194.05</v>
      </c>
      <c r="E480" s="55">
        <v>194.05</v>
      </c>
      <c r="F480" s="55">
        <f>_xlfn.XLOOKUP($G480,'.Auxiliar'!$G:$G,'.Auxiliar'!F:F,"-",0)</f>
        <v>1</v>
      </c>
      <c r="G480" s="59" t="s">
        <v>541</v>
      </c>
      <c r="H480" s="108" t="s">
        <v>363</v>
      </c>
      <c r="I480" s="109" t="s">
        <v>0</v>
      </c>
      <c r="J480" s="109" t="s">
        <v>0</v>
      </c>
      <c r="K480" s="109" t="s">
        <v>363</v>
      </c>
      <c r="L480" s="109" t="s">
        <v>0</v>
      </c>
      <c r="M480" s="109" t="s">
        <v>0</v>
      </c>
      <c r="N480" s="110" t="s">
        <v>0</v>
      </c>
      <c r="O480" s="111">
        <v>100</v>
      </c>
      <c r="P480" s="112">
        <v>100</v>
      </c>
      <c r="Q480" s="112"/>
      <c r="R480" s="112"/>
      <c r="S480" s="112"/>
      <c r="T480" s="112"/>
      <c r="U480" s="95">
        <f t="shared" si="21"/>
        <v>0</v>
      </c>
      <c r="V480" s="112"/>
      <c r="W480" s="112"/>
      <c r="X480" s="107"/>
      <c r="Y480" s="107">
        <f t="shared" si="22"/>
        <v>100</v>
      </c>
      <c r="Z480" s="107">
        <f t="shared" si="23"/>
        <v>100</v>
      </c>
    </row>
    <row r="481" spans="1:26" x14ac:dyDescent="0.25">
      <c r="A481" s="55" t="str">
        <f>_xlfn.XLOOKUP($G481,'.Auxiliar'!$G:$G,'.Auxiliar'!A:A,"-",0)</f>
        <v>LITORAL</v>
      </c>
      <c r="B481" s="55" t="str">
        <f>_xlfn.XLOOKUP($G481,'.Auxiliar'!$G:$G,'.Auxiliar'!B:B,"-",0)</f>
        <v>OAE</v>
      </c>
      <c r="C481" s="55" t="str">
        <f>_xlfn.XLOOKUP($G481,'.Auxiliar'!$G:$G,'.Auxiliar'!C:C,"-",0)</f>
        <v>Implantação de Passagens em Desnível Inferior Tipo Viaduto: no Contorno Florianópolis</v>
      </c>
      <c r="D481" s="55">
        <v>210.792</v>
      </c>
      <c r="E481" s="55">
        <v>210.792</v>
      </c>
      <c r="F481" s="55">
        <f>_xlfn.XLOOKUP($G481,'.Auxiliar'!$G:$G,'.Auxiliar'!F:F,"-",0)</f>
        <v>1</v>
      </c>
      <c r="G481" s="59" t="s">
        <v>541</v>
      </c>
      <c r="H481" s="108" t="s">
        <v>363</v>
      </c>
      <c r="I481" s="109" t="s">
        <v>0</v>
      </c>
      <c r="J481" s="109" t="s">
        <v>0</v>
      </c>
      <c r="K481" s="109" t="s">
        <v>363</v>
      </c>
      <c r="L481" s="109" t="s">
        <v>0</v>
      </c>
      <c r="M481" s="109" t="s">
        <v>0</v>
      </c>
      <c r="N481" s="110" t="s">
        <v>0</v>
      </c>
      <c r="O481" s="111">
        <v>100</v>
      </c>
      <c r="P481" s="112">
        <v>100</v>
      </c>
      <c r="Q481" s="112"/>
      <c r="R481" s="112"/>
      <c r="S481" s="112"/>
      <c r="T481" s="112"/>
      <c r="U481" s="95">
        <f t="shared" si="21"/>
        <v>0</v>
      </c>
      <c r="V481" s="112"/>
      <c r="W481" s="112"/>
      <c r="X481" s="107"/>
      <c r="Y481" s="107">
        <f t="shared" si="22"/>
        <v>100</v>
      </c>
      <c r="Z481" s="107">
        <f t="shared" si="23"/>
        <v>100</v>
      </c>
    </row>
    <row r="482" spans="1:26" x14ac:dyDescent="0.25">
      <c r="A482" s="55" t="str">
        <f>_xlfn.XLOOKUP($G482,'.Auxiliar'!$G:$G,'.Auxiliar'!A:A,"-",0)</f>
        <v>LITORAL</v>
      </c>
      <c r="B482" s="55" t="str">
        <f>_xlfn.XLOOKUP($G482,'.Auxiliar'!$G:$G,'.Auxiliar'!B:B,"-",0)</f>
        <v>OAE</v>
      </c>
      <c r="C482" s="55" t="str">
        <f>_xlfn.XLOOKUP($G482,'.Auxiliar'!$G:$G,'.Auxiliar'!C:C,"-",0)</f>
        <v>Implantação de Passagens em Desnível Inferior Tipo Viaduto: no Contorno Florianópolis</v>
      </c>
      <c r="D482" s="55">
        <v>212.18</v>
      </c>
      <c r="E482" s="55">
        <v>212.18</v>
      </c>
      <c r="F482" s="55">
        <f>_xlfn.XLOOKUP($G482,'.Auxiliar'!$G:$G,'.Auxiliar'!F:F,"-",0)</f>
        <v>1</v>
      </c>
      <c r="G482" s="59" t="s">
        <v>541</v>
      </c>
      <c r="H482" s="108" t="s">
        <v>363</v>
      </c>
      <c r="I482" s="109" t="s">
        <v>0</v>
      </c>
      <c r="J482" s="109" t="s">
        <v>0</v>
      </c>
      <c r="K482" s="109" t="s">
        <v>363</v>
      </c>
      <c r="L482" s="109" t="s">
        <v>0</v>
      </c>
      <c r="M482" s="109" t="s">
        <v>0</v>
      </c>
      <c r="N482" s="110" t="s">
        <v>0</v>
      </c>
      <c r="O482" s="111">
        <v>100</v>
      </c>
      <c r="P482" s="112">
        <v>100</v>
      </c>
      <c r="Q482" s="112"/>
      <c r="R482" s="112"/>
      <c r="S482" s="112"/>
      <c r="T482" s="112"/>
      <c r="U482" s="95">
        <f t="shared" si="21"/>
        <v>0</v>
      </c>
      <c r="V482" s="112"/>
      <c r="W482" s="112"/>
      <c r="X482" s="107"/>
      <c r="Y482" s="107">
        <f t="shared" si="22"/>
        <v>100</v>
      </c>
      <c r="Z482" s="107">
        <f t="shared" si="23"/>
        <v>100</v>
      </c>
    </row>
    <row r="483" spans="1:26" x14ac:dyDescent="0.25">
      <c r="A483" s="55" t="str">
        <f>_xlfn.XLOOKUP($G483,'.Auxiliar'!$G:$G,'.Auxiliar'!A:A,"-",0)</f>
        <v>LITORAL</v>
      </c>
      <c r="B483" s="55" t="str">
        <f>_xlfn.XLOOKUP($G483,'.Auxiliar'!$G:$G,'.Auxiliar'!B:B,"-",0)</f>
        <v>OAE</v>
      </c>
      <c r="C483" s="55" t="str">
        <f>_xlfn.XLOOKUP($G483,'.Auxiliar'!$G:$G,'.Auxiliar'!C:C,"-",0)</f>
        <v>Implantação de Passagens em Desnível Inferior Tipo Viaduto: no Contorno Florianópolis</v>
      </c>
      <c r="D483" s="55">
        <v>216.66499999999999</v>
      </c>
      <c r="E483" s="55">
        <v>216.66499999999999</v>
      </c>
      <c r="F483" s="55">
        <f>_xlfn.XLOOKUP($G483,'.Auxiliar'!$G:$G,'.Auxiliar'!F:F,"-",0)</f>
        <v>1</v>
      </c>
      <c r="G483" s="59" t="s">
        <v>541</v>
      </c>
      <c r="H483" s="108" t="s">
        <v>363</v>
      </c>
      <c r="I483" s="109" t="s">
        <v>0</v>
      </c>
      <c r="J483" s="109" t="s">
        <v>0</v>
      </c>
      <c r="K483" s="109" t="s">
        <v>363</v>
      </c>
      <c r="L483" s="109" t="s">
        <v>0</v>
      </c>
      <c r="M483" s="109" t="s">
        <v>0</v>
      </c>
      <c r="N483" s="110" t="s">
        <v>0</v>
      </c>
      <c r="O483" s="111">
        <v>100</v>
      </c>
      <c r="P483" s="112">
        <v>100</v>
      </c>
      <c r="Q483" s="112"/>
      <c r="R483" s="112"/>
      <c r="S483" s="112"/>
      <c r="T483" s="112"/>
      <c r="U483" s="95">
        <f t="shared" si="21"/>
        <v>0</v>
      </c>
      <c r="V483" s="112"/>
      <c r="W483" s="112"/>
      <c r="X483" s="107"/>
      <c r="Y483" s="107">
        <f t="shared" si="22"/>
        <v>100</v>
      </c>
      <c r="Z483" s="107">
        <f t="shared" si="23"/>
        <v>100</v>
      </c>
    </row>
    <row r="484" spans="1:26" x14ac:dyDescent="0.25">
      <c r="A484" s="55" t="str">
        <f>_xlfn.XLOOKUP($G484,'.Auxiliar'!$G:$G,'.Auxiliar'!A:A,"-",0)</f>
        <v>LITORAL</v>
      </c>
      <c r="B484" s="55" t="str">
        <f>_xlfn.XLOOKUP($G484,'.Auxiliar'!$G:$G,'.Auxiliar'!B:B,"-",0)</f>
        <v>OAE</v>
      </c>
      <c r="C484" s="55" t="str">
        <f>_xlfn.XLOOKUP($G484,'.Auxiliar'!$G:$G,'.Auxiliar'!C:C,"-",0)</f>
        <v>Implantação de Passagens em Desnível Inferior Tipo Viaduto: no Contorno Florianópolis</v>
      </c>
      <c r="D484" s="55">
        <v>219.12</v>
      </c>
      <c r="E484" s="55">
        <v>219.12</v>
      </c>
      <c r="F484" s="55">
        <f>_xlfn.XLOOKUP($G484,'.Auxiliar'!$G:$G,'.Auxiliar'!F:F,"-",0)</f>
        <v>1</v>
      </c>
      <c r="G484" s="59" t="s">
        <v>541</v>
      </c>
      <c r="H484" s="108" t="s">
        <v>363</v>
      </c>
      <c r="I484" s="109" t="s">
        <v>0</v>
      </c>
      <c r="J484" s="109" t="s">
        <v>0</v>
      </c>
      <c r="K484" s="109" t="s">
        <v>363</v>
      </c>
      <c r="L484" s="109" t="s">
        <v>0</v>
      </c>
      <c r="M484" s="109" t="s">
        <v>0</v>
      </c>
      <c r="N484" s="110" t="s">
        <v>0</v>
      </c>
      <c r="O484" s="111">
        <v>100</v>
      </c>
      <c r="P484" s="112">
        <v>100</v>
      </c>
      <c r="Q484" s="112"/>
      <c r="R484" s="112"/>
      <c r="S484" s="112"/>
      <c r="T484" s="112"/>
      <c r="U484" s="95">
        <f t="shared" si="21"/>
        <v>0</v>
      </c>
      <c r="V484" s="112"/>
      <c r="W484" s="112"/>
      <c r="X484" s="107"/>
      <c r="Y484" s="107">
        <f t="shared" si="22"/>
        <v>100</v>
      </c>
      <c r="Z484" s="107">
        <f t="shared" si="23"/>
        <v>100</v>
      </c>
    </row>
    <row r="485" spans="1:26" x14ac:dyDescent="0.25">
      <c r="A485" s="55" t="str">
        <f>_xlfn.XLOOKUP($G485,'.Auxiliar'!$G:$G,'.Auxiliar'!A:A,"-",0)</f>
        <v>LITORAL</v>
      </c>
      <c r="B485" s="55" t="str">
        <f>_xlfn.XLOOKUP($G485,'.Auxiliar'!$G:$G,'.Auxiliar'!B:B,"-",0)</f>
        <v>OAE</v>
      </c>
      <c r="C485" s="55" t="str">
        <f>_xlfn.XLOOKUP($G485,'.Auxiliar'!$G:$G,'.Auxiliar'!C:C,"-",0)</f>
        <v>Implantação de Passagens em Desnível Inferior Tipo Viaduto: no Contorno Florianópolis</v>
      </c>
      <c r="D485" s="55">
        <v>231</v>
      </c>
      <c r="E485" s="55">
        <v>231</v>
      </c>
      <c r="F485" s="55">
        <f>_xlfn.XLOOKUP($G485,'.Auxiliar'!$G:$G,'.Auxiliar'!F:F,"-",0)</f>
        <v>1</v>
      </c>
      <c r="G485" s="59" t="s">
        <v>541</v>
      </c>
      <c r="H485" s="108" t="s">
        <v>363</v>
      </c>
      <c r="I485" s="115" t="s">
        <v>1881</v>
      </c>
      <c r="J485" s="109" t="s">
        <v>0</v>
      </c>
      <c r="K485" s="109" t="s">
        <v>363</v>
      </c>
      <c r="L485" s="109" t="s">
        <v>0</v>
      </c>
      <c r="M485" s="109" t="s">
        <v>0</v>
      </c>
      <c r="N485" s="110" t="s">
        <v>0</v>
      </c>
      <c r="O485" s="111">
        <v>14.3</v>
      </c>
      <c r="P485" s="112">
        <v>14.3</v>
      </c>
      <c r="Q485" s="112">
        <v>27.12</v>
      </c>
      <c r="R485" s="112">
        <v>27.12</v>
      </c>
      <c r="S485" s="112">
        <f t="shared" ref="S485:S488" si="26">100-SUM(P485,R485)</f>
        <v>58.58</v>
      </c>
      <c r="T485" s="112">
        <v>18.37</v>
      </c>
      <c r="U485" s="95">
        <f t="shared" si="21"/>
        <v>58.58</v>
      </c>
      <c r="V485" s="112"/>
      <c r="W485" s="112"/>
      <c r="X485" s="107"/>
      <c r="Y485" s="107">
        <f t="shared" si="22"/>
        <v>100</v>
      </c>
      <c r="Z485" s="107">
        <f t="shared" si="23"/>
        <v>59.790000000000006</v>
      </c>
    </row>
    <row r="486" spans="1:26" x14ac:dyDescent="0.25">
      <c r="A486" s="55" t="str">
        <f>_xlfn.XLOOKUP($G486,'.Auxiliar'!$G:$G,'.Auxiliar'!A:A,"-",0)</f>
        <v>LITORAL</v>
      </c>
      <c r="B486" s="55" t="str">
        <f>_xlfn.XLOOKUP($G486,'.Auxiliar'!$G:$G,'.Auxiliar'!B:B,"-",0)</f>
        <v>OAE</v>
      </c>
      <c r="C486" s="55" t="str">
        <f>_xlfn.XLOOKUP($G486,'.Auxiliar'!$G:$G,'.Auxiliar'!C:C,"-",0)</f>
        <v>Implantação de Passagens em Desnível Inferior Tipo Viaduto: no Contorno Florianópolis</v>
      </c>
      <c r="D486" s="55">
        <v>224.84</v>
      </c>
      <c r="E486" s="55">
        <v>224.84</v>
      </c>
      <c r="F486" s="55">
        <f>_xlfn.XLOOKUP($G486,'.Auxiliar'!$G:$G,'.Auxiliar'!F:F,"-",0)</f>
        <v>1</v>
      </c>
      <c r="G486" s="59" t="s">
        <v>541</v>
      </c>
      <c r="H486" s="108" t="s">
        <v>363</v>
      </c>
      <c r="I486" s="115" t="s">
        <v>1881</v>
      </c>
      <c r="J486" s="109" t="s">
        <v>0</v>
      </c>
      <c r="K486" s="109" t="s">
        <v>363</v>
      </c>
      <c r="L486" s="109" t="s">
        <v>0</v>
      </c>
      <c r="M486" s="109" t="s">
        <v>0</v>
      </c>
      <c r="N486" s="110" t="s">
        <v>0</v>
      </c>
      <c r="O486" s="111">
        <v>18.22</v>
      </c>
      <c r="P486" s="112">
        <v>42.43</v>
      </c>
      <c r="Q486" s="112">
        <v>33.46</v>
      </c>
      <c r="R486" s="112">
        <v>0.89</v>
      </c>
      <c r="S486" s="112">
        <f t="shared" si="26"/>
        <v>56.68</v>
      </c>
      <c r="T486" s="112">
        <v>48.2</v>
      </c>
      <c r="U486" s="95">
        <f t="shared" si="21"/>
        <v>56.68</v>
      </c>
      <c r="V486" s="112"/>
      <c r="W486" s="112"/>
      <c r="X486" s="107"/>
      <c r="Y486" s="107">
        <f t="shared" si="22"/>
        <v>100</v>
      </c>
      <c r="Z486" s="107">
        <f t="shared" si="23"/>
        <v>91.52000000000001</v>
      </c>
    </row>
    <row r="487" spans="1:26" x14ac:dyDescent="0.25">
      <c r="A487" s="55" t="str">
        <f>_xlfn.XLOOKUP($G487,'.Auxiliar'!$G:$G,'.Auxiliar'!A:A,"-",0)</f>
        <v>LITORAL</v>
      </c>
      <c r="B487" s="55" t="str">
        <f>_xlfn.XLOOKUP($G487,'.Auxiliar'!$G:$G,'.Auxiliar'!B:B,"-",0)</f>
        <v>OAE</v>
      </c>
      <c r="C487" s="55" t="str">
        <f>_xlfn.XLOOKUP($G487,'.Auxiliar'!$G:$G,'.Auxiliar'!C:C,"-",0)</f>
        <v>Implantação de Passagens em Desnível Inferior Tipo Viaduto: no Contorno Florianópolis</v>
      </c>
      <c r="D487" s="55">
        <v>226.58</v>
      </c>
      <c r="E487" s="55">
        <v>226.58</v>
      </c>
      <c r="F487" s="55">
        <f>_xlfn.XLOOKUP($G487,'.Auxiliar'!$G:$G,'.Auxiliar'!F:F,"-",0)</f>
        <v>1</v>
      </c>
      <c r="G487" s="59" t="s">
        <v>541</v>
      </c>
      <c r="H487" s="108" t="s">
        <v>363</v>
      </c>
      <c r="I487" s="115" t="s">
        <v>1881</v>
      </c>
      <c r="J487" s="109" t="s">
        <v>0</v>
      </c>
      <c r="K487" s="109" t="s">
        <v>363</v>
      </c>
      <c r="L487" s="109" t="s">
        <v>0</v>
      </c>
      <c r="M487" s="109" t="s">
        <v>0</v>
      </c>
      <c r="N487" s="110" t="s">
        <v>0</v>
      </c>
      <c r="O487" s="111">
        <v>62.94</v>
      </c>
      <c r="P487" s="112">
        <v>62.94</v>
      </c>
      <c r="Q487" s="112">
        <v>16.34</v>
      </c>
      <c r="R487" s="112">
        <v>16.34</v>
      </c>
      <c r="S487" s="112">
        <f t="shared" si="26"/>
        <v>20.72</v>
      </c>
      <c r="T487" s="112">
        <v>15.51</v>
      </c>
      <c r="U487" s="95">
        <f t="shared" si="21"/>
        <v>20.72</v>
      </c>
      <c r="V487" s="112"/>
      <c r="W487" s="112"/>
      <c r="X487" s="107"/>
      <c r="Y487" s="107">
        <f t="shared" si="22"/>
        <v>100</v>
      </c>
      <c r="Z487" s="107">
        <f t="shared" si="23"/>
        <v>94.79</v>
      </c>
    </row>
    <row r="488" spans="1:26" x14ac:dyDescent="0.25">
      <c r="A488" s="55" t="str">
        <f>_xlfn.XLOOKUP($G488,'.Auxiliar'!$G:$G,'.Auxiliar'!A:A,"-",0)</f>
        <v>LITORAL</v>
      </c>
      <c r="B488" s="55" t="str">
        <f>_xlfn.XLOOKUP($G488,'.Auxiliar'!$G:$G,'.Auxiliar'!B:B,"-",0)</f>
        <v>OAE</v>
      </c>
      <c r="C488" s="55" t="str">
        <f>_xlfn.XLOOKUP($G488,'.Auxiliar'!$G:$G,'.Auxiliar'!C:C,"-",0)</f>
        <v>Implantação de Passagens em Desnível Inferior Tipo Viaduto: no Contorno Florianópolis</v>
      </c>
      <c r="D488" s="55">
        <v>228.1</v>
      </c>
      <c r="E488" s="55">
        <v>228.1</v>
      </c>
      <c r="F488" s="55">
        <f>_xlfn.XLOOKUP($G488,'.Auxiliar'!$G:$G,'.Auxiliar'!F:F,"-",0)</f>
        <v>1</v>
      </c>
      <c r="G488" s="59" t="s">
        <v>541</v>
      </c>
      <c r="H488" s="108" t="s">
        <v>363</v>
      </c>
      <c r="I488" s="115" t="s">
        <v>1881</v>
      </c>
      <c r="J488" s="109" t="s">
        <v>0</v>
      </c>
      <c r="K488" s="109" t="s">
        <v>363</v>
      </c>
      <c r="L488" s="109" t="s">
        <v>0</v>
      </c>
      <c r="M488" s="109" t="s">
        <v>0</v>
      </c>
      <c r="N488" s="110" t="s">
        <v>0</v>
      </c>
      <c r="O488" s="111">
        <v>47.09</v>
      </c>
      <c r="P488" s="112">
        <v>54.93</v>
      </c>
      <c r="Q488" s="112">
        <v>44.71</v>
      </c>
      <c r="R488" s="112">
        <f>85.38-P488+2.21</f>
        <v>32.659999999999997</v>
      </c>
      <c r="S488" s="112">
        <f t="shared" si="26"/>
        <v>12.409999999999997</v>
      </c>
      <c r="T488" s="112">
        <v>10.81</v>
      </c>
      <c r="U488" s="95">
        <f t="shared" si="21"/>
        <v>12.409999999999997</v>
      </c>
      <c r="V488" s="112"/>
      <c r="W488" s="112"/>
      <c r="X488" s="107"/>
      <c r="Y488" s="107">
        <f t="shared" si="22"/>
        <v>100</v>
      </c>
      <c r="Z488" s="107">
        <f t="shared" si="23"/>
        <v>98.4</v>
      </c>
    </row>
    <row r="489" spans="1:26" x14ac:dyDescent="0.25">
      <c r="A489" s="55" t="str">
        <f>_xlfn.XLOOKUP($G489,'.Auxiliar'!$G:$G,'.Auxiliar'!A:A,"-",0)</f>
        <v>LITORAL</v>
      </c>
      <c r="B489" s="55" t="str">
        <f>_xlfn.XLOOKUP($G489,'.Auxiliar'!$G:$G,'.Auxiliar'!B:B,"-",0)</f>
        <v>OAE</v>
      </c>
      <c r="C489" s="55" t="str">
        <f>_xlfn.XLOOKUP($G489,'.Auxiliar'!$G:$G,'.Auxiliar'!C:C,"-",0)</f>
        <v>Implantação de Passagens em Desnível Superior Tipo Viaduto: Passagem superior (Relocação 1), no km 229+300 do Contorno de Florianópolis</v>
      </c>
      <c r="D489" s="55">
        <f>_xlfn.XLOOKUP($G489,'.Auxiliar'!$G:$G,'.Auxiliar'!D:D,"-",0)</f>
        <v>229.3</v>
      </c>
      <c r="E489" s="55">
        <f>_xlfn.XLOOKUP($G489,'.Auxiliar'!$G:$G,'.Auxiliar'!E:E,"-",0)</f>
        <v>229.3</v>
      </c>
      <c r="F489" s="55">
        <f>_xlfn.XLOOKUP($G489,'.Auxiliar'!$G:$G,'.Auxiliar'!F:F,"-",0)</f>
        <v>1</v>
      </c>
      <c r="G489" s="59" t="s">
        <v>921</v>
      </c>
      <c r="H489" s="113" t="s">
        <v>1881</v>
      </c>
      <c r="I489" s="115" t="s">
        <v>1881</v>
      </c>
      <c r="J489" s="109" t="s">
        <v>363</v>
      </c>
      <c r="K489" s="109" t="s">
        <v>0</v>
      </c>
      <c r="L489" s="109" t="s">
        <v>0</v>
      </c>
      <c r="M489" s="109" t="s">
        <v>0</v>
      </c>
      <c r="N489" s="110" t="s">
        <v>0</v>
      </c>
      <c r="O489" s="111">
        <v>48.61</v>
      </c>
      <c r="P489" s="112">
        <v>48.61</v>
      </c>
      <c r="Q489" s="112">
        <v>50.12</v>
      </c>
      <c r="R489" s="112">
        <v>17.39</v>
      </c>
      <c r="S489" s="112">
        <f>U489</f>
        <v>34</v>
      </c>
      <c r="T489" s="112">
        <v>24.34</v>
      </c>
      <c r="U489" s="95">
        <f t="shared" si="21"/>
        <v>34</v>
      </c>
      <c r="V489" s="112"/>
      <c r="W489" s="112"/>
      <c r="X489" s="107"/>
      <c r="Y489" s="107">
        <f t="shared" si="22"/>
        <v>100</v>
      </c>
      <c r="Z489" s="107">
        <f t="shared" si="23"/>
        <v>90.34</v>
      </c>
    </row>
    <row r="490" spans="1:26" x14ac:dyDescent="0.25">
      <c r="A490" s="55" t="str">
        <f>_xlfn.XLOOKUP($G490,'.Auxiliar'!$G:$G,'.Auxiliar'!A:A,"-",0)</f>
        <v>LITORAL</v>
      </c>
      <c r="B490" s="55" t="str">
        <f>_xlfn.XLOOKUP($G490,'.Auxiliar'!$G:$G,'.Auxiliar'!B:B,"-",0)</f>
        <v>OAE</v>
      </c>
      <c r="C490" s="55" t="str">
        <f>_xlfn.XLOOKUP($G490,'.Auxiliar'!$G:$G,'.Auxiliar'!C:C,"-",0)</f>
        <v>Implantação de Passagens em Desnível Superior Tipo Viaduto: Passagem superior (Relocação 3), no km 232+150 do Contorno de Florianópolis</v>
      </c>
      <c r="D490" s="55">
        <f>_xlfn.XLOOKUP($G490,'.Auxiliar'!$G:$G,'.Auxiliar'!D:D,"-",0)</f>
        <v>232.15</v>
      </c>
      <c r="E490" s="55">
        <f>_xlfn.XLOOKUP($G490,'.Auxiliar'!$G:$G,'.Auxiliar'!E:E,"-",0)</f>
        <v>232.15</v>
      </c>
      <c r="F490" s="55">
        <f>_xlfn.XLOOKUP($G490,'.Auxiliar'!$G:$G,'.Auxiliar'!F:F,"-",0)</f>
        <v>1</v>
      </c>
      <c r="G490" s="59" t="s">
        <v>922</v>
      </c>
      <c r="H490" s="113" t="s">
        <v>1881</v>
      </c>
      <c r="I490" s="115" t="s">
        <v>1881</v>
      </c>
      <c r="J490" s="109" t="s">
        <v>363</v>
      </c>
      <c r="K490" s="109" t="s">
        <v>0</v>
      </c>
      <c r="L490" s="109" t="s">
        <v>0</v>
      </c>
      <c r="M490" s="109" t="s">
        <v>0</v>
      </c>
      <c r="N490" s="110" t="s">
        <v>0</v>
      </c>
      <c r="O490" s="111">
        <v>7.58</v>
      </c>
      <c r="P490" s="112">
        <v>7.58</v>
      </c>
      <c r="Q490" s="112">
        <v>79.010000000000005</v>
      </c>
      <c r="R490" s="112">
        <v>14.32</v>
      </c>
      <c r="S490" s="112">
        <f>U490</f>
        <v>78.099999999999994</v>
      </c>
      <c r="T490" s="112">
        <v>70.33</v>
      </c>
      <c r="U490" s="95">
        <f t="shared" si="21"/>
        <v>78.099999999999994</v>
      </c>
      <c r="V490" s="112"/>
      <c r="W490" s="112"/>
      <c r="X490" s="107"/>
      <c r="Y490" s="107">
        <f t="shared" si="22"/>
        <v>100</v>
      </c>
      <c r="Z490" s="107">
        <f t="shared" si="23"/>
        <v>92.22999999999999</v>
      </c>
    </row>
    <row r="491" spans="1:26" x14ac:dyDescent="0.25">
      <c r="A491" s="55" t="str">
        <f>_xlfn.XLOOKUP($G491,'.Auxiliar'!$G:$G,'.Auxiliar'!A:A,"-",0)</f>
        <v>LITORAL</v>
      </c>
      <c r="B491" s="55" t="str">
        <f>_xlfn.XLOOKUP($G491,'.Auxiliar'!$G:$G,'.Auxiliar'!B:B,"-",0)</f>
        <v>PAVIMENTAÇÃO</v>
      </c>
      <c r="C491" s="55" t="str">
        <f>_xlfn.XLOOKUP($G491,'.Auxiliar'!$G:$G,'.Auxiliar'!C:C,"-",0)</f>
        <v>Execução de Ruas Laterais em Pista Simples - Camboriú – 2 lados – segmentos descontínuos</v>
      </c>
      <c r="D491" s="55">
        <v>135.30000000000001</v>
      </c>
      <c r="E491" s="55">
        <v>135.30000000000001</v>
      </c>
      <c r="F491" s="55">
        <f>_xlfn.XLOOKUP($G491,'.Auxiliar'!$G:$G,'.Auxiliar'!F:F,"-",0)</f>
        <v>2</v>
      </c>
      <c r="G491" s="59" t="s">
        <v>512</v>
      </c>
      <c r="H491" s="108" t="s">
        <v>363</v>
      </c>
      <c r="I491" s="109" t="s">
        <v>0</v>
      </c>
      <c r="J491" s="109" t="s">
        <v>0</v>
      </c>
      <c r="K491" s="109" t="s">
        <v>0</v>
      </c>
      <c r="L491" s="109" t="s">
        <v>0</v>
      </c>
      <c r="M491" s="109" t="s">
        <v>0</v>
      </c>
      <c r="N491" s="110" t="s">
        <v>0</v>
      </c>
      <c r="O491" s="111">
        <v>100</v>
      </c>
      <c r="P491" s="112">
        <v>100</v>
      </c>
      <c r="Q491" s="112"/>
      <c r="R491" s="112"/>
      <c r="S491" s="112"/>
      <c r="T491" s="112"/>
      <c r="U491" s="95">
        <f t="shared" si="21"/>
        <v>0</v>
      </c>
      <c r="V491" s="112"/>
      <c r="W491" s="112"/>
      <c r="X491" s="107"/>
      <c r="Y491" s="107">
        <f t="shared" si="22"/>
        <v>100</v>
      </c>
      <c r="Z491" s="107">
        <f t="shared" si="23"/>
        <v>100</v>
      </c>
    </row>
    <row r="492" spans="1:26" x14ac:dyDescent="0.25">
      <c r="A492" s="55" t="str">
        <f>_xlfn.XLOOKUP($G492,'.Auxiliar'!$G:$G,'.Auxiliar'!A:A,"-",0)</f>
        <v>LITORAL</v>
      </c>
      <c r="B492" s="55" t="str">
        <f>_xlfn.XLOOKUP($G492,'.Auxiliar'!$G:$G,'.Auxiliar'!B:B,"-",0)</f>
        <v>PAVIMENTAÇÃO</v>
      </c>
      <c r="C492" s="55" t="str">
        <f>_xlfn.XLOOKUP($G492,'.Auxiliar'!$G:$G,'.Auxiliar'!C:C,"-",0)</f>
        <v>Execução de Ruas Laterais em Pista Simples - Sta. Luzia/Porto Belo - lado direito - segmentos descontínuos</v>
      </c>
      <c r="D492" s="55">
        <v>135.30000000000001</v>
      </c>
      <c r="E492" s="55">
        <v>135.30000000000001</v>
      </c>
      <c r="F492" s="55">
        <f>_xlfn.XLOOKUP($G492,'.Auxiliar'!$G:$G,'.Auxiliar'!F:F,"-",0)</f>
        <v>1</v>
      </c>
      <c r="G492" s="59" t="s">
        <v>513</v>
      </c>
      <c r="H492" s="108" t="s">
        <v>363</v>
      </c>
      <c r="I492" s="109" t="s">
        <v>0</v>
      </c>
      <c r="J492" s="109" t="s">
        <v>0</v>
      </c>
      <c r="K492" s="109" t="s">
        <v>0</v>
      </c>
      <c r="L492" s="109" t="s">
        <v>0</v>
      </c>
      <c r="M492" s="109" t="s">
        <v>0</v>
      </c>
      <c r="N492" s="110" t="s">
        <v>0</v>
      </c>
      <c r="O492" s="111">
        <v>100</v>
      </c>
      <c r="P492" s="112">
        <v>100</v>
      </c>
      <c r="Q492" s="112"/>
      <c r="R492" s="112"/>
      <c r="S492" s="112"/>
      <c r="T492" s="112"/>
      <c r="U492" s="95">
        <f t="shared" si="21"/>
        <v>0</v>
      </c>
      <c r="V492" s="112"/>
      <c r="W492" s="112"/>
      <c r="X492" s="107"/>
      <c r="Y492" s="107">
        <f t="shared" si="22"/>
        <v>100</v>
      </c>
      <c r="Z492" s="107">
        <f t="shared" si="23"/>
        <v>100</v>
      </c>
    </row>
    <row r="493" spans="1:26" x14ac:dyDescent="0.25">
      <c r="A493" s="55" t="str">
        <f>_xlfn.XLOOKUP($G493,'.Auxiliar'!$G:$G,'.Auxiliar'!A:A,"-",0)</f>
        <v>LITORAL</v>
      </c>
      <c r="B493" s="55" t="str">
        <f>_xlfn.XLOOKUP($G493,'.Auxiliar'!$G:$G,'.Auxiliar'!B:B,"-",0)</f>
        <v>PAVIMENTAÇÃO</v>
      </c>
      <c r="C493" s="55" t="str">
        <f>_xlfn.XLOOKUP($G493,'.Auxiliar'!$G:$G,'.Auxiliar'!C:C,"-",0)</f>
        <v>região da interseção do Contorno Leste de Curitiba</v>
      </c>
      <c r="D493" s="55">
        <f>_xlfn.XLOOKUP($G493,'.Auxiliar'!$G:$G,'.Auxiliar'!D:D,"-",0)</f>
        <v>617</v>
      </c>
      <c r="E493" s="55">
        <f>_xlfn.XLOOKUP($G493,'.Auxiliar'!$G:$G,'.Auxiliar'!E:E,"-",0)</f>
        <v>618.4</v>
      </c>
      <c r="F493" s="55">
        <f>_xlfn.XLOOKUP($G493,'.Auxiliar'!$G:$G,'.Auxiliar'!F:F,"-",0)</f>
        <v>2.7999999999999545</v>
      </c>
      <c r="G493" s="59" t="s">
        <v>510</v>
      </c>
      <c r="H493" s="108" t="s">
        <v>363</v>
      </c>
      <c r="I493" s="109" t="s">
        <v>0</v>
      </c>
      <c r="J493" s="109" t="s">
        <v>0</v>
      </c>
      <c r="K493" s="109" t="s">
        <v>363</v>
      </c>
      <c r="L493" s="109" t="s">
        <v>0</v>
      </c>
      <c r="M493" s="109" t="s">
        <v>0</v>
      </c>
      <c r="N493" s="110" t="s">
        <v>0</v>
      </c>
      <c r="O493" s="111">
        <v>100</v>
      </c>
      <c r="P493" s="112">
        <v>100</v>
      </c>
      <c r="Q493" s="112"/>
      <c r="R493" s="112"/>
      <c r="S493" s="112"/>
      <c r="T493" s="112"/>
      <c r="U493" s="95">
        <f t="shared" si="21"/>
        <v>0</v>
      </c>
      <c r="V493" s="112"/>
      <c r="W493" s="112"/>
      <c r="X493" s="107"/>
      <c r="Y493" s="107">
        <f t="shared" si="22"/>
        <v>100</v>
      </c>
      <c r="Z493" s="107">
        <f t="shared" si="23"/>
        <v>100</v>
      </c>
    </row>
    <row r="494" spans="1:26" x14ac:dyDescent="0.25">
      <c r="A494" s="55" t="str">
        <f>_xlfn.XLOOKUP($G494,'.Auxiliar'!$G:$G,'.Auxiliar'!A:A,"-",0)</f>
        <v>LITORAL</v>
      </c>
      <c r="B494" s="55" t="str">
        <f>_xlfn.XLOOKUP($G494,'.Auxiliar'!$G:$G,'.Auxiliar'!B:B,"-",0)</f>
        <v>PAVIMENTAÇÃO</v>
      </c>
      <c r="C494" s="55" t="str">
        <f>_xlfn.XLOOKUP($G494,'.Auxiliar'!$G:$G,'.Auxiliar'!C:C,"-",0)</f>
        <v>Execução de Ruas Laterais em Pista Simples - Tijucas - 2 lados - segmentos descontínuos</v>
      </c>
      <c r="D494" s="55">
        <f>_xlfn.XLOOKUP($G494,'.Auxiliar'!$G:$G,'.Auxiliar'!D:D,"-",0)</f>
        <v>0</v>
      </c>
      <c r="E494" s="55">
        <f>_xlfn.XLOOKUP($G494,'.Auxiliar'!$G:$G,'.Auxiliar'!E:E,"-",0)</f>
        <v>1.5</v>
      </c>
      <c r="F494" s="55">
        <f>_xlfn.XLOOKUP($G494,'.Auxiliar'!$G:$G,'.Auxiliar'!F:F,"-",0)</f>
        <v>1.5</v>
      </c>
      <c r="G494" s="59" t="s">
        <v>514</v>
      </c>
      <c r="H494" s="108" t="s">
        <v>363</v>
      </c>
      <c r="I494" s="109" t="s">
        <v>0</v>
      </c>
      <c r="J494" s="109" t="s">
        <v>0</v>
      </c>
      <c r="K494" s="109" t="s">
        <v>363</v>
      </c>
      <c r="L494" s="109" t="s">
        <v>0</v>
      </c>
      <c r="M494" s="109" t="s">
        <v>0</v>
      </c>
      <c r="N494" s="110" t="s">
        <v>0</v>
      </c>
      <c r="O494" s="111">
        <v>100</v>
      </c>
      <c r="P494" s="112">
        <v>100</v>
      </c>
      <c r="Q494" s="112"/>
      <c r="R494" s="112"/>
      <c r="S494" s="112"/>
      <c r="T494" s="112"/>
      <c r="U494" s="95">
        <f t="shared" si="21"/>
        <v>0</v>
      </c>
      <c r="V494" s="112"/>
      <c r="W494" s="112"/>
      <c r="X494" s="107"/>
      <c r="Y494" s="107">
        <f t="shared" si="22"/>
        <v>100</v>
      </c>
      <c r="Z494" s="107">
        <f t="shared" si="23"/>
        <v>100</v>
      </c>
    </row>
    <row r="495" spans="1:26" x14ac:dyDescent="0.25">
      <c r="A495" s="55" t="str">
        <f>_xlfn.XLOOKUP($G495,'.Auxiliar'!$G:$G,'.Auxiliar'!A:A,"-",0)</f>
        <v>LITORAL</v>
      </c>
      <c r="B495" s="55" t="str">
        <f>_xlfn.XLOOKUP($G495,'.Auxiliar'!$G:$G,'.Auxiliar'!B:B,"-",0)</f>
        <v>PAVIMENTAÇÃO</v>
      </c>
      <c r="C495" s="55" t="str">
        <f>_xlfn.XLOOKUP($G495,'.Auxiliar'!$G:$G,'.Auxiliar'!C:C,"-",0)</f>
        <v>Execução de Ruas Laterais em Pista Simples - Contorno Leste de Curitiba - região da interseção com a BR 277</v>
      </c>
      <c r="D495" s="55">
        <f>_xlfn.XLOOKUP($G495,'.Auxiliar'!$G:$G,'.Auxiliar'!D:D,"-",0)</f>
        <v>0</v>
      </c>
      <c r="E495" s="55">
        <f>_xlfn.XLOOKUP($G495,'.Auxiliar'!$G:$G,'.Auxiliar'!E:E,"-",0)</f>
        <v>2.4</v>
      </c>
      <c r="F495" s="55">
        <f>_xlfn.XLOOKUP($G495,'.Auxiliar'!$G:$G,'.Auxiliar'!F:F,"-",0)</f>
        <v>2.4</v>
      </c>
      <c r="G495" s="59" t="s">
        <v>509</v>
      </c>
      <c r="H495" s="108" t="s">
        <v>363</v>
      </c>
      <c r="I495" s="109" t="s">
        <v>0</v>
      </c>
      <c r="J495" s="109" t="s">
        <v>0</v>
      </c>
      <c r="K495" s="109" t="s">
        <v>0</v>
      </c>
      <c r="L495" s="109" t="s">
        <v>0</v>
      </c>
      <c r="M495" s="109" t="s">
        <v>0</v>
      </c>
      <c r="N495" s="110" t="s">
        <v>0</v>
      </c>
      <c r="O495" s="111">
        <v>100</v>
      </c>
      <c r="P495" s="112">
        <v>100</v>
      </c>
      <c r="Q495" s="112"/>
      <c r="R495" s="112"/>
      <c r="S495" s="112"/>
      <c r="T495" s="112"/>
      <c r="U495" s="95">
        <f t="shared" si="21"/>
        <v>0</v>
      </c>
      <c r="V495" s="112"/>
      <c r="W495" s="112"/>
      <c r="X495" s="107"/>
      <c r="Y495" s="107">
        <f t="shared" si="22"/>
        <v>100</v>
      </c>
      <c r="Z495" s="107">
        <f t="shared" si="23"/>
        <v>100</v>
      </c>
    </row>
    <row r="496" spans="1:26" x14ac:dyDescent="0.25">
      <c r="A496" s="55" t="str">
        <f>_xlfn.XLOOKUP($G496,'.Auxiliar'!$G:$G,'.Auxiliar'!A:A,"-",0)</f>
        <v>LITORAL</v>
      </c>
      <c r="B496" s="55" t="str">
        <f>_xlfn.XLOOKUP($G496,'.Auxiliar'!$G:$G,'.Auxiliar'!B:B,"-",0)</f>
        <v>PAVIMENTAÇÃO</v>
      </c>
      <c r="C496" s="55" t="str">
        <f>_xlfn.XLOOKUP($G496,'.Auxiliar'!$G:$G,'.Auxiliar'!C:C,"-",0)</f>
        <v>Execução de Ruas Laterais em Pista Simples - Itajaí – 2 lados – segmentos descontínuos</v>
      </c>
      <c r="D496" s="55">
        <f>_xlfn.XLOOKUP($G496,'.Auxiliar'!$G:$G,'.Auxiliar'!D:D,"-",0)</f>
        <v>0</v>
      </c>
      <c r="E496" s="55">
        <f>_xlfn.XLOOKUP($G496,'.Auxiliar'!$G:$G,'.Auxiliar'!E:E,"-",0)</f>
        <v>2.5</v>
      </c>
      <c r="F496" s="55">
        <f>_xlfn.XLOOKUP($G496,'.Auxiliar'!$G:$G,'.Auxiliar'!F:F,"-",0)</f>
        <v>5</v>
      </c>
      <c r="G496" s="59" t="s">
        <v>515</v>
      </c>
      <c r="H496" s="108" t="s">
        <v>363</v>
      </c>
      <c r="I496" s="109" t="s">
        <v>0</v>
      </c>
      <c r="J496" s="109" t="s">
        <v>0</v>
      </c>
      <c r="K496" s="109" t="s">
        <v>0</v>
      </c>
      <c r="L496" s="109" t="s">
        <v>0</v>
      </c>
      <c r="M496" s="109" t="s">
        <v>0</v>
      </c>
      <c r="N496" s="110" t="s">
        <v>0</v>
      </c>
      <c r="O496" s="111">
        <v>100</v>
      </c>
      <c r="P496" s="112">
        <v>100</v>
      </c>
      <c r="Q496" s="112"/>
      <c r="R496" s="112"/>
      <c r="S496" s="112"/>
      <c r="T496" s="112"/>
      <c r="U496" s="95">
        <f t="shared" si="21"/>
        <v>0</v>
      </c>
      <c r="V496" s="112"/>
      <c r="W496" s="112"/>
      <c r="X496" s="107"/>
      <c r="Y496" s="107">
        <f t="shared" si="22"/>
        <v>100</v>
      </c>
      <c r="Z496" s="107">
        <f t="shared" si="23"/>
        <v>100</v>
      </c>
    </row>
    <row r="497" spans="1:26" x14ac:dyDescent="0.25">
      <c r="A497" s="55" t="str">
        <f>_xlfn.XLOOKUP($G497,'.Auxiliar'!$G:$G,'.Auxiliar'!A:A,"-",0)</f>
        <v>LITORAL</v>
      </c>
      <c r="B497" s="55" t="str">
        <f>_xlfn.XLOOKUP($G497,'.Auxiliar'!$G:$G,'.Auxiliar'!B:B,"-",0)</f>
        <v>PAVIMENTAÇÃO</v>
      </c>
      <c r="C497" s="55" t="str">
        <f>_xlfn.XLOOKUP($G497,'.Auxiliar'!$G:$G,'.Auxiliar'!C:C,"-",0)</f>
        <v>Execução de Ruas Laterais em Pista Simples - Itapema – 2 lados – segmentos descontínuos</v>
      </c>
      <c r="D497" s="55">
        <f>_xlfn.XLOOKUP($G497,'.Auxiliar'!$G:$G,'.Auxiliar'!D:D,"-",0)</f>
        <v>0</v>
      </c>
      <c r="E497" s="55">
        <f>_xlfn.XLOOKUP($G497,'.Auxiliar'!$G:$G,'.Auxiliar'!E:E,"-",0)</f>
        <v>3.5</v>
      </c>
      <c r="F497" s="55">
        <f>_xlfn.XLOOKUP($G497,'.Auxiliar'!$G:$G,'.Auxiliar'!F:F,"-",0)</f>
        <v>7</v>
      </c>
      <c r="G497" s="59" t="s">
        <v>516</v>
      </c>
      <c r="H497" s="108" t="s">
        <v>363</v>
      </c>
      <c r="I497" s="109" t="s">
        <v>0</v>
      </c>
      <c r="J497" s="109" t="s">
        <v>0</v>
      </c>
      <c r="K497" s="109" t="s">
        <v>0</v>
      </c>
      <c r="L497" s="109" t="s">
        <v>0</v>
      </c>
      <c r="M497" s="109" t="s">
        <v>0</v>
      </c>
      <c r="N497" s="110" t="s">
        <v>0</v>
      </c>
      <c r="O497" s="111">
        <v>100</v>
      </c>
      <c r="P497" s="112">
        <v>100</v>
      </c>
      <c r="Q497" s="112"/>
      <c r="R497" s="112"/>
      <c r="S497" s="112"/>
      <c r="T497" s="112"/>
      <c r="U497" s="95">
        <f t="shared" si="21"/>
        <v>0</v>
      </c>
      <c r="V497" s="112"/>
      <c r="W497" s="112"/>
      <c r="X497" s="107"/>
      <c r="Y497" s="107">
        <f t="shared" si="22"/>
        <v>100</v>
      </c>
      <c r="Z497" s="107">
        <f t="shared" si="23"/>
        <v>100</v>
      </c>
    </row>
    <row r="498" spans="1:26" x14ac:dyDescent="0.25">
      <c r="A498" s="55" t="str">
        <f>_xlfn.XLOOKUP($G498,'.Auxiliar'!$G:$G,'.Auxiliar'!A:A,"-",0)</f>
        <v>LITORAL</v>
      </c>
      <c r="B498" s="55" t="str">
        <f>_xlfn.XLOOKUP($G498,'.Auxiliar'!$G:$G,'.Auxiliar'!B:B,"-",0)</f>
        <v>PAVIMENTAÇÃO</v>
      </c>
      <c r="C498" s="55" t="str">
        <f>_xlfn.XLOOKUP($G498,'.Auxiliar'!$G:$G,'.Auxiliar'!C:C,"-",0)</f>
        <v>Execução de Ruas Laterais em Pista Simples - segmentos descontínuos –</v>
      </c>
      <c r="D498" s="55">
        <f>_xlfn.XLOOKUP($G498,'.Auxiliar'!$G:$G,'.Auxiliar'!D:D,"-",0)</f>
        <v>634</v>
      </c>
      <c r="E498" s="55">
        <f>_xlfn.XLOOKUP($G498,'.Auxiliar'!$G:$G,'.Auxiliar'!E:E,"-",0)</f>
        <v>650</v>
      </c>
      <c r="F498" s="55">
        <f>_xlfn.XLOOKUP($G498,'.Auxiliar'!$G:$G,'.Auxiliar'!F:F,"-",0)</f>
        <v>16</v>
      </c>
      <c r="G498" s="59" t="s">
        <v>511</v>
      </c>
      <c r="H498" s="108" t="s">
        <v>363</v>
      </c>
      <c r="I498" s="109" t="s">
        <v>0</v>
      </c>
      <c r="J498" s="109" t="s">
        <v>0</v>
      </c>
      <c r="K498" s="109" t="s">
        <v>0</v>
      </c>
      <c r="L498" s="109" t="s">
        <v>0</v>
      </c>
      <c r="M498" s="109" t="s">
        <v>0</v>
      </c>
      <c r="N498" s="110" t="s">
        <v>0</v>
      </c>
      <c r="O498" s="111">
        <v>100</v>
      </c>
      <c r="P498" s="112">
        <v>100</v>
      </c>
      <c r="Q498" s="112"/>
      <c r="R498" s="112"/>
      <c r="S498" s="112"/>
      <c r="T498" s="112"/>
      <c r="U498" s="95">
        <f t="shared" si="21"/>
        <v>0</v>
      </c>
      <c r="V498" s="112"/>
      <c r="W498" s="112"/>
      <c r="X498" s="107"/>
      <c r="Y498" s="107">
        <f t="shared" si="22"/>
        <v>100</v>
      </c>
      <c r="Z498" s="107">
        <f t="shared" si="23"/>
        <v>100</v>
      </c>
    </row>
    <row r="499" spans="1:26" x14ac:dyDescent="0.25">
      <c r="A499" s="55" t="str">
        <f>_xlfn.XLOOKUP($G499,'.Auxiliar'!$G:$G,'.Auxiliar'!A:A,"-",0)</f>
        <v>LITORAL</v>
      </c>
      <c r="B499" s="55" t="str">
        <f>_xlfn.XLOOKUP($G499,'.Auxiliar'!$G:$G,'.Auxiliar'!B:B,"-",0)</f>
        <v>PAVIMENTAÇÃO</v>
      </c>
      <c r="C499" s="55" t="str">
        <f>_xlfn.XLOOKUP($G499,'.Auxiliar'!$G:$G,'.Auxiliar'!C:C,"-",0)</f>
        <v>Execução de Ruas Laterais em Pista Simples - em segmentos descontínuos</v>
      </c>
      <c r="D499" s="55">
        <f>_xlfn.XLOOKUP($G499,'.Auxiliar'!$G:$G,'.Auxiliar'!D:D,"-",0)</f>
        <v>49</v>
      </c>
      <c r="E499" s="55">
        <f>_xlfn.XLOOKUP($G499,'.Auxiliar'!$G:$G,'.Auxiliar'!E:E,"-",0)</f>
        <v>60</v>
      </c>
      <c r="F499" s="55">
        <f>_xlfn.XLOOKUP($G499,'.Auxiliar'!$G:$G,'.Auxiliar'!F:F,"-",0)</f>
        <v>11</v>
      </c>
      <c r="G499" s="59" t="s">
        <v>517</v>
      </c>
      <c r="H499" s="108" t="s">
        <v>363</v>
      </c>
      <c r="I499" s="109" t="s">
        <v>0</v>
      </c>
      <c r="J499" s="109" t="s">
        <v>0</v>
      </c>
      <c r="K499" s="109" t="s">
        <v>0</v>
      </c>
      <c r="L499" s="109" t="s">
        <v>0</v>
      </c>
      <c r="M499" s="109" t="s">
        <v>0</v>
      </c>
      <c r="N499" s="110" t="s">
        <v>0</v>
      </c>
      <c r="O499" s="111">
        <v>100</v>
      </c>
      <c r="P499" s="112">
        <v>100</v>
      </c>
      <c r="Q499" s="112"/>
      <c r="R499" s="112"/>
      <c r="S499" s="112"/>
      <c r="T499" s="112"/>
      <c r="U499" s="95">
        <f t="shared" si="21"/>
        <v>0</v>
      </c>
      <c r="V499" s="112"/>
      <c r="W499" s="112"/>
      <c r="X499" s="107"/>
      <c r="Y499" s="107">
        <f t="shared" si="22"/>
        <v>100</v>
      </c>
      <c r="Z499" s="107">
        <f t="shared" si="23"/>
        <v>100</v>
      </c>
    </row>
    <row r="500" spans="1:26" x14ac:dyDescent="0.25">
      <c r="A500" s="55" t="str">
        <f>_xlfn.XLOOKUP($G500,'.Auxiliar'!$G:$G,'.Auxiliar'!A:A,"-",0)</f>
        <v>LITORAL</v>
      </c>
      <c r="B500" s="55" t="str">
        <f>_xlfn.XLOOKUP($G500,'.Auxiliar'!$G:$G,'.Auxiliar'!B:B,"-",0)</f>
        <v>PAVIMENTAÇÃO</v>
      </c>
      <c r="C500" s="55" t="str">
        <f>_xlfn.XLOOKUP($G500,'.Auxiliar'!$G:$G,'.Auxiliar'!C:C,"-",0)</f>
        <v>Execução de Ruas Laterais em Pista Simples - em segmentos descontínuos</v>
      </c>
      <c r="D500" s="55">
        <f>_xlfn.XLOOKUP($G500,'.Auxiliar'!$G:$G,'.Auxiliar'!D:D,"-",0)</f>
        <v>110</v>
      </c>
      <c r="E500" s="55">
        <f>_xlfn.XLOOKUP($G500,'.Auxiliar'!$G:$G,'.Auxiliar'!E:E,"-",0)</f>
        <v>125</v>
      </c>
      <c r="F500" s="55">
        <f>_xlfn.XLOOKUP($G500,'.Auxiliar'!$G:$G,'.Auxiliar'!F:F,"-",0)</f>
        <v>15</v>
      </c>
      <c r="G500" s="59" t="s">
        <v>518</v>
      </c>
      <c r="H500" s="108" t="s">
        <v>363</v>
      </c>
      <c r="I500" s="109" t="s">
        <v>0</v>
      </c>
      <c r="J500" s="109" t="s">
        <v>0</v>
      </c>
      <c r="K500" s="109" t="s">
        <v>0</v>
      </c>
      <c r="L500" s="109" t="s">
        <v>0</v>
      </c>
      <c r="M500" s="109" t="s">
        <v>0</v>
      </c>
      <c r="N500" s="110" t="s">
        <v>0</v>
      </c>
      <c r="O500" s="111">
        <v>100</v>
      </c>
      <c r="P500" s="112">
        <v>100</v>
      </c>
      <c r="Q500" s="112"/>
      <c r="R500" s="112"/>
      <c r="S500" s="112"/>
      <c r="T500" s="112"/>
      <c r="U500" s="95">
        <f t="shared" si="21"/>
        <v>0</v>
      </c>
      <c r="V500" s="112"/>
      <c r="W500" s="112"/>
      <c r="X500" s="107"/>
      <c r="Y500" s="107">
        <f t="shared" si="22"/>
        <v>100</v>
      </c>
      <c r="Z500" s="107">
        <f t="shared" si="23"/>
        <v>100</v>
      </c>
    </row>
    <row r="501" spans="1:26" x14ac:dyDescent="0.25">
      <c r="A501" s="55" t="str">
        <f>_xlfn.XLOOKUP($G501,'.Auxiliar'!$G:$G,'.Auxiliar'!A:A,"-",0)</f>
        <v>LITORAL</v>
      </c>
      <c r="B501" s="55" t="str">
        <f>_xlfn.XLOOKUP($G501,'.Auxiliar'!$G:$G,'.Auxiliar'!B:B,"-",0)</f>
        <v>PAVIMENTAÇÃO</v>
      </c>
      <c r="C501" s="55" t="str">
        <f>_xlfn.XLOOKUP($G501,'.Auxiliar'!$G:$G,'.Auxiliar'!C:C,"-",0)</f>
        <v>Execução de Ruas Laterais em Pista Simples - em segmentos descontínuos</v>
      </c>
      <c r="D501" s="55">
        <f>_xlfn.XLOOKUP($G501,'.Auxiliar'!$G:$G,'.Auxiliar'!D:D,"-",0)</f>
        <v>130</v>
      </c>
      <c r="E501" s="55">
        <f>_xlfn.XLOOKUP($G501,'.Auxiliar'!$G:$G,'.Auxiliar'!E:E,"-",0)</f>
        <v>146</v>
      </c>
      <c r="F501" s="55">
        <f>_xlfn.XLOOKUP($G501,'.Auxiliar'!$G:$G,'.Auxiliar'!F:F,"-",0)</f>
        <v>16</v>
      </c>
      <c r="G501" s="59" t="s">
        <v>519</v>
      </c>
      <c r="H501" s="108" t="s">
        <v>363</v>
      </c>
      <c r="I501" s="109" t="s">
        <v>0</v>
      </c>
      <c r="J501" s="109" t="s">
        <v>0</v>
      </c>
      <c r="K501" s="109" t="s">
        <v>0</v>
      </c>
      <c r="L501" s="109" t="s">
        <v>0</v>
      </c>
      <c r="M501" s="109" t="s">
        <v>0</v>
      </c>
      <c r="N501" s="110" t="s">
        <v>0</v>
      </c>
      <c r="O501" s="111">
        <v>100</v>
      </c>
      <c r="P501" s="112">
        <v>100</v>
      </c>
      <c r="Q501" s="112"/>
      <c r="R501" s="112"/>
      <c r="S501" s="112"/>
      <c r="T501" s="112"/>
      <c r="U501" s="95">
        <f t="shared" si="21"/>
        <v>0</v>
      </c>
      <c r="V501" s="112"/>
      <c r="W501" s="112"/>
      <c r="X501" s="107"/>
      <c r="Y501" s="107">
        <f t="shared" si="22"/>
        <v>100</v>
      </c>
      <c r="Z501" s="107">
        <f t="shared" si="23"/>
        <v>100</v>
      </c>
    </row>
    <row r="502" spans="1:26" x14ac:dyDescent="0.25">
      <c r="A502" s="55" t="str">
        <f>_xlfn.XLOOKUP($G502,'.Auxiliar'!$G:$G,'.Auxiliar'!A:A,"-",0)</f>
        <v>LITORAL</v>
      </c>
      <c r="B502" s="55" t="str">
        <f>_xlfn.XLOOKUP($G502,'.Auxiliar'!$G:$G,'.Auxiliar'!B:B,"-",0)</f>
        <v>TERCEIRA FAIXA</v>
      </c>
      <c r="C502" s="55" t="str">
        <f>_xlfn.XLOOKUP($G502,'.Auxiliar'!$G:$G,'.Auxiliar'!C:C,"-",0)</f>
        <v>Execução de Terceiras Faixas:</v>
      </c>
      <c r="D502" s="55">
        <f>_xlfn.XLOOKUP($G502,'.Auxiliar'!$G:$G,'.Auxiliar'!D:D,"-",0)</f>
        <v>0</v>
      </c>
      <c r="E502" s="55">
        <f>_xlfn.XLOOKUP($G502,'.Auxiliar'!$G:$G,'.Auxiliar'!E:E,"-",0)</f>
        <v>30</v>
      </c>
      <c r="F502" s="55">
        <f>_xlfn.XLOOKUP($G502,'.Auxiliar'!$G:$G,'.Auxiliar'!F:F,"-",0)</f>
        <v>30</v>
      </c>
      <c r="G502" s="59" t="s">
        <v>544</v>
      </c>
      <c r="H502" s="108" t="s">
        <v>363</v>
      </c>
      <c r="I502" s="109" t="s">
        <v>0</v>
      </c>
      <c r="J502" s="109" t="s">
        <v>0</v>
      </c>
      <c r="K502" s="109" t="s">
        <v>0</v>
      </c>
      <c r="L502" s="109" t="s">
        <v>0</v>
      </c>
      <c r="M502" s="109" t="s">
        <v>0</v>
      </c>
      <c r="N502" s="110" t="s">
        <v>0</v>
      </c>
      <c r="O502" s="111">
        <v>100</v>
      </c>
      <c r="P502" s="112">
        <v>100</v>
      </c>
      <c r="Q502" s="112"/>
      <c r="R502" s="112"/>
      <c r="S502" s="112"/>
      <c r="T502" s="112"/>
      <c r="U502" s="95">
        <f t="shared" si="21"/>
        <v>0</v>
      </c>
      <c r="V502" s="112"/>
      <c r="W502" s="112"/>
      <c r="X502" s="107"/>
      <c r="Y502" s="107">
        <f t="shared" si="22"/>
        <v>100</v>
      </c>
      <c r="Z502" s="107">
        <f t="shared" si="23"/>
        <v>100</v>
      </c>
    </row>
    <row r="503" spans="1:26" x14ac:dyDescent="0.25">
      <c r="A503" s="55" t="str">
        <f>_xlfn.XLOOKUP($G503,'.Auxiliar'!$G:$G,'.Auxiliar'!A:A,"-",0)</f>
        <v>PLANALTO</v>
      </c>
      <c r="B503" s="55" t="str">
        <f>_xlfn.XLOOKUP($G503,'.Auxiliar'!$G:$G,'.Auxiliar'!B:B,"-",0)</f>
        <v>DUPLICAÇÃO</v>
      </c>
      <c r="C503" s="55" t="str">
        <f>_xlfn.XLOOKUP($G503,'.Auxiliar'!$G:$G,'.Auxiliar'!C:C,"-",0)</f>
        <v>Duplicação</v>
      </c>
      <c r="D503" s="55">
        <f>_xlfn.XLOOKUP($G503,'.Auxiliar'!$G:$G,'.Auxiliar'!D:D,"-",0)</f>
        <v>117.3</v>
      </c>
      <c r="E503" s="55">
        <f>_xlfn.XLOOKUP($G503,'.Auxiliar'!$G:$G,'.Auxiliar'!E:E,"-",0)</f>
        <v>122.9</v>
      </c>
      <c r="F503" s="55">
        <f>_xlfn.XLOOKUP($G503,'.Auxiliar'!$G:$G,'.Auxiliar'!F:F,"-",0)</f>
        <v>5.6000000000000085</v>
      </c>
      <c r="G503" s="59" t="s">
        <v>549</v>
      </c>
      <c r="H503" s="108" t="s">
        <v>363</v>
      </c>
      <c r="I503" s="109" t="s">
        <v>0</v>
      </c>
      <c r="J503" s="109" t="s">
        <v>0</v>
      </c>
      <c r="K503" s="109" t="s">
        <v>0</v>
      </c>
      <c r="L503" s="109" t="s">
        <v>0</v>
      </c>
      <c r="M503" s="109" t="s">
        <v>0</v>
      </c>
      <c r="N503" s="110" t="s">
        <v>0</v>
      </c>
      <c r="O503" s="111">
        <v>100</v>
      </c>
      <c r="P503" s="111">
        <v>100</v>
      </c>
      <c r="Q503" s="112"/>
      <c r="R503" s="112"/>
      <c r="S503" s="112"/>
      <c r="T503" s="112"/>
      <c r="U503" s="95">
        <f t="shared" si="21"/>
        <v>0</v>
      </c>
      <c r="V503" s="112"/>
      <c r="W503" s="112"/>
      <c r="X503" s="107"/>
      <c r="Y503" s="107">
        <f t="shared" si="22"/>
        <v>100</v>
      </c>
      <c r="Z503" s="107">
        <f t="shared" si="23"/>
        <v>100</v>
      </c>
    </row>
    <row r="504" spans="1:26" x14ac:dyDescent="0.25">
      <c r="A504" s="55" t="str">
        <f>_xlfn.XLOOKUP($G504,'.Auxiliar'!$G:$G,'.Auxiliar'!A:A,"-",0)</f>
        <v>PLANALTO</v>
      </c>
      <c r="B504" s="55" t="str">
        <f>_xlfn.XLOOKUP($G504,'.Auxiliar'!$G:$G,'.Auxiliar'!B:B,"-",0)</f>
        <v>DUPLICAÇÃO</v>
      </c>
      <c r="C504" s="55" t="str">
        <f>_xlfn.XLOOKUP($G504,'.Auxiliar'!$G:$G,'.Auxiliar'!C:C,"-",0)</f>
        <v>Duplicação</v>
      </c>
      <c r="D504" s="55">
        <f>_xlfn.XLOOKUP($G504,'.Auxiliar'!$G:$G,'.Auxiliar'!D:D,"-",0)</f>
        <v>122.9</v>
      </c>
      <c r="E504" s="55">
        <f>_xlfn.XLOOKUP($G504,'.Auxiliar'!$G:$G,'.Auxiliar'!E:E,"-",0)</f>
        <v>142.69999999999999</v>
      </c>
      <c r="F504" s="55">
        <f>_xlfn.XLOOKUP($G504,'.Auxiliar'!$G:$G,'.Auxiliar'!F:F,"-",0)</f>
        <v>19.799999999999983</v>
      </c>
      <c r="G504" s="59" t="s">
        <v>550</v>
      </c>
      <c r="H504" s="108" t="s">
        <v>363</v>
      </c>
      <c r="I504" s="109" t="s">
        <v>0</v>
      </c>
      <c r="J504" s="109" t="s">
        <v>0</v>
      </c>
      <c r="K504" s="109" t="s">
        <v>0</v>
      </c>
      <c r="L504" s="109" t="s">
        <v>0</v>
      </c>
      <c r="M504" s="109" t="s">
        <v>0</v>
      </c>
      <c r="N504" s="110" t="s">
        <v>0</v>
      </c>
      <c r="O504" s="111">
        <v>100</v>
      </c>
      <c r="P504" s="111">
        <v>100</v>
      </c>
      <c r="Q504" s="112"/>
      <c r="R504" s="112"/>
      <c r="S504" s="112"/>
      <c r="T504" s="112"/>
      <c r="U504" s="95">
        <f t="shared" si="21"/>
        <v>0</v>
      </c>
      <c r="V504" s="112"/>
      <c r="W504" s="112"/>
      <c r="X504" s="107"/>
      <c r="Y504" s="107">
        <f t="shared" si="22"/>
        <v>100</v>
      </c>
      <c r="Z504" s="107">
        <f t="shared" si="23"/>
        <v>100</v>
      </c>
    </row>
    <row r="505" spans="1:26" x14ac:dyDescent="0.25">
      <c r="A505" s="55" t="str">
        <f>_xlfn.XLOOKUP($G505,'.Auxiliar'!$G:$G,'.Auxiliar'!A:A,"-",0)</f>
        <v>PLANALTO</v>
      </c>
      <c r="B505" s="55" t="str">
        <f>_xlfn.XLOOKUP($G505,'.Auxiliar'!$G:$G,'.Auxiliar'!B:B,"-",0)</f>
        <v>OAE</v>
      </c>
      <c r="C505" s="55" t="str">
        <f>_xlfn.XLOOKUP($G505,'.Auxiliar'!$G:$G,'.Auxiliar'!C:C,"-",0)</f>
        <v>Implantação de Interseção em desnível Vila Pompéia com reserva para faixa exclusiva de ônibus</v>
      </c>
      <c r="D505" s="55">
        <f>_xlfn.XLOOKUP($G505,'.Auxiliar'!$G:$G,'.Auxiliar'!D:D,"-",0)</f>
        <v>117.5</v>
      </c>
      <c r="E505" s="55">
        <f>_xlfn.XLOOKUP($G505,'.Auxiliar'!$G:$G,'.Auxiliar'!E:E,"-",0)</f>
        <v>117.5</v>
      </c>
      <c r="F505" s="55">
        <f>_xlfn.XLOOKUP($G505,'.Auxiliar'!$G:$G,'.Auxiliar'!F:F,"-",0)</f>
        <v>1</v>
      </c>
      <c r="G505" s="59" t="s">
        <v>559</v>
      </c>
      <c r="H505" s="108" t="s">
        <v>363</v>
      </c>
      <c r="I505" s="109" t="s">
        <v>0</v>
      </c>
      <c r="J505" s="109" t="s">
        <v>0</v>
      </c>
      <c r="K505" s="109" t="s">
        <v>0</v>
      </c>
      <c r="L505" s="109" t="s">
        <v>0</v>
      </c>
      <c r="M505" s="109" t="s">
        <v>0</v>
      </c>
      <c r="N505" s="110" t="s">
        <v>0</v>
      </c>
      <c r="O505" s="111">
        <v>100</v>
      </c>
      <c r="P505" s="112">
        <v>100</v>
      </c>
      <c r="Q505" s="112"/>
      <c r="R505" s="112"/>
      <c r="S505" s="112"/>
      <c r="T505" s="112"/>
      <c r="U505" s="95">
        <f t="shared" si="21"/>
        <v>0</v>
      </c>
      <c r="V505" s="112"/>
      <c r="W505" s="112"/>
      <c r="X505" s="107"/>
      <c r="Y505" s="107">
        <f t="shared" si="22"/>
        <v>100</v>
      </c>
      <c r="Z505" s="107">
        <f t="shared" si="23"/>
        <v>100</v>
      </c>
    </row>
    <row r="506" spans="1:26" x14ac:dyDescent="0.25">
      <c r="A506" s="55" t="str">
        <f>_xlfn.XLOOKUP($G506,'.Auxiliar'!$G:$G,'.Auxiliar'!A:A,"-",0)</f>
        <v>PLANALTO</v>
      </c>
      <c r="B506" s="55" t="str">
        <f>_xlfn.XLOOKUP($G506,'.Auxiliar'!$G:$G,'.Auxiliar'!B:B,"-",0)</f>
        <v>OAE</v>
      </c>
      <c r="C506" s="55" t="str">
        <f>_xlfn.XLOOKUP($G506,'.Auxiliar'!$G:$G,'.Auxiliar'!C:C,"-",0)</f>
        <v>Implantação de passagem em desnível do Distrito Industrial com reserva para faixa exclusiva de ônibus:</v>
      </c>
      <c r="D506" s="55">
        <f>_xlfn.XLOOKUP($G506,'.Auxiliar'!$G:$G,'.Auxiliar'!D:D,"-",0)</f>
        <v>116.5</v>
      </c>
      <c r="E506" s="55">
        <f>_xlfn.XLOOKUP($G506,'.Auxiliar'!$G:$G,'.Auxiliar'!E:E,"-",0)</f>
        <v>116.5</v>
      </c>
      <c r="F506" s="55">
        <f>_xlfn.XLOOKUP($G506,'.Auxiliar'!$G:$G,'.Auxiliar'!F:F,"-",0)</f>
        <v>1</v>
      </c>
      <c r="G506" s="59" t="s">
        <v>558</v>
      </c>
      <c r="H506" s="108" t="s">
        <v>363</v>
      </c>
      <c r="I506" s="109" t="s">
        <v>0</v>
      </c>
      <c r="J506" s="109" t="s">
        <v>0</v>
      </c>
      <c r="K506" s="109" t="s">
        <v>0</v>
      </c>
      <c r="L506" s="109" t="s">
        <v>0</v>
      </c>
      <c r="M506" s="109" t="s">
        <v>0</v>
      </c>
      <c r="N506" s="110" t="s">
        <v>0</v>
      </c>
      <c r="O506" s="111">
        <v>100</v>
      </c>
      <c r="P506" s="112">
        <v>100</v>
      </c>
      <c r="Q506" s="112"/>
      <c r="R506" s="112"/>
      <c r="S506" s="112"/>
      <c r="T506" s="112"/>
      <c r="U506" s="95">
        <f t="shared" si="21"/>
        <v>0</v>
      </c>
      <c r="V506" s="112"/>
      <c r="W506" s="112"/>
      <c r="X506" s="107"/>
      <c r="Y506" s="107">
        <f t="shared" si="22"/>
        <v>100</v>
      </c>
      <c r="Z506" s="107">
        <f t="shared" si="23"/>
        <v>100</v>
      </c>
    </row>
    <row r="507" spans="1:26" x14ac:dyDescent="0.25">
      <c r="A507" s="55" t="str">
        <f>_xlfn.XLOOKUP($G507,'.Auxiliar'!$G:$G,'.Auxiliar'!A:A,"-",0)</f>
        <v>PLANALTO</v>
      </c>
      <c r="B507" s="55" t="str">
        <f>_xlfn.XLOOKUP($G507,'.Auxiliar'!$G:$G,'.Auxiliar'!B:B,"-",0)</f>
        <v>OAE</v>
      </c>
      <c r="C507" s="55" t="str">
        <f>_xlfn.XLOOKUP($G507,'.Auxiliar'!$G:$G,'.Auxiliar'!C:C,"-",0)</f>
        <v>Implantação de Passagens em Desnível Inferior tipo Galeria: Fazenda Rio Grande (PR)</v>
      </c>
      <c r="D507" s="55">
        <f>_xlfn.XLOOKUP($G507,'.Auxiliar'!$G:$G,'.Auxiliar'!D:D,"-",0)</f>
        <v>128.69999999999999</v>
      </c>
      <c r="E507" s="55">
        <f>_xlfn.XLOOKUP($G507,'.Auxiliar'!$G:$G,'.Auxiliar'!E:E,"-",0)</f>
        <v>128.69999999999999</v>
      </c>
      <c r="F507" s="55">
        <f>_xlfn.XLOOKUP($G507,'.Auxiliar'!$G:$G,'.Auxiliar'!F:F,"-",0)</f>
        <v>1</v>
      </c>
      <c r="G507" s="59" t="s">
        <v>557</v>
      </c>
      <c r="H507" s="108" t="s">
        <v>363</v>
      </c>
      <c r="I507" s="109" t="s">
        <v>0</v>
      </c>
      <c r="J507" s="109" t="s">
        <v>0</v>
      </c>
      <c r="K507" s="109" t="s">
        <v>0</v>
      </c>
      <c r="L507" s="109" t="s">
        <v>0</v>
      </c>
      <c r="M507" s="109" t="s">
        <v>0</v>
      </c>
      <c r="N507" s="110" t="s">
        <v>0</v>
      </c>
      <c r="O507" s="111">
        <v>100</v>
      </c>
      <c r="P507" s="112">
        <v>100</v>
      </c>
      <c r="Q507" s="112"/>
      <c r="R507" s="112"/>
      <c r="S507" s="112"/>
      <c r="T507" s="112"/>
      <c r="U507" s="95">
        <f t="shared" si="21"/>
        <v>0</v>
      </c>
      <c r="V507" s="112"/>
      <c r="W507" s="112"/>
      <c r="X507" s="107"/>
      <c r="Y507" s="107">
        <f t="shared" si="22"/>
        <v>100</v>
      </c>
      <c r="Z507" s="107">
        <f t="shared" si="23"/>
        <v>100</v>
      </c>
    </row>
    <row r="508" spans="1:26" x14ac:dyDescent="0.25">
      <c r="A508" s="55" t="str">
        <f>_xlfn.XLOOKUP($G508,'.Auxiliar'!$G:$G,'.Auxiliar'!A:A,"-",0)</f>
        <v>PLANALTO</v>
      </c>
      <c r="B508" s="55" t="str">
        <f>_xlfn.XLOOKUP($G508,'.Auxiliar'!$G:$G,'.Auxiliar'!B:B,"-",0)</f>
        <v>OAE</v>
      </c>
      <c r="C508" s="55" t="str">
        <f>_xlfn.XLOOKUP($G508,'.Auxiliar'!$G:$G,'.Auxiliar'!C:C,"-",0)</f>
        <v>Implantação de Passagens em Desnível Inferior Tipo Viaduto: À definir</v>
      </c>
      <c r="D508" s="55">
        <v>208.2</v>
      </c>
      <c r="E508" s="55">
        <v>208.2</v>
      </c>
      <c r="F508" s="55">
        <f>_xlfn.XLOOKUP($G508,'.Auxiliar'!$G:$G,'.Auxiliar'!F:F,"-",0)</f>
        <v>1</v>
      </c>
      <c r="G508" s="59" t="s">
        <v>552</v>
      </c>
      <c r="H508" s="108" t="s">
        <v>363</v>
      </c>
      <c r="I508" s="109" t="s">
        <v>0</v>
      </c>
      <c r="J508" s="109" t="s">
        <v>0</v>
      </c>
      <c r="K508" s="109" t="s">
        <v>0</v>
      </c>
      <c r="L508" s="109" t="s">
        <v>0</v>
      </c>
      <c r="M508" s="109" t="s">
        <v>0</v>
      </c>
      <c r="N508" s="110" t="s">
        <v>0</v>
      </c>
      <c r="O508" s="111">
        <v>100</v>
      </c>
      <c r="P508" s="112">
        <v>0</v>
      </c>
      <c r="Q508" s="112"/>
      <c r="R508" s="112"/>
      <c r="S508" s="112"/>
      <c r="T508" s="112"/>
      <c r="U508" s="95" t="str">
        <f t="shared" si="21"/>
        <v/>
      </c>
      <c r="V508" s="112"/>
      <c r="W508" s="112"/>
      <c r="X508" s="107">
        <v>100</v>
      </c>
      <c r="Y508" s="107">
        <f t="shared" si="22"/>
        <v>100</v>
      </c>
      <c r="Z508" s="107">
        <f t="shared" si="23"/>
        <v>0</v>
      </c>
    </row>
    <row r="509" spans="1:26" x14ac:dyDescent="0.25">
      <c r="A509" s="55" t="str">
        <f>_xlfn.XLOOKUP($G509,'.Auxiliar'!$G:$G,'.Auxiliar'!A:A,"-",0)</f>
        <v>PLANALTO</v>
      </c>
      <c r="B509" s="55" t="str">
        <f>_xlfn.XLOOKUP($G509,'.Auxiliar'!$G:$G,'.Auxiliar'!B:B,"-",0)</f>
        <v>OAE</v>
      </c>
      <c r="C509" s="55" t="str">
        <f>_xlfn.XLOOKUP($G509,'.Auxiliar'!$G:$G,'.Auxiliar'!C:C,"-",0)</f>
        <v>Implantação de Trevos em Desnível, com Alças, em Pista Dupla – Completo - km 127,6</v>
      </c>
      <c r="D509" s="55">
        <f>_xlfn.XLOOKUP($G509,'.Auxiliar'!$G:$G,'.Auxiliar'!D:D,"-",0)</f>
        <v>127.6</v>
      </c>
      <c r="E509" s="55">
        <f>_xlfn.XLOOKUP($G509,'.Auxiliar'!$G:$G,'.Auxiliar'!E:E,"-",0)</f>
        <v>127.6</v>
      </c>
      <c r="F509" s="55">
        <f>_xlfn.XLOOKUP($G509,'.Auxiliar'!$G:$G,'.Auxiliar'!F:F,"-",0)</f>
        <v>1</v>
      </c>
      <c r="G509" s="59" t="s">
        <v>553</v>
      </c>
      <c r="H509" s="108" t="s">
        <v>363</v>
      </c>
      <c r="I509" s="109" t="s">
        <v>0</v>
      </c>
      <c r="J509" s="109" t="s">
        <v>0</v>
      </c>
      <c r="K509" s="109" t="s">
        <v>0</v>
      </c>
      <c r="L509" s="109" t="s">
        <v>0</v>
      </c>
      <c r="M509" s="109" t="s">
        <v>0</v>
      </c>
      <c r="N509" s="110" t="s">
        <v>0</v>
      </c>
      <c r="O509" s="111">
        <v>100</v>
      </c>
      <c r="P509" s="112">
        <v>100</v>
      </c>
      <c r="Q509" s="112"/>
      <c r="R509" s="112"/>
      <c r="S509" s="112"/>
      <c r="T509" s="112"/>
      <c r="U509" s="95">
        <f t="shared" si="21"/>
        <v>0</v>
      </c>
      <c r="V509" s="112"/>
      <c r="W509" s="112"/>
      <c r="X509" s="107"/>
      <c r="Y509" s="107">
        <f t="shared" si="22"/>
        <v>100</v>
      </c>
      <c r="Z509" s="107">
        <f t="shared" si="23"/>
        <v>100</v>
      </c>
    </row>
    <row r="510" spans="1:26" x14ac:dyDescent="0.25">
      <c r="A510" s="55" t="str">
        <f>_xlfn.XLOOKUP($G510,'.Auxiliar'!$G:$G,'.Auxiliar'!A:A,"-",0)</f>
        <v>PLANALTO</v>
      </c>
      <c r="B510" s="55" t="str">
        <f>_xlfn.XLOOKUP($G510,'.Auxiliar'!$G:$G,'.Auxiliar'!B:B,"-",0)</f>
        <v>OAE</v>
      </c>
      <c r="C510" s="55" t="str">
        <f>_xlfn.XLOOKUP($G510,'.Auxiliar'!$G:$G,'.Auxiliar'!C:C,"-",0)</f>
        <v>Implantação de Trevos em Desnível, com Alças, em Pista Dupla – Completo - km 131,8 (Fazenda Rio Grande)</v>
      </c>
      <c r="D510" s="55">
        <f>_xlfn.XLOOKUP($G510,'.Auxiliar'!$G:$G,'.Auxiliar'!D:D,"-",0)</f>
        <v>131.80000000000001</v>
      </c>
      <c r="E510" s="55">
        <f>_xlfn.XLOOKUP($G510,'.Auxiliar'!$G:$G,'.Auxiliar'!E:E,"-",0)</f>
        <v>131.80000000000001</v>
      </c>
      <c r="F510" s="55">
        <f>_xlfn.XLOOKUP($G510,'.Auxiliar'!$G:$G,'.Auxiliar'!F:F,"-",0)</f>
        <v>1</v>
      </c>
      <c r="G510" s="59" t="s">
        <v>554</v>
      </c>
      <c r="H510" s="108" t="s">
        <v>363</v>
      </c>
      <c r="I510" s="109" t="s">
        <v>0</v>
      </c>
      <c r="J510" s="109" t="s">
        <v>0</v>
      </c>
      <c r="K510" s="109" t="s">
        <v>0</v>
      </c>
      <c r="L510" s="109" t="s">
        <v>0</v>
      </c>
      <c r="M510" s="109" t="s">
        <v>0</v>
      </c>
      <c r="N510" s="110" t="s">
        <v>0</v>
      </c>
      <c r="O510" s="111">
        <v>100</v>
      </c>
      <c r="P510" s="112">
        <v>100</v>
      </c>
      <c r="Q510" s="112"/>
      <c r="R510" s="112"/>
      <c r="S510" s="112"/>
      <c r="T510" s="112"/>
      <c r="U510" s="95">
        <f t="shared" si="21"/>
        <v>0</v>
      </c>
      <c r="V510" s="112"/>
      <c r="W510" s="112"/>
      <c r="X510" s="107"/>
      <c r="Y510" s="107">
        <f t="shared" si="22"/>
        <v>100</v>
      </c>
      <c r="Z510" s="107">
        <f t="shared" si="23"/>
        <v>100</v>
      </c>
    </row>
    <row r="511" spans="1:26" x14ac:dyDescent="0.25">
      <c r="A511" s="55" t="str">
        <f>_xlfn.XLOOKUP($G511,'.Auxiliar'!$G:$G,'.Auxiliar'!A:A,"-",0)</f>
        <v>PLANALTO</v>
      </c>
      <c r="B511" s="55" t="str">
        <f>_xlfn.XLOOKUP($G511,'.Auxiliar'!$G:$G,'.Auxiliar'!B:B,"-",0)</f>
        <v>OAE</v>
      </c>
      <c r="C511" s="55" t="str">
        <f>_xlfn.XLOOKUP($G511,'.Auxiliar'!$G:$G,'.Auxiliar'!C:C,"-",0)</f>
        <v>Implantação de Trevos em Desnível, com Alças, em Pista Dupla – Completo - km 138,8</v>
      </c>
      <c r="D511" s="55">
        <f>_xlfn.XLOOKUP($G511,'.Auxiliar'!$G:$G,'.Auxiliar'!D:D,"-",0)</f>
        <v>138.80000000000001</v>
      </c>
      <c r="E511" s="55">
        <f>_xlfn.XLOOKUP($G511,'.Auxiliar'!$G:$G,'.Auxiliar'!E:E,"-",0)</f>
        <v>138.80000000000001</v>
      </c>
      <c r="F511" s="55">
        <f>_xlfn.XLOOKUP($G511,'.Auxiliar'!$G:$G,'.Auxiliar'!F:F,"-",0)</f>
        <v>1</v>
      </c>
      <c r="G511" s="59" t="s">
        <v>555</v>
      </c>
      <c r="H511" s="108" t="s">
        <v>363</v>
      </c>
      <c r="I511" s="109" t="s">
        <v>0</v>
      </c>
      <c r="J511" s="109" t="s">
        <v>0</v>
      </c>
      <c r="K511" s="109" t="s">
        <v>363</v>
      </c>
      <c r="L511" s="109" t="s">
        <v>0</v>
      </c>
      <c r="M511" s="109" t="s">
        <v>0</v>
      </c>
      <c r="N511" s="110" t="s">
        <v>0</v>
      </c>
      <c r="O511" s="111">
        <v>100</v>
      </c>
      <c r="P511" s="112">
        <v>100</v>
      </c>
      <c r="Q511" s="112"/>
      <c r="R511" s="112"/>
      <c r="S511" s="112"/>
      <c r="T511" s="112"/>
      <c r="U511" s="95">
        <f t="shared" si="21"/>
        <v>0</v>
      </c>
      <c r="V511" s="112"/>
      <c r="W511" s="112"/>
      <c r="X511" s="107"/>
      <c r="Y511" s="107">
        <f t="shared" si="22"/>
        <v>100</v>
      </c>
      <c r="Z511" s="107">
        <f t="shared" si="23"/>
        <v>100</v>
      </c>
    </row>
    <row r="512" spans="1:26" x14ac:dyDescent="0.25">
      <c r="A512" s="55" t="str">
        <f>_xlfn.XLOOKUP($G512,'.Auxiliar'!$G:$G,'.Auxiliar'!A:A,"-",0)</f>
        <v>PLANALTO</v>
      </c>
      <c r="B512" s="55" t="str">
        <f>_xlfn.XLOOKUP($G512,'.Auxiliar'!$G:$G,'.Auxiliar'!B:B,"-",0)</f>
        <v>OAE</v>
      </c>
      <c r="C512" s="55" t="str">
        <f>_xlfn.XLOOKUP($G512,'.Auxiliar'!$G:$G,'.Auxiliar'!C:C,"-",0)</f>
        <v>Implantação de Trevos em Desnível, com Alças, em Pista Dupla – Completo - km 141,8 – PR 510, Mandirituba/PR</v>
      </c>
      <c r="D512" s="55">
        <f>_xlfn.XLOOKUP($G512,'.Auxiliar'!$G:$G,'.Auxiliar'!D:D,"-",0)</f>
        <v>141.80000000000001</v>
      </c>
      <c r="E512" s="55">
        <f>_xlfn.XLOOKUP($G512,'.Auxiliar'!$G:$G,'.Auxiliar'!E:E,"-",0)</f>
        <v>141.80000000000001</v>
      </c>
      <c r="F512" s="55">
        <f>_xlfn.XLOOKUP($G512,'.Auxiliar'!$G:$G,'.Auxiliar'!F:F,"-",0)</f>
        <v>1</v>
      </c>
      <c r="G512" s="59" t="s">
        <v>556</v>
      </c>
      <c r="H512" s="108" t="s">
        <v>363</v>
      </c>
      <c r="I512" s="109" t="s">
        <v>0</v>
      </c>
      <c r="J512" s="109" t="s">
        <v>0</v>
      </c>
      <c r="K512" s="109" t="s">
        <v>363</v>
      </c>
      <c r="L512" s="109" t="s">
        <v>0</v>
      </c>
      <c r="M512" s="109" t="s">
        <v>0</v>
      </c>
      <c r="N512" s="110" t="s">
        <v>0</v>
      </c>
      <c r="O512" s="111">
        <v>100</v>
      </c>
      <c r="P512" s="112">
        <v>0</v>
      </c>
      <c r="Q512" s="112"/>
      <c r="R512" s="112"/>
      <c r="S512" s="112"/>
      <c r="T512" s="112"/>
      <c r="U512" s="95" t="str">
        <f t="shared" si="21"/>
        <v/>
      </c>
      <c r="V512" s="112"/>
      <c r="W512" s="112"/>
      <c r="X512" s="107">
        <v>100</v>
      </c>
      <c r="Y512" s="107">
        <f t="shared" si="22"/>
        <v>100</v>
      </c>
      <c r="Z512" s="107">
        <f t="shared" si="23"/>
        <v>0</v>
      </c>
    </row>
    <row r="513" spans="1:26" x14ac:dyDescent="0.25">
      <c r="A513" s="55" t="str">
        <f>_xlfn.XLOOKUP($G513,'.Auxiliar'!$G:$G,'.Auxiliar'!A:A,"-",0)</f>
        <v>PLANALTO</v>
      </c>
      <c r="B513" s="55" t="str">
        <f>_xlfn.XLOOKUP($G513,'.Auxiliar'!$G:$G,'.Auxiliar'!B:B,"-",0)</f>
        <v>OAE</v>
      </c>
      <c r="C513" s="55" t="str">
        <f>_xlfn.XLOOKUP($G513,'.Auxiliar'!$G:$G,'.Auxiliar'!C:C,"-",0)</f>
        <v>Implantação de Trevos em Desnível, com Alças, em Pista simples – Completo - Entroncamento com a BR-280/SC,</v>
      </c>
      <c r="D513" s="55">
        <f>_xlfn.XLOOKUP($G513,'.Auxiliar'!$G:$G,'.Auxiliar'!D:D,"-",0)</f>
        <v>4.5</v>
      </c>
      <c r="E513" s="55">
        <f>_xlfn.XLOOKUP($G513,'.Auxiliar'!$G:$G,'.Auxiliar'!E:E,"-",0)</f>
        <v>4.5</v>
      </c>
      <c r="F513" s="55">
        <f>_xlfn.XLOOKUP($G513,'.Auxiliar'!$G:$G,'.Auxiliar'!F:F,"-",0)</f>
        <v>1</v>
      </c>
      <c r="G513" s="59" t="s">
        <v>551</v>
      </c>
      <c r="H513" s="108" t="s">
        <v>363</v>
      </c>
      <c r="I513" s="109" t="s">
        <v>0</v>
      </c>
      <c r="J513" s="109" t="s">
        <v>0</v>
      </c>
      <c r="K513" s="109" t="s">
        <v>0</v>
      </c>
      <c r="L513" s="109" t="s">
        <v>0</v>
      </c>
      <c r="M513" s="109" t="s">
        <v>0</v>
      </c>
      <c r="N513" s="110" t="s">
        <v>0</v>
      </c>
      <c r="O513" s="111">
        <v>100</v>
      </c>
      <c r="P513" s="112">
        <v>100</v>
      </c>
      <c r="Q513" s="112"/>
      <c r="R513" s="112"/>
      <c r="S513" s="112"/>
      <c r="T513" s="112"/>
      <c r="U513" s="95">
        <f t="shared" si="21"/>
        <v>0</v>
      </c>
      <c r="V513" s="112"/>
      <c r="W513" s="112"/>
      <c r="X513" s="107"/>
      <c r="Y513" s="107">
        <f t="shared" si="22"/>
        <v>100</v>
      </c>
      <c r="Z513" s="107">
        <f t="shared" si="23"/>
        <v>100</v>
      </c>
    </row>
    <row r="514" spans="1:26" x14ac:dyDescent="0.25">
      <c r="A514" s="55" t="str">
        <f>_xlfn.XLOOKUP($G514,'.Auxiliar'!$G:$G,'.Auxiliar'!A:A,"-",0)</f>
        <v>PLANALTO</v>
      </c>
      <c r="B514" s="55" t="str">
        <f>_xlfn.XLOOKUP($G514,'.Auxiliar'!$G:$G,'.Auxiliar'!B:B,"-",0)</f>
        <v>PAVIMENTAÇÃO</v>
      </c>
      <c r="C514" s="55" t="str">
        <f>_xlfn.XLOOKUP($G514,'.Auxiliar'!$G:$G,'.Auxiliar'!C:C,"-",0)</f>
        <v>Execução de Ruas Laterais em Pista Simples - Mafra/SC</v>
      </c>
      <c r="D514" s="55">
        <f>_xlfn.XLOOKUP($G514,'.Auxiliar'!$G:$G,'.Auxiliar'!D:D,"-",0)</f>
        <v>0</v>
      </c>
      <c r="E514" s="55">
        <f>_xlfn.XLOOKUP($G514,'.Auxiliar'!$G:$G,'.Auxiliar'!E:E,"-",0)</f>
        <v>7.38</v>
      </c>
      <c r="F514" s="55">
        <f>_xlfn.XLOOKUP($G514,'.Auxiliar'!$G:$G,'.Auxiliar'!F:F,"-",0)</f>
        <v>7.38</v>
      </c>
      <c r="G514" s="59" t="s">
        <v>548</v>
      </c>
      <c r="H514" s="108" t="s">
        <v>363</v>
      </c>
      <c r="I514" s="109" t="s">
        <v>0</v>
      </c>
      <c r="J514" s="109" t="s">
        <v>0</v>
      </c>
      <c r="K514" s="109" t="s">
        <v>0</v>
      </c>
      <c r="L514" s="109" t="s">
        <v>0</v>
      </c>
      <c r="M514" s="109" t="s">
        <v>0</v>
      </c>
      <c r="N514" s="110" t="s">
        <v>0</v>
      </c>
      <c r="O514" s="111">
        <v>100</v>
      </c>
      <c r="P514" s="112">
        <v>100</v>
      </c>
      <c r="Q514" s="112"/>
      <c r="R514" s="112"/>
      <c r="S514" s="112"/>
      <c r="T514" s="112"/>
      <c r="U514" s="95">
        <f t="shared" si="21"/>
        <v>0</v>
      </c>
      <c r="V514" s="112"/>
      <c r="W514" s="112"/>
      <c r="X514" s="107"/>
      <c r="Y514" s="107">
        <f t="shared" si="22"/>
        <v>100</v>
      </c>
      <c r="Z514" s="107">
        <f t="shared" si="23"/>
        <v>100</v>
      </c>
    </row>
    <row r="515" spans="1:26" x14ac:dyDescent="0.25">
      <c r="A515" s="55" t="str">
        <f>_xlfn.XLOOKUP($G515,'.Auxiliar'!$G:$G,'.Auxiliar'!A:A,"-",0)</f>
        <v>PLANALTO</v>
      </c>
      <c r="B515" s="55" t="str">
        <f>_xlfn.XLOOKUP($G515,'.Auxiliar'!$G:$G,'.Auxiliar'!B:B,"-",0)</f>
        <v>PAVIMENTAÇÃO</v>
      </c>
      <c r="C515" s="55" t="str">
        <f>_xlfn.XLOOKUP($G515,'.Auxiliar'!$G:$G,'.Auxiliar'!C:C,"-",0)</f>
        <v>Execução de Ruas Laterais em Pista Simples - Mandirituba/PR</v>
      </c>
      <c r="D515" s="55">
        <f>_xlfn.XLOOKUP($G515,'.Auxiliar'!$G:$G,'.Auxiliar'!D:D,"-",0)</f>
        <v>0</v>
      </c>
      <c r="E515" s="55">
        <f>_xlfn.XLOOKUP($G515,'.Auxiliar'!$G:$G,'.Auxiliar'!E:E,"-",0)</f>
        <v>2.5</v>
      </c>
      <c r="F515" s="55">
        <f>_xlfn.XLOOKUP($G515,'.Auxiliar'!$G:$G,'.Auxiliar'!F:F,"-",0)</f>
        <v>2.5</v>
      </c>
      <c r="G515" s="59" t="s">
        <v>547</v>
      </c>
      <c r="H515" s="108" t="s">
        <v>363</v>
      </c>
      <c r="I515" s="109" t="s">
        <v>0</v>
      </c>
      <c r="J515" s="109" t="s">
        <v>0</v>
      </c>
      <c r="K515" s="109" t="s">
        <v>0</v>
      </c>
      <c r="L515" s="109" t="s">
        <v>0</v>
      </c>
      <c r="M515" s="109" t="s">
        <v>0</v>
      </c>
      <c r="N515" s="110" t="s">
        <v>0</v>
      </c>
      <c r="O515" s="111">
        <v>100</v>
      </c>
      <c r="P515" s="112">
        <v>100</v>
      </c>
      <c r="Q515" s="112"/>
      <c r="R515" s="112"/>
      <c r="S515" s="112"/>
      <c r="T515" s="112"/>
      <c r="U515" s="95">
        <f t="shared" ref="U515:U578" si="27">IF(SUM(V515:X515)=100,"",100-(P515+R515))</f>
        <v>0</v>
      </c>
      <c r="V515" s="112"/>
      <c r="W515" s="112"/>
      <c r="X515" s="107"/>
      <c r="Y515" s="107">
        <f t="shared" ref="Y515:Y578" si="28">SUM(P515,R515,S515,V515,W515,X515)</f>
        <v>100</v>
      </c>
      <c r="Z515" s="107">
        <f t="shared" ref="Z515:Z578" si="29">SUM(P515,R515,T515)</f>
        <v>100</v>
      </c>
    </row>
    <row r="516" spans="1:26" x14ac:dyDescent="0.25">
      <c r="A516" s="55" t="str">
        <f>_xlfn.XLOOKUP($G516,'.Auxiliar'!$G:$G,'.Auxiliar'!A:A,"-",0)</f>
        <v>PLANALTO</v>
      </c>
      <c r="B516" s="55" t="str">
        <f>_xlfn.XLOOKUP($G516,'.Auxiliar'!$G:$G,'.Auxiliar'!B:B,"-",0)</f>
        <v>PAVIMENTAÇÃO</v>
      </c>
      <c r="C516" s="55" t="str">
        <f>_xlfn.XLOOKUP($G516,'.Auxiliar'!$G:$G,'.Auxiliar'!C:C,"-",0)</f>
        <v>Execução de Ruas Laterais em Pista Simples - Pinheirinho – Fazenda Rio Grande no PR</v>
      </c>
      <c r="D516" s="55">
        <f>_xlfn.XLOOKUP($G516,'.Auxiliar'!$G:$G,'.Auxiliar'!D:D,"-",0)</f>
        <v>0</v>
      </c>
      <c r="E516" s="55">
        <f>_xlfn.XLOOKUP($G516,'.Auxiliar'!$G:$G,'.Auxiliar'!E:E,"-",0)</f>
        <v>1.44</v>
      </c>
      <c r="F516" s="55">
        <f>_xlfn.XLOOKUP($G516,'.Auxiliar'!$G:$G,'.Auxiliar'!F:F,"-",0)</f>
        <v>1.44</v>
      </c>
      <c r="G516" s="59" t="s">
        <v>545</v>
      </c>
      <c r="H516" s="108" t="s">
        <v>363</v>
      </c>
      <c r="I516" s="109" t="s">
        <v>0</v>
      </c>
      <c r="J516" s="109" t="s">
        <v>0</v>
      </c>
      <c r="K516" s="109" t="s">
        <v>0</v>
      </c>
      <c r="L516" s="109" t="s">
        <v>0</v>
      </c>
      <c r="M516" s="109" t="s">
        <v>0</v>
      </c>
      <c r="N516" s="110" t="s">
        <v>0</v>
      </c>
      <c r="O516" s="111">
        <v>100</v>
      </c>
      <c r="P516" s="112">
        <v>100</v>
      </c>
      <c r="Q516" s="112"/>
      <c r="R516" s="112"/>
      <c r="S516" s="112"/>
      <c r="T516" s="112"/>
      <c r="U516" s="95">
        <f t="shared" si="27"/>
        <v>0</v>
      </c>
      <c r="V516" s="112"/>
      <c r="W516" s="112"/>
      <c r="X516" s="107"/>
      <c r="Y516" s="107">
        <f t="shared" si="28"/>
        <v>100</v>
      </c>
      <c r="Z516" s="107">
        <f t="shared" si="29"/>
        <v>100</v>
      </c>
    </row>
    <row r="517" spans="1:26" x14ac:dyDescent="0.25">
      <c r="A517" s="55" t="str">
        <f>_xlfn.XLOOKUP($G517,'.Auxiliar'!$G:$G,'.Auxiliar'!A:A,"-",0)</f>
        <v>PLANALTO</v>
      </c>
      <c r="B517" s="55" t="str">
        <f>_xlfn.XLOOKUP($G517,'.Auxiliar'!$G:$G,'.Auxiliar'!B:B,"-",0)</f>
        <v>PAVIMENTAÇÃO</v>
      </c>
      <c r="C517" s="55" t="str">
        <f>_xlfn.XLOOKUP($G517,'.Auxiliar'!$G:$G,'.Auxiliar'!C:C,"-",0)</f>
        <v>Execução de Ruas Laterais em Pista Simples - Rio Negro/PR</v>
      </c>
      <c r="D517" s="55">
        <f>_xlfn.XLOOKUP($G517,'.Auxiliar'!$G:$G,'.Auxiliar'!D:D,"-",0)</f>
        <v>0</v>
      </c>
      <c r="E517" s="55">
        <f>_xlfn.XLOOKUP($G517,'.Auxiliar'!$G:$G,'.Auxiliar'!E:E,"-",0)</f>
        <v>2.4</v>
      </c>
      <c r="F517" s="55">
        <f>_xlfn.XLOOKUP($G517,'.Auxiliar'!$G:$G,'.Auxiliar'!F:F,"-",0)</f>
        <v>2.4</v>
      </c>
      <c r="G517" s="59" t="s">
        <v>546</v>
      </c>
      <c r="H517" s="108" t="s">
        <v>363</v>
      </c>
      <c r="I517" s="109" t="s">
        <v>0</v>
      </c>
      <c r="J517" s="109" t="s">
        <v>0</v>
      </c>
      <c r="K517" s="109" t="s">
        <v>0</v>
      </c>
      <c r="L517" s="109" t="s">
        <v>0</v>
      </c>
      <c r="M517" s="109" t="s">
        <v>0</v>
      </c>
      <c r="N517" s="110" t="s">
        <v>0</v>
      </c>
      <c r="O517" s="111">
        <v>100</v>
      </c>
      <c r="P517" s="112">
        <v>100</v>
      </c>
      <c r="Q517" s="112"/>
      <c r="R517" s="112"/>
      <c r="S517" s="112"/>
      <c r="T517" s="112"/>
      <c r="U517" s="95">
        <f t="shared" si="27"/>
        <v>0</v>
      </c>
      <c r="V517" s="112"/>
      <c r="W517" s="112"/>
      <c r="X517" s="107"/>
      <c r="Y517" s="107">
        <f t="shared" si="28"/>
        <v>100</v>
      </c>
      <c r="Z517" s="107">
        <f t="shared" si="29"/>
        <v>100</v>
      </c>
    </row>
    <row r="518" spans="1:26" x14ac:dyDescent="0.25">
      <c r="A518" s="55" t="str">
        <f>_xlfn.XLOOKUP($G518,'.Auxiliar'!$G:$G,'.Auxiliar'!A:A,"-",0)</f>
        <v>PLANALTO</v>
      </c>
      <c r="B518" s="55" t="str">
        <f>_xlfn.XLOOKUP($G518,'.Auxiliar'!$G:$G,'.Auxiliar'!B:B,"-",0)</f>
        <v>TERCEIRA FAIXA</v>
      </c>
      <c r="C518" s="55" t="str">
        <f>_xlfn.XLOOKUP($G518,'.Auxiliar'!$G:$G,'.Auxiliar'!C:C,"-",0)</f>
        <v>Execução de Terceiras Faixas</v>
      </c>
      <c r="D518" s="55">
        <f>_xlfn.XLOOKUP($G518,'.Auxiliar'!$G:$G,'.Auxiliar'!D:D,"-",0)</f>
        <v>5.5</v>
      </c>
      <c r="E518" s="55">
        <f>_xlfn.XLOOKUP($G518,'.Auxiliar'!$G:$G,'.Auxiliar'!E:E,"-",0)</f>
        <v>6.2</v>
      </c>
      <c r="F518" s="55">
        <f>_xlfn.XLOOKUP($G518,'.Auxiliar'!$G:$G,'.Auxiliar'!F:F,"-",0)</f>
        <v>0.70000000000000018</v>
      </c>
      <c r="G518" s="59" t="s">
        <v>563</v>
      </c>
      <c r="H518" s="108" t="s">
        <v>363</v>
      </c>
      <c r="I518" s="109" t="s">
        <v>0</v>
      </c>
      <c r="J518" s="109" t="s">
        <v>0</v>
      </c>
      <c r="K518" s="109" t="s">
        <v>0</v>
      </c>
      <c r="L518" s="109" t="s">
        <v>0</v>
      </c>
      <c r="M518" s="109" t="s">
        <v>0</v>
      </c>
      <c r="N518" s="110" t="s">
        <v>0</v>
      </c>
      <c r="O518" s="111">
        <v>100</v>
      </c>
      <c r="P518" s="112">
        <v>0</v>
      </c>
      <c r="Q518" s="112"/>
      <c r="R518" s="112"/>
      <c r="S518" s="112"/>
      <c r="T518" s="112"/>
      <c r="U518" s="95" t="str">
        <f t="shared" si="27"/>
        <v/>
      </c>
      <c r="V518" s="112"/>
      <c r="W518" s="112"/>
      <c r="X518" s="107">
        <v>100</v>
      </c>
      <c r="Y518" s="107">
        <f t="shared" si="28"/>
        <v>100</v>
      </c>
      <c r="Z518" s="107">
        <f t="shared" si="29"/>
        <v>0</v>
      </c>
    </row>
    <row r="519" spans="1:26" x14ac:dyDescent="0.25">
      <c r="A519" s="55" t="str">
        <f>_xlfn.XLOOKUP($G519,'.Auxiliar'!$G:$G,'.Auxiliar'!A:A,"-",0)</f>
        <v>PLANALTO</v>
      </c>
      <c r="B519" s="55" t="str">
        <f>_xlfn.XLOOKUP($G519,'.Auxiliar'!$G:$G,'.Auxiliar'!B:B,"-",0)</f>
        <v>TERCEIRA FAIXA</v>
      </c>
      <c r="C519" s="55" t="str">
        <f>_xlfn.XLOOKUP($G519,'.Auxiliar'!$G:$G,'.Auxiliar'!C:C,"-",0)</f>
        <v>Execução de Terceiras Faixas</v>
      </c>
      <c r="D519" s="55">
        <f>_xlfn.XLOOKUP($G519,'.Auxiliar'!$G:$G,'.Auxiliar'!D:D,"-",0)</f>
        <v>6.7</v>
      </c>
      <c r="E519" s="55">
        <f>_xlfn.XLOOKUP($G519,'.Auxiliar'!$G:$G,'.Auxiliar'!E:E,"-",0)</f>
        <v>8</v>
      </c>
      <c r="F519" s="55">
        <f>_xlfn.XLOOKUP($G519,'.Auxiliar'!$G:$G,'.Auxiliar'!F:F,"-",0)</f>
        <v>1.2999999999999998</v>
      </c>
      <c r="G519" s="59" t="s">
        <v>564</v>
      </c>
      <c r="H519" s="108" t="s">
        <v>363</v>
      </c>
      <c r="I519" s="109" t="s">
        <v>0</v>
      </c>
      <c r="J519" s="109" t="s">
        <v>0</v>
      </c>
      <c r="K519" s="109" t="s">
        <v>0</v>
      </c>
      <c r="L519" s="109" t="s">
        <v>0</v>
      </c>
      <c r="M519" s="109" t="s">
        <v>0</v>
      </c>
      <c r="N519" s="110" t="s">
        <v>0</v>
      </c>
      <c r="O519" s="111">
        <v>100</v>
      </c>
      <c r="P519" s="112">
        <v>100</v>
      </c>
      <c r="Q519" s="112"/>
      <c r="R519" s="112"/>
      <c r="S519" s="112"/>
      <c r="T519" s="112"/>
      <c r="U519" s="95">
        <f t="shared" si="27"/>
        <v>0</v>
      </c>
      <c r="V519" s="112"/>
      <c r="W519" s="112"/>
      <c r="X519" s="107"/>
      <c r="Y519" s="107">
        <f t="shared" si="28"/>
        <v>100</v>
      </c>
      <c r="Z519" s="107">
        <f t="shared" si="29"/>
        <v>100</v>
      </c>
    </row>
    <row r="520" spans="1:26" x14ac:dyDescent="0.25">
      <c r="A520" s="55" t="str">
        <f>_xlfn.XLOOKUP($G520,'.Auxiliar'!$G:$G,'.Auxiliar'!A:A,"-",0)</f>
        <v>PLANALTO</v>
      </c>
      <c r="B520" s="55" t="str">
        <f>_xlfn.XLOOKUP($G520,'.Auxiliar'!$G:$G,'.Auxiliar'!B:B,"-",0)</f>
        <v>TERCEIRA FAIXA</v>
      </c>
      <c r="C520" s="55" t="str">
        <f>_xlfn.XLOOKUP($G520,'.Auxiliar'!$G:$G,'.Auxiliar'!C:C,"-",0)</f>
        <v>Execução de Terceiras Faixas</v>
      </c>
      <c r="D520" s="55">
        <f>_xlfn.XLOOKUP($G520,'.Auxiliar'!$G:$G,'.Auxiliar'!D:D,"-",0)</f>
        <v>11.2</v>
      </c>
      <c r="E520" s="55">
        <f>_xlfn.XLOOKUP($G520,'.Auxiliar'!$G:$G,'.Auxiliar'!E:E,"-",0)</f>
        <v>12.4</v>
      </c>
      <c r="F520" s="55">
        <f>_xlfn.XLOOKUP($G520,'.Auxiliar'!$G:$G,'.Auxiliar'!F:F,"-",0)</f>
        <v>1.2000000000000011</v>
      </c>
      <c r="G520" s="59" t="s">
        <v>565</v>
      </c>
      <c r="H520" s="108" t="s">
        <v>363</v>
      </c>
      <c r="I520" s="109" t="s">
        <v>0</v>
      </c>
      <c r="J520" s="109" t="s">
        <v>0</v>
      </c>
      <c r="K520" s="109" t="s">
        <v>0</v>
      </c>
      <c r="L520" s="109" t="s">
        <v>0</v>
      </c>
      <c r="M520" s="109" t="s">
        <v>0</v>
      </c>
      <c r="N520" s="110" t="s">
        <v>0</v>
      </c>
      <c r="O520" s="111">
        <v>100</v>
      </c>
      <c r="P520" s="112">
        <v>100</v>
      </c>
      <c r="Q520" s="112"/>
      <c r="R520" s="112"/>
      <c r="S520" s="112"/>
      <c r="T520" s="112"/>
      <c r="U520" s="95">
        <f t="shared" si="27"/>
        <v>0</v>
      </c>
      <c r="V520" s="112"/>
      <c r="W520" s="112"/>
      <c r="X520" s="107"/>
      <c r="Y520" s="107">
        <f t="shared" si="28"/>
        <v>100</v>
      </c>
      <c r="Z520" s="107">
        <f t="shared" si="29"/>
        <v>100</v>
      </c>
    </row>
    <row r="521" spans="1:26" x14ac:dyDescent="0.25">
      <c r="A521" s="55" t="str">
        <f>_xlfn.XLOOKUP($G521,'.Auxiliar'!$G:$G,'.Auxiliar'!A:A,"-",0)</f>
        <v>PLANALTO</v>
      </c>
      <c r="B521" s="55" t="str">
        <f>_xlfn.XLOOKUP($G521,'.Auxiliar'!$G:$G,'.Auxiliar'!B:B,"-",0)</f>
        <v>TERCEIRA FAIXA</v>
      </c>
      <c r="C521" s="55" t="str">
        <f>_xlfn.XLOOKUP($G521,'.Auxiliar'!$G:$G,'.Auxiliar'!C:C,"-",0)</f>
        <v>Execução de Terceiras Faixas</v>
      </c>
      <c r="D521" s="55">
        <f>_xlfn.XLOOKUP($G521,'.Auxiliar'!$G:$G,'.Auxiliar'!D:D,"-",0)</f>
        <v>12.8</v>
      </c>
      <c r="E521" s="55">
        <f>_xlfn.XLOOKUP($G521,'.Auxiliar'!$G:$G,'.Auxiliar'!E:E,"-",0)</f>
        <v>14.2</v>
      </c>
      <c r="F521" s="55">
        <f>_xlfn.XLOOKUP($G521,'.Auxiliar'!$G:$G,'.Auxiliar'!F:F,"-",0)</f>
        <v>1.3999999999999986</v>
      </c>
      <c r="G521" s="59" t="s">
        <v>566</v>
      </c>
      <c r="H521" s="108" t="s">
        <v>363</v>
      </c>
      <c r="I521" s="109" t="s">
        <v>0</v>
      </c>
      <c r="J521" s="109" t="s">
        <v>0</v>
      </c>
      <c r="K521" s="109" t="s">
        <v>0</v>
      </c>
      <c r="L521" s="109" t="s">
        <v>0</v>
      </c>
      <c r="M521" s="109" t="s">
        <v>0</v>
      </c>
      <c r="N521" s="110" t="s">
        <v>0</v>
      </c>
      <c r="O521" s="111">
        <v>100</v>
      </c>
      <c r="P521" s="112">
        <v>100</v>
      </c>
      <c r="Q521" s="112"/>
      <c r="R521" s="112"/>
      <c r="S521" s="112"/>
      <c r="T521" s="112"/>
      <c r="U521" s="95">
        <f t="shared" si="27"/>
        <v>0</v>
      </c>
      <c r="V521" s="112"/>
      <c r="W521" s="112"/>
      <c r="X521" s="107"/>
      <c r="Y521" s="107">
        <f t="shared" si="28"/>
        <v>100</v>
      </c>
      <c r="Z521" s="107">
        <f t="shared" si="29"/>
        <v>100</v>
      </c>
    </row>
    <row r="522" spans="1:26" x14ac:dyDescent="0.25">
      <c r="A522" s="55" t="str">
        <f>_xlfn.XLOOKUP($G522,'.Auxiliar'!$G:$G,'.Auxiliar'!A:A,"-",0)</f>
        <v>PLANALTO</v>
      </c>
      <c r="B522" s="55" t="str">
        <f>_xlfn.XLOOKUP($G522,'.Auxiliar'!$G:$G,'.Auxiliar'!B:B,"-",0)</f>
        <v>TERCEIRA FAIXA</v>
      </c>
      <c r="C522" s="55" t="str">
        <f>_xlfn.XLOOKUP($G522,'.Auxiliar'!$G:$G,'.Auxiliar'!C:C,"-",0)</f>
        <v>Execução de Terceiras Faixas</v>
      </c>
      <c r="D522" s="55">
        <f>_xlfn.XLOOKUP($G522,'.Auxiliar'!$G:$G,'.Auxiliar'!D:D,"-",0)</f>
        <v>34</v>
      </c>
      <c r="E522" s="55">
        <f>_xlfn.XLOOKUP($G522,'.Auxiliar'!$G:$G,'.Auxiliar'!E:E,"-",0)</f>
        <v>35</v>
      </c>
      <c r="F522" s="55">
        <f>_xlfn.XLOOKUP($G522,'.Auxiliar'!$G:$G,'.Auxiliar'!F:F,"-",0)</f>
        <v>1</v>
      </c>
      <c r="G522" s="59" t="s">
        <v>567</v>
      </c>
      <c r="H522" s="108" t="s">
        <v>363</v>
      </c>
      <c r="I522" s="109" t="s">
        <v>0</v>
      </c>
      <c r="J522" s="109" t="s">
        <v>0</v>
      </c>
      <c r="K522" s="109" t="s">
        <v>0</v>
      </c>
      <c r="L522" s="109" t="s">
        <v>0</v>
      </c>
      <c r="M522" s="109" t="s">
        <v>0</v>
      </c>
      <c r="N522" s="110" t="s">
        <v>0</v>
      </c>
      <c r="O522" s="111">
        <v>100</v>
      </c>
      <c r="P522" s="112">
        <v>100</v>
      </c>
      <c r="Q522" s="112"/>
      <c r="R522" s="112"/>
      <c r="S522" s="112"/>
      <c r="T522" s="112"/>
      <c r="U522" s="95">
        <f t="shared" si="27"/>
        <v>0</v>
      </c>
      <c r="V522" s="112"/>
      <c r="W522" s="112"/>
      <c r="X522" s="107"/>
      <c r="Y522" s="107">
        <f t="shared" si="28"/>
        <v>100</v>
      </c>
      <c r="Z522" s="107">
        <f t="shared" si="29"/>
        <v>100</v>
      </c>
    </row>
    <row r="523" spans="1:26" x14ac:dyDescent="0.25">
      <c r="A523" s="55" t="str">
        <f>_xlfn.XLOOKUP($G523,'.Auxiliar'!$G:$G,'.Auxiliar'!A:A,"-",0)</f>
        <v>PLANALTO</v>
      </c>
      <c r="B523" s="55" t="str">
        <f>_xlfn.XLOOKUP($G523,'.Auxiliar'!$G:$G,'.Auxiliar'!B:B,"-",0)</f>
        <v>TERCEIRA FAIXA</v>
      </c>
      <c r="C523" s="55" t="str">
        <f>_xlfn.XLOOKUP($G523,'.Auxiliar'!$G:$G,'.Auxiliar'!C:C,"-",0)</f>
        <v>Execução de Terceiras Faixas</v>
      </c>
      <c r="D523" s="55">
        <f>_xlfn.XLOOKUP($G523,'.Auxiliar'!$G:$G,'.Auxiliar'!D:D,"-",0)</f>
        <v>40.299999999999997</v>
      </c>
      <c r="E523" s="55">
        <f>_xlfn.XLOOKUP($G523,'.Auxiliar'!$G:$G,'.Auxiliar'!E:E,"-",0)</f>
        <v>41.3</v>
      </c>
      <c r="F523" s="55">
        <f>_xlfn.XLOOKUP($G523,'.Auxiliar'!$G:$G,'.Auxiliar'!F:F,"-",0)</f>
        <v>1</v>
      </c>
      <c r="G523" s="59" t="s">
        <v>568</v>
      </c>
      <c r="H523" s="108" t="s">
        <v>363</v>
      </c>
      <c r="I523" s="109" t="s">
        <v>0</v>
      </c>
      <c r="J523" s="109" t="s">
        <v>0</v>
      </c>
      <c r="K523" s="109" t="s">
        <v>0</v>
      </c>
      <c r="L523" s="109" t="s">
        <v>0</v>
      </c>
      <c r="M523" s="109" t="s">
        <v>0</v>
      </c>
      <c r="N523" s="110" t="s">
        <v>0</v>
      </c>
      <c r="O523" s="111">
        <v>100</v>
      </c>
      <c r="P523" s="112">
        <v>0</v>
      </c>
      <c r="Q523" s="112"/>
      <c r="R523" s="112"/>
      <c r="S523" s="112"/>
      <c r="T523" s="112"/>
      <c r="U523" s="95" t="str">
        <f t="shared" si="27"/>
        <v/>
      </c>
      <c r="V523" s="112"/>
      <c r="W523" s="112"/>
      <c r="X523" s="107">
        <v>100</v>
      </c>
      <c r="Y523" s="107">
        <f t="shared" si="28"/>
        <v>100</v>
      </c>
      <c r="Z523" s="107">
        <f t="shared" si="29"/>
        <v>0</v>
      </c>
    </row>
    <row r="524" spans="1:26" x14ac:dyDescent="0.25">
      <c r="A524" s="55" t="str">
        <f>_xlfn.XLOOKUP($G524,'.Auxiliar'!$G:$G,'.Auxiliar'!A:A,"-",0)</f>
        <v>PLANALTO</v>
      </c>
      <c r="B524" s="55" t="str">
        <f>_xlfn.XLOOKUP($G524,'.Auxiliar'!$G:$G,'.Auxiliar'!B:B,"-",0)</f>
        <v>TERCEIRA FAIXA</v>
      </c>
      <c r="C524" s="55" t="str">
        <f>_xlfn.XLOOKUP($G524,'.Auxiliar'!$G:$G,'.Auxiliar'!C:C,"-",0)</f>
        <v>Execução de Terceiras Faixas</v>
      </c>
      <c r="D524" s="55">
        <f>_xlfn.XLOOKUP($G524,'.Auxiliar'!$G:$G,'.Auxiliar'!D:D,"-",0)</f>
        <v>104.6</v>
      </c>
      <c r="E524" s="55">
        <f>_xlfn.XLOOKUP($G524,'.Auxiliar'!$G:$G,'.Auxiliar'!E:E,"-",0)</f>
        <v>112.3</v>
      </c>
      <c r="F524" s="55">
        <f>_xlfn.XLOOKUP($G524,'.Auxiliar'!$G:$G,'.Auxiliar'!F:F,"-",0)</f>
        <v>7.7000000000000028</v>
      </c>
      <c r="G524" s="59" t="s">
        <v>569</v>
      </c>
      <c r="H524" s="108" t="s">
        <v>363</v>
      </c>
      <c r="I524" s="109" t="s">
        <v>0</v>
      </c>
      <c r="J524" s="109" t="s">
        <v>0</v>
      </c>
      <c r="K524" s="115" t="s">
        <v>1881</v>
      </c>
      <c r="L524" s="109" t="s">
        <v>0</v>
      </c>
      <c r="M524" s="109" t="s">
        <v>0</v>
      </c>
      <c r="N524" s="110" t="s">
        <v>0</v>
      </c>
      <c r="O524" s="111">
        <v>35.200000000000003</v>
      </c>
      <c r="P524" s="112">
        <v>35.200000000000003</v>
      </c>
      <c r="Q524" s="112"/>
      <c r="R524" s="112"/>
      <c r="S524" s="112">
        <v>62.6</v>
      </c>
      <c r="T524" s="112">
        <v>14.3</v>
      </c>
      <c r="U524" s="95">
        <f t="shared" si="27"/>
        <v>64.8</v>
      </c>
      <c r="V524" s="112">
        <v>2.2000000000000002</v>
      </c>
      <c r="W524" s="112"/>
      <c r="X524" s="107"/>
      <c r="Y524" s="107">
        <f t="shared" si="28"/>
        <v>100.00000000000001</v>
      </c>
      <c r="Z524" s="107">
        <f t="shared" si="29"/>
        <v>49.5</v>
      </c>
    </row>
    <row r="525" spans="1:26" x14ac:dyDescent="0.25">
      <c r="A525" s="55" t="str">
        <f>_xlfn.XLOOKUP($G525,'.Auxiliar'!$G:$G,'.Auxiliar'!A:A,"-",0)</f>
        <v>PLANALTO</v>
      </c>
      <c r="B525" s="55" t="str">
        <f>_xlfn.XLOOKUP($G525,'.Auxiliar'!$G:$G,'.Auxiliar'!B:B,"-",0)</f>
        <v>TERCEIRA FAIXA</v>
      </c>
      <c r="C525" s="55" t="str">
        <f>_xlfn.XLOOKUP($G525,'.Auxiliar'!$G:$G,'.Auxiliar'!C:C,"-",0)</f>
        <v>Execução de Terceiras Faixas</v>
      </c>
      <c r="D525" s="55">
        <f>_xlfn.XLOOKUP($G525,'.Auxiliar'!$G:$G,'.Auxiliar'!D:D,"-",0)</f>
        <v>115.4</v>
      </c>
      <c r="E525" s="55">
        <f>_xlfn.XLOOKUP($G525,'.Auxiliar'!$G:$G,'.Auxiliar'!E:E,"-",0)</f>
        <v>118</v>
      </c>
      <c r="F525" s="55">
        <f>_xlfn.XLOOKUP($G525,'.Auxiliar'!$G:$G,'.Auxiliar'!F:F,"-",0)</f>
        <v>2.5999999999999943</v>
      </c>
      <c r="G525" s="59" t="s">
        <v>570</v>
      </c>
      <c r="H525" s="108" t="s">
        <v>363</v>
      </c>
      <c r="I525" s="109" t="s">
        <v>0</v>
      </c>
      <c r="J525" s="109" t="s">
        <v>0</v>
      </c>
      <c r="K525" s="109" t="s">
        <v>363</v>
      </c>
      <c r="L525" s="109" t="s">
        <v>0</v>
      </c>
      <c r="M525" s="109" t="s">
        <v>0</v>
      </c>
      <c r="N525" s="110" t="s">
        <v>0</v>
      </c>
      <c r="O525" s="111">
        <v>100</v>
      </c>
      <c r="P525" s="112">
        <v>100</v>
      </c>
      <c r="Q525" s="112"/>
      <c r="R525" s="112"/>
      <c r="S525" s="112"/>
      <c r="T525" s="112"/>
      <c r="U525" s="95">
        <f t="shared" si="27"/>
        <v>0</v>
      </c>
      <c r="V525" s="112"/>
      <c r="W525" s="112"/>
      <c r="X525" s="107"/>
      <c r="Y525" s="107">
        <f t="shared" si="28"/>
        <v>100</v>
      </c>
      <c r="Z525" s="107">
        <f t="shared" si="29"/>
        <v>100</v>
      </c>
    </row>
    <row r="526" spans="1:26" x14ac:dyDescent="0.25">
      <c r="A526" s="55" t="str">
        <f>_xlfn.XLOOKUP($G526,'.Auxiliar'!$G:$G,'.Auxiliar'!A:A,"-",0)</f>
        <v>PLANALTO</v>
      </c>
      <c r="B526" s="55" t="str">
        <f>_xlfn.XLOOKUP($G526,'.Auxiliar'!$G:$G,'.Auxiliar'!B:B,"-",0)</f>
        <v>TERCEIRA FAIXA</v>
      </c>
      <c r="C526" s="55" t="str">
        <f>_xlfn.XLOOKUP($G526,'.Auxiliar'!$G:$G,'.Auxiliar'!C:C,"-",0)</f>
        <v>Execução de Terceiras Faixas</v>
      </c>
      <c r="D526" s="55">
        <f>_xlfn.XLOOKUP($G526,'.Auxiliar'!$G:$G,'.Auxiliar'!D:D,"-",0)</f>
        <v>122.5</v>
      </c>
      <c r="E526" s="55">
        <f>_xlfn.XLOOKUP($G526,'.Auxiliar'!$G:$G,'.Auxiliar'!E:E,"-",0)</f>
        <v>126</v>
      </c>
      <c r="F526" s="55">
        <f>_xlfn.XLOOKUP($G526,'.Auxiliar'!$G:$G,'.Auxiliar'!F:F,"-",0)</f>
        <v>3.5</v>
      </c>
      <c r="G526" s="59" t="s">
        <v>571</v>
      </c>
      <c r="H526" s="108" t="s">
        <v>363</v>
      </c>
      <c r="I526" s="109" t="s">
        <v>0</v>
      </c>
      <c r="J526" s="109" t="s">
        <v>0</v>
      </c>
      <c r="K526" s="109" t="s">
        <v>363</v>
      </c>
      <c r="L526" s="109" t="s">
        <v>0</v>
      </c>
      <c r="M526" s="109" t="s">
        <v>0</v>
      </c>
      <c r="N526" s="110" t="s">
        <v>0</v>
      </c>
      <c r="O526" s="111">
        <v>100</v>
      </c>
      <c r="P526" s="112">
        <v>100</v>
      </c>
      <c r="Q526" s="112"/>
      <c r="R526" s="112"/>
      <c r="S526" s="112"/>
      <c r="T526" s="112"/>
      <c r="U526" s="95">
        <f t="shared" si="27"/>
        <v>0</v>
      </c>
      <c r="V526" s="112"/>
      <c r="W526" s="112"/>
      <c r="X526" s="107"/>
      <c r="Y526" s="107">
        <f t="shared" si="28"/>
        <v>100</v>
      </c>
      <c r="Z526" s="107">
        <f t="shared" si="29"/>
        <v>100</v>
      </c>
    </row>
    <row r="527" spans="1:26" x14ac:dyDescent="0.25">
      <c r="A527" s="55" t="str">
        <f>_xlfn.XLOOKUP($G527,'.Auxiliar'!$G:$G,'.Auxiliar'!A:A,"-",0)</f>
        <v>PLANALTO</v>
      </c>
      <c r="B527" s="55" t="str">
        <f>_xlfn.XLOOKUP($G527,'.Auxiliar'!$G:$G,'.Auxiliar'!B:B,"-",0)</f>
        <v>TERCEIRA FAIXA</v>
      </c>
      <c r="C527" s="55" t="str">
        <f>_xlfn.XLOOKUP($G527,'.Auxiliar'!$G:$G,'.Auxiliar'!C:C,"-",0)</f>
        <v>Execução de Terceiras Faixas</v>
      </c>
      <c r="D527" s="55">
        <f>_xlfn.XLOOKUP($G527,'.Auxiliar'!$G:$G,'.Auxiliar'!D:D,"-",0)</f>
        <v>126.2</v>
      </c>
      <c r="E527" s="55">
        <f>_xlfn.XLOOKUP($G527,'.Auxiliar'!$G:$G,'.Auxiliar'!E:E,"-",0)</f>
        <v>128.80000000000001</v>
      </c>
      <c r="F527" s="55">
        <f>_xlfn.XLOOKUP($G527,'.Auxiliar'!$G:$G,'.Auxiliar'!F:F,"-",0)</f>
        <v>2.6000000000000085</v>
      </c>
      <c r="G527" s="59" t="s">
        <v>572</v>
      </c>
      <c r="H527" s="108" t="s">
        <v>363</v>
      </c>
      <c r="I527" s="109" t="s">
        <v>0</v>
      </c>
      <c r="J527" s="109" t="s">
        <v>0</v>
      </c>
      <c r="K527" s="109" t="s">
        <v>363</v>
      </c>
      <c r="L527" s="109" t="s">
        <v>0</v>
      </c>
      <c r="M527" s="109" t="s">
        <v>0</v>
      </c>
      <c r="N527" s="110" t="s">
        <v>0</v>
      </c>
      <c r="O527" s="111">
        <v>100</v>
      </c>
      <c r="P527" s="112">
        <v>100</v>
      </c>
      <c r="Q527" s="112"/>
      <c r="R527" s="112"/>
      <c r="S527" s="112"/>
      <c r="T527" s="112"/>
      <c r="U527" s="95">
        <f t="shared" si="27"/>
        <v>0</v>
      </c>
      <c r="V527" s="112"/>
      <c r="W527" s="112"/>
      <c r="X527" s="107"/>
      <c r="Y527" s="107">
        <f t="shared" si="28"/>
        <v>100</v>
      </c>
      <c r="Z527" s="107">
        <f t="shared" si="29"/>
        <v>100</v>
      </c>
    </row>
    <row r="528" spans="1:26" x14ac:dyDescent="0.25">
      <c r="A528" s="55" t="str">
        <f>_xlfn.XLOOKUP($G528,'.Auxiliar'!$G:$G,'.Auxiliar'!A:A,"-",0)</f>
        <v>PLANALTO</v>
      </c>
      <c r="B528" s="55" t="str">
        <f>_xlfn.XLOOKUP($G528,'.Auxiliar'!$G:$G,'.Auxiliar'!B:B,"-",0)</f>
        <v>TERCEIRA FAIXA</v>
      </c>
      <c r="C528" s="55" t="str">
        <f>_xlfn.XLOOKUP($G528,'.Auxiliar'!$G:$G,'.Auxiliar'!C:C,"-",0)</f>
        <v>Execução de Terceiras Faixas</v>
      </c>
      <c r="D528" s="55">
        <f>_xlfn.XLOOKUP($G528,'.Auxiliar'!$G:$G,'.Auxiliar'!D:D,"-",0)</f>
        <v>129.69999999999999</v>
      </c>
      <c r="E528" s="55">
        <f>_xlfn.XLOOKUP($G528,'.Auxiliar'!$G:$G,'.Auxiliar'!E:E,"-",0)</f>
        <v>130.5</v>
      </c>
      <c r="F528" s="55">
        <f>_xlfn.XLOOKUP($G528,'.Auxiliar'!$G:$G,'.Auxiliar'!F:F,"-",0)</f>
        <v>0.80000000000001137</v>
      </c>
      <c r="G528" s="59" t="s">
        <v>573</v>
      </c>
      <c r="H528" s="108" t="s">
        <v>363</v>
      </c>
      <c r="I528" s="109" t="s">
        <v>0</v>
      </c>
      <c r="J528" s="109" t="s">
        <v>0</v>
      </c>
      <c r="K528" s="109" t="s">
        <v>363</v>
      </c>
      <c r="L528" s="109" t="s">
        <v>0</v>
      </c>
      <c r="M528" s="109" t="s">
        <v>0</v>
      </c>
      <c r="N528" s="110" t="s">
        <v>0</v>
      </c>
      <c r="O528" s="111">
        <v>100</v>
      </c>
      <c r="P528" s="112">
        <v>0</v>
      </c>
      <c r="Q528" s="112"/>
      <c r="R528" s="112"/>
      <c r="S528" s="112"/>
      <c r="T528" s="112"/>
      <c r="U528" s="95" t="str">
        <f t="shared" si="27"/>
        <v/>
      </c>
      <c r="V528" s="112"/>
      <c r="W528" s="112"/>
      <c r="X528" s="107">
        <v>100</v>
      </c>
      <c r="Y528" s="107">
        <f t="shared" si="28"/>
        <v>100</v>
      </c>
      <c r="Z528" s="107">
        <f t="shared" si="29"/>
        <v>0</v>
      </c>
    </row>
    <row r="529" spans="1:26" x14ac:dyDescent="0.25">
      <c r="A529" s="55" t="str">
        <f>_xlfn.XLOOKUP($G529,'.Auxiliar'!$G:$G,'.Auxiliar'!A:A,"-",0)</f>
        <v>PLANALTO</v>
      </c>
      <c r="B529" s="55" t="str">
        <f>_xlfn.XLOOKUP($G529,'.Auxiliar'!$G:$G,'.Auxiliar'!B:B,"-",0)</f>
        <v>TERCEIRA FAIXA</v>
      </c>
      <c r="C529" s="55" t="str">
        <f>_xlfn.XLOOKUP($G529,'.Auxiliar'!$G:$G,'.Auxiliar'!C:C,"-",0)</f>
        <v>Execução de Terceiras Faixas</v>
      </c>
      <c r="D529" s="55">
        <f>_xlfn.XLOOKUP($G529,'.Auxiliar'!$G:$G,'.Auxiliar'!D:D,"-",0)</f>
        <v>132.19999999999999</v>
      </c>
      <c r="E529" s="55">
        <f>_xlfn.XLOOKUP($G529,'.Auxiliar'!$G:$G,'.Auxiliar'!E:E,"-",0)</f>
        <v>133.19999999999999</v>
      </c>
      <c r="F529" s="55">
        <f>_xlfn.XLOOKUP($G529,'.Auxiliar'!$G:$G,'.Auxiliar'!F:F,"-",0)</f>
        <v>1</v>
      </c>
      <c r="G529" s="59" t="s">
        <v>574</v>
      </c>
      <c r="H529" s="108" t="s">
        <v>363</v>
      </c>
      <c r="I529" s="109" t="s">
        <v>0</v>
      </c>
      <c r="J529" s="109" t="s">
        <v>0</v>
      </c>
      <c r="K529" s="109" t="s">
        <v>363</v>
      </c>
      <c r="L529" s="109" t="s">
        <v>0</v>
      </c>
      <c r="M529" s="109" t="s">
        <v>0</v>
      </c>
      <c r="N529" s="110" t="s">
        <v>0</v>
      </c>
      <c r="O529" s="111">
        <v>100</v>
      </c>
      <c r="P529" s="112">
        <v>0</v>
      </c>
      <c r="Q529" s="112"/>
      <c r="R529" s="112"/>
      <c r="S529" s="112"/>
      <c r="T529" s="112"/>
      <c r="U529" s="95" t="str">
        <f t="shared" si="27"/>
        <v/>
      </c>
      <c r="V529" s="112"/>
      <c r="W529" s="112"/>
      <c r="X529" s="107">
        <v>100</v>
      </c>
      <c r="Y529" s="107">
        <f t="shared" si="28"/>
        <v>100</v>
      </c>
      <c r="Z529" s="107">
        <f t="shared" si="29"/>
        <v>0</v>
      </c>
    </row>
    <row r="530" spans="1:26" x14ac:dyDescent="0.25">
      <c r="A530" s="55" t="str">
        <f>_xlfn.XLOOKUP($G530,'.Auxiliar'!$G:$G,'.Auxiliar'!A:A,"-",0)</f>
        <v>PLANALTO</v>
      </c>
      <c r="B530" s="55" t="str">
        <f>_xlfn.XLOOKUP($G530,'.Auxiliar'!$G:$G,'.Auxiliar'!B:B,"-",0)</f>
        <v>TERCEIRA FAIXA</v>
      </c>
      <c r="C530" s="55" t="str">
        <f>_xlfn.XLOOKUP($G530,'.Auxiliar'!$G:$G,'.Auxiliar'!C:C,"-",0)</f>
        <v>Execução de Terceiras Faixas</v>
      </c>
      <c r="D530" s="55">
        <f>_xlfn.XLOOKUP($G530,'.Auxiliar'!$G:$G,'.Auxiliar'!D:D,"-",0)</f>
        <v>134.69999999999999</v>
      </c>
      <c r="E530" s="55">
        <f>_xlfn.XLOOKUP($G530,'.Auxiliar'!$G:$G,'.Auxiliar'!E:E,"-",0)</f>
        <v>136.30000000000001</v>
      </c>
      <c r="F530" s="55">
        <f>_xlfn.XLOOKUP($G530,'.Auxiliar'!$G:$G,'.Auxiliar'!F:F,"-",0)</f>
        <v>1.6000000000000227</v>
      </c>
      <c r="G530" s="59" t="s">
        <v>575</v>
      </c>
      <c r="H530" s="108" t="s">
        <v>363</v>
      </c>
      <c r="I530" s="109" t="s">
        <v>0</v>
      </c>
      <c r="J530" s="109" t="s">
        <v>0</v>
      </c>
      <c r="K530" s="109" t="s">
        <v>363</v>
      </c>
      <c r="L530" s="109" t="s">
        <v>0</v>
      </c>
      <c r="M530" s="109" t="s">
        <v>0</v>
      </c>
      <c r="N530" s="110" t="s">
        <v>0</v>
      </c>
      <c r="O530" s="111">
        <v>100</v>
      </c>
      <c r="P530" s="112">
        <v>100</v>
      </c>
      <c r="Q530" s="112"/>
      <c r="R530" s="112"/>
      <c r="S530" s="112"/>
      <c r="T530" s="112"/>
      <c r="U530" s="95">
        <f t="shared" si="27"/>
        <v>0</v>
      </c>
      <c r="V530" s="112"/>
      <c r="W530" s="112"/>
      <c r="X530" s="107"/>
      <c r="Y530" s="107">
        <f t="shared" si="28"/>
        <v>100</v>
      </c>
      <c r="Z530" s="107">
        <f t="shared" si="29"/>
        <v>100</v>
      </c>
    </row>
    <row r="531" spans="1:26" x14ac:dyDescent="0.25">
      <c r="A531" s="55" t="str">
        <f>_xlfn.XLOOKUP($G531,'.Auxiliar'!$G:$G,'.Auxiliar'!A:A,"-",0)</f>
        <v>PLANALTO</v>
      </c>
      <c r="B531" s="55" t="str">
        <f>_xlfn.XLOOKUP($G531,'.Auxiliar'!$G:$G,'.Auxiliar'!B:B,"-",0)</f>
        <v>TERCEIRA FAIXA</v>
      </c>
      <c r="C531" s="55" t="str">
        <f>_xlfn.XLOOKUP($G531,'.Auxiliar'!$G:$G,'.Auxiliar'!C:C,"-",0)</f>
        <v>Execução de Terceiras Faixas</v>
      </c>
      <c r="D531" s="55">
        <f>_xlfn.XLOOKUP($G531,'.Auxiliar'!$G:$G,'.Auxiliar'!D:D,"-",0)</f>
        <v>136.69999999999999</v>
      </c>
      <c r="E531" s="55">
        <f>_xlfn.XLOOKUP($G531,'.Auxiliar'!$G:$G,'.Auxiliar'!E:E,"-",0)</f>
        <v>139.5</v>
      </c>
      <c r="F531" s="55">
        <f>_xlfn.XLOOKUP($G531,'.Auxiliar'!$G:$G,'.Auxiliar'!F:F,"-",0)</f>
        <v>2.8000000000000114</v>
      </c>
      <c r="G531" s="59" t="s">
        <v>576</v>
      </c>
      <c r="H531" s="108" t="s">
        <v>363</v>
      </c>
      <c r="I531" s="109" t="s">
        <v>0</v>
      </c>
      <c r="J531" s="109" t="s">
        <v>0</v>
      </c>
      <c r="K531" s="109" t="s">
        <v>363</v>
      </c>
      <c r="L531" s="109" t="s">
        <v>0</v>
      </c>
      <c r="M531" s="109" t="s">
        <v>0</v>
      </c>
      <c r="N531" s="110" t="s">
        <v>0</v>
      </c>
      <c r="O531" s="111">
        <v>100</v>
      </c>
      <c r="P531" s="112">
        <v>100</v>
      </c>
      <c r="Q531" s="112"/>
      <c r="R531" s="112"/>
      <c r="S531" s="112"/>
      <c r="T531" s="112"/>
      <c r="U531" s="95">
        <f t="shared" si="27"/>
        <v>0</v>
      </c>
      <c r="V531" s="112"/>
      <c r="W531" s="112"/>
      <c r="X531" s="107"/>
      <c r="Y531" s="107">
        <f t="shared" si="28"/>
        <v>100</v>
      </c>
      <c r="Z531" s="107">
        <f t="shared" si="29"/>
        <v>100</v>
      </c>
    </row>
    <row r="532" spans="1:26" x14ac:dyDescent="0.25">
      <c r="A532" s="55" t="str">
        <f>_xlfn.XLOOKUP($G532,'.Auxiliar'!$G:$G,'.Auxiliar'!A:A,"-",0)</f>
        <v>PLANALTO</v>
      </c>
      <c r="B532" s="55" t="str">
        <f>_xlfn.XLOOKUP($G532,'.Auxiliar'!$G:$G,'.Auxiliar'!B:B,"-",0)</f>
        <v>TERCEIRA FAIXA</v>
      </c>
      <c r="C532" s="55" t="str">
        <f>_xlfn.XLOOKUP($G532,'.Auxiliar'!$G:$G,'.Auxiliar'!C:C,"-",0)</f>
        <v>Execução de Terceiras Faixas</v>
      </c>
      <c r="D532" s="55">
        <f>_xlfn.XLOOKUP($G532,'.Auxiliar'!$G:$G,'.Auxiliar'!D:D,"-",0)</f>
        <v>156.1</v>
      </c>
      <c r="E532" s="55">
        <f>_xlfn.XLOOKUP($G532,'.Auxiliar'!$G:$G,'.Auxiliar'!E:E,"-",0)</f>
        <v>158.4</v>
      </c>
      <c r="F532" s="55">
        <f>_xlfn.XLOOKUP($G532,'.Auxiliar'!$G:$G,'.Auxiliar'!F:F,"-",0)</f>
        <v>2.3000000000000114</v>
      </c>
      <c r="G532" s="59" t="s">
        <v>577</v>
      </c>
      <c r="H532" s="108" t="s">
        <v>363</v>
      </c>
      <c r="I532" s="109" t="s">
        <v>0</v>
      </c>
      <c r="J532" s="109" t="s">
        <v>0</v>
      </c>
      <c r="K532" s="109" t="s">
        <v>363</v>
      </c>
      <c r="L532" s="109" t="s">
        <v>0</v>
      </c>
      <c r="M532" s="109" t="s">
        <v>0</v>
      </c>
      <c r="N532" s="110" t="s">
        <v>0</v>
      </c>
      <c r="O532" s="111">
        <v>100</v>
      </c>
      <c r="P532" s="112">
        <v>100</v>
      </c>
      <c r="Q532" s="112"/>
      <c r="R532" s="112"/>
      <c r="S532" s="112"/>
      <c r="T532" s="112"/>
      <c r="U532" s="95">
        <f t="shared" si="27"/>
        <v>0</v>
      </c>
      <c r="V532" s="112"/>
      <c r="W532" s="112"/>
      <c r="X532" s="107"/>
      <c r="Y532" s="107">
        <f t="shared" si="28"/>
        <v>100</v>
      </c>
      <c r="Z532" s="107">
        <f t="shared" si="29"/>
        <v>100</v>
      </c>
    </row>
    <row r="533" spans="1:26" x14ac:dyDescent="0.25">
      <c r="A533" s="55" t="str">
        <f>_xlfn.XLOOKUP($G533,'.Auxiliar'!$G:$G,'.Auxiliar'!A:A,"-",0)</f>
        <v>PLANALTO</v>
      </c>
      <c r="B533" s="55" t="str">
        <f>_xlfn.XLOOKUP($G533,'.Auxiliar'!$G:$G,'.Auxiliar'!B:B,"-",0)</f>
        <v>TERCEIRA FAIXA</v>
      </c>
      <c r="C533" s="55" t="str">
        <f>_xlfn.XLOOKUP($G533,'.Auxiliar'!$G:$G,'.Auxiliar'!C:C,"-",0)</f>
        <v>Execução de Terceiras Faixas</v>
      </c>
      <c r="D533" s="55">
        <f>_xlfn.XLOOKUP($G533,'.Auxiliar'!$G:$G,'.Auxiliar'!D:D,"-",0)</f>
        <v>179</v>
      </c>
      <c r="E533" s="55">
        <f>_xlfn.XLOOKUP($G533,'.Auxiliar'!$G:$G,'.Auxiliar'!E:E,"-",0)</f>
        <v>179.2</v>
      </c>
      <c r="F533" s="55">
        <f>_xlfn.XLOOKUP($G533,'.Auxiliar'!$G:$G,'.Auxiliar'!F:F,"-",0)</f>
        <v>0.19999999999998863</v>
      </c>
      <c r="G533" s="59" t="s">
        <v>578</v>
      </c>
      <c r="H533" s="108" t="s">
        <v>363</v>
      </c>
      <c r="I533" s="109" t="s">
        <v>0</v>
      </c>
      <c r="J533" s="109" t="s">
        <v>0</v>
      </c>
      <c r="K533" s="109" t="s">
        <v>363</v>
      </c>
      <c r="L533" s="109" t="s">
        <v>0</v>
      </c>
      <c r="M533" s="109" t="s">
        <v>0</v>
      </c>
      <c r="N533" s="110" t="s">
        <v>0</v>
      </c>
      <c r="O533" s="111">
        <v>100</v>
      </c>
      <c r="P533" s="112">
        <v>0</v>
      </c>
      <c r="Q533" s="112"/>
      <c r="R533" s="112"/>
      <c r="S533" s="112"/>
      <c r="T533" s="112"/>
      <c r="U533" s="95" t="str">
        <f t="shared" si="27"/>
        <v/>
      </c>
      <c r="V533" s="112"/>
      <c r="W533" s="112"/>
      <c r="X533" s="107">
        <v>100</v>
      </c>
      <c r="Y533" s="107">
        <f t="shared" si="28"/>
        <v>100</v>
      </c>
      <c r="Z533" s="107">
        <f t="shared" si="29"/>
        <v>0</v>
      </c>
    </row>
    <row r="534" spans="1:26" x14ac:dyDescent="0.25">
      <c r="A534" s="55" t="str">
        <f>_xlfn.XLOOKUP($G534,'.Auxiliar'!$G:$G,'.Auxiliar'!A:A,"-",0)</f>
        <v>PLANALTO</v>
      </c>
      <c r="B534" s="55" t="str">
        <f>_xlfn.XLOOKUP($G534,'.Auxiliar'!$G:$G,'.Auxiliar'!B:B,"-",0)</f>
        <v>TERCEIRA FAIXA</v>
      </c>
      <c r="C534" s="55" t="str">
        <f>_xlfn.XLOOKUP($G534,'.Auxiliar'!$G:$G,'.Auxiliar'!C:C,"-",0)</f>
        <v>Execução de Terceiras Faixas</v>
      </c>
      <c r="D534" s="55">
        <f>_xlfn.XLOOKUP($G534,'.Auxiliar'!$G:$G,'.Auxiliar'!D:D,"-",0)</f>
        <v>188</v>
      </c>
      <c r="E534" s="55">
        <f>_xlfn.XLOOKUP($G534,'.Auxiliar'!$G:$G,'.Auxiliar'!E:E,"-",0)</f>
        <v>189.5</v>
      </c>
      <c r="F534" s="55">
        <f>_xlfn.XLOOKUP($G534,'.Auxiliar'!$G:$G,'.Auxiliar'!F:F,"-",0)</f>
        <v>1.5</v>
      </c>
      <c r="G534" s="59" t="s">
        <v>560</v>
      </c>
      <c r="H534" s="108" t="s">
        <v>363</v>
      </c>
      <c r="I534" s="109" t="s">
        <v>0</v>
      </c>
      <c r="J534" s="109" t="s">
        <v>0</v>
      </c>
      <c r="K534" s="109" t="s">
        <v>0</v>
      </c>
      <c r="L534" s="109" t="s">
        <v>0</v>
      </c>
      <c r="M534" s="109" t="s">
        <v>0</v>
      </c>
      <c r="N534" s="110" t="s">
        <v>0</v>
      </c>
      <c r="O534" s="111">
        <v>100</v>
      </c>
      <c r="P534" s="112">
        <v>0</v>
      </c>
      <c r="Q534" s="112"/>
      <c r="R534" s="112"/>
      <c r="S534" s="112"/>
      <c r="T534" s="112"/>
      <c r="U534" s="95" t="str">
        <f t="shared" si="27"/>
        <v/>
      </c>
      <c r="V534" s="112"/>
      <c r="W534" s="112"/>
      <c r="X534" s="107">
        <v>100</v>
      </c>
      <c r="Y534" s="107">
        <f t="shared" si="28"/>
        <v>100</v>
      </c>
      <c r="Z534" s="107">
        <f t="shared" si="29"/>
        <v>0</v>
      </c>
    </row>
    <row r="535" spans="1:26" x14ac:dyDescent="0.25">
      <c r="A535" s="55" t="str">
        <f>_xlfn.XLOOKUP($G535,'.Auxiliar'!$G:$G,'.Auxiliar'!A:A,"-",0)</f>
        <v>PLANALTO</v>
      </c>
      <c r="B535" s="55" t="str">
        <f>_xlfn.XLOOKUP($G535,'.Auxiliar'!$G:$G,'.Auxiliar'!B:B,"-",0)</f>
        <v>TERCEIRA FAIXA</v>
      </c>
      <c r="C535" s="55" t="str">
        <f>_xlfn.XLOOKUP($G535,'.Auxiliar'!$G:$G,'.Auxiliar'!C:C,"-",0)</f>
        <v>Execução de Terceiras Faixas</v>
      </c>
      <c r="D535" s="55">
        <f>_xlfn.XLOOKUP($G535,'.Auxiliar'!$G:$G,'.Auxiliar'!D:D,"-",0)</f>
        <v>193.4</v>
      </c>
      <c r="E535" s="55">
        <f>_xlfn.XLOOKUP($G535,'.Auxiliar'!$G:$G,'.Auxiliar'!E:E,"-",0)</f>
        <v>195.3</v>
      </c>
      <c r="F535" s="55">
        <f>_xlfn.XLOOKUP($G535,'.Auxiliar'!$G:$G,'.Auxiliar'!F:F,"-",0)</f>
        <v>1.9000000000000057</v>
      </c>
      <c r="G535" s="59" t="s">
        <v>561</v>
      </c>
      <c r="H535" s="108" t="s">
        <v>363</v>
      </c>
      <c r="I535" s="109" t="s">
        <v>0</v>
      </c>
      <c r="J535" s="109" t="s">
        <v>0</v>
      </c>
      <c r="K535" s="109" t="s">
        <v>0</v>
      </c>
      <c r="L535" s="109" t="s">
        <v>0</v>
      </c>
      <c r="M535" s="109" t="s">
        <v>0</v>
      </c>
      <c r="N535" s="110" t="s">
        <v>0</v>
      </c>
      <c r="O535" s="111">
        <v>100</v>
      </c>
      <c r="P535" s="112">
        <v>0</v>
      </c>
      <c r="Q535" s="112"/>
      <c r="R535" s="112"/>
      <c r="S535" s="112"/>
      <c r="T535" s="112"/>
      <c r="U535" s="95" t="str">
        <f t="shared" si="27"/>
        <v/>
      </c>
      <c r="V535" s="112"/>
      <c r="W535" s="112"/>
      <c r="X535" s="107">
        <v>100</v>
      </c>
      <c r="Y535" s="107">
        <f t="shared" si="28"/>
        <v>100</v>
      </c>
      <c r="Z535" s="107">
        <f t="shared" si="29"/>
        <v>0</v>
      </c>
    </row>
    <row r="536" spans="1:26" x14ac:dyDescent="0.25">
      <c r="A536" s="55" t="str">
        <f>_xlfn.XLOOKUP($G536,'.Auxiliar'!$G:$G,'.Auxiliar'!A:A,"-",0)</f>
        <v>PLANALTO</v>
      </c>
      <c r="B536" s="55" t="str">
        <f>_xlfn.XLOOKUP($G536,'.Auxiliar'!$G:$G,'.Auxiliar'!B:B,"-",0)</f>
        <v>TERCEIRA FAIXA</v>
      </c>
      <c r="C536" s="55" t="str">
        <f>_xlfn.XLOOKUP($G536,'.Auxiliar'!$G:$G,'.Auxiliar'!C:C,"-",0)</f>
        <v>Execução de Terceiras Faixas</v>
      </c>
      <c r="D536" s="55">
        <f>_xlfn.XLOOKUP($G536,'.Auxiliar'!$G:$G,'.Auxiliar'!D:D,"-",0)</f>
        <v>196</v>
      </c>
      <c r="E536" s="55">
        <f>_xlfn.XLOOKUP($G536,'.Auxiliar'!$G:$G,'.Auxiliar'!E:E,"-",0)</f>
        <v>199.2</v>
      </c>
      <c r="F536" s="55">
        <f>_xlfn.XLOOKUP($G536,'.Auxiliar'!$G:$G,'.Auxiliar'!F:F,"-",0)</f>
        <v>3.1999999999999886</v>
      </c>
      <c r="G536" s="59" t="s">
        <v>562</v>
      </c>
      <c r="H536" s="108" t="s">
        <v>363</v>
      </c>
      <c r="I536" s="109" t="s">
        <v>0</v>
      </c>
      <c r="J536" s="109" t="s">
        <v>0</v>
      </c>
      <c r="K536" s="109" t="s">
        <v>0</v>
      </c>
      <c r="L536" s="109" t="s">
        <v>0</v>
      </c>
      <c r="M536" s="109" t="s">
        <v>0</v>
      </c>
      <c r="N536" s="110" t="s">
        <v>0</v>
      </c>
      <c r="O536" s="111">
        <v>100</v>
      </c>
      <c r="P536" s="112">
        <v>0</v>
      </c>
      <c r="Q536" s="112"/>
      <c r="R536" s="112"/>
      <c r="S536" s="112"/>
      <c r="T536" s="112"/>
      <c r="U536" s="95" t="str">
        <f t="shared" si="27"/>
        <v/>
      </c>
      <c r="V536" s="112"/>
      <c r="W536" s="112"/>
      <c r="X536" s="107">
        <v>100</v>
      </c>
      <c r="Y536" s="107">
        <f t="shared" si="28"/>
        <v>100</v>
      </c>
      <c r="Z536" s="107">
        <f t="shared" si="29"/>
        <v>0</v>
      </c>
    </row>
    <row r="537" spans="1:26" x14ac:dyDescent="0.25">
      <c r="A537" s="55" t="str">
        <f>_xlfn.XLOOKUP($G537,'.Auxiliar'!$G:$G,'.Auxiliar'!A:A,"-",0)</f>
        <v>PLANALTO</v>
      </c>
      <c r="B537" s="55" t="str">
        <f>_xlfn.XLOOKUP($G537,'.Auxiliar'!$G:$G,'.Auxiliar'!B:B,"-",0)</f>
        <v>TERCEIRA FAIXA</v>
      </c>
      <c r="C537" s="55" t="str">
        <f>_xlfn.XLOOKUP($G537,'.Auxiliar'!$G:$G,'.Auxiliar'!C:C,"-",0)</f>
        <v>Execução de Terceiras Faixas</v>
      </c>
      <c r="D537" s="55">
        <f>_xlfn.XLOOKUP($G537,'.Auxiliar'!$G:$G,'.Auxiliar'!D:D,"-",0)</f>
        <v>211</v>
      </c>
      <c r="E537" s="55">
        <f>_xlfn.XLOOKUP($G537,'.Auxiliar'!$G:$G,'.Auxiliar'!E:E,"-",0)</f>
        <v>212.5</v>
      </c>
      <c r="F537" s="55">
        <f>_xlfn.XLOOKUP($G537,'.Auxiliar'!$G:$G,'.Auxiliar'!F:F,"-",0)</f>
        <v>1.5</v>
      </c>
      <c r="G537" s="59" t="s">
        <v>579</v>
      </c>
      <c r="H537" s="108" t="s">
        <v>363</v>
      </c>
      <c r="I537" s="109" t="s">
        <v>0</v>
      </c>
      <c r="J537" s="109" t="s">
        <v>0</v>
      </c>
      <c r="K537" s="109" t="s">
        <v>363</v>
      </c>
      <c r="L537" s="109" t="s">
        <v>0</v>
      </c>
      <c r="M537" s="109" t="s">
        <v>0</v>
      </c>
      <c r="N537" s="110" t="s">
        <v>0</v>
      </c>
      <c r="O537" s="111">
        <v>100</v>
      </c>
      <c r="P537" s="112">
        <v>100</v>
      </c>
      <c r="Q537" s="112"/>
      <c r="R537" s="112"/>
      <c r="S537" s="112"/>
      <c r="T537" s="112"/>
      <c r="U537" s="95">
        <f t="shared" si="27"/>
        <v>0</v>
      </c>
      <c r="V537" s="112"/>
      <c r="W537" s="112"/>
      <c r="X537" s="107"/>
      <c r="Y537" s="107">
        <f t="shared" si="28"/>
        <v>100</v>
      </c>
      <c r="Z537" s="107">
        <f t="shared" si="29"/>
        <v>100</v>
      </c>
    </row>
    <row r="538" spans="1:26" x14ac:dyDescent="0.25">
      <c r="A538" s="55" t="str">
        <f>_xlfn.XLOOKUP($G538,'.Auxiliar'!$G:$G,'.Auxiliar'!A:A,"-",0)</f>
        <v>PLANALTO</v>
      </c>
      <c r="B538" s="55" t="str">
        <f>_xlfn.XLOOKUP($G538,'.Auxiliar'!$G:$G,'.Auxiliar'!B:B,"-",0)</f>
        <v>TERCEIRA FAIXA</v>
      </c>
      <c r="C538" s="55" t="str">
        <f>_xlfn.XLOOKUP($G538,'.Auxiliar'!$G:$G,'.Auxiliar'!C:C,"-",0)</f>
        <v>Execução de Terceiras Faixas</v>
      </c>
      <c r="D538" s="55">
        <f>_xlfn.XLOOKUP($G538,'.Auxiliar'!$G:$G,'.Auxiliar'!D:D,"-",0)</f>
        <v>212.5</v>
      </c>
      <c r="E538" s="55">
        <f>_xlfn.XLOOKUP($G538,'.Auxiliar'!$G:$G,'.Auxiliar'!E:E,"-",0)</f>
        <v>215</v>
      </c>
      <c r="F538" s="55">
        <f>_xlfn.XLOOKUP($G538,'.Auxiliar'!$G:$G,'.Auxiliar'!F:F,"-",0)</f>
        <v>2.5</v>
      </c>
      <c r="G538" s="59" t="s">
        <v>580</v>
      </c>
      <c r="H538" s="108" t="s">
        <v>363</v>
      </c>
      <c r="I538" s="109" t="s">
        <v>0</v>
      </c>
      <c r="J538" s="109" t="s">
        <v>0</v>
      </c>
      <c r="K538" s="109" t="s">
        <v>363</v>
      </c>
      <c r="L538" s="109" t="s">
        <v>0</v>
      </c>
      <c r="M538" s="109" t="s">
        <v>0</v>
      </c>
      <c r="N538" s="110" t="s">
        <v>0</v>
      </c>
      <c r="O538" s="111">
        <v>100</v>
      </c>
      <c r="P538" s="112">
        <v>100</v>
      </c>
      <c r="Q538" s="112"/>
      <c r="R538" s="112"/>
      <c r="S538" s="112"/>
      <c r="T538" s="112"/>
      <c r="U538" s="95">
        <f t="shared" si="27"/>
        <v>0</v>
      </c>
      <c r="V538" s="112"/>
      <c r="W538" s="112"/>
      <c r="X538" s="107"/>
      <c r="Y538" s="107">
        <f t="shared" si="28"/>
        <v>100</v>
      </c>
      <c r="Z538" s="107">
        <f t="shared" si="29"/>
        <v>100</v>
      </c>
    </row>
    <row r="539" spans="1:26" x14ac:dyDescent="0.25">
      <c r="A539" s="55" t="str">
        <f>_xlfn.XLOOKUP($G539,'.Auxiliar'!$G:$G,'.Auxiliar'!A:A,"-",0)</f>
        <v>PLANALTO</v>
      </c>
      <c r="B539" s="55" t="str">
        <f>_xlfn.XLOOKUP($G539,'.Auxiliar'!$G:$G,'.Auxiliar'!B:B,"-",0)</f>
        <v>TERCEIRA FAIXA</v>
      </c>
      <c r="C539" s="55" t="str">
        <f>_xlfn.XLOOKUP($G539,'.Auxiliar'!$G:$G,'.Auxiliar'!C:C,"-",0)</f>
        <v>Execução de Terceiras Faixas</v>
      </c>
      <c r="D539" s="55">
        <f>_xlfn.XLOOKUP($G539,'.Auxiliar'!$G:$G,'.Auxiliar'!D:D,"-",0)</f>
        <v>304</v>
      </c>
      <c r="E539" s="55">
        <f>_xlfn.XLOOKUP($G539,'.Auxiliar'!$G:$G,'.Auxiliar'!E:E,"-",0)</f>
        <v>310</v>
      </c>
      <c r="F539" s="55">
        <f>_xlfn.XLOOKUP($G539,'.Auxiliar'!$G:$G,'.Auxiliar'!F:F,"-",0)</f>
        <v>6</v>
      </c>
      <c r="G539" s="59" t="s">
        <v>581</v>
      </c>
      <c r="H539" s="108" t="s">
        <v>363</v>
      </c>
      <c r="I539" s="109" t="s">
        <v>0</v>
      </c>
      <c r="J539" s="109" t="s">
        <v>0</v>
      </c>
      <c r="K539" s="109" t="s">
        <v>363</v>
      </c>
      <c r="L539" s="109" t="s">
        <v>0</v>
      </c>
      <c r="M539" s="109" t="s">
        <v>0</v>
      </c>
      <c r="N539" s="110" t="s">
        <v>0</v>
      </c>
      <c r="O539" s="111">
        <v>100</v>
      </c>
      <c r="P539" s="112">
        <v>0</v>
      </c>
      <c r="Q539" s="112"/>
      <c r="R539" s="112"/>
      <c r="S539" s="112">
        <v>17.559999999999999</v>
      </c>
      <c r="T539" s="112">
        <v>0</v>
      </c>
      <c r="U539" s="95">
        <f t="shared" si="27"/>
        <v>100</v>
      </c>
      <c r="V539" s="112">
        <f>100-S539</f>
        <v>82.44</v>
      </c>
      <c r="W539" s="112"/>
      <c r="X539" s="107"/>
      <c r="Y539" s="107">
        <f t="shared" si="28"/>
        <v>100</v>
      </c>
      <c r="Z539" s="107">
        <f t="shared" si="29"/>
        <v>0</v>
      </c>
    </row>
    <row r="540" spans="1:26" x14ac:dyDescent="0.25">
      <c r="A540" s="55" t="str">
        <f>_xlfn.XLOOKUP($G540,'.Auxiliar'!$G:$G,'.Auxiliar'!A:A,"-",0)</f>
        <v>REGIS</v>
      </c>
      <c r="B540" s="55" t="str">
        <f>_xlfn.XLOOKUP($G540,'.Auxiliar'!$G:$G,'.Auxiliar'!B:B,"-",0)</f>
        <v>CONTORNO</v>
      </c>
      <c r="C540" s="55" t="str">
        <f>_xlfn.XLOOKUP($G540,'.Auxiliar'!$G:$G,'.Auxiliar'!C:C,"-",0)</f>
        <v>Contorno Norte de Curitiba em pista dupla</v>
      </c>
      <c r="D540" s="55">
        <f>_xlfn.XLOOKUP($G540,'.Auxiliar'!$G:$G,'.Auxiliar'!D:D,"-",0)</f>
        <v>0</v>
      </c>
      <c r="E540" s="55">
        <f>_xlfn.XLOOKUP($G540,'.Auxiliar'!$G:$G,'.Auxiliar'!E:E,"-",0)</f>
        <v>11.785</v>
      </c>
      <c r="F540" s="55">
        <f>_xlfn.XLOOKUP($G540,'.Auxiliar'!$G:$G,'.Auxiliar'!F:F,"-",0)</f>
        <v>23.57</v>
      </c>
      <c r="G540" s="59" t="s">
        <v>605</v>
      </c>
      <c r="H540" s="108" t="s">
        <v>363</v>
      </c>
      <c r="I540" s="109" t="s">
        <v>0</v>
      </c>
      <c r="J540" s="109" t="s">
        <v>0</v>
      </c>
      <c r="K540" s="109" t="s">
        <v>363</v>
      </c>
      <c r="L540" s="109" t="s">
        <v>0</v>
      </c>
      <c r="M540" s="109" t="s">
        <v>0</v>
      </c>
      <c r="N540" s="110" t="s">
        <v>0</v>
      </c>
      <c r="O540" s="111">
        <v>100</v>
      </c>
      <c r="P540" s="112">
        <v>0</v>
      </c>
      <c r="Q540" s="112">
        <v>100</v>
      </c>
      <c r="R540" s="112">
        <v>0</v>
      </c>
      <c r="S540" s="95"/>
      <c r="T540" s="112"/>
      <c r="U540" s="95" t="str">
        <f t="shared" si="27"/>
        <v/>
      </c>
      <c r="V540" s="112"/>
      <c r="W540" s="112">
        <v>33</v>
      </c>
      <c r="X540" s="107">
        <v>67</v>
      </c>
      <c r="Y540" s="107">
        <f t="shared" si="28"/>
        <v>100</v>
      </c>
      <c r="Z540" s="107">
        <f t="shared" si="29"/>
        <v>0</v>
      </c>
    </row>
    <row r="541" spans="1:26" x14ac:dyDescent="0.25">
      <c r="A541" s="55" t="str">
        <f>_xlfn.XLOOKUP($G541,'.Auxiliar'!$G:$G,'.Auxiliar'!A:A,"-",0)</f>
        <v>REGIS</v>
      </c>
      <c r="B541" s="55" t="str">
        <f>_xlfn.XLOOKUP($G541,'.Auxiliar'!$G:$G,'.Auxiliar'!B:B,"-",0)</f>
        <v>DUPLICAÇÃO</v>
      </c>
      <c r="C541" s="55" t="str">
        <f>_xlfn.XLOOKUP($G541,'.Auxiliar'!$G:$G,'.Auxiliar'!C:C,"-",0)</f>
        <v>Duplicação - Execução da segunda pista no trecho da Serra do Cafezal</v>
      </c>
      <c r="D541" s="55">
        <f>_xlfn.XLOOKUP($G541,'.Auxiliar'!$G:$G,'.Auxiliar'!D:D,"-",0)</f>
        <v>336.7</v>
      </c>
      <c r="E541" s="55">
        <f>_xlfn.XLOOKUP($G541,'.Auxiliar'!$G:$G,'.Auxiliar'!E:E,"-",0)</f>
        <v>367.2</v>
      </c>
      <c r="F541" s="55">
        <f>_xlfn.XLOOKUP($G541,'.Auxiliar'!$G:$G,'.Auxiliar'!F:F,"-",0)</f>
        <v>30.5</v>
      </c>
      <c r="G541" s="59" t="s">
        <v>585</v>
      </c>
      <c r="H541" s="108" t="s">
        <v>363</v>
      </c>
      <c r="I541" s="109" t="s">
        <v>0</v>
      </c>
      <c r="J541" s="109" t="s">
        <v>0</v>
      </c>
      <c r="K541" s="109" t="s">
        <v>0</v>
      </c>
      <c r="L541" s="109" t="s">
        <v>0</v>
      </c>
      <c r="M541" s="109" t="s">
        <v>0</v>
      </c>
      <c r="N541" s="110" t="s">
        <v>0</v>
      </c>
      <c r="O541" s="111">
        <v>100</v>
      </c>
      <c r="P541" s="112">
        <v>100</v>
      </c>
      <c r="Q541" s="112"/>
      <c r="R541" s="112"/>
      <c r="S541" s="112"/>
      <c r="T541" s="112"/>
      <c r="U541" s="95">
        <f t="shared" si="27"/>
        <v>0</v>
      </c>
      <c r="V541" s="112"/>
      <c r="W541" s="112"/>
      <c r="X541" s="107"/>
      <c r="Y541" s="107">
        <f t="shared" si="28"/>
        <v>100</v>
      </c>
      <c r="Z541" s="107">
        <f t="shared" si="29"/>
        <v>100</v>
      </c>
    </row>
    <row r="542" spans="1:26" x14ac:dyDescent="0.25">
      <c r="A542" s="55" t="str">
        <f>_xlfn.XLOOKUP($G542,'.Auxiliar'!$G:$G,'.Auxiliar'!A:A,"-",0)</f>
        <v>REGIS</v>
      </c>
      <c r="B542" s="55" t="str">
        <f>_xlfn.XLOOKUP($G542,'.Auxiliar'!$G:$G,'.Auxiliar'!B:B,"-",0)</f>
        <v>OAE</v>
      </c>
      <c r="C542" s="55" t="str">
        <f>_xlfn.XLOOKUP($G542,'.Auxiliar'!$G:$G,'.Auxiliar'!C:C,"-",0)</f>
        <v>Implantação de Passagens em Desnível Inferior tipo Galeria − BR-116/SP</v>
      </c>
      <c r="D542" s="55">
        <f>_xlfn.XLOOKUP($G542,'.Auxiliar'!$G:$G,'.Auxiliar'!D:D,"-",0)</f>
        <v>370</v>
      </c>
      <c r="E542" s="55">
        <f>_xlfn.XLOOKUP($G542,'.Auxiliar'!$G:$G,'.Auxiliar'!E:E,"-",0)</f>
        <v>370</v>
      </c>
      <c r="F542" s="55">
        <f>_xlfn.XLOOKUP($G542,'.Auxiliar'!$G:$G,'.Auxiliar'!F:F,"-",0)</f>
        <v>1</v>
      </c>
      <c r="G542" s="59" t="s">
        <v>604</v>
      </c>
      <c r="H542" s="108" t="s">
        <v>363</v>
      </c>
      <c r="I542" s="109" t="s">
        <v>0</v>
      </c>
      <c r="J542" s="109" t="s">
        <v>0</v>
      </c>
      <c r="K542" s="109" t="s">
        <v>0</v>
      </c>
      <c r="L542" s="109" t="s">
        <v>0</v>
      </c>
      <c r="M542" s="109" t="s">
        <v>0</v>
      </c>
      <c r="N542" s="110" t="s">
        <v>0</v>
      </c>
      <c r="O542" s="111">
        <v>100</v>
      </c>
      <c r="P542" s="112">
        <v>100</v>
      </c>
      <c r="Q542" s="112"/>
      <c r="R542" s="112"/>
      <c r="S542" s="112"/>
      <c r="T542" s="112"/>
      <c r="U542" s="95">
        <f t="shared" si="27"/>
        <v>0</v>
      </c>
      <c r="V542" s="112"/>
      <c r="W542" s="112"/>
      <c r="X542" s="107"/>
      <c r="Y542" s="107">
        <f t="shared" si="28"/>
        <v>100</v>
      </c>
      <c r="Z542" s="107">
        <f t="shared" si="29"/>
        <v>100</v>
      </c>
    </row>
    <row r="543" spans="1:26" x14ac:dyDescent="0.25">
      <c r="A543" s="55" t="str">
        <f>_xlfn.XLOOKUP($G543,'.Auxiliar'!$G:$G,'.Auxiliar'!A:A,"-",0)</f>
        <v>REGIS</v>
      </c>
      <c r="B543" s="55" t="str">
        <f>_xlfn.XLOOKUP($G543,'.Auxiliar'!$G:$G,'.Auxiliar'!B:B,"-",0)</f>
        <v>OAE</v>
      </c>
      <c r="C543" s="55" t="str">
        <f>_xlfn.XLOOKUP($G543,'.Auxiliar'!$G:$G,'.Auxiliar'!C:C,"-",0)</f>
        <v>Implantação de Passagens em Desnível Inferior tipo Galeria - Locais a definir - 4 unidades</v>
      </c>
      <c r="D543" s="55">
        <f>_xlfn.XLOOKUP($G543,'.Auxiliar'!$G:$G,'.Auxiliar'!D:D,"-",0)</f>
        <v>1</v>
      </c>
      <c r="E543" s="55">
        <f>_xlfn.XLOOKUP($G543,'.Auxiliar'!$G:$G,'.Auxiliar'!E:E,"-",0)</f>
        <v>1</v>
      </c>
      <c r="F543" s="55">
        <f>_xlfn.XLOOKUP($G543,'.Auxiliar'!$G:$G,'.Auxiliar'!F:F,"-",0)</f>
        <v>4</v>
      </c>
      <c r="G543" s="59" t="s">
        <v>591</v>
      </c>
      <c r="H543" s="108" t="s">
        <v>363</v>
      </c>
      <c r="I543" s="109" t="s">
        <v>0</v>
      </c>
      <c r="J543" s="109" t="s">
        <v>0</v>
      </c>
      <c r="K543" s="109" t="s">
        <v>363</v>
      </c>
      <c r="L543" s="109" t="s">
        <v>0</v>
      </c>
      <c r="M543" s="109" t="s">
        <v>0</v>
      </c>
      <c r="N543" s="110" t="s">
        <v>0</v>
      </c>
      <c r="O543" s="111">
        <v>100</v>
      </c>
      <c r="P543" s="112">
        <v>0</v>
      </c>
      <c r="Q543" s="112"/>
      <c r="R543" s="112"/>
      <c r="S543" s="95"/>
      <c r="T543" s="112"/>
      <c r="U543" s="95" t="str">
        <f t="shared" si="27"/>
        <v/>
      </c>
      <c r="V543" s="112"/>
      <c r="W543" s="112"/>
      <c r="X543" s="107">
        <v>100</v>
      </c>
      <c r="Y543" s="107">
        <f t="shared" si="28"/>
        <v>100</v>
      </c>
      <c r="Z543" s="107">
        <f t="shared" si="29"/>
        <v>0</v>
      </c>
    </row>
    <row r="544" spans="1:26" x14ac:dyDescent="0.25">
      <c r="A544" s="55" t="str">
        <f>_xlfn.XLOOKUP($G544,'.Auxiliar'!$G:$G,'.Auxiliar'!A:A,"-",0)</f>
        <v>REGIS</v>
      </c>
      <c r="B544" s="55" t="str">
        <f>_xlfn.XLOOKUP($G544,'.Auxiliar'!$G:$G,'.Auxiliar'!B:B,"-",0)</f>
        <v>OAE</v>
      </c>
      <c r="C544" s="55" t="str">
        <f>_xlfn.XLOOKUP($G544,'.Auxiliar'!$G:$G,'.Auxiliar'!C:C,"-",0)</f>
        <v>Implantação de Trevos em Desnível, com Alças, em Pista Dupla - − Contorno Norte de Curitiba - Interseção com BR-116/PR</v>
      </c>
      <c r="D544" s="55">
        <v>312.2</v>
      </c>
      <c r="E544" s="55">
        <v>312.2</v>
      </c>
      <c r="F544" s="55">
        <f>_xlfn.XLOOKUP($G544,'.Auxiliar'!$G:$G,'.Auxiliar'!F:F,"-",0)</f>
        <v>1</v>
      </c>
      <c r="G544" s="59" t="s">
        <v>590</v>
      </c>
      <c r="H544" s="108" t="s">
        <v>363</v>
      </c>
      <c r="I544" s="109" t="s">
        <v>0</v>
      </c>
      <c r="J544" s="109" t="s">
        <v>0</v>
      </c>
      <c r="K544" s="109" t="s">
        <v>363</v>
      </c>
      <c r="L544" s="109" t="s">
        <v>0</v>
      </c>
      <c r="M544" s="109" t="s">
        <v>0</v>
      </c>
      <c r="N544" s="110" t="s">
        <v>0</v>
      </c>
      <c r="O544" s="111">
        <v>100</v>
      </c>
      <c r="P544" s="112">
        <v>0</v>
      </c>
      <c r="Q544" s="112"/>
      <c r="R544" s="112"/>
      <c r="S544" s="95"/>
      <c r="T544" s="112"/>
      <c r="U544" s="95" t="str">
        <f t="shared" si="27"/>
        <v/>
      </c>
      <c r="V544" s="112"/>
      <c r="W544" s="112"/>
      <c r="X544" s="107">
        <v>100</v>
      </c>
      <c r="Y544" s="107">
        <f t="shared" si="28"/>
        <v>100</v>
      </c>
      <c r="Z544" s="107">
        <f t="shared" si="29"/>
        <v>0</v>
      </c>
    </row>
    <row r="545" spans="1:26" x14ac:dyDescent="0.25">
      <c r="A545" s="55" t="str">
        <f>_xlfn.XLOOKUP($G545,'.Auxiliar'!$G:$G,'.Auxiliar'!A:A,"-",0)</f>
        <v>REGIS</v>
      </c>
      <c r="B545" s="55" t="str">
        <f>_xlfn.XLOOKUP($G545,'.Auxiliar'!$G:$G,'.Auxiliar'!B:B,"-",0)</f>
        <v>OAE</v>
      </c>
      <c r="C545" s="55" t="str">
        <f>_xlfn.XLOOKUP($G545,'.Auxiliar'!$G:$G,'.Auxiliar'!C:C,"-",0)</f>
        <v>Implantação de Trevos em Desnível, com Alças, em Pista Dupla − BR-116/SP</v>
      </c>
      <c r="D545" s="55">
        <f>_xlfn.XLOOKUP($G545,'.Auxiliar'!$G:$G,'.Auxiliar'!D:D,"-",0)</f>
        <v>308</v>
      </c>
      <c r="E545" s="55">
        <f>_xlfn.XLOOKUP($G545,'.Auxiliar'!$G:$G,'.Auxiliar'!E:E,"-",0)</f>
        <v>308</v>
      </c>
      <c r="F545" s="55">
        <f>_xlfn.XLOOKUP($G545,'.Auxiliar'!$G:$G,'.Auxiliar'!F:F,"-",0)</f>
        <v>1</v>
      </c>
      <c r="G545" s="59" t="s">
        <v>602</v>
      </c>
      <c r="H545" s="108" t="s">
        <v>363</v>
      </c>
      <c r="I545" s="109" t="s">
        <v>0</v>
      </c>
      <c r="J545" s="109" t="s">
        <v>0</v>
      </c>
      <c r="K545" s="109" t="s">
        <v>0</v>
      </c>
      <c r="L545" s="109" t="s">
        <v>0</v>
      </c>
      <c r="M545" s="109" t="s">
        <v>0</v>
      </c>
      <c r="N545" s="110" t="s">
        <v>0</v>
      </c>
      <c r="O545" s="111">
        <v>100</v>
      </c>
      <c r="P545" s="112">
        <v>100</v>
      </c>
      <c r="Q545" s="112"/>
      <c r="R545" s="112"/>
      <c r="S545" s="112"/>
      <c r="T545" s="112"/>
      <c r="U545" s="95">
        <f t="shared" si="27"/>
        <v>0</v>
      </c>
      <c r="V545" s="112"/>
      <c r="W545" s="112"/>
      <c r="X545" s="107"/>
      <c r="Y545" s="107">
        <f t="shared" si="28"/>
        <v>100</v>
      </c>
      <c r="Z545" s="107">
        <f t="shared" si="29"/>
        <v>100</v>
      </c>
    </row>
    <row r="546" spans="1:26" x14ac:dyDescent="0.25">
      <c r="A546" s="55" t="str">
        <f>_xlfn.XLOOKUP($G546,'.Auxiliar'!$G:$G,'.Auxiliar'!A:A,"-",0)</f>
        <v>REGIS</v>
      </c>
      <c r="B546" s="55" t="str">
        <f>_xlfn.XLOOKUP($G546,'.Auxiliar'!$G:$G,'.Auxiliar'!B:B,"-",0)</f>
        <v>OAE</v>
      </c>
      <c r="C546" s="55" t="str">
        <f>_xlfn.XLOOKUP($G546,'.Auxiliar'!$G:$G,'.Auxiliar'!C:C,"-",0)</f>
        <v>Implantação de Trevos em Desnível, com Alças, em Pista Dupla − BR-116/SP</v>
      </c>
      <c r="D546" s="55">
        <f>_xlfn.XLOOKUP($G546,'.Auxiliar'!$G:$G,'.Auxiliar'!D:D,"-",0)</f>
        <v>478</v>
      </c>
      <c r="E546" s="55">
        <f>_xlfn.XLOOKUP($G546,'.Auxiliar'!$G:$G,'.Auxiliar'!E:E,"-",0)</f>
        <v>478</v>
      </c>
      <c r="F546" s="55">
        <f>_xlfn.XLOOKUP($G546,'.Auxiliar'!$G:$G,'.Auxiliar'!F:F,"-",0)</f>
        <v>1</v>
      </c>
      <c r="G546" s="59" t="s">
        <v>603</v>
      </c>
      <c r="H546" s="108" t="s">
        <v>363</v>
      </c>
      <c r="I546" s="109" t="s">
        <v>0</v>
      </c>
      <c r="J546" s="109" t="s">
        <v>0</v>
      </c>
      <c r="K546" s="109" t="s">
        <v>0</v>
      </c>
      <c r="L546" s="109" t="s">
        <v>0</v>
      </c>
      <c r="M546" s="109" t="s">
        <v>0</v>
      </c>
      <c r="N546" s="110" t="s">
        <v>0</v>
      </c>
      <c r="O546" s="111">
        <v>100</v>
      </c>
      <c r="P546" s="112">
        <v>100</v>
      </c>
      <c r="Q546" s="112"/>
      <c r="R546" s="112"/>
      <c r="S546" s="112"/>
      <c r="T546" s="112"/>
      <c r="U546" s="95">
        <f t="shared" si="27"/>
        <v>0</v>
      </c>
      <c r="V546" s="112"/>
      <c r="W546" s="112"/>
      <c r="X546" s="107"/>
      <c r="Y546" s="107">
        <f t="shared" si="28"/>
        <v>100</v>
      </c>
      <c r="Z546" s="107">
        <f t="shared" si="29"/>
        <v>100</v>
      </c>
    </row>
    <row r="547" spans="1:26" x14ac:dyDescent="0.25">
      <c r="A547" s="55" t="str">
        <f>_xlfn.XLOOKUP($G547,'.Auxiliar'!$G:$G,'.Auxiliar'!A:A,"-",0)</f>
        <v>REGIS</v>
      </c>
      <c r="B547" s="55" t="str">
        <f>_xlfn.XLOOKUP($G547,'.Auxiliar'!$G:$G,'.Auxiliar'!B:B,"-",0)</f>
        <v>OAE</v>
      </c>
      <c r="C547" s="55" t="str">
        <f>_xlfn.XLOOKUP($G547,'.Auxiliar'!$G:$G,'.Auxiliar'!C:C,"-",0)</f>
        <v>Implantação de Trevos em Desnível, com Alças, em Pista Dupla – Parcial - − BR-116/PR</v>
      </c>
      <c r="D547" s="55">
        <f>_xlfn.XLOOKUP($G547,'.Auxiliar'!$G:$G,'.Auxiliar'!D:D,"-",0)</f>
        <v>12.8</v>
      </c>
      <c r="E547" s="55">
        <f>_xlfn.XLOOKUP($G547,'.Auxiliar'!$G:$G,'.Auxiliar'!E:E,"-",0)</f>
        <v>12.8</v>
      </c>
      <c r="F547" s="55">
        <f>_xlfn.XLOOKUP($G547,'.Auxiliar'!$G:$G,'.Auxiliar'!F:F,"-",0)</f>
        <v>1</v>
      </c>
      <c r="G547" s="59" t="s">
        <v>588</v>
      </c>
      <c r="H547" s="108" t="s">
        <v>363</v>
      </c>
      <c r="I547" s="109" t="s">
        <v>0</v>
      </c>
      <c r="J547" s="109" t="s">
        <v>0</v>
      </c>
      <c r="K547" s="109" t="s">
        <v>0</v>
      </c>
      <c r="L547" s="109" t="s">
        <v>0</v>
      </c>
      <c r="M547" s="109" t="s">
        <v>0</v>
      </c>
      <c r="N547" s="110" t="s">
        <v>0</v>
      </c>
      <c r="O547" s="111">
        <v>100</v>
      </c>
      <c r="P547" s="112">
        <v>100</v>
      </c>
      <c r="Q547" s="112"/>
      <c r="R547" s="112"/>
      <c r="S547" s="112"/>
      <c r="T547" s="112"/>
      <c r="U547" s="95">
        <f t="shared" si="27"/>
        <v>0</v>
      </c>
      <c r="V547" s="112"/>
      <c r="W547" s="112"/>
      <c r="X547" s="107"/>
      <c r="Y547" s="107">
        <f t="shared" si="28"/>
        <v>100</v>
      </c>
      <c r="Z547" s="107">
        <f t="shared" si="29"/>
        <v>100</v>
      </c>
    </row>
    <row r="548" spans="1:26" x14ac:dyDescent="0.25">
      <c r="A548" s="55" t="str">
        <f>_xlfn.XLOOKUP($G548,'.Auxiliar'!$G:$G,'.Auxiliar'!A:A,"-",0)</f>
        <v>REGIS</v>
      </c>
      <c r="B548" s="55" t="str">
        <f>_xlfn.XLOOKUP($G548,'.Auxiliar'!$G:$G,'.Auxiliar'!B:B,"-",0)</f>
        <v>OAE</v>
      </c>
      <c r="C548" s="55" t="str">
        <f>_xlfn.XLOOKUP($G548,'.Auxiliar'!$G:$G,'.Auxiliar'!C:C,"-",0)</f>
        <v>Implantação de Trevos em Desnível, com Alças, em Pista Dupla – Parcial - − BR-116/PR</v>
      </c>
      <c r="D548" s="55">
        <f>_xlfn.XLOOKUP($G548,'.Auxiliar'!$G:$G,'.Auxiliar'!D:D,"-",0)</f>
        <v>88.6</v>
      </c>
      <c r="E548" s="55">
        <f>_xlfn.XLOOKUP($G548,'.Auxiliar'!$G:$G,'.Auxiliar'!E:E,"-",0)</f>
        <v>88.6</v>
      </c>
      <c r="F548" s="55">
        <f>_xlfn.XLOOKUP($G548,'.Auxiliar'!$G:$G,'.Auxiliar'!F:F,"-",0)</f>
        <v>1</v>
      </c>
      <c r="G548" s="59" t="s">
        <v>589</v>
      </c>
      <c r="H548" s="108" t="s">
        <v>363</v>
      </c>
      <c r="I548" s="109" t="s">
        <v>0</v>
      </c>
      <c r="J548" s="109" t="s">
        <v>0</v>
      </c>
      <c r="K548" s="109" t="s">
        <v>363</v>
      </c>
      <c r="L548" s="109" t="s">
        <v>0</v>
      </c>
      <c r="M548" s="109" t="s">
        <v>0</v>
      </c>
      <c r="N548" s="110" t="s">
        <v>0</v>
      </c>
      <c r="O548" s="111">
        <v>100</v>
      </c>
      <c r="P548" s="112">
        <v>100</v>
      </c>
      <c r="Q548" s="112"/>
      <c r="R548" s="112"/>
      <c r="S548" s="112"/>
      <c r="T548" s="112"/>
      <c r="U548" s="95">
        <f t="shared" si="27"/>
        <v>0</v>
      </c>
      <c r="V548" s="112"/>
      <c r="W548" s="112"/>
      <c r="X548" s="107"/>
      <c r="Y548" s="107">
        <f t="shared" si="28"/>
        <v>100</v>
      </c>
      <c r="Z548" s="107">
        <f t="shared" si="29"/>
        <v>100</v>
      </c>
    </row>
    <row r="549" spans="1:26" x14ac:dyDescent="0.25">
      <c r="A549" s="55" t="str">
        <f>_xlfn.XLOOKUP($G549,'.Auxiliar'!$G:$G,'.Auxiliar'!A:A,"-",0)</f>
        <v>REGIS</v>
      </c>
      <c r="B549" s="55" t="str">
        <f>_xlfn.XLOOKUP($G549,'.Auxiliar'!$G:$G,'.Auxiliar'!B:B,"-",0)</f>
        <v>OAE</v>
      </c>
      <c r="C549" s="55" t="str">
        <f>_xlfn.XLOOKUP($G549,'.Auxiliar'!$G:$G,'.Auxiliar'!C:C,"-",0)</f>
        <v>Implantação de Trevos em Desnível, com Alças, em Pista Dupla – Parcial - − BR-116/SP</v>
      </c>
      <c r="D549" s="55">
        <f>_xlfn.XLOOKUP($G549,'.Auxiliar'!$G:$G,'.Auxiliar'!D:D,"-",0)</f>
        <v>297.60000000000002</v>
      </c>
      <c r="E549" s="55">
        <f>_xlfn.XLOOKUP($G549,'.Auxiliar'!$G:$G,'.Auxiliar'!E:E,"-",0)</f>
        <v>297.60000000000002</v>
      </c>
      <c r="F549" s="55">
        <f>_xlfn.XLOOKUP($G549,'.Auxiliar'!$G:$G,'.Auxiliar'!F:F,"-",0)</f>
        <v>1</v>
      </c>
      <c r="G549" s="59" t="s">
        <v>595</v>
      </c>
      <c r="H549" s="108" t="s">
        <v>363</v>
      </c>
      <c r="I549" s="109" t="s">
        <v>0</v>
      </c>
      <c r="J549" s="109" t="s">
        <v>0</v>
      </c>
      <c r="K549" s="109" t="s">
        <v>0</v>
      </c>
      <c r="L549" s="109" t="s">
        <v>0</v>
      </c>
      <c r="M549" s="109" t="s">
        <v>0</v>
      </c>
      <c r="N549" s="110" t="s">
        <v>0</v>
      </c>
      <c r="O549" s="111">
        <v>100</v>
      </c>
      <c r="P549" s="112">
        <v>100</v>
      </c>
      <c r="Q549" s="112"/>
      <c r="R549" s="112"/>
      <c r="S549" s="112"/>
      <c r="T549" s="112"/>
      <c r="U549" s="95">
        <f t="shared" si="27"/>
        <v>0</v>
      </c>
      <c r="V549" s="112"/>
      <c r="W549" s="112"/>
      <c r="X549" s="107"/>
      <c r="Y549" s="107">
        <f t="shared" si="28"/>
        <v>100</v>
      </c>
      <c r="Z549" s="107">
        <f t="shared" si="29"/>
        <v>100</v>
      </c>
    </row>
    <row r="550" spans="1:26" x14ac:dyDescent="0.25">
      <c r="A550" s="55" t="str">
        <f>_xlfn.XLOOKUP($G550,'.Auxiliar'!$G:$G,'.Auxiliar'!A:A,"-",0)</f>
        <v>REGIS</v>
      </c>
      <c r="B550" s="55" t="str">
        <f>_xlfn.XLOOKUP($G550,'.Auxiliar'!$G:$G,'.Auxiliar'!B:B,"-",0)</f>
        <v>OAE</v>
      </c>
      <c r="C550" s="55" t="str">
        <f>_xlfn.XLOOKUP($G550,'.Auxiliar'!$G:$G,'.Auxiliar'!C:C,"-",0)</f>
        <v>Implantação de Trevos em Desnível, com Alças, em Pista Dupla – Parcial - − BR-116/SP</v>
      </c>
      <c r="D550" s="55">
        <f>_xlfn.XLOOKUP($G550,'.Auxiliar'!$G:$G,'.Auxiliar'!D:D,"-",0)</f>
        <v>312.2</v>
      </c>
      <c r="E550" s="55">
        <f>_xlfn.XLOOKUP($G550,'.Auxiliar'!$G:$G,'.Auxiliar'!E:E,"-",0)</f>
        <v>312.2</v>
      </c>
      <c r="F550" s="55">
        <f>_xlfn.XLOOKUP($G550,'.Auxiliar'!$G:$G,'.Auxiliar'!F:F,"-",0)</f>
        <v>1</v>
      </c>
      <c r="G550" s="59" t="s">
        <v>596</v>
      </c>
      <c r="H550" s="108" t="s">
        <v>363</v>
      </c>
      <c r="I550" s="115" t="s">
        <v>1881</v>
      </c>
      <c r="J550" s="109" t="s">
        <v>0</v>
      </c>
      <c r="K550" s="109" t="s">
        <v>363</v>
      </c>
      <c r="L550" s="109" t="s">
        <v>0</v>
      </c>
      <c r="M550" s="109" t="s">
        <v>0</v>
      </c>
      <c r="N550" s="110" t="s">
        <v>0</v>
      </c>
      <c r="O550" s="111">
        <v>100</v>
      </c>
      <c r="P550" s="112">
        <v>45</v>
      </c>
      <c r="Q550" s="112">
        <v>51.05</v>
      </c>
      <c r="R550" s="112">
        <v>41.16</v>
      </c>
      <c r="S550" s="112">
        <v>13.84</v>
      </c>
      <c r="T550" s="112">
        <v>13.84</v>
      </c>
      <c r="U550" s="95">
        <f t="shared" si="27"/>
        <v>13.840000000000003</v>
      </c>
      <c r="V550" s="112"/>
      <c r="W550" s="112"/>
      <c r="X550" s="107"/>
      <c r="Y550" s="107">
        <f t="shared" si="28"/>
        <v>100</v>
      </c>
      <c r="Z550" s="107">
        <f t="shared" si="29"/>
        <v>100</v>
      </c>
    </row>
    <row r="551" spans="1:26" x14ac:dyDescent="0.25">
      <c r="A551" s="55" t="str">
        <f>_xlfn.XLOOKUP($G551,'.Auxiliar'!$G:$G,'.Auxiliar'!A:A,"-",0)</f>
        <v>REGIS</v>
      </c>
      <c r="B551" s="55" t="str">
        <f>_xlfn.XLOOKUP($G551,'.Auxiliar'!$G:$G,'.Auxiliar'!B:B,"-",0)</f>
        <v>OAE</v>
      </c>
      <c r="C551" s="55" t="str">
        <f>_xlfn.XLOOKUP($G551,'.Auxiliar'!$G:$G,'.Auxiliar'!C:C,"-",0)</f>
        <v>Implantação de Trevos em Desnível, com Alças, em Pista Dupla – Parcial - − BR-116/SP</v>
      </c>
      <c r="D551" s="55">
        <f>_xlfn.XLOOKUP($G551,'.Auxiliar'!$G:$G,'.Auxiliar'!D:D,"-",0)</f>
        <v>325.7</v>
      </c>
      <c r="E551" s="55">
        <f>_xlfn.XLOOKUP($G551,'.Auxiliar'!$G:$G,'.Auxiliar'!E:E,"-",0)</f>
        <v>325.7</v>
      </c>
      <c r="F551" s="55">
        <f>_xlfn.XLOOKUP($G551,'.Auxiliar'!$G:$G,'.Auxiliar'!F:F,"-",0)</f>
        <v>1</v>
      </c>
      <c r="G551" s="59" t="s">
        <v>597</v>
      </c>
      <c r="H551" s="108" t="s">
        <v>363</v>
      </c>
      <c r="I551" s="109" t="s">
        <v>0</v>
      </c>
      <c r="J551" s="109" t="s">
        <v>0</v>
      </c>
      <c r="K551" s="109" t="s">
        <v>0</v>
      </c>
      <c r="L551" s="109" t="s">
        <v>0</v>
      </c>
      <c r="M551" s="109" t="s">
        <v>0</v>
      </c>
      <c r="N551" s="110" t="s">
        <v>0</v>
      </c>
      <c r="O551" s="111">
        <v>100</v>
      </c>
      <c r="P551" s="112">
        <v>100</v>
      </c>
      <c r="Q551" s="112"/>
      <c r="R551" s="112"/>
      <c r="S551" s="112"/>
      <c r="T551" s="112"/>
      <c r="U551" s="95">
        <f t="shared" si="27"/>
        <v>0</v>
      </c>
      <c r="V551" s="112"/>
      <c r="W551" s="112"/>
      <c r="X551" s="107"/>
      <c r="Y551" s="107">
        <f t="shared" si="28"/>
        <v>100</v>
      </c>
      <c r="Z551" s="107">
        <f t="shared" si="29"/>
        <v>100</v>
      </c>
    </row>
    <row r="552" spans="1:26" x14ac:dyDescent="0.25">
      <c r="A552" s="55" t="str">
        <f>_xlfn.XLOOKUP($G552,'.Auxiliar'!$G:$G,'.Auxiliar'!A:A,"-",0)</f>
        <v>REGIS</v>
      </c>
      <c r="B552" s="55" t="str">
        <f>_xlfn.XLOOKUP($G552,'.Auxiliar'!$G:$G,'.Auxiliar'!B:B,"-",0)</f>
        <v>OAE</v>
      </c>
      <c r="C552" s="55" t="str">
        <f>_xlfn.XLOOKUP($G552,'.Auxiliar'!$G:$G,'.Auxiliar'!C:C,"-",0)</f>
        <v>Implantação de Trevos em Desnível, com Alças, em Pista Dupla – Parcial - − BR-116/SP</v>
      </c>
      <c r="D552" s="55">
        <f>_xlfn.XLOOKUP($G552,'.Auxiliar'!$G:$G,'.Auxiliar'!D:D,"-",0)</f>
        <v>332</v>
      </c>
      <c r="E552" s="55">
        <f>_xlfn.XLOOKUP($G552,'.Auxiliar'!$G:$G,'.Auxiliar'!E:E,"-",0)</f>
        <v>332</v>
      </c>
      <c r="F552" s="55">
        <f>_xlfn.XLOOKUP($G552,'.Auxiliar'!$G:$G,'.Auxiliar'!F:F,"-",0)</f>
        <v>1</v>
      </c>
      <c r="G552" s="59" t="s">
        <v>598</v>
      </c>
      <c r="H552" s="108" t="s">
        <v>363</v>
      </c>
      <c r="I552" s="109" t="s">
        <v>0</v>
      </c>
      <c r="J552" s="109" t="s">
        <v>0</v>
      </c>
      <c r="K552" s="109" t="s">
        <v>363</v>
      </c>
      <c r="L552" s="109" t="s">
        <v>0</v>
      </c>
      <c r="M552" s="109" t="s">
        <v>0</v>
      </c>
      <c r="N552" s="110" t="s">
        <v>0</v>
      </c>
      <c r="O552" s="111">
        <v>100</v>
      </c>
      <c r="P552" s="112">
        <v>100</v>
      </c>
      <c r="Q552" s="112"/>
      <c r="R552" s="112"/>
      <c r="S552" s="112"/>
      <c r="T552" s="112"/>
      <c r="U552" s="95">
        <f t="shared" si="27"/>
        <v>0</v>
      </c>
      <c r="V552" s="112"/>
      <c r="W552" s="112"/>
      <c r="X552" s="107"/>
      <c r="Y552" s="107">
        <f t="shared" si="28"/>
        <v>100</v>
      </c>
      <c r="Z552" s="107">
        <f t="shared" si="29"/>
        <v>100</v>
      </c>
    </row>
    <row r="553" spans="1:26" x14ac:dyDescent="0.25">
      <c r="A553" s="55" t="str">
        <f>_xlfn.XLOOKUP($G553,'.Auxiliar'!$G:$G,'.Auxiliar'!A:A,"-",0)</f>
        <v>REGIS</v>
      </c>
      <c r="B553" s="55" t="str">
        <f>_xlfn.XLOOKUP($G553,'.Auxiliar'!$G:$G,'.Auxiliar'!B:B,"-",0)</f>
        <v>OAE</v>
      </c>
      <c r="C553" s="55" t="str">
        <f>_xlfn.XLOOKUP($G553,'.Auxiliar'!$G:$G,'.Auxiliar'!C:C,"-",0)</f>
        <v>Implantação de Trevos em Desnível, com Alças, em Pista Dupla – Parcial - − BR-116/SP</v>
      </c>
      <c r="D553" s="55">
        <f>_xlfn.XLOOKUP($G553,'.Auxiliar'!$G:$G,'.Auxiliar'!D:D,"-",0)</f>
        <v>336</v>
      </c>
      <c r="E553" s="55">
        <f>_xlfn.XLOOKUP($G553,'.Auxiliar'!$G:$G,'.Auxiliar'!E:E,"-",0)</f>
        <v>336</v>
      </c>
      <c r="F553" s="55">
        <f>_xlfn.XLOOKUP($G553,'.Auxiliar'!$G:$G,'.Auxiliar'!F:F,"-",0)</f>
        <v>1</v>
      </c>
      <c r="G553" s="59" t="s">
        <v>599</v>
      </c>
      <c r="H553" s="108" t="s">
        <v>363</v>
      </c>
      <c r="I553" s="109" t="s">
        <v>0</v>
      </c>
      <c r="J553" s="109" t="s">
        <v>0</v>
      </c>
      <c r="K553" s="109" t="s">
        <v>0</v>
      </c>
      <c r="L553" s="109" t="s">
        <v>0</v>
      </c>
      <c r="M553" s="109" t="s">
        <v>0</v>
      </c>
      <c r="N553" s="110" t="s">
        <v>0</v>
      </c>
      <c r="O553" s="111">
        <v>100</v>
      </c>
      <c r="P553" s="112">
        <v>100</v>
      </c>
      <c r="Q553" s="112"/>
      <c r="R553" s="112"/>
      <c r="S553" s="112"/>
      <c r="T553" s="112"/>
      <c r="U553" s="95">
        <f t="shared" si="27"/>
        <v>0</v>
      </c>
      <c r="V553" s="112"/>
      <c r="W553" s="112"/>
      <c r="X553" s="107"/>
      <c r="Y553" s="107">
        <f t="shared" si="28"/>
        <v>100</v>
      </c>
      <c r="Z553" s="107">
        <f t="shared" si="29"/>
        <v>100</v>
      </c>
    </row>
    <row r="554" spans="1:26" x14ac:dyDescent="0.25">
      <c r="A554" s="55" t="str">
        <f>_xlfn.XLOOKUP($G554,'.Auxiliar'!$G:$G,'.Auxiliar'!A:A,"-",0)</f>
        <v>REGIS</v>
      </c>
      <c r="B554" s="55" t="str">
        <f>_xlfn.XLOOKUP($G554,'.Auxiliar'!$G:$G,'.Auxiliar'!B:B,"-",0)</f>
        <v>OAE</v>
      </c>
      <c r="C554" s="55" t="str">
        <f>_xlfn.XLOOKUP($G554,'.Auxiliar'!$G:$G,'.Auxiliar'!C:C,"-",0)</f>
        <v>Implantação de Trevos em Desnível, com Alças, em Pista Dupla – Parcial - − BR-116/SP</v>
      </c>
      <c r="D554" s="55">
        <f>_xlfn.XLOOKUP($G554,'.Auxiliar'!$G:$G,'.Auxiliar'!D:D,"-",0)</f>
        <v>340</v>
      </c>
      <c r="E554" s="55">
        <f>_xlfn.XLOOKUP($G554,'.Auxiliar'!$G:$G,'.Auxiliar'!E:E,"-",0)</f>
        <v>340</v>
      </c>
      <c r="F554" s="55">
        <f>_xlfn.XLOOKUP($G554,'.Auxiliar'!$G:$G,'.Auxiliar'!F:F,"-",0)</f>
        <v>1</v>
      </c>
      <c r="G554" s="59" t="s">
        <v>600</v>
      </c>
      <c r="H554" s="108" t="s">
        <v>363</v>
      </c>
      <c r="I554" s="109" t="s">
        <v>0</v>
      </c>
      <c r="J554" s="109" t="s">
        <v>0</v>
      </c>
      <c r="K554" s="109" t="s">
        <v>0</v>
      </c>
      <c r="L554" s="109" t="s">
        <v>0</v>
      </c>
      <c r="M554" s="109" t="s">
        <v>0</v>
      </c>
      <c r="N554" s="110" t="s">
        <v>0</v>
      </c>
      <c r="O554" s="111">
        <v>100</v>
      </c>
      <c r="P554" s="112">
        <v>100</v>
      </c>
      <c r="Q554" s="112"/>
      <c r="R554" s="112"/>
      <c r="S554" s="112"/>
      <c r="T554" s="112"/>
      <c r="U554" s="95">
        <f t="shared" si="27"/>
        <v>0</v>
      </c>
      <c r="V554" s="112"/>
      <c r="W554" s="112"/>
      <c r="X554" s="107"/>
      <c r="Y554" s="107">
        <f t="shared" si="28"/>
        <v>100</v>
      </c>
      <c r="Z554" s="107">
        <f t="shared" si="29"/>
        <v>100</v>
      </c>
    </row>
    <row r="555" spans="1:26" x14ac:dyDescent="0.25">
      <c r="A555" s="55" t="str">
        <f>_xlfn.XLOOKUP($G555,'.Auxiliar'!$G:$G,'.Auxiliar'!A:A,"-",0)</f>
        <v>REGIS</v>
      </c>
      <c r="B555" s="55" t="str">
        <f>_xlfn.XLOOKUP($G555,'.Auxiliar'!$G:$G,'.Auxiliar'!B:B,"-",0)</f>
        <v>OAE</v>
      </c>
      <c r="C555" s="55" t="str">
        <f>_xlfn.XLOOKUP($G555,'.Auxiliar'!$G:$G,'.Auxiliar'!C:C,"-",0)</f>
        <v>Implantação de Trevos em Desnível, com Alças, em Pista Dupla – Parcial - − BR-116/SP</v>
      </c>
      <c r="D555" s="55">
        <f>_xlfn.XLOOKUP($G555,'.Auxiliar'!$G:$G,'.Auxiliar'!D:D,"-",0)</f>
        <v>474.7</v>
      </c>
      <c r="E555" s="55">
        <f>_xlfn.XLOOKUP($G555,'.Auxiliar'!$G:$G,'.Auxiliar'!E:E,"-",0)</f>
        <v>474.7</v>
      </c>
      <c r="F555" s="55">
        <f>_xlfn.XLOOKUP($G555,'.Auxiliar'!$G:$G,'.Auxiliar'!F:F,"-",0)</f>
        <v>1</v>
      </c>
      <c r="G555" s="59" t="s">
        <v>601</v>
      </c>
      <c r="H555" s="108" t="s">
        <v>363</v>
      </c>
      <c r="I555" s="109" t="s">
        <v>0</v>
      </c>
      <c r="J555" s="109" t="s">
        <v>0</v>
      </c>
      <c r="K555" s="109" t="s">
        <v>0</v>
      </c>
      <c r="L555" s="109" t="s">
        <v>0</v>
      </c>
      <c r="M555" s="109" t="s">
        <v>0</v>
      </c>
      <c r="N555" s="110" t="s">
        <v>0</v>
      </c>
      <c r="O555" s="111">
        <v>100</v>
      </c>
      <c r="P555" s="112">
        <v>100</v>
      </c>
      <c r="Q555" s="112"/>
      <c r="R555" s="112"/>
      <c r="S555" s="112"/>
      <c r="T555" s="112"/>
      <c r="U555" s="95">
        <f t="shared" si="27"/>
        <v>0</v>
      </c>
      <c r="V555" s="112"/>
      <c r="W555" s="112"/>
      <c r="X555" s="107"/>
      <c r="Y555" s="107">
        <f t="shared" si="28"/>
        <v>100</v>
      </c>
      <c r="Z555" s="107">
        <f t="shared" si="29"/>
        <v>100</v>
      </c>
    </row>
    <row r="556" spans="1:26" x14ac:dyDescent="0.25">
      <c r="A556" s="55" t="str">
        <f>_xlfn.XLOOKUP($G556,'.Auxiliar'!$G:$G,'.Auxiliar'!A:A,"-",0)</f>
        <v>REGIS</v>
      </c>
      <c r="B556" s="55" t="str">
        <f>_xlfn.XLOOKUP($G556,'.Auxiliar'!$G:$G,'.Auxiliar'!B:B,"-",0)</f>
        <v>OAE</v>
      </c>
      <c r="C556" s="55" t="str">
        <f>_xlfn.XLOOKUP($G556,'.Auxiliar'!$G:$G,'.Auxiliar'!C:C,"-",0)</f>
        <v>Implantação de Trevos em Desnível, com Alças, em Pista Simples – Completo - BR-116/SP - km 277+600m</v>
      </c>
      <c r="D556" s="55">
        <f>_xlfn.XLOOKUP($G556,'.Auxiliar'!$G:$G,'.Auxiliar'!D:D,"-",0)</f>
        <v>277.60000000000002</v>
      </c>
      <c r="E556" s="55">
        <f>_xlfn.XLOOKUP($G556,'.Auxiliar'!$G:$G,'.Auxiliar'!E:E,"-",0)</f>
        <v>277.60000000000002</v>
      </c>
      <c r="F556" s="55">
        <f>_xlfn.XLOOKUP($G556,'.Auxiliar'!$G:$G,'.Auxiliar'!F:F,"-",0)</f>
        <v>1</v>
      </c>
      <c r="G556" s="59" t="s">
        <v>592</v>
      </c>
      <c r="H556" s="108" t="s">
        <v>363</v>
      </c>
      <c r="I556" s="109" t="s">
        <v>0</v>
      </c>
      <c r="J556" s="109" t="s">
        <v>0</v>
      </c>
      <c r="K556" s="109" t="s">
        <v>363</v>
      </c>
      <c r="L556" s="109" t="s">
        <v>0</v>
      </c>
      <c r="M556" s="109" t="s">
        <v>0</v>
      </c>
      <c r="N556" s="110" t="s">
        <v>0</v>
      </c>
      <c r="O556" s="111">
        <v>100</v>
      </c>
      <c r="P556" s="112">
        <v>3.17</v>
      </c>
      <c r="Q556" s="112">
        <v>100</v>
      </c>
      <c r="R556" s="112">
        <v>0</v>
      </c>
      <c r="S556" s="112">
        <f>100-(R556+P556)</f>
        <v>96.83</v>
      </c>
      <c r="T556" s="112">
        <v>0</v>
      </c>
      <c r="U556" s="95">
        <f t="shared" si="27"/>
        <v>96.83</v>
      </c>
      <c r="V556" s="112"/>
      <c r="W556" s="112"/>
      <c r="X556" s="107"/>
      <c r="Y556" s="107">
        <f t="shared" si="28"/>
        <v>100</v>
      </c>
      <c r="Z556" s="107">
        <f t="shared" si="29"/>
        <v>3.17</v>
      </c>
    </row>
    <row r="557" spans="1:26" x14ac:dyDescent="0.25">
      <c r="A557" s="55" t="str">
        <f>_xlfn.XLOOKUP($G557,'.Auxiliar'!$G:$G,'.Auxiliar'!A:A,"-",0)</f>
        <v>REGIS</v>
      </c>
      <c r="B557" s="55" t="str">
        <f>_xlfn.XLOOKUP($G557,'.Auxiliar'!$G:$G,'.Auxiliar'!B:B,"-",0)</f>
        <v>OAE</v>
      </c>
      <c r="C557" s="55" t="str">
        <f>_xlfn.XLOOKUP($G557,'.Auxiliar'!$G:$G,'.Auxiliar'!C:C,"-",0)</f>
        <v>Implantação de Trevos em Desnível, com Alças, em Pista Simples – Completo -− BR-116/SP - km 288</v>
      </c>
      <c r="D557" s="55">
        <f>_xlfn.XLOOKUP($G557,'.Auxiliar'!$G:$G,'.Auxiliar'!D:D,"-",0)</f>
        <v>288</v>
      </c>
      <c r="E557" s="55">
        <f>_xlfn.XLOOKUP($G557,'.Auxiliar'!$G:$G,'.Auxiliar'!E:E,"-",0)</f>
        <v>288</v>
      </c>
      <c r="F557" s="55">
        <f>_xlfn.XLOOKUP($G557,'.Auxiliar'!$G:$G,'.Auxiliar'!F:F,"-",0)</f>
        <v>1</v>
      </c>
      <c r="G557" s="59" t="s">
        <v>593</v>
      </c>
      <c r="H557" s="108" t="s">
        <v>363</v>
      </c>
      <c r="I557" s="109" t="s">
        <v>0</v>
      </c>
      <c r="J557" s="109" t="s">
        <v>0</v>
      </c>
      <c r="K557" s="109" t="s">
        <v>0</v>
      </c>
      <c r="L557" s="109" t="s">
        <v>0</v>
      </c>
      <c r="M557" s="109" t="s">
        <v>0</v>
      </c>
      <c r="N557" s="110" t="s">
        <v>0</v>
      </c>
      <c r="O557" s="111">
        <v>100</v>
      </c>
      <c r="P557" s="112">
        <v>100</v>
      </c>
      <c r="Q557" s="112"/>
      <c r="R557" s="112"/>
      <c r="S557" s="112"/>
      <c r="T557" s="112"/>
      <c r="U557" s="95">
        <f t="shared" si="27"/>
        <v>0</v>
      </c>
      <c r="V557" s="112"/>
      <c r="W557" s="112"/>
      <c r="X557" s="107"/>
      <c r="Y557" s="107">
        <f t="shared" si="28"/>
        <v>100</v>
      </c>
      <c r="Z557" s="107">
        <f t="shared" si="29"/>
        <v>100</v>
      </c>
    </row>
    <row r="558" spans="1:26" x14ac:dyDescent="0.25">
      <c r="A558" s="55" t="str">
        <f>_xlfn.XLOOKUP($G558,'.Auxiliar'!$G:$G,'.Auxiliar'!A:A,"-",0)</f>
        <v>REGIS</v>
      </c>
      <c r="B558" s="55" t="str">
        <f>_xlfn.XLOOKUP($G558,'.Auxiliar'!$G:$G,'.Auxiliar'!B:B,"-",0)</f>
        <v>OAE</v>
      </c>
      <c r="C558" s="55" t="str">
        <f>_xlfn.XLOOKUP($G558,'.Auxiliar'!$G:$G,'.Auxiliar'!C:C,"-",0)</f>
        <v>Implantação de Trevos em Desnível, com Alças, em Pista Simples – Completo -− BR-116/SP - km 305</v>
      </c>
      <c r="D558" s="55">
        <f>_xlfn.XLOOKUP($G558,'.Auxiliar'!$G:$G,'.Auxiliar'!D:D,"-",0)</f>
        <v>305</v>
      </c>
      <c r="E558" s="55">
        <f>_xlfn.XLOOKUP($G558,'.Auxiliar'!$G:$G,'.Auxiliar'!E:E,"-",0)</f>
        <v>305</v>
      </c>
      <c r="F558" s="55">
        <f>_xlfn.XLOOKUP($G558,'.Auxiliar'!$G:$G,'.Auxiliar'!F:F,"-",0)</f>
        <v>1</v>
      </c>
      <c r="G558" s="59" t="s">
        <v>594</v>
      </c>
      <c r="H558" s="108" t="s">
        <v>363</v>
      </c>
      <c r="I558" s="109" t="s">
        <v>0</v>
      </c>
      <c r="J558" s="109" t="s">
        <v>0</v>
      </c>
      <c r="K558" s="109" t="s">
        <v>0</v>
      </c>
      <c r="L558" s="109" t="s">
        <v>0</v>
      </c>
      <c r="M558" s="109" t="s">
        <v>0</v>
      </c>
      <c r="N558" s="110" t="s">
        <v>0</v>
      </c>
      <c r="O558" s="111">
        <v>100</v>
      </c>
      <c r="P558" s="112">
        <v>100</v>
      </c>
      <c r="Q558" s="112"/>
      <c r="R558" s="112"/>
      <c r="S558" s="112"/>
      <c r="T558" s="112"/>
      <c r="U558" s="95">
        <f t="shared" si="27"/>
        <v>0</v>
      </c>
      <c r="V558" s="112"/>
      <c r="W558" s="112"/>
      <c r="X558" s="107"/>
      <c r="Y558" s="107">
        <f t="shared" si="28"/>
        <v>100</v>
      </c>
      <c r="Z558" s="107">
        <f t="shared" si="29"/>
        <v>100</v>
      </c>
    </row>
    <row r="559" spans="1:26" x14ac:dyDescent="0.25">
      <c r="A559" s="55" t="str">
        <f>_xlfn.XLOOKUP($G559,'.Auxiliar'!$G:$G,'.Auxiliar'!A:A,"-",0)</f>
        <v>REGIS</v>
      </c>
      <c r="B559" s="55" t="str">
        <f>_xlfn.XLOOKUP($G559,'.Auxiliar'!$G:$G,'.Auxiliar'!B:B,"-",0)</f>
        <v>OAE</v>
      </c>
      <c r="C559" s="55" t="str">
        <f>_xlfn.XLOOKUP($G559,'.Auxiliar'!$G:$G,'.Auxiliar'!C:C,"-",0)</f>
        <v>Implantação de Trevos em Desnível, com Alças, em Pista Simples – Completo - Contorno Norte de Curitiba - Interseção com BR-476/PR,</v>
      </c>
      <c r="D559" s="55">
        <f>_xlfn.XLOOKUP($G559,'.Auxiliar'!$G:$G,'.Auxiliar'!D:D,"-",0)</f>
        <v>1</v>
      </c>
      <c r="E559" s="55">
        <f>_xlfn.XLOOKUP($G559,'.Auxiliar'!$G:$G,'.Auxiliar'!E:E,"-",0)</f>
        <v>1</v>
      </c>
      <c r="F559" s="55">
        <f>_xlfn.XLOOKUP($G559,'.Auxiliar'!$G:$G,'.Auxiliar'!F:F,"-",0)</f>
        <v>1</v>
      </c>
      <c r="G559" s="59" t="s">
        <v>586</v>
      </c>
      <c r="H559" s="108" t="s">
        <v>363</v>
      </c>
      <c r="I559" s="109" t="s">
        <v>0</v>
      </c>
      <c r="J559" s="109" t="s">
        <v>0</v>
      </c>
      <c r="K559" s="109" t="s">
        <v>363</v>
      </c>
      <c r="L559" s="109" t="s">
        <v>0</v>
      </c>
      <c r="M559" s="109" t="s">
        <v>0</v>
      </c>
      <c r="N559" s="110" t="s">
        <v>0</v>
      </c>
      <c r="O559" s="111">
        <v>100</v>
      </c>
      <c r="P559" s="112">
        <v>0</v>
      </c>
      <c r="Q559" s="112"/>
      <c r="R559" s="112"/>
      <c r="S559" s="95"/>
      <c r="T559" s="112"/>
      <c r="U559" s="95" t="str">
        <f t="shared" si="27"/>
        <v/>
      </c>
      <c r="V559" s="112"/>
      <c r="W559" s="112"/>
      <c r="X559" s="107">
        <v>100</v>
      </c>
      <c r="Y559" s="107">
        <f t="shared" si="28"/>
        <v>100</v>
      </c>
      <c r="Z559" s="107">
        <f t="shared" si="29"/>
        <v>0</v>
      </c>
    </row>
    <row r="560" spans="1:26" x14ac:dyDescent="0.25">
      <c r="A560" s="55" t="str">
        <f>_xlfn.XLOOKUP($G560,'.Auxiliar'!$G:$G,'.Auxiliar'!A:A,"-",0)</f>
        <v>REGIS</v>
      </c>
      <c r="B560" s="55" t="str">
        <f>_xlfn.XLOOKUP($G560,'.Auxiliar'!$G:$G,'.Auxiliar'!B:B,"-",0)</f>
        <v>OAE</v>
      </c>
      <c r="C560" s="55" t="str">
        <f>_xlfn.XLOOKUP($G560,'.Auxiliar'!$G:$G,'.Auxiliar'!C:C,"-",0)</f>
        <v>Implantação de Trevos em Desnível, com Alças, em Pista Simples – Completo - Contorno Norte de Curitiba - Interseção com PR - 417</v>
      </c>
      <c r="D560" s="55">
        <f>_xlfn.XLOOKUP($G560,'.Auxiliar'!$G:$G,'.Auxiliar'!D:D,"-",0)</f>
        <v>1</v>
      </c>
      <c r="E560" s="55">
        <f>_xlfn.XLOOKUP($G560,'.Auxiliar'!$G:$G,'.Auxiliar'!E:E,"-",0)</f>
        <v>1</v>
      </c>
      <c r="F560" s="55">
        <f>_xlfn.XLOOKUP($G560,'.Auxiliar'!$G:$G,'.Auxiliar'!F:F,"-",0)</f>
        <v>1</v>
      </c>
      <c r="G560" s="59" t="s">
        <v>587</v>
      </c>
      <c r="H560" s="108" t="s">
        <v>363</v>
      </c>
      <c r="I560" s="109" t="s">
        <v>0</v>
      </c>
      <c r="J560" s="109" t="s">
        <v>0</v>
      </c>
      <c r="K560" s="109" t="s">
        <v>363</v>
      </c>
      <c r="L560" s="109" t="s">
        <v>0</v>
      </c>
      <c r="M560" s="109" t="s">
        <v>0</v>
      </c>
      <c r="N560" s="110" t="s">
        <v>0</v>
      </c>
      <c r="O560" s="111">
        <v>100</v>
      </c>
      <c r="P560" s="112">
        <v>0</v>
      </c>
      <c r="Q560" s="112"/>
      <c r="R560" s="112"/>
      <c r="S560" s="95"/>
      <c r="T560" s="112"/>
      <c r="U560" s="95" t="str">
        <f t="shared" si="27"/>
        <v/>
      </c>
      <c r="V560" s="112"/>
      <c r="W560" s="112"/>
      <c r="X560" s="107">
        <v>100</v>
      </c>
      <c r="Y560" s="107">
        <f t="shared" si="28"/>
        <v>100</v>
      </c>
      <c r="Z560" s="107">
        <f t="shared" si="29"/>
        <v>0</v>
      </c>
    </row>
    <row r="561" spans="1:26" x14ac:dyDescent="0.25">
      <c r="A561" s="55" t="str">
        <f>_xlfn.XLOOKUP($G561,'.Auxiliar'!$G:$G,'.Auxiliar'!A:A,"-",0)</f>
        <v>REGIS</v>
      </c>
      <c r="B561" s="55" t="str">
        <f>_xlfn.XLOOKUP($G561,'.Auxiliar'!$G:$G,'.Auxiliar'!B:B,"-",0)</f>
        <v>PAVIMENTAÇÃO</v>
      </c>
      <c r="C561" s="55" t="str">
        <f>_xlfn.XLOOKUP($G561,'.Auxiliar'!$G:$G,'.Auxiliar'!C:C,"-",0)</f>
        <v>Ruas laterais em segmentos descontínuos a serem definidos, nos municípios de Campina Grande do Sul, Quatro Barras, Colombo e Curitiba</v>
      </c>
      <c r="D561" s="55">
        <f>_xlfn.XLOOKUP($G561,'.Auxiliar'!$G:$G,'.Auxiliar'!D:D,"-",0)</f>
        <v>0</v>
      </c>
      <c r="E561" s="55">
        <f>_xlfn.XLOOKUP($G561,'.Auxiliar'!$G:$G,'.Auxiliar'!E:E,"-",0)</f>
        <v>15</v>
      </c>
      <c r="F561" s="55">
        <f>_xlfn.XLOOKUP($G561,'.Auxiliar'!$G:$G,'.Auxiliar'!F:F,"-",0)</f>
        <v>15</v>
      </c>
      <c r="G561" s="59" t="s">
        <v>582</v>
      </c>
      <c r="H561" s="108" t="s">
        <v>363</v>
      </c>
      <c r="I561" s="109" t="s">
        <v>0</v>
      </c>
      <c r="J561" s="109" t="s">
        <v>0</v>
      </c>
      <c r="K561" s="109" t="s">
        <v>363</v>
      </c>
      <c r="L561" s="109" t="s">
        <v>0</v>
      </c>
      <c r="M561" s="109" t="s">
        <v>0</v>
      </c>
      <c r="N561" s="110" t="s">
        <v>0</v>
      </c>
      <c r="O561" s="111">
        <v>100</v>
      </c>
      <c r="P561" s="112">
        <v>91.53</v>
      </c>
      <c r="Q561" s="112"/>
      <c r="R561" s="112"/>
      <c r="S561" s="112">
        <f>100-P561</f>
        <v>8.4699999999999989</v>
      </c>
      <c r="T561" s="112">
        <v>0</v>
      </c>
      <c r="U561" s="95">
        <f t="shared" si="27"/>
        <v>8.4699999999999989</v>
      </c>
      <c r="V561" s="112"/>
      <c r="W561" s="112"/>
      <c r="X561" s="107"/>
      <c r="Y561" s="107">
        <f t="shared" si="28"/>
        <v>100</v>
      </c>
      <c r="Z561" s="107">
        <f t="shared" si="29"/>
        <v>91.53</v>
      </c>
    </row>
    <row r="562" spans="1:26" x14ac:dyDescent="0.25">
      <c r="A562" s="55" t="str">
        <f>_xlfn.XLOOKUP($G562,'.Auxiliar'!$G:$G,'.Auxiliar'!A:A,"-",0)</f>
        <v>REGIS</v>
      </c>
      <c r="B562" s="55" t="str">
        <f>_xlfn.XLOOKUP($G562,'.Auxiliar'!$G:$G,'.Auxiliar'!B:B,"-",0)</f>
        <v>PAVIMENTAÇÃO</v>
      </c>
      <c r="C562" s="55" t="str">
        <f>_xlfn.XLOOKUP($G562,'.Auxiliar'!$G:$G,'.Auxiliar'!C:C,"-",0)</f>
        <v>Ruas laterais em segmentos descontínuos a serem definidos, nos municípios de Miracatu, Registro, Pariquera-Açu, Jacupiranga e Cajati</v>
      </c>
      <c r="D562" s="55">
        <f>_xlfn.XLOOKUP($G562,'.Auxiliar'!$G:$G,'.Auxiliar'!D:D,"-",0)</f>
        <v>0</v>
      </c>
      <c r="E562" s="55">
        <f>_xlfn.XLOOKUP($G562,'.Auxiliar'!$G:$G,'.Auxiliar'!E:E,"-",0)</f>
        <v>20</v>
      </c>
      <c r="F562" s="55">
        <f>_xlfn.XLOOKUP($G562,'.Auxiliar'!$G:$G,'.Auxiliar'!F:F,"-",0)</f>
        <v>20</v>
      </c>
      <c r="G562" s="59" t="s">
        <v>584</v>
      </c>
      <c r="H562" s="108" t="s">
        <v>363</v>
      </c>
      <c r="I562" s="109" t="s">
        <v>0</v>
      </c>
      <c r="J562" s="109" t="s">
        <v>0</v>
      </c>
      <c r="K562" s="109" t="s">
        <v>363</v>
      </c>
      <c r="L562" s="109" t="s">
        <v>0</v>
      </c>
      <c r="M562" s="109" t="s">
        <v>0</v>
      </c>
      <c r="N562" s="110" t="s">
        <v>0</v>
      </c>
      <c r="O562" s="111">
        <v>100</v>
      </c>
      <c r="P562" s="112">
        <v>94.05</v>
      </c>
      <c r="Q562" s="112"/>
      <c r="R562" s="112"/>
      <c r="S562" s="112">
        <f>100-P562</f>
        <v>5.9500000000000028</v>
      </c>
      <c r="T562" s="112">
        <v>0</v>
      </c>
      <c r="U562" s="95">
        <f t="shared" si="27"/>
        <v>5.9500000000000028</v>
      </c>
      <c r="V562" s="112"/>
      <c r="W562" s="112"/>
      <c r="X562" s="107"/>
      <c r="Y562" s="107">
        <f t="shared" si="28"/>
        <v>100</v>
      </c>
      <c r="Z562" s="107">
        <f t="shared" si="29"/>
        <v>94.05</v>
      </c>
    </row>
    <row r="563" spans="1:26" x14ac:dyDescent="0.25">
      <c r="A563" s="55" t="str">
        <f>_xlfn.XLOOKUP($G563,'.Auxiliar'!$G:$G,'.Auxiliar'!A:A,"-",0)</f>
        <v>REGIS</v>
      </c>
      <c r="B563" s="55" t="str">
        <f>_xlfn.XLOOKUP($G563,'.Auxiliar'!$G:$G,'.Auxiliar'!B:B,"-",0)</f>
        <v>PAVIMENTAÇÃO</v>
      </c>
      <c r="C563" s="55" t="str">
        <f>_xlfn.XLOOKUP($G563,'.Auxiliar'!$G:$G,'.Auxiliar'!C:C,"-",0)</f>
        <v>Ruas laterais em segmentos descontínuos a serem definidos, nos municípios de Taboão da Serra, Embu, São Lourenço da Serra e Itapecerica da Serra,</v>
      </c>
      <c r="D563" s="55">
        <f>_xlfn.XLOOKUP($G563,'.Auxiliar'!$G:$G,'.Auxiliar'!D:D,"-",0)</f>
        <v>0</v>
      </c>
      <c r="E563" s="55">
        <f>_xlfn.XLOOKUP($G563,'.Auxiliar'!$G:$G,'.Auxiliar'!E:E,"-",0)</f>
        <v>20</v>
      </c>
      <c r="F563" s="55">
        <f>_xlfn.XLOOKUP($G563,'.Auxiliar'!$G:$G,'.Auxiliar'!F:F,"-",0)</f>
        <v>20</v>
      </c>
      <c r="G563" s="59" t="s">
        <v>583</v>
      </c>
      <c r="H563" s="108" t="s">
        <v>363</v>
      </c>
      <c r="I563" s="109" t="s">
        <v>0</v>
      </c>
      <c r="J563" s="109" t="s">
        <v>0</v>
      </c>
      <c r="K563" s="109" t="s">
        <v>363</v>
      </c>
      <c r="L563" s="109" t="s">
        <v>0</v>
      </c>
      <c r="M563" s="109" t="s">
        <v>0</v>
      </c>
      <c r="N563" s="110" t="s">
        <v>0</v>
      </c>
      <c r="O563" s="111">
        <v>100</v>
      </c>
      <c r="P563" s="112">
        <v>0</v>
      </c>
      <c r="Q563" s="112"/>
      <c r="R563" s="112"/>
      <c r="S563" s="95"/>
      <c r="T563" s="112"/>
      <c r="U563" s="95" t="str">
        <f t="shared" si="27"/>
        <v/>
      </c>
      <c r="V563" s="112"/>
      <c r="W563" s="112"/>
      <c r="X563" s="107">
        <v>100</v>
      </c>
      <c r="Y563" s="107">
        <f t="shared" si="28"/>
        <v>100</v>
      </c>
      <c r="Z563" s="107">
        <f t="shared" si="29"/>
        <v>0</v>
      </c>
    </row>
    <row r="564" spans="1:26" x14ac:dyDescent="0.25">
      <c r="A564" s="55" t="str">
        <f>_xlfn.XLOOKUP($G564,'.Auxiliar'!$G:$G,'.Auxiliar'!A:A,"-",0)</f>
        <v>REGIS</v>
      </c>
      <c r="B564" s="55" t="str">
        <f>_xlfn.XLOOKUP($G564,'.Auxiliar'!$G:$G,'.Auxiliar'!B:B,"-",0)</f>
        <v>TERCEIRA FAIXA</v>
      </c>
      <c r="C564" s="55" t="str">
        <f>_xlfn.XLOOKUP($G564,'.Auxiliar'!$G:$G,'.Auxiliar'!C:C,"-",0)</f>
        <v>Execução de Terceiras Faixas</v>
      </c>
      <c r="D564" s="55">
        <f>_xlfn.XLOOKUP($G564,'.Auxiliar'!$G:$G,'.Auxiliar'!D:D,"-",0)</f>
        <v>0</v>
      </c>
      <c r="E564" s="55">
        <f>_xlfn.XLOOKUP($G564,'.Auxiliar'!$G:$G,'.Auxiliar'!E:E,"-",0)</f>
        <v>30</v>
      </c>
      <c r="F564" s="55">
        <f>_xlfn.XLOOKUP($G564,'.Auxiliar'!$G:$G,'.Auxiliar'!F:F,"-",0)</f>
        <v>30</v>
      </c>
      <c r="G564" s="59" t="s">
        <v>606</v>
      </c>
      <c r="H564" s="108" t="s">
        <v>363</v>
      </c>
      <c r="I564" s="109" t="s">
        <v>0</v>
      </c>
      <c r="J564" s="109" t="s">
        <v>0</v>
      </c>
      <c r="K564" s="109" t="s">
        <v>0</v>
      </c>
      <c r="L564" s="109" t="s">
        <v>0</v>
      </c>
      <c r="M564" s="109" t="s">
        <v>0</v>
      </c>
      <c r="N564" s="110" t="s">
        <v>0</v>
      </c>
      <c r="O564" s="111">
        <v>100</v>
      </c>
      <c r="P564" s="112">
        <v>0</v>
      </c>
      <c r="Q564" s="112"/>
      <c r="R564" s="112"/>
      <c r="S564" s="95"/>
      <c r="T564" s="112"/>
      <c r="U564" s="95" t="str">
        <f t="shared" si="27"/>
        <v/>
      </c>
      <c r="V564" s="112"/>
      <c r="W564" s="112"/>
      <c r="X564" s="107">
        <v>100</v>
      </c>
      <c r="Y564" s="107">
        <f t="shared" si="28"/>
        <v>100</v>
      </c>
      <c r="Z564" s="107">
        <f t="shared" si="29"/>
        <v>0</v>
      </c>
    </row>
    <row r="565" spans="1:26" x14ac:dyDescent="0.25">
      <c r="A565" s="55" t="str">
        <f>_xlfn.XLOOKUP($G565,'.Auxiliar'!$G:$G,'.Auxiliar'!A:A,"-",0)</f>
        <v>RIO/MINAS</v>
      </c>
      <c r="B565" s="55" t="str">
        <f>_xlfn.XLOOKUP($G565,'.Auxiliar'!$G:$G,'.Auxiliar'!B:B,"-",0)</f>
        <v>DUPLICAÇÃO</v>
      </c>
      <c r="C565" s="55" t="str">
        <f>_xlfn.XLOOKUP($G565,'.Auxiliar'!$G:$G,'.Auxiliar'!C:C,"-",0)</f>
        <v>Nada Consta</v>
      </c>
      <c r="D565" s="55">
        <f>_xlfn.XLOOKUP($G565,'.Auxiliar'!$G:$G,'.Auxiliar'!D:D,"-",0)</f>
        <v>0</v>
      </c>
      <c r="E565" s="55">
        <f>_xlfn.XLOOKUP($G565,'.Auxiliar'!$G:$G,'.Auxiliar'!E:E,"-",0)</f>
        <v>0.8</v>
      </c>
      <c r="F565" s="55">
        <f>_xlfn.XLOOKUP($G565,'.Auxiliar'!$G:$G,'.Auxiliar'!F:F,"-",0)</f>
        <v>0.8</v>
      </c>
      <c r="G565" s="59" t="s">
        <v>1193</v>
      </c>
      <c r="H565" s="108" t="s">
        <v>0</v>
      </c>
      <c r="I565" s="109" t="s">
        <v>0</v>
      </c>
      <c r="J565" s="109" t="s">
        <v>0</v>
      </c>
      <c r="K565" s="109" t="s">
        <v>0</v>
      </c>
      <c r="L565" s="109" t="s">
        <v>0</v>
      </c>
      <c r="M565" s="109" t="s">
        <v>363</v>
      </c>
      <c r="N565" s="110" t="s">
        <v>0</v>
      </c>
      <c r="O565" s="111"/>
      <c r="P565" s="112"/>
      <c r="Q565" s="112"/>
      <c r="R565" s="112"/>
      <c r="S565" s="112"/>
      <c r="T565" s="112"/>
      <c r="U565" s="95" t="str">
        <f t="shared" si="27"/>
        <v/>
      </c>
      <c r="V565" s="112"/>
      <c r="W565" s="112">
        <v>100</v>
      </c>
      <c r="X565" s="107"/>
      <c r="Y565" s="107">
        <f t="shared" si="28"/>
        <v>100</v>
      </c>
      <c r="Z565" s="107">
        <f t="shared" si="29"/>
        <v>0</v>
      </c>
    </row>
    <row r="566" spans="1:26" x14ac:dyDescent="0.25">
      <c r="A566" s="55" t="str">
        <f>_xlfn.XLOOKUP($G566,'.Auxiliar'!$G:$G,'.Auxiliar'!A:A,"-",0)</f>
        <v>RIO/MINAS</v>
      </c>
      <c r="B566" s="55" t="str">
        <f>_xlfn.XLOOKUP($G566,'.Auxiliar'!$G:$G,'.Auxiliar'!B:B,"-",0)</f>
        <v>DUPLICAÇÃO</v>
      </c>
      <c r="C566" s="55" t="str">
        <f>_xlfn.XLOOKUP($G566,'.Auxiliar'!$G:$G,'.Auxiliar'!C:C,"-",0)</f>
        <v>Nada Consta</v>
      </c>
      <c r="D566" s="55">
        <f>_xlfn.XLOOKUP($G566,'.Auxiliar'!$G:$G,'.Auxiliar'!D:D,"-",0)</f>
        <v>0</v>
      </c>
      <c r="E566" s="55">
        <f>_xlfn.XLOOKUP($G566,'.Auxiliar'!$G:$G,'.Auxiliar'!E:E,"-",0)</f>
        <v>22.2</v>
      </c>
      <c r="F566" s="55">
        <f>_xlfn.XLOOKUP($G566,'.Auxiliar'!$G:$G,'.Auxiliar'!F:F,"-",0)</f>
        <v>22.2</v>
      </c>
      <c r="G566" s="59" t="s">
        <v>1226</v>
      </c>
      <c r="H566" s="108" t="s">
        <v>0</v>
      </c>
      <c r="I566" s="109" t="s">
        <v>0</v>
      </c>
      <c r="J566" s="109" t="s">
        <v>0</v>
      </c>
      <c r="K566" s="109" t="s">
        <v>0</v>
      </c>
      <c r="L566" s="109" t="s">
        <v>0</v>
      </c>
      <c r="M566" s="109" t="s">
        <v>0</v>
      </c>
      <c r="N566" s="110" t="s">
        <v>363</v>
      </c>
      <c r="O566" s="111"/>
      <c r="P566" s="112"/>
      <c r="Q566" s="112"/>
      <c r="R566" s="112"/>
      <c r="S566" s="112"/>
      <c r="T566" s="112"/>
      <c r="U566" s="95" t="str">
        <f t="shared" si="27"/>
        <v/>
      </c>
      <c r="V566" s="112"/>
      <c r="W566" s="112"/>
      <c r="X566" s="107">
        <v>100</v>
      </c>
      <c r="Y566" s="107">
        <f t="shared" si="28"/>
        <v>100</v>
      </c>
      <c r="Z566" s="107">
        <f t="shared" si="29"/>
        <v>0</v>
      </c>
    </row>
    <row r="567" spans="1:26" x14ac:dyDescent="0.25">
      <c r="A567" s="55" t="str">
        <f>_xlfn.XLOOKUP($G567,'.Auxiliar'!$G:$G,'.Auxiliar'!A:A,"-",0)</f>
        <v>RIO/MINAS</v>
      </c>
      <c r="B567" s="55" t="str">
        <f>_xlfn.XLOOKUP($G567,'.Auxiliar'!$G:$G,'.Auxiliar'!B:B,"-",0)</f>
        <v>DUPLICAÇÃO</v>
      </c>
      <c r="C567" s="55" t="str">
        <f>_xlfn.XLOOKUP($G567,'.Auxiliar'!$G:$G,'.Auxiliar'!C:C,"-",0)</f>
        <v>Nada Consta</v>
      </c>
      <c r="D567" s="55">
        <f>_xlfn.XLOOKUP($G567,'.Auxiliar'!$G:$G,'.Auxiliar'!D:D,"-",0)</f>
        <v>105.185</v>
      </c>
      <c r="E567" s="55">
        <f>_xlfn.XLOOKUP($G567,'.Auxiliar'!$G:$G,'.Auxiliar'!E:E,"-",0)</f>
        <v>105.9</v>
      </c>
      <c r="F567" s="55">
        <f>_xlfn.XLOOKUP($G567,'.Auxiliar'!$G:$G,'.Auxiliar'!F:F,"-",0)</f>
        <v>0.71500000000000341</v>
      </c>
      <c r="G567" s="59" t="s">
        <v>1233</v>
      </c>
      <c r="H567" s="108" t="s">
        <v>0</v>
      </c>
      <c r="I567" s="109" t="s">
        <v>0</v>
      </c>
      <c r="J567" s="109" t="s">
        <v>0</v>
      </c>
      <c r="K567" s="109" t="s">
        <v>0</v>
      </c>
      <c r="L567" s="109" t="s">
        <v>0</v>
      </c>
      <c r="M567" s="109" t="s">
        <v>0</v>
      </c>
      <c r="N567" s="110" t="s">
        <v>363</v>
      </c>
      <c r="O567" s="111"/>
      <c r="P567" s="112"/>
      <c r="Q567" s="112"/>
      <c r="R567" s="112"/>
      <c r="S567" s="112"/>
      <c r="T567" s="112"/>
      <c r="U567" s="95" t="str">
        <f t="shared" si="27"/>
        <v/>
      </c>
      <c r="V567" s="112"/>
      <c r="W567" s="112"/>
      <c r="X567" s="107">
        <v>100</v>
      </c>
      <c r="Y567" s="107">
        <f t="shared" si="28"/>
        <v>100</v>
      </c>
      <c r="Z567" s="107">
        <f t="shared" si="29"/>
        <v>0</v>
      </c>
    </row>
    <row r="568" spans="1:26" x14ac:dyDescent="0.25">
      <c r="A568" s="55" t="str">
        <f>_xlfn.XLOOKUP($G568,'.Auxiliar'!$G:$G,'.Auxiliar'!A:A,"-",0)</f>
        <v>RIO/MINAS</v>
      </c>
      <c r="B568" s="55" t="str">
        <f>_xlfn.XLOOKUP($G568,'.Auxiliar'!$G:$G,'.Auxiliar'!B:B,"-",0)</f>
        <v>DUPLICAÇÃO</v>
      </c>
      <c r="C568" s="55" t="str">
        <f>_xlfn.XLOOKUP($G568,'.Auxiliar'!$G:$G,'.Auxiliar'!C:C,"-",0)</f>
        <v>Nada Consta</v>
      </c>
      <c r="D568" s="55">
        <f>_xlfn.XLOOKUP($G568,'.Auxiliar'!$G:$G,'.Auxiliar'!D:D,"-",0)</f>
        <v>15.6</v>
      </c>
      <c r="E568" s="55">
        <f>_xlfn.XLOOKUP($G568,'.Auxiliar'!$G:$G,'.Auxiliar'!E:E,"-",0)</f>
        <v>17.600000000000001</v>
      </c>
      <c r="F568" s="55">
        <f>_xlfn.XLOOKUP($G568,'.Auxiliar'!$G:$G,'.Auxiliar'!F:F,"-",0)</f>
        <v>2.0000000000000018</v>
      </c>
      <c r="G568" s="59" t="s">
        <v>1195</v>
      </c>
      <c r="H568" s="108" t="s">
        <v>0</v>
      </c>
      <c r="I568" s="109" t="s">
        <v>0</v>
      </c>
      <c r="J568" s="109" t="s">
        <v>0</v>
      </c>
      <c r="K568" s="109" t="s">
        <v>0</v>
      </c>
      <c r="L568" s="109" t="s">
        <v>0</v>
      </c>
      <c r="M568" s="109" t="s">
        <v>363</v>
      </c>
      <c r="N568" s="110" t="s">
        <v>0</v>
      </c>
      <c r="O568" s="111"/>
      <c r="P568" s="112"/>
      <c r="Q568" s="112"/>
      <c r="R568" s="112"/>
      <c r="S568" s="112"/>
      <c r="T568" s="112"/>
      <c r="U568" s="95" t="str">
        <f t="shared" si="27"/>
        <v/>
      </c>
      <c r="V568" s="112"/>
      <c r="W568" s="112">
        <v>100</v>
      </c>
      <c r="X568" s="107"/>
      <c r="Y568" s="107">
        <f t="shared" si="28"/>
        <v>100</v>
      </c>
      <c r="Z568" s="107">
        <f t="shared" si="29"/>
        <v>0</v>
      </c>
    </row>
    <row r="569" spans="1:26" x14ac:dyDescent="0.25">
      <c r="A569" s="55" t="str">
        <f>_xlfn.XLOOKUP($G569,'.Auxiliar'!$G:$G,'.Auxiliar'!A:A,"-",0)</f>
        <v>RIO/MINAS</v>
      </c>
      <c r="B569" s="55" t="str">
        <f>_xlfn.XLOOKUP($G569,'.Auxiliar'!$G:$G,'.Auxiliar'!B:B,"-",0)</f>
        <v>DUPLICAÇÃO</v>
      </c>
      <c r="C569" s="55" t="str">
        <f>_xlfn.XLOOKUP($G569,'.Auxiliar'!$G:$G,'.Auxiliar'!C:C,"-",0)</f>
        <v>Nada Consta</v>
      </c>
      <c r="D569" s="55">
        <f>_xlfn.XLOOKUP($G569,'.Auxiliar'!$G:$G,'.Auxiliar'!D:D,"-",0)</f>
        <v>18.8</v>
      </c>
      <c r="E569" s="55">
        <f>_xlfn.XLOOKUP($G569,'.Auxiliar'!$G:$G,'.Auxiliar'!E:E,"-",0)</f>
        <v>19.8</v>
      </c>
      <c r="F569" s="55">
        <f>_xlfn.XLOOKUP($G569,'.Auxiliar'!$G:$G,'.Auxiliar'!F:F,"-",0)</f>
        <v>1</v>
      </c>
      <c r="G569" s="59" t="s">
        <v>1196</v>
      </c>
      <c r="H569" s="108" t="s">
        <v>0</v>
      </c>
      <c r="I569" s="109" t="s">
        <v>0</v>
      </c>
      <c r="J569" s="109" t="s">
        <v>0</v>
      </c>
      <c r="K569" s="109" t="s">
        <v>0</v>
      </c>
      <c r="L569" s="109" t="s">
        <v>0</v>
      </c>
      <c r="M569" s="109" t="s">
        <v>363</v>
      </c>
      <c r="N569" s="110" t="s">
        <v>0</v>
      </c>
      <c r="O569" s="111"/>
      <c r="P569" s="112"/>
      <c r="Q569" s="112"/>
      <c r="R569" s="112"/>
      <c r="S569" s="112"/>
      <c r="T569" s="112"/>
      <c r="U569" s="95" t="str">
        <f t="shared" si="27"/>
        <v/>
      </c>
      <c r="V569" s="112"/>
      <c r="W569" s="112">
        <v>100</v>
      </c>
      <c r="X569" s="107"/>
      <c r="Y569" s="107">
        <f t="shared" si="28"/>
        <v>100</v>
      </c>
      <c r="Z569" s="107">
        <f t="shared" si="29"/>
        <v>0</v>
      </c>
    </row>
    <row r="570" spans="1:26" x14ac:dyDescent="0.25">
      <c r="A570" s="55" t="str">
        <f>_xlfn.XLOOKUP($G570,'.Auxiliar'!$G:$G,'.Auxiliar'!A:A,"-",0)</f>
        <v>RIO/MINAS</v>
      </c>
      <c r="B570" s="55" t="str">
        <f>_xlfn.XLOOKUP($G570,'.Auxiliar'!$G:$G,'.Auxiliar'!B:B,"-",0)</f>
        <v>DUPLICAÇÃO</v>
      </c>
      <c r="C570" s="55" t="str">
        <f>_xlfn.XLOOKUP($G570,'.Auxiliar'!$G:$G,'.Auxiliar'!C:C,"-",0)</f>
        <v>Nada Consta</v>
      </c>
      <c r="D570" s="55">
        <f>_xlfn.XLOOKUP($G570,'.Auxiliar'!$G:$G,'.Auxiliar'!D:D,"-",0)</f>
        <v>19.8</v>
      </c>
      <c r="E570" s="55">
        <f>_xlfn.XLOOKUP($G570,'.Auxiliar'!$G:$G,'.Auxiliar'!E:E,"-",0)</f>
        <v>25.614000000000001</v>
      </c>
      <c r="F570" s="55">
        <f>_xlfn.XLOOKUP($G570,'.Auxiliar'!$G:$G,'.Auxiliar'!F:F,"-",0)</f>
        <v>5.8140000000000001</v>
      </c>
      <c r="G570" s="59" t="s">
        <v>1197</v>
      </c>
      <c r="H570" s="108" t="s">
        <v>0</v>
      </c>
      <c r="I570" s="109" t="s">
        <v>0</v>
      </c>
      <c r="J570" s="109" t="s">
        <v>0</v>
      </c>
      <c r="K570" s="109" t="s">
        <v>0</v>
      </c>
      <c r="L570" s="109" t="s">
        <v>0</v>
      </c>
      <c r="M570" s="109" t="s">
        <v>363</v>
      </c>
      <c r="N570" s="110" t="s">
        <v>0</v>
      </c>
      <c r="O570" s="111"/>
      <c r="P570" s="112"/>
      <c r="Q570" s="112"/>
      <c r="R570" s="112"/>
      <c r="S570" s="112"/>
      <c r="T570" s="112"/>
      <c r="U570" s="95" t="str">
        <f t="shared" si="27"/>
        <v/>
      </c>
      <c r="V570" s="112"/>
      <c r="W570" s="112">
        <v>100</v>
      </c>
      <c r="X570" s="107"/>
      <c r="Y570" s="107">
        <f t="shared" si="28"/>
        <v>100</v>
      </c>
      <c r="Z570" s="107">
        <f t="shared" si="29"/>
        <v>0</v>
      </c>
    </row>
    <row r="571" spans="1:26" x14ac:dyDescent="0.25">
      <c r="A571" s="55" t="str">
        <f>_xlfn.XLOOKUP($G571,'.Auxiliar'!$G:$G,'.Auxiliar'!A:A,"-",0)</f>
        <v>RIO/MINAS</v>
      </c>
      <c r="B571" s="55" t="str">
        <f>_xlfn.XLOOKUP($G571,'.Auxiliar'!$G:$G,'.Auxiliar'!B:B,"-",0)</f>
        <v>DUPLICAÇÃO</v>
      </c>
      <c r="C571" s="55" t="str">
        <f>_xlfn.XLOOKUP($G571,'.Auxiliar'!$G:$G,'.Auxiliar'!C:C,"-",0)</f>
        <v>Nada Consta</v>
      </c>
      <c r="D571" s="55">
        <f>_xlfn.XLOOKUP($G571,'.Auxiliar'!$G:$G,'.Auxiliar'!D:D,"-",0)</f>
        <v>22.2</v>
      </c>
      <c r="E571" s="55">
        <f>_xlfn.XLOOKUP($G571,'.Auxiliar'!$G:$G,'.Auxiliar'!E:E,"-",0)</f>
        <v>22.5</v>
      </c>
      <c r="F571" s="55">
        <f>_xlfn.XLOOKUP($G571,'.Auxiliar'!$G:$G,'.Auxiliar'!F:F,"-",0)</f>
        <v>0.30000000000000071</v>
      </c>
      <c r="G571" s="59" t="s">
        <v>1227</v>
      </c>
      <c r="H571" s="108" t="s">
        <v>0</v>
      </c>
      <c r="I571" s="109" t="s">
        <v>0</v>
      </c>
      <c r="J571" s="109" t="s">
        <v>0</v>
      </c>
      <c r="K571" s="109" t="s">
        <v>0</v>
      </c>
      <c r="L571" s="109" t="s">
        <v>0</v>
      </c>
      <c r="M571" s="109" t="s">
        <v>0</v>
      </c>
      <c r="N571" s="110" t="s">
        <v>363</v>
      </c>
      <c r="O571" s="111"/>
      <c r="P571" s="112"/>
      <c r="Q571" s="112"/>
      <c r="R571" s="112"/>
      <c r="S571" s="112"/>
      <c r="T571" s="112"/>
      <c r="U571" s="95" t="str">
        <f t="shared" si="27"/>
        <v/>
      </c>
      <c r="V571" s="112"/>
      <c r="W571" s="112"/>
      <c r="X571" s="107">
        <v>100</v>
      </c>
      <c r="Y571" s="107">
        <f t="shared" si="28"/>
        <v>100</v>
      </c>
      <c r="Z571" s="107">
        <f t="shared" si="29"/>
        <v>0</v>
      </c>
    </row>
    <row r="572" spans="1:26" x14ac:dyDescent="0.25">
      <c r="A572" s="55" t="str">
        <f>_xlfn.XLOOKUP($G572,'.Auxiliar'!$G:$G,'.Auxiliar'!A:A,"-",0)</f>
        <v>RIO/MINAS</v>
      </c>
      <c r="B572" s="55" t="str">
        <f>_xlfn.XLOOKUP($G572,'.Auxiliar'!$G:$G,'.Auxiliar'!B:B,"-",0)</f>
        <v>DUPLICAÇÃO</v>
      </c>
      <c r="C572" s="55" t="str">
        <f>_xlfn.XLOOKUP($G572,'.Auxiliar'!$G:$G,'.Auxiliar'!C:C,"-",0)</f>
        <v>Nada Consta</v>
      </c>
      <c r="D572" s="55">
        <f>_xlfn.XLOOKUP($G572,'.Auxiliar'!$G:$G,'.Auxiliar'!D:D,"-",0)</f>
        <v>22.5</v>
      </c>
      <c r="E572" s="55">
        <f>_xlfn.XLOOKUP($G572,'.Auxiliar'!$G:$G,'.Auxiliar'!E:E,"-",0)</f>
        <v>38</v>
      </c>
      <c r="F572" s="55">
        <f>_xlfn.XLOOKUP($G572,'.Auxiliar'!$G:$G,'.Auxiliar'!F:F,"-",0)</f>
        <v>15.5</v>
      </c>
      <c r="G572" s="59" t="s">
        <v>1228</v>
      </c>
      <c r="H572" s="108" t="s">
        <v>0</v>
      </c>
      <c r="I572" s="109" t="s">
        <v>0</v>
      </c>
      <c r="J572" s="109" t="s">
        <v>0</v>
      </c>
      <c r="K572" s="109" t="s">
        <v>0</v>
      </c>
      <c r="L572" s="109" t="s">
        <v>0</v>
      </c>
      <c r="M572" s="109" t="s">
        <v>0</v>
      </c>
      <c r="N572" s="110" t="s">
        <v>363</v>
      </c>
      <c r="O572" s="111"/>
      <c r="P572" s="112"/>
      <c r="Q572" s="112"/>
      <c r="R572" s="112"/>
      <c r="S572" s="112"/>
      <c r="T572" s="112"/>
      <c r="U572" s="95" t="str">
        <f t="shared" si="27"/>
        <v/>
      </c>
      <c r="V572" s="112"/>
      <c r="W572" s="112"/>
      <c r="X572" s="107">
        <v>100</v>
      </c>
      <c r="Y572" s="107">
        <f t="shared" si="28"/>
        <v>100</v>
      </c>
      <c r="Z572" s="107">
        <f t="shared" si="29"/>
        <v>0</v>
      </c>
    </row>
    <row r="573" spans="1:26" x14ac:dyDescent="0.25">
      <c r="A573" s="55" t="str">
        <f>_xlfn.XLOOKUP($G573,'.Auxiliar'!$G:$G,'.Auxiliar'!A:A,"-",0)</f>
        <v>RIO/MINAS</v>
      </c>
      <c r="B573" s="55" t="str">
        <f>_xlfn.XLOOKUP($G573,'.Auxiliar'!$G:$G,'.Auxiliar'!B:B,"-",0)</f>
        <v>DUPLICAÇÃO</v>
      </c>
      <c r="C573" s="55" t="str">
        <f>_xlfn.XLOOKUP($G573,'.Auxiliar'!$G:$G,'.Auxiliar'!C:C,"-",0)</f>
        <v>Nada Consta</v>
      </c>
      <c r="D573" s="55">
        <f>_xlfn.XLOOKUP($G573,'.Auxiliar'!$G:$G,'.Auxiliar'!D:D,"-",0)</f>
        <v>38</v>
      </c>
      <c r="E573" s="55">
        <f>_xlfn.XLOOKUP($G573,'.Auxiliar'!$G:$G,'.Auxiliar'!E:E,"-",0)</f>
        <v>54.11</v>
      </c>
      <c r="F573" s="55">
        <f>_xlfn.XLOOKUP($G573,'.Auxiliar'!$G:$G,'.Auxiliar'!F:F,"-",0)</f>
        <v>16.11</v>
      </c>
      <c r="G573" s="59" t="s">
        <v>1229</v>
      </c>
      <c r="H573" s="108" t="s">
        <v>0</v>
      </c>
      <c r="I573" s="109" t="s">
        <v>0</v>
      </c>
      <c r="J573" s="109" t="s">
        <v>0</v>
      </c>
      <c r="K573" s="109" t="s">
        <v>0</v>
      </c>
      <c r="L573" s="109" t="s">
        <v>0</v>
      </c>
      <c r="M573" s="109" t="s">
        <v>0</v>
      </c>
      <c r="N573" s="110" t="s">
        <v>363</v>
      </c>
      <c r="O573" s="111"/>
      <c r="P573" s="112"/>
      <c r="Q573" s="112"/>
      <c r="R573" s="112"/>
      <c r="S573" s="112"/>
      <c r="T573" s="112"/>
      <c r="U573" s="95" t="str">
        <f t="shared" si="27"/>
        <v/>
      </c>
      <c r="V573" s="112"/>
      <c r="W573" s="112"/>
      <c r="X573" s="107">
        <v>100</v>
      </c>
      <c r="Y573" s="107">
        <f t="shared" si="28"/>
        <v>100</v>
      </c>
      <c r="Z573" s="107">
        <f t="shared" si="29"/>
        <v>0</v>
      </c>
    </row>
    <row r="574" spans="1:26" x14ac:dyDescent="0.25">
      <c r="A574" s="55" t="str">
        <f>_xlfn.XLOOKUP($G574,'.Auxiliar'!$G:$G,'.Auxiliar'!A:A,"-",0)</f>
        <v>RIO/MINAS</v>
      </c>
      <c r="B574" s="55" t="str">
        <f>_xlfn.XLOOKUP($G574,'.Auxiliar'!$G:$G,'.Auxiliar'!B:B,"-",0)</f>
        <v>DUPLICAÇÃO</v>
      </c>
      <c r="C574" s="55" t="str">
        <f>_xlfn.XLOOKUP($G574,'.Auxiliar'!$G:$G,'.Auxiliar'!C:C,"-",0)</f>
        <v>Nada Consta</v>
      </c>
      <c r="D574" s="55">
        <f>_xlfn.XLOOKUP($G574,'.Auxiliar'!$G:$G,'.Auxiliar'!D:D,"-",0)</f>
        <v>412.57600000000002</v>
      </c>
      <c r="E574" s="55">
        <f>_xlfn.XLOOKUP($G574,'.Auxiliar'!$G:$G,'.Auxiliar'!E:E,"-",0)</f>
        <v>413.315</v>
      </c>
      <c r="F574" s="55">
        <f>_xlfn.XLOOKUP($G574,'.Auxiliar'!$G:$G,'.Auxiliar'!F:F,"-",0)</f>
        <v>0.7389999999999759</v>
      </c>
      <c r="G574" s="59" t="s">
        <v>1198</v>
      </c>
      <c r="H574" s="108" t="s">
        <v>0</v>
      </c>
      <c r="I574" s="109" t="s">
        <v>0</v>
      </c>
      <c r="J574" s="109" t="s">
        <v>0</v>
      </c>
      <c r="K574" s="109" t="s">
        <v>0</v>
      </c>
      <c r="L574" s="109" t="s">
        <v>0</v>
      </c>
      <c r="M574" s="109" t="s">
        <v>363</v>
      </c>
      <c r="N574" s="110" t="s">
        <v>0</v>
      </c>
      <c r="O574" s="111"/>
      <c r="P574" s="112"/>
      <c r="Q574" s="112"/>
      <c r="R574" s="112"/>
      <c r="S574" s="112"/>
      <c r="T574" s="112"/>
      <c r="U574" s="95" t="str">
        <f t="shared" si="27"/>
        <v/>
      </c>
      <c r="V574" s="112"/>
      <c r="W574" s="112">
        <v>100</v>
      </c>
      <c r="X574" s="107"/>
      <c r="Y574" s="107">
        <f t="shared" si="28"/>
        <v>100</v>
      </c>
      <c r="Z574" s="107">
        <f t="shared" si="29"/>
        <v>0</v>
      </c>
    </row>
    <row r="575" spans="1:26" x14ac:dyDescent="0.25">
      <c r="A575" s="55" t="str">
        <f>_xlfn.XLOOKUP($G575,'.Auxiliar'!$G:$G,'.Auxiliar'!A:A,"-",0)</f>
        <v>RIO/MINAS</v>
      </c>
      <c r="B575" s="55" t="str">
        <f>_xlfn.XLOOKUP($G575,'.Auxiliar'!$G:$G,'.Auxiliar'!B:B,"-",0)</f>
        <v>DUPLICAÇÃO</v>
      </c>
      <c r="C575" s="55" t="str">
        <f>_xlfn.XLOOKUP($G575,'.Auxiliar'!$G:$G,'.Auxiliar'!C:C,"-",0)</f>
        <v>Nada Consta</v>
      </c>
      <c r="D575" s="55">
        <f>_xlfn.XLOOKUP($G575,'.Auxiliar'!$G:$G,'.Auxiliar'!D:D,"-",0)</f>
        <v>413.315</v>
      </c>
      <c r="E575" s="55">
        <f>_xlfn.XLOOKUP($G575,'.Auxiliar'!$G:$G,'.Auxiliar'!E:E,"-",0)</f>
        <v>421.62700000000001</v>
      </c>
      <c r="F575" s="55">
        <f>_xlfn.XLOOKUP($G575,'.Auxiliar'!$G:$G,'.Auxiliar'!F:F,"-",0)</f>
        <v>8.3120000000000118</v>
      </c>
      <c r="G575" s="59" t="s">
        <v>1199</v>
      </c>
      <c r="H575" s="108" t="s">
        <v>0</v>
      </c>
      <c r="I575" s="109" t="s">
        <v>0</v>
      </c>
      <c r="J575" s="109" t="s">
        <v>0</v>
      </c>
      <c r="K575" s="109" t="s">
        <v>0</v>
      </c>
      <c r="L575" s="109" t="s">
        <v>0</v>
      </c>
      <c r="M575" s="109" t="s">
        <v>363</v>
      </c>
      <c r="N575" s="110" t="s">
        <v>0</v>
      </c>
      <c r="O575" s="111"/>
      <c r="P575" s="112"/>
      <c r="Q575" s="112"/>
      <c r="R575" s="112"/>
      <c r="S575" s="112"/>
      <c r="T575" s="112"/>
      <c r="U575" s="95" t="str">
        <f t="shared" si="27"/>
        <v/>
      </c>
      <c r="V575" s="112"/>
      <c r="W575" s="112">
        <v>100</v>
      </c>
      <c r="X575" s="107"/>
      <c r="Y575" s="107">
        <f t="shared" si="28"/>
        <v>100</v>
      </c>
      <c r="Z575" s="107">
        <f t="shared" si="29"/>
        <v>0</v>
      </c>
    </row>
    <row r="576" spans="1:26" x14ac:dyDescent="0.25">
      <c r="A576" s="55" t="str">
        <f>_xlfn.XLOOKUP($G576,'.Auxiliar'!$G:$G,'.Auxiliar'!A:A,"-",0)</f>
        <v>RIO/MINAS</v>
      </c>
      <c r="B576" s="55" t="str">
        <f>_xlfn.XLOOKUP($G576,'.Auxiliar'!$G:$G,'.Auxiliar'!B:B,"-",0)</f>
        <v>DUPLICAÇÃO</v>
      </c>
      <c r="C576" s="55" t="str">
        <f>_xlfn.XLOOKUP($G576,'.Auxiliar'!$G:$G,'.Auxiliar'!C:C,"-",0)</f>
        <v>Nada Consta</v>
      </c>
      <c r="D576" s="55">
        <f>_xlfn.XLOOKUP($G576,'.Auxiliar'!$G:$G,'.Auxiliar'!D:D,"-",0)</f>
        <v>421.62700000000001</v>
      </c>
      <c r="E576" s="55">
        <f>_xlfn.XLOOKUP($G576,'.Auxiliar'!$G:$G,'.Auxiliar'!E:E,"-",0)</f>
        <v>457.47</v>
      </c>
      <c r="F576" s="55">
        <f>_xlfn.XLOOKUP($G576,'.Auxiliar'!$G:$G,'.Auxiliar'!F:F,"-",0)</f>
        <v>35.843000000000018</v>
      </c>
      <c r="G576" s="59" t="s">
        <v>1234</v>
      </c>
      <c r="H576" s="108" t="s">
        <v>0</v>
      </c>
      <c r="I576" s="109" t="s">
        <v>0</v>
      </c>
      <c r="J576" s="109" t="s">
        <v>0</v>
      </c>
      <c r="K576" s="109" t="s">
        <v>0</v>
      </c>
      <c r="L576" s="109" t="s">
        <v>0</v>
      </c>
      <c r="M576" s="109" t="s">
        <v>0</v>
      </c>
      <c r="N576" s="110" t="s">
        <v>363</v>
      </c>
      <c r="O576" s="111"/>
      <c r="P576" s="112"/>
      <c r="Q576" s="112"/>
      <c r="R576" s="112"/>
      <c r="S576" s="112"/>
      <c r="T576" s="112"/>
      <c r="U576" s="95" t="str">
        <f t="shared" si="27"/>
        <v/>
      </c>
      <c r="V576" s="112"/>
      <c r="W576" s="112"/>
      <c r="X576" s="107">
        <v>100</v>
      </c>
      <c r="Y576" s="107">
        <f t="shared" si="28"/>
        <v>100</v>
      </c>
      <c r="Z576" s="107">
        <f t="shared" si="29"/>
        <v>0</v>
      </c>
    </row>
    <row r="577" spans="1:26" x14ac:dyDescent="0.25">
      <c r="A577" s="55" t="str">
        <f>_xlfn.XLOOKUP($G577,'.Auxiliar'!$G:$G,'.Auxiliar'!A:A,"-",0)</f>
        <v>RIO/MINAS</v>
      </c>
      <c r="B577" s="55" t="str">
        <f>_xlfn.XLOOKUP($G577,'.Auxiliar'!$G:$G,'.Auxiliar'!B:B,"-",0)</f>
        <v>DUPLICAÇÃO</v>
      </c>
      <c r="C577" s="55" t="str">
        <f>_xlfn.XLOOKUP($G577,'.Auxiliar'!$G:$G,'.Auxiliar'!C:C,"-",0)</f>
        <v>Nada Consta</v>
      </c>
      <c r="D577" s="55">
        <f>_xlfn.XLOOKUP($G577,'.Auxiliar'!$G:$G,'.Auxiliar'!D:D,"-",0)</f>
        <v>486.29599999999999</v>
      </c>
      <c r="E577" s="55">
        <f>_xlfn.XLOOKUP($G577,'.Auxiliar'!$G:$G,'.Auxiliar'!E:E,"-",0)</f>
        <v>500.11099999999999</v>
      </c>
      <c r="F577" s="55">
        <f>_xlfn.XLOOKUP($G577,'.Auxiliar'!$G:$G,'.Auxiliar'!F:F,"-",0)</f>
        <v>13.814999999999998</v>
      </c>
      <c r="G577" s="59" t="s">
        <v>1235</v>
      </c>
      <c r="H577" s="108" t="s">
        <v>0</v>
      </c>
      <c r="I577" s="109" t="s">
        <v>0</v>
      </c>
      <c r="J577" s="109" t="s">
        <v>0</v>
      </c>
      <c r="K577" s="109" t="s">
        <v>0</v>
      </c>
      <c r="L577" s="109" t="s">
        <v>0</v>
      </c>
      <c r="M577" s="109" t="s">
        <v>0</v>
      </c>
      <c r="N577" s="110" t="s">
        <v>363</v>
      </c>
      <c r="O577" s="111"/>
      <c r="P577" s="112"/>
      <c r="Q577" s="112"/>
      <c r="R577" s="112"/>
      <c r="S577" s="112"/>
      <c r="T577" s="112"/>
      <c r="U577" s="95" t="str">
        <f t="shared" si="27"/>
        <v/>
      </c>
      <c r="V577" s="112"/>
      <c r="W577" s="112"/>
      <c r="X577" s="107">
        <v>100</v>
      </c>
      <c r="Y577" s="107">
        <f t="shared" si="28"/>
        <v>100</v>
      </c>
      <c r="Z577" s="107">
        <f t="shared" si="29"/>
        <v>0</v>
      </c>
    </row>
    <row r="578" spans="1:26" x14ac:dyDescent="0.25">
      <c r="A578" s="55" t="str">
        <f>_xlfn.XLOOKUP($G578,'.Auxiliar'!$G:$G,'.Auxiliar'!A:A,"-",0)</f>
        <v>RIO/MINAS</v>
      </c>
      <c r="B578" s="55" t="str">
        <f>_xlfn.XLOOKUP($G578,'.Auxiliar'!$G:$G,'.Auxiliar'!B:B,"-",0)</f>
        <v>DUPLICAÇÃO</v>
      </c>
      <c r="C578" s="55" t="str">
        <f>_xlfn.XLOOKUP($G578,'.Auxiliar'!$G:$G,'.Auxiliar'!C:C,"-",0)</f>
        <v>Nada Consta</v>
      </c>
      <c r="D578" s="55">
        <f>_xlfn.XLOOKUP($G578,'.Auxiliar'!$G:$G,'.Auxiliar'!D:D,"-",0)</f>
        <v>5.3</v>
      </c>
      <c r="E578" s="55">
        <f>_xlfn.XLOOKUP($G578,'.Auxiliar'!$G:$G,'.Auxiliar'!E:E,"-",0)</f>
        <v>15.6</v>
      </c>
      <c r="F578" s="55">
        <f>_xlfn.XLOOKUP($G578,'.Auxiliar'!$G:$G,'.Auxiliar'!F:F,"-",0)</f>
        <v>10.3</v>
      </c>
      <c r="G578" s="59" t="s">
        <v>1194</v>
      </c>
      <c r="H578" s="108" t="s">
        <v>0</v>
      </c>
      <c r="I578" s="109" t="s">
        <v>0</v>
      </c>
      <c r="J578" s="109" t="s">
        <v>0</v>
      </c>
      <c r="K578" s="109" t="s">
        <v>0</v>
      </c>
      <c r="L578" s="109" t="s">
        <v>0</v>
      </c>
      <c r="M578" s="109" t="s">
        <v>363</v>
      </c>
      <c r="N578" s="110" t="s">
        <v>0</v>
      </c>
      <c r="O578" s="111"/>
      <c r="P578" s="112"/>
      <c r="Q578" s="112"/>
      <c r="R578" s="112"/>
      <c r="S578" s="112"/>
      <c r="T578" s="112"/>
      <c r="U578" s="95" t="str">
        <f t="shared" si="27"/>
        <v/>
      </c>
      <c r="V578" s="112"/>
      <c r="W578" s="112">
        <v>100</v>
      </c>
      <c r="X578" s="107"/>
      <c r="Y578" s="107">
        <f t="shared" si="28"/>
        <v>100</v>
      </c>
      <c r="Z578" s="107">
        <f t="shared" si="29"/>
        <v>0</v>
      </c>
    </row>
    <row r="579" spans="1:26" x14ac:dyDescent="0.25">
      <c r="A579" s="55" t="str">
        <f>_xlfn.XLOOKUP($G579,'.Auxiliar'!$G:$G,'.Auxiliar'!A:A,"-",0)</f>
        <v>RIO/MINAS</v>
      </c>
      <c r="B579" s="55" t="str">
        <f>_xlfn.XLOOKUP($G579,'.Auxiliar'!$G:$G,'.Auxiliar'!B:B,"-",0)</f>
        <v>DUPLICAÇÃO</v>
      </c>
      <c r="C579" s="55" t="str">
        <f>_xlfn.XLOOKUP($G579,'.Auxiliar'!$G:$G,'.Auxiliar'!C:C,"-",0)</f>
        <v>Nada Consta</v>
      </c>
      <c r="D579" s="55">
        <f>_xlfn.XLOOKUP($G579,'.Auxiliar'!$G:$G,'.Auxiliar'!D:D,"-",0)</f>
        <v>500.11099999999999</v>
      </c>
      <c r="E579" s="55">
        <f>_xlfn.XLOOKUP($G579,'.Auxiliar'!$G:$G,'.Auxiliar'!E:E,"-",0)</f>
        <v>520.51700000000005</v>
      </c>
      <c r="F579" s="55">
        <f>_xlfn.XLOOKUP($G579,'.Auxiliar'!$G:$G,'.Auxiliar'!F:F,"-",0)</f>
        <v>20.406000000000063</v>
      </c>
      <c r="G579" s="59" t="s">
        <v>1236</v>
      </c>
      <c r="H579" s="108" t="s">
        <v>0</v>
      </c>
      <c r="I579" s="109" t="s">
        <v>0</v>
      </c>
      <c r="J579" s="109" t="s">
        <v>0</v>
      </c>
      <c r="K579" s="109" t="s">
        <v>0</v>
      </c>
      <c r="L579" s="109" t="s">
        <v>0</v>
      </c>
      <c r="M579" s="109" t="s">
        <v>0</v>
      </c>
      <c r="N579" s="110" t="s">
        <v>363</v>
      </c>
      <c r="O579" s="111"/>
      <c r="P579" s="112"/>
      <c r="Q579" s="112"/>
      <c r="R579" s="112"/>
      <c r="S579" s="112"/>
      <c r="T579" s="112"/>
      <c r="U579" s="95" t="str">
        <f t="shared" ref="U579:U642" si="30">IF(SUM(V579:X579)=100,"",100-(P579+R579))</f>
        <v/>
      </c>
      <c r="V579" s="112"/>
      <c r="W579" s="112"/>
      <c r="X579" s="107">
        <v>100</v>
      </c>
      <c r="Y579" s="107">
        <f t="shared" ref="Y579:Y642" si="31">SUM(P579,R579,S579,V579,W579,X579)</f>
        <v>100</v>
      </c>
      <c r="Z579" s="107">
        <f t="shared" ref="Z579:Z642" si="32">SUM(P579,R579,T579)</f>
        <v>0</v>
      </c>
    </row>
    <row r="580" spans="1:26" x14ac:dyDescent="0.25">
      <c r="A580" s="55" t="str">
        <f>_xlfn.XLOOKUP($G580,'.Auxiliar'!$G:$G,'.Auxiliar'!A:A,"-",0)</f>
        <v>RIO/MINAS</v>
      </c>
      <c r="B580" s="55" t="str">
        <f>_xlfn.XLOOKUP($G580,'.Auxiliar'!$G:$G,'.Auxiliar'!B:B,"-",0)</f>
        <v>DUPLICAÇÃO</v>
      </c>
      <c r="C580" s="55" t="str">
        <f>_xlfn.XLOOKUP($G580,'.Auxiliar'!$G:$G,'.Auxiliar'!C:C,"-",0)</f>
        <v>Nada Consta</v>
      </c>
      <c r="D580" s="55">
        <f>_xlfn.XLOOKUP($G580,'.Auxiliar'!$G:$G,'.Auxiliar'!D:D,"-",0)</f>
        <v>520.51700000000005</v>
      </c>
      <c r="E580" s="55">
        <f>_xlfn.XLOOKUP($G580,'.Auxiliar'!$G:$G,'.Auxiliar'!E:E,"-",0)</f>
        <v>523.53099999999995</v>
      </c>
      <c r="F580" s="55">
        <f>_xlfn.XLOOKUP($G580,'.Auxiliar'!$G:$G,'.Auxiliar'!F:F,"-",0)</f>
        <v>3.0139999999998963</v>
      </c>
      <c r="G580" s="59" t="s">
        <v>1237</v>
      </c>
      <c r="H580" s="108" t="s">
        <v>0</v>
      </c>
      <c r="I580" s="109" t="s">
        <v>0</v>
      </c>
      <c r="J580" s="109" t="s">
        <v>0</v>
      </c>
      <c r="K580" s="109" t="s">
        <v>0</v>
      </c>
      <c r="L580" s="109" t="s">
        <v>0</v>
      </c>
      <c r="M580" s="109" t="s">
        <v>0</v>
      </c>
      <c r="N580" s="110" t="s">
        <v>363</v>
      </c>
      <c r="O580" s="111"/>
      <c r="P580" s="112"/>
      <c r="Q580" s="112"/>
      <c r="R580" s="112"/>
      <c r="S580" s="112"/>
      <c r="T580" s="112"/>
      <c r="U580" s="95" t="str">
        <f t="shared" si="30"/>
        <v/>
      </c>
      <c r="V580" s="112"/>
      <c r="W580" s="112"/>
      <c r="X580" s="107">
        <v>100</v>
      </c>
      <c r="Y580" s="107">
        <f t="shared" si="31"/>
        <v>100</v>
      </c>
      <c r="Z580" s="107">
        <f t="shared" si="32"/>
        <v>0</v>
      </c>
    </row>
    <row r="581" spans="1:26" x14ac:dyDescent="0.25">
      <c r="A581" s="55" t="str">
        <f>_xlfn.XLOOKUP($G581,'.Auxiliar'!$G:$G,'.Auxiliar'!A:A,"-",0)</f>
        <v>RIO/MINAS</v>
      </c>
      <c r="B581" s="55" t="str">
        <f>_xlfn.XLOOKUP($G581,'.Auxiliar'!$G:$G,'.Auxiliar'!B:B,"-",0)</f>
        <v>DUPLICAÇÃO</v>
      </c>
      <c r="C581" s="55" t="str">
        <f>_xlfn.XLOOKUP($G581,'.Auxiliar'!$G:$G,'.Auxiliar'!C:C,"-",0)</f>
        <v>Nada Consta</v>
      </c>
      <c r="D581" s="55">
        <f>_xlfn.XLOOKUP($G581,'.Auxiliar'!$G:$G,'.Auxiliar'!D:D,"-",0)</f>
        <v>523.53099999999995</v>
      </c>
      <c r="E581" s="55">
        <f>_xlfn.XLOOKUP($G581,'.Auxiliar'!$G:$G,'.Auxiliar'!E:E,"-",0)</f>
        <v>526.62099999999998</v>
      </c>
      <c r="F581" s="55">
        <f>_xlfn.XLOOKUP($G581,'.Auxiliar'!$G:$G,'.Auxiliar'!F:F,"-",0)</f>
        <v>3.0900000000000318</v>
      </c>
      <c r="G581" s="59" t="s">
        <v>1238</v>
      </c>
      <c r="H581" s="108" t="s">
        <v>0</v>
      </c>
      <c r="I581" s="109" t="s">
        <v>0</v>
      </c>
      <c r="J581" s="109" t="s">
        <v>0</v>
      </c>
      <c r="K581" s="109" t="s">
        <v>0</v>
      </c>
      <c r="L581" s="109" t="s">
        <v>0</v>
      </c>
      <c r="M581" s="109" t="s">
        <v>0</v>
      </c>
      <c r="N581" s="110" t="s">
        <v>363</v>
      </c>
      <c r="O581" s="111"/>
      <c r="P581" s="112"/>
      <c r="Q581" s="112"/>
      <c r="R581" s="112"/>
      <c r="S581" s="112"/>
      <c r="T581" s="112"/>
      <c r="U581" s="95" t="str">
        <f t="shared" si="30"/>
        <v/>
      </c>
      <c r="V581" s="112"/>
      <c r="W581" s="112"/>
      <c r="X581" s="107">
        <v>100</v>
      </c>
      <c r="Y581" s="107">
        <f t="shared" si="31"/>
        <v>100</v>
      </c>
      <c r="Z581" s="107">
        <f t="shared" si="32"/>
        <v>0</v>
      </c>
    </row>
    <row r="582" spans="1:26" x14ac:dyDescent="0.25">
      <c r="A582" s="55" t="str">
        <f>_xlfn.XLOOKUP($G582,'.Auxiliar'!$G:$G,'.Auxiliar'!A:A,"-",0)</f>
        <v>RIO/MINAS</v>
      </c>
      <c r="B582" s="55" t="str">
        <f>_xlfn.XLOOKUP($G582,'.Auxiliar'!$G:$G,'.Auxiliar'!B:B,"-",0)</f>
        <v>DUPLICAÇÃO</v>
      </c>
      <c r="C582" s="55" t="str">
        <f>_xlfn.XLOOKUP($G582,'.Auxiliar'!$G:$G,'.Auxiliar'!C:C,"-",0)</f>
        <v>Nada Consta</v>
      </c>
      <c r="D582" s="55">
        <f>_xlfn.XLOOKUP($G582,'.Auxiliar'!$G:$G,'.Auxiliar'!D:D,"-",0)</f>
        <v>528.20000000000005</v>
      </c>
      <c r="E582" s="55">
        <f>_xlfn.XLOOKUP($G582,'.Auxiliar'!$G:$G,'.Auxiliar'!E:E,"-",0)</f>
        <v>528.34500000000003</v>
      </c>
      <c r="F582" s="55">
        <f>_xlfn.XLOOKUP($G582,'.Auxiliar'!$G:$G,'.Auxiliar'!F:F,"-",0)</f>
        <v>0.14499999999998181</v>
      </c>
      <c r="G582" s="59" t="s">
        <v>1239</v>
      </c>
      <c r="H582" s="108" t="s">
        <v>0</v>
      </c>
      <c r="I582" s="109" t="s">
        <v>0</v>
      </c>
      <c r="J582" s="109" t="s">
        <v>0</v>
      </c>
      <c r="K582" s="109" t="s">
        <v>0</v>
      </c>
      <c r="L582" s="109" t="s">
        <v>0</v>
      </c>
      <c r="M582" s="109" t="s">
        <v>0</v>
      </c>
      <c r="N582" s="110" t="s">
        <v>363</v>
      </c>
      <c r="O582" s="111"/>
      <c r="P582" s="112"/>
      <c r="Q582" s="112"/>
      <c r="R582" s="112"/>
      <c r="S582" s="112"/>
      <c r="T582" s="112"/>
      <c r="U582" s="95" t="str">
        <f t="shared" si="30"/>
        <v/>
      </c>
      <c r="V582" s="112"/>
      <c r="W582" s="112"/>
      <c r="X582" s="107">
        <v>100</v>
      </c>
      <c r="Y582" s="107">
        <f t="shared" si="31"/>
        <v>100</v>
      </c>
      <c r="Z582" s="107">
        <f t="shared" si="32"/>
        <v>0</v>
      </c>
    </row>
    <row r="583" spans="1:26" x14ac:dyDescent="0.25">
      <c r="A583" s="55" t="str">
        <f>_xlfn.XLOOKUP($G583,'.Auxiliar'!$G:$G,'.Auxiliar'!A:A,"-",0)</f>
        <v>RIO/MINAS</v>
      </c>
      <c r="B583" s="55" t="str">
        <f>_xlfn.XLOOKUP($G583,'.Auxiliar'!$G:$G,'.Auxiliar'!B:B,"-",0)</f>
        <v>DUPLICAÇÃO</v>
      </c>
      <c r="C583" s="55" t="str">
        <f>_xlfn.XLOOKUP($G583,'.Auxiliar'!$G:$G,'.Auxiliar'!C:C,"-",0)</f>
        <v>Nada Consta</v>
      </c>
      <c r="D583" s="55">
        <f>_xlfn.XLOOKUP($G583,'.Auxiliar'!$G:$G,'.Auxiliar'!D:D,"-",0)</f>
        <v>528.34500000000003</v>
      </c>
      <c r="E583" s="55">
        <f>_xlfn.XLOOKUP($G583,'.Auxiliar'!$G:$G,'.Auxiliar'!E:E,"-",0)</f>
        <v>562.29999999999995</v>
      </c>
      <c r="F583" s="55">
        <f>_xlfn.XLOOKUP($G583,'.Auxiliar'!$G:$G,'.Auxiliar'!F:F,"-",0)</f>
        <v>33.954999999999927</v>
      </c>
      <c r="G583" s="59" t="s">
        <v>1240</v>
      </c>
      <c r="H583" s="108" t="s">
        <v>0</v>
      </c>
      <c r="I583" s="109" t="s">
        <v>0</v>
      </c>
      <c r="J583" s="109" t="s">
        <v>0</v>
      </c>
      <c r="K583" s="109" t="s">
        <v>0</v>
      </c>
      <c r="L583" s="109" t="s">
        <v>0</v>
      </c>
      <c r="M583" s="109" t="s">
        <v>0</v>
      </c>
      <c r="N583" s="110" t="s">
        <v>363</v>
      </c>
      <c r="O583" s="111"/>
      <c r="P583" s="112"/>
      <c r="Q583" s="112"/>
      <c r="R583" s="112"/>
      <c r="S583" s="112"/>
      <c r="T583" s="112"/>
      <c r="U583" s="95" t="str">
        <f t="shared" si="30"/>
        <v/>
      </c>
      <c r="V583" s="112"/>
      <c r="W583" s="112"/>
      <c r="X583" s="107">
        <v>100</v>
      </c>
      <c r="Y583" s="107">
        <f t="shared" si="31"/>
        <v>100</v>
      </c>
      <c r="Z583" s="107">
        <f t="shared" si="32"/>
        <v>0</v>
      </c>
    </row>
    <row r="584" spans="1:26" x14ac:dyDescent="0.25">
      <c r="A584" s="55" t="str">
        <f>_xlfn.XLOOKUP($G584,'.Auxiliar'!$G:$G,'.Auxiliar'!A:A,"-",0)</f>
        <v>RIO/MINAS</v>
      </c>
      <c r="B584" s="55" t="str">
        <f>_xlfn.XLOOKUP($G584,'.Auxiliar'!$G:$G,'.Auxiliar'!B:B,"-",0)</f>
        <v>DUPLICAÇÃO</v>
      </c>
      <c r="C584" s="55" t="str">
        <f>_xlfn.XLOOKUP($G584,'.Auxiliar'!$G:$G,'.Auxiliar'!C:C,"-",0)</f>
        <v>Nada Consta</v>
      </c>
      <c r="D584" s="55">
        <f>_xlfn.XLOOKUP($G584,'.Auxiliar'!$G:$G,'.Auxiliar'!D:D,"-",0)</f>
        <v>54.11</v>
      </c>
      <c r="E584" s="55">
        <f>_xlfn.XLOOKUP($G584,'.Auxiliar'!$G:$G,'.Auxiliar'!E:E,"-",0)</f>
        <v>57</v>
      </c>
      <c r="F584" s="55">
        <f>_xlfn.XLOOKUP($G584,'.Auxiliar'!$G:$G,'.Auxiliar'!F:F,"-",0)</f>
        <v>2.8900000000000006</v>
      </c>
      <c r="G584" s="59" t="s">
        <v>1230</v>
      </c>
      <c r="H584" s="108" t="s">
        <v>0</v>
      </c>
      <c r="I584" s="109" t="s">
        <v>0</v>
      </c>
      <c r="J584" s="109" t="s">
        <v>0</v>
      </c>
      <c r="K584" s="109" t="s">
        <v>0</v>
      </c>
      <c r="L584" s="109" t="s">
        <v>0</v>
      </c>
      <c r="M584" s="109" t="s">
        <v>0</v>
      </c>
      <c r="N584" s="110" t="s">
        <v>363</v>
      </c>
      <c r="O584" s="111"/>
      <c r="P584" s="112"/>
      <c r="Q584" s="112"/>
      <c r="R584" s="112"/>
      <c r="S584" s="112"/>
      <c r="T584" s="112"/>
      <c r="U584" s="95" t="str">
        <f t="shared" si="30"/>
        <v/>
      </c>
      <c r="V584" s="112"/>
      <c r="W584" s="112"/>
      <c r="X584" s="107">
        <v>100</v>
      </c>
      <c r="Y584" s="107">
        <f t="shared" si="31"/>
        <v>100</v>
      </c>
      <c r="Z584" s="107">
        <f t="shared" si="32"/>
        <v>0</v>
      </c>
    </row>
    <row r="585" spans="1:26" x14ac:dyDescent="0.25">
      <c r="A585" s="55" t="str">
        <f>_xlfn.XLOOKUP($G585,'.Auxiliar'!$G:$G,'.Auxiliar'!A:A,"-",0)</f>
        <v>RIO/MINAS</v>
      </c>
      <c r="B585" s="55" t="str">
        <f>_xlfn.XLOOKUP($G585,'.Auxiliar'!$G:$G,'.Auxiliar'!B:B,"-",0)</f>
        <v>DUPLICAÇÃO</v>
      </c>
      <c r="C585" s="55" t="str">
        <f>_xlfn.XLOOKUP($G585,'.Auxiliar'!$G:$G,'.Auxiliar'!C:C,"-",0)</f>
        <v>Nada Consta</v>
      </c>
      <c r="D585" s="55">
        <f>_xlfn.XLOOKUP($G585,'.Auxiliar'!$G:$G,'.Auxiliar'!D:D,"-",0)</f>
        <v>57</v>
      </c>
      <c r="E585" s="55">
        <f>_xlfn.XLOOKUP($G585,'.Auxiliar'!$G:$G,'.Auxiliar'!E:E,"-",0)</f>
        <v>77.900000000000006</v>
      </c>
      <c r="F585" s="55">
        <f>_xlfn.XLOOKUP($G585,'.Auxiliar'!$G:$G,'.Auxiliar'!F:F,"-",0)</f>
        <v>20.900000000000006</v>
      </c>
      <c r="G585" s="59" t="s">
        <v>1231</v>
      </c>
      <c r="H585" s="108" t="s">
        <v>0</v>
      </c>
      <c r="I585" s="109" t="s">
        <v>0</v>
      </c>
      <c r="J585" s="109" t="s">
        <v>0</v>
      </c>
      <c r="K585" s="109" t="s">
        <v>0</v>
      </c>
      <c r="L585" s="109" t="s">
        <v>0</v>
      </c>
      <c r="M585" s="109" t="s">
        <v>0</v>
      </c>
      <c r="N585" s="110" t="s">
        <v>363</v>
      </c>
      <c r="O585" s="111"/>
      <c r="P585" s="112"/>
      <c r="Q585" s="112"/>
      <c r="R585" s="112"/>
      <c r="S585" s="112"/>
      <c r="T585" s="112"/>
      <c r="U585" s="95" t="str">
        <f t="shared" si="30"/>
        <v/>
      </c>
      <c r="V585" s="112"/>
      <c r="W585" s="112"/>
      <c r="X585" s="107">
        <v>100</v>
      </c>
      <c r="Y585" s="107">
        <f t="shared" si="31"/>
        <v>100</v>
      </c>
      <c r="Z585" s="107">
        <f t="shared" si="32"/>
        <v>0</v>
      </c>
    </row>
    <row r="586" spans="1:26" x14ac:dyDescent="0.25">
      <c r="A586" s="55" t="str">
        <f>_xlfn.XLOOKUP($G586,'.Auxiliar'!$G:$G,'.Auxiliar'!A:A,"-",0)</f>
        <v>RIO/MINAS</v>
      </c>
      <c r="B586" s="55" t="str">
        <f>_xlfn.XLOOKUP($G586,'.Auxiliar'!$G:$G,'.Auxiliar'!B:B,"-",0)</f>
        <v>DUPLICAÇÃO</v>
      </c>
      <c r="C586" s="55" t="str">
        <f>_xlfn.XLOOKUP($G586,'.Auxiliar'!$G:$G,'.Auxiliar'!C:C,"-",0)</f>
        <v>Nada Consta</v>
      </c>
      <c r="D586" s="55">
        <f>_xlfn.XLOOKUP($G586,'.Auxiliar'!$G:$G,'.Auxiliar'!D:D,"-",0)</f>
        <v>702.8</v>
      </c>
      <c r="E586" s="55">
        <f>_xlfn.XLOOKUP($G586,'.Auxiliar'!$G:$G,'.Auxiliar'!E:E,"-",0)</f>
        <v>703.13599999999997</v>
      </c>
      <c r="F586" s="55">
        <f>_xlfn.XLOOKUP($G586,'.Auxiliar'!$G:$G,'.Auxiliar'!F:F,"-",0)</f>
        <v>0.33600000000001273</v>
      </c>
      <c r="G586" s="59" t="s">
        <v>1241</v>
      </c>
      <c r="H586" s="108" t="s">
        <v>0</v>
      </c>
      <c r="I586" s="109" t="s">
        <v>0</v>
      </c>
      <c r="J586" s="109" t="s">
        <v>0</v>
      </c>
      <c r="K586" s="109" t="s">
        <v>0</v>
      </c>
      <c r="L586" s="109" t="s">
        <v>0</v>
      </c>
      <c r="M586" s="109" t="s">
        <v>0</v>
      </c>
      <c r="N586" s="110" t="s">
        <v>363</v>
      </c>
      <c r="O586" s="111"/>
      <c r="P586" s="112"/>
      <c r="Q586" s="112"/>
      <c r="R586" s="112"/>
      <c r="S586" s="112"/>
      <c r="T586" s="112"/>
      <c r="U586" s="95" t="str">
        <f t="shared" si="30"/>
        <v/>
      </c>
      <c r="V586" s="112"/>
      <c r="W586" s="112"/>
      <c r="X586" s="107">
        <v>100</v>
      </c>
      <c r="Y586" s="107">
        <f t="shared" si="31"/>
        <v>100</v>
      </c>
      <c r="Z586" s="107">
        <f t="shared" si="32"/>
        <v>0</v>
      </c>
    </row>
    <row r="587" spans="1:26" x14ac:dyDescent="0.25">
      <c r="A587" s="55" t="str">
        <f>_xlfn.XLOOKUP($G587,'.Auxiliar'!$G:$G,'.Auxiliar'!A:A,"-",0)</f>
        <v>RIO/MINAS</v>
      </c>
      <c r="B587" s="55" t="str">
        <f>_xlfn.XLOOKUP($G587,'.Auxiliar'!$G:$G,'.Auxiliar'!B:B,"-",0)</f>
        <v>DUPLICAÇÃO</v>
      </c>
      <c r="C587" s="55" t="str">
        <f>_xlfn.XLOOKUP($G587,'.Auxiliar'!$G:$G,'.Auxiliar'!C:C,"-",0)</f>
        <v>Nada Consta</v>
      </c>
      <c r="D587" s="55">
        <f>_xlfn.XLOOKUP($G587,'.Auxiliar'!$G:$G,'.Auxiliar'!D:D,"-",0)</f>
        <v>703.13599999999997</v>
      </c>
      <c r="E587" s="55">
        <f>_xlfn.XLOOKUP($G587,'.Auxiliar'!$G:$G,'.Auxiliar'!E:E,"-",0)</f>
        <v>704.31</v>
      </c>
      <c r="F587" s="55">
        <f>_xlfn.XLOOKUP($G587,'.Auxiliar'!$G:$G,'.Auxiliar'!F:F,"-",0)</f>
        <v>1.1739999999999782</v>
      </c>
      <c r="G587" s="59" t="s">
        <v>1242</v>
      </c>
      <c r="H587" s="108" t="s">
        <v>0</v>
      </c>
      <c r="I587" s="109" t="s">
        <v>0</v>
      </c>
      <c r="J587" s="109" t="s">
        <v>0</v>
      </c>
      <c r="K587" s="109" t="s">
        <v>0</v>
      </c>
      <c r="L587" s="109" t="s">
        <v>0</v>
      </c>
      <c r="M587" s="109" t="s">
        <v>0</v>
      </c>
      <c r="N587" s="110" t="s">
        <v>363</v>
      </c>
      <c r="O587" s="111"/>
      <c r="P587" s="112"/>
      <c r="Q587" s="112"/>
      <c r="R587" s="112"/>
      <c r="S587" s="112"/>
      <c r="T587" s="112"/>
      <c r="U587" s="95" t="str">
        <f t="shared" si="30"/>
        <v/>
      </c>
      <c r="V587" s="112"/>
      <c r="W587" s="112"/>
      <c r="X587" s="107">
        <v>100</v>
      </c>
      <c r="Y587" s="107">
        <f t="shared" si="31"/>
        <v>100</v>
      </c>
      <c r="Z587" s="107">
        <f t="shared" si="32"/>
        <v>0</v>
      </c>
    </row>
    <row r="588" spans="1:26" x14ac:dyDescent="0.25">
      <c r="A588" s="55" t="str">
        <f>_xlfn.XLOOKUP($G588,'.Auxiliar'!$G:$G,'.Auxiliar'!A:A,"-",0)</f>
        <v>RIO/MINAS</v>
      </c>
      <c r="B588" s="55" t="str">
        <f>_xlfn.XLOOKUP($G588,'.Auxiliar'!$G:$G,'.Auxiliar'!B:B,"-",0)</f>
        <v>DUPLICAÇÃO</v>
      </c>
      <c r="C588" s="55" t="str">
        <f>_xlfn.XLOOKUP($G588,'.Auxiliar'!$G:$G,'.Auxiliar'!C:C,"-",0)</f>
        <v>Nada Consta</v>
      </c>
      <c r="D588" s="55">
        <f>_xlfn.XLOOKUP($G588,'.Auxiliar'!$G:$G,'.Auxiliar'!D:D,"-",0)</f>
        <v>704.31</v>
      </c>
      <c r="E588" s="55">
        <f>_xlfn.XLOOKUP($G588,'.Auxiliar'!$G:$G,'.Auxiliar'!E:E,"-",0)</f>
        <v>737.25699999999995</v>
      </c>
      <c r="F588" s="55">
        <f>_xlfn.XLOOKUP($G588,'.Auxiliar'!$G:$G,'.Auxiliar'!F:F,"-",0)</f>
        <v>32.947000000000003</v>
      </c>
      <c r="G588" s="59" t="s">
        <v>1243</v>
      </c>
      <c r="H588" s="108" t="s">
        <v>0</v>
      </c>
      <c r="I588" s="109" t="s">
        <v>0</v>
      </c>
      <c r="J588" s="109" t="s">
        <v>0</v>
      </c>
      <c r="K588" s="109" t="s">
        <v>0</v>
      </c>
      <c r="L588" s="109" t="s">
        <v>0</v>
      </c>
      <c r="M588" s="109" t="s">
        <v>0</v>
      </c>
      <c r="N588" s="110" t="s">
        <v>363</v>
      </c>
      <c r="O588" s="111"/>
      <c r="P588" s="112"/>
      <c r="Q588" s="112"/>
      <c r="R588" s="112"/>
      <c r="S588" s="112"/>
      <c r="T588" s="112"/>
      <c r="U588" s="95" t="str">
        <f t="shared" si="30"/>
        <v/>
      </c>
      <c r="V588" s="112"/>
      <c r="W588" s="112"/>
      <c r="X588" s="107">
        <v>100</v>
      </c>
      <c r="Y588" s="107">
        <f t="shared" si="31"/>
        <v>100</v>
      </c>
      <c r="Z588" s="107">
        <f t="shared" si="32"/>
        <v>0</v>
      </c>
    </row>
    <row r="589" spans="1:26" x14ac:dyDescent="0.25">
      <c r="A589" s="55" t="str">
        <f>_xlfn.XLOOKUP($G589,'.Auxiliar'!$G:$G,'.Auxiliar'!A:A,"-",0)</f>
        <v>RIO/MINAS</v>
      </c>
      <c r="B589" s="55" t="str">
        <f>_xlfn.XLOOKUP($G589,'.Auxiliar'!$G:$G,'.Auxiliar'!B:B,"-",0)</f>
        <v>DUPLICAÇÃO</v>
      </c>
      <c r="C589" s="55" t="str">
        <f>_xlfn.XLOOKUP($G589,'.Auxiliar'!$G:$G,'.Auxiliar'!C:C,"-",0)</f>
        <v>Nada Consta</v>
      </c>
      <c r="D589" s="55">
        <f>_xlfn.XLOOKUP($G589,'.Auxiliar'!$G:$G,'.Auxiliar'!D:D,"-",0)</f>
        <v>737.25699999999995</v>
      </c>
      <c r="E589" s="55">
        <f>_xlfn.XLOOKUP($G589,'.Auxiliar'!$G:$G,'.Auxiliar'!E:E,"-",0)</f>
        <v>745.45699999999999</v>
      </c>
      <c r="F589" s="55">
        <f>_xlfn.XLOOKUP($G589,'.Auxiliar'!$G:$G,'.Auxiliar'!F:F,"-",0)</f>
        <v>8.2000000000000455</v>
      </c>
      <c r="G589" s="59" t="s">
        <v>1244</v>
      </c>
      <c r="H589" s="108" t="s">
        <v>0</v>
      </c>
      <c r="I589" s="109" t="s">
        <v>0</v>
      </c>
      <c r="J589" s="109" t="s">
        <v>0</v>
      </c>
      <c r="K589" s="109" t="s">
        <v>0</v>
      </c>
      <c r="L589" s="109" t="s">
        <v>0</v>
      </c>
      <c r="M589" s="109" t="s">
        <v>0</v>
      </c>
      <c r="N589" s="110" t="s">
        <v>363</v>
      </c>
      <c r="O589" s="111"/>
      <c r="P589" s="112"/>
      <c r="Q589" s="112"/>
      <c r="R589" s="112"/>
      <c r="S589" s="112"/>
      <c r="T589" s="112"/>
      <c r="U589" s="95" t="str">
        <f t="shared" si="30"/>
        <v/>
      </c>
      <c r="V589" s="112"/>
      <c r="W589" s="112"/>
      <c r="X589" s="107">
        <v>100</v>
      </c>
      <c r="Y589" s="107">
        <f t="shared" si="31"/>
        <v>100</v>
      </c>
      <c r="Z589" s="107">
        <f t="shared" si="32"/>
        <v>0</v>
      </c>
    </row>
    <row r="590" spans="1:26" x14ac:dyDescent="0.25">
      <c r="A590" s="55" t="str">
        <f>_xlfn.XLOOKUP($G590,'.Auxiliar'!$G:$G,'.Auxiliar'!A:A,"-",0)</f>
        <v>RIO/MINAS</v>
      </c>
      <c r="B590" s="55" t="str">
        <f>_xlfn.XLOOKUP($G590,'.Auxiliar'!$G:$G,'.Auxiliar'!B:B,"-",0)</f>
        <v>DUPLICAÇÃO</v>
      </c>
      <c r="C590" s="55" t="str">
        <f>_xlfn.XLOOKUP($G590,'.Auxiliar'!$G:$G,'.Auxiliar'!C:C,"-",0)</f>
        <v>Nada Consta</v>
      </c>
      <c r="D590" s="55">
        <f>_xlfn.XLOOKUP($G590,'.Auxiliar'!$G:$G,'.Auxiliar'!D:D,"-",0)</f>
        <v>745.45699999999999</v>
      </c>
      <c r="E590" s="55">
        <f>_xlfn.XLOOKUP($G590,'.Auxiliar'!$G:$G,'.Auxiliar'!E:E,"-",0)</f>
        <v>765.76</v>
      </c>
      <c r="F590" s="55">
        <f>_xlfn.XLOOKUP($G590,'.Auxiliar'!$G:$G,'.Auxiliar'!F:F,"-",0)</f>
        <v>20.302999999999997</v>
      </c>
      <c r="G590" s="59" t="s">
        <v>1245</v>
      </c>
      <c r="H590" s="108" t="s">
        <v>0</v>
      </c>
      <c r="I590" s="109" t="s">
        <v>0</v>
      </c>
      <c r="J590" s="109" t="s">
        <v>0</v>
      </c>
      <c r="K590" s="109" t="s">
        <v>0</v>
      </c>
      <c r="L590" s="109" t="s">
        <v>0</v>
      </c>
      <c r="M590" s="109" t="s">
        <v>0</v>
      </c>
      <c r="N590" s="110" t="s">
        <v>363</v>
      </c>
      <c r="O590" s="111"/>
      <c r="P590" s="112"/>
      <c r="Q590" s="112"/>
      <c r="R590" s="112"/>
      <c r="S590" s="112"/>
      <c r="T590" s="112"/>
      <c r="U590" s="95" t="str">
        <f t="shared" si="30"/>
        <v/>
      </c>
      <c r="V590" s="112"/>
      <c r="W590" s="112"/>
      <c r="X590" s="107">
        <v>100</v>
      </c>
      <c r="Y590" s="107">
        <f t="shared" si="31"/>
        <v>100</v>
      </c>
      <c r="Z590" s="107">
        <f t="shared" si="32"/>
        <v>0</v>
      </c>
    </row>
    <row r="591" spans="1:26" x14ac:dyDescent="0.25">
      <c r="A591" s="55" t="str">
        <f>_xlfn.XLOOKUP($G591,'.Auxiliar'!$G:$G,'.Auxiliar'!A:A,"-",0)</f>
        <v>RIO/MINAS</v>
      </c>
      <c r="B591" s="55" t="str">
        <f>_xlfn.XLOOKUP($G591,'.Auxiliar'!$G:$G,'.Auxiliar'!B:B,"-",0)</f>
        <v>DUPLICAÇÃO</v>
      </c>
      <c r="C591" s="55" t="str">
        <f>_xlfn.XLOOKUP($G591,'.Auxiliar'!$G:$G,'.Auxiliar'!C:C,"-",0)</f>
        <v>Nada Consta</v>
      </c>
      <c r="D591" s="55">
        <f>_xlfn.XLOOKUP($G591,'.Auxiliar'!$G:$G,'.Auxiliar'!D:D,"-",0)</f>
        <v>765.76</v>
      </c>
      <c r="E591" s="55">
        <f>_xlfn.XLOOKUP($G591,'.Auxiliar'!$G:$G,'.Auxiliar'!E:E,"-",0)</f>
        <v>773</v>
      </c>
      <c r="F591" s="55">
        <f>_xlfn.XLOOKUP($G591,'.Auxiliar'!$G:$G,'.Auxiliar'!F:F,"-",0)</f>
        <v>7.2400000000000091</v>
      </c>
      <c r="G591" s="59" t="s">
        <v>1246</v>
      </c>
      <c r="H591" s="108" t="s">
        <v>0</v>
      </c>
      <c r="I591" s="109" t="s">
        <v>0</v>
      </c>
      <c r="J591" s="109" t="s">
        <v>0</v>
      </c>
      <c r="K591" s="109" t="s">
        <v>0</v>
      </c>
      <c r="L591" s="109" t="s">
        <v>0</v>
      </c>
      <c r="M591" s="109" t="s">
        <v>0</v>
      </c>
      <c r="N591" s="110" t="s">
        <v>363</v>
      </c>
      <c r="O591" s="111"/>
      <c r="P591" s="112"/>
      <c r="Q591" s="112"/>
      <c r="R591" s="112"/>
      <c r="S591" s="112"/>
      <c r="T591" s="112"/>
      <c r="U591" s="95" t="str">
        <f t="shared" si="30"/>
        <v/>
      </c>
      <c r="V591" s="112"/>
      <c r="W591" s="112"/>
      <c r="X591" s="107">
        <v>100</v>
      </c>
      <c r="Y591" s="107">
        <f t="shared" si="31"/>
        <v>100</v>
      </c>
      <c r="Z591" s="107">
        <f t="shared" si="32"/>
        <v>0</v>
      </c>
    </row>
    <row r="592" spans="1:26" x14ac:dyDescent="0.25">
      <c r="A592" s="55" t="str">
        <f>_xlfn.XLOOKUP($G592,'.Auxiliar'!$G:$G,'.Auxiliar'!A:A,"-",0)</f>
        <v>RIO/MINAS</v>
      </c>
      <c r="B592" s="55" t="str">
        <f>_xlfn.XLOOKUP($G592,'.Auxiliar'!$G:$G,'.Auxiliar'!B:B,"-",0)</f>
        <v>DUPLICAÇÃO</v>
      </c>
      <c r="C592" s="55" t="str">
        <f>_xlfn.XLOOKUP($G592,'.Auxiliar'!$G:$G,'.Auxiliar'!C:C,"-",0)</f>
        <v>Nada Consta</v>
      </c>
      <c r="D592" s="55">
        <f>_xlfn.XLOOKUP($G592,'.Auxiliar'!$G:$G,'.Auxiliar'!D:D,"-",0)</f>
        <v>77.900000000000006</v>
      </c>
      <c r="E592" s="55">
        <f>_xlfn.XLOOKUP($G592,'.Auxiliar'!$G:$G,'.Auxiliar'!E:E,"-",0)</f>
        <v>90.5</v>
      </c>
      <c r="F592" s="55">
        <f>_xlfn.XLOOKUP($G592,'.Auxiliar'!$G:$G,'.Auxiliar'!F:F,"-",0)</f>
        <v>12.599999999999994</v>
      </c>
      <c r="G592" s="59" t="s">
        <v>1232</v>
      </c>
      <c r="H592" s="108" t="s">
        <v>0</v>
      </c>
      <c r="I592" s="109" t="s">
        <v>0</v>
      </c>
      <c r="J592" s="109" t="s">
        <v>0</v>
      </c>
      <c r="K592" s="109" t="s">
        <v>0</v>
      </c>
      <c r="L592" s="109" t="s">
        <v>0</v>
      </c>
      <c r="M592" s="109" t="s">
        <v>0</v>
      </c>
      <c r="N592" s="110" t="s">
        <v>363</v>
      </c>
      <c r="O592" s="111"/>
      <c r="P592" s="112"/>
      <c r="Q592" s="112"/>
      <c r="R592" s="112"/>
      <c r="S592" s="112"/>
      <c r="T592" s="112"/>
      <c r="U592" s="95" t="str">
        <f t="shared" si="30"/>
        <v/>
      </c>
      <c r="V592" s="112"/>
      <c r="W592" s="112"/>
      <c r="X592" s="107">
        <v>100</v>
      </c>
      <c r="Y592" s="107">
        <f t="shared" si="31"/>
        <v>100</v>
      </c>
      <c r="Z592" s="107">
        <f t="shared" si="32"/>
        <v>0</v>
      </c>
    </row>
    <row r="593" spans="1:26" x14ac:dyDescent="0.25">
      <c r="A593" s="55" t="str">
        <f>_xlfn.XLOOKUP($G593,'.Auxiliar'!$G:$G,'.Auxiliar'!A:A,"-",0)</f>
        <v>RIO/MINAS</v>
      </c>
      <c r="B593" s="55" t="str">
        <f>_xlfn.XLOOKUP($G593,'.Auxiliar'!$G:$G,'.Auxiliar'!B:B,"-",0)</f>
        <v>DUPLICAÇÃO</v>
      </c>
      <c r="C593" s="55" t="str">
        <f>_xlfn.XLOOKUP($G593,'.Auxiliar'!$G:$G,'.Auxiliar'!C:C,"-",0)</f>
        <v>Nada Consta</v>
      </c>
      <c r="D593" s="55">
        <f>_xlfn.XLOOKUP($G593,'.Auxiliar'!$G:$G,'.Auxiliar'!D:D,"-",0)</f>
        <v>814.36400000000003</v>
      </c>
      <c r="E593" s="55">
        <f>_xlfn.XLOOKUP($G593,'.Auxiliar'!$G:$G,'.Auxiliar'!E:E,"-",0)</f>
        <v>815.05</v>
      </c>
      <c r="F593" s="55">
        <f>_xlfn.XLOOKUP($G593,'.Auxiliar'!$G:$G,'.Auxiliar'!F:F,"-",0)</f>
        <v>0.68599999999992178</v>
      </c>
      <c r="G593" s="59" t="s">
        <v>1247</v>
      </c>
      <c r="H593" s="108" t="s">
        <v>0</v>
      </c>
      <c r="I593" s="109" t="s">
        <v>0</v>
      </c>
      <c r="J593" s="109" t="s">
        <v>0</v>
      </c>
      <c r="K593" s="109" t="s">
        <v>0</v>
      </c>
      <c r="L593" s="109" t="s">
        <v>0</v>
      </c>
      <c r="M593" s="109" t="s">
        <v>0</v>
      </c>
      <c r="N593" s="110" t="s">
        <v>363</v>
      </c>
      <c r="O593" s="111"/>
      <c r="P593" s="112"/>
      <c r="Q593" s="112"/>
      <c r="R593" s="112"/>
      <c r="S593" s="112"/>
      <c r="T593" s="112"/>
      <c r="U593" s="95" t="str">
        <f t="shared" si="30"/>
        <v/>
      </c>
      <c r="V593" s="112"/>
      <c r="W593" s="112"/>
      <c r="X593" s="107">
        <v>100</v>
      </c>
      <c r="Y593" s="107">
        <f t="shared" si="31"/>
        <v>100</v>
      </c>
      <c r="Z593" s="107">
        <f t="shared" si="32"/>
        <v>0</v>
      </c>
    </row>
    <row r="594" spans="1:26" x14ac:dyDescent="0.25">
      <c r="A594" s="55" t="str">
        <f>_xlfn.XLOOKUP($G594,'.Auxiliar'!$G:$G,'.Auxiliar'!A:A,"-",0)</f>
        <v>RIO/MINAS</v>
      </c>
      <c r="B594" s="55" t="str">
        <f>_xlfn.XLOOKUP($G594,'.Auxiliar'!$G:$G,'.Auxiliar'!B:B,"-",0)</f>
        <v>DUPLICAÇÃO</v>
      </c>
      <c r="C594" s="55" t="str">
        <f>_xlfn.XLOOKUP($G594,'.Auxiliar'!$G:$G,'.Auxiliar'!C:C,"-",0)</f>
        <v>Nada Consta</v>
      </c>
      <c r="D594" s="55">
        <f>_xlfn.XLOOKUP($G594,'.Auxiliar'!$G:$G,'.Auxiliar'!D:D,"-",0)</f>
        <v>815.05</v>
      </c>
      <c r="E594" s="55">
        <f>_xlfn.XLOOKUP($G594,'.Auxiliar'!$G:$G,'.Auxiliar'!E:E,"-",0)</f>
        <v>816.94399999999996</v>
      </c>
      <c r="F594" s="55">
        <f>_xlfn.XLOOKUP($G594,'.Auxiliar'!$G:$G,'.Auxiliar'!F:F,"-",0)</f>
        <v>1.8940000000000055</v>
      </c>
      <c r="G594" s="59" t="s">
        <v>1248</v>
      </c>
      <c r="H594" s="108" t="s">
        <v>0</v>
      </c>
      <c r="I594" s="109" t="s">
        <v>0</v>
      </c>
      <c r="J594" s="109" t="s">
        <v>0</v>
      </c>
      <c r="K594" s="109" t="s">
        <v>0</v>
      </c>
      <c r="L594" s="109" t="s">
        <v>0</v>
      </c>
      <c r="M594" s="109" t="s">
        <v>0</v>
      </c>
      <c r="N594" s="110" t="s">
        <v>363</v>
      </c>
      <c r="O594" s="111"/>
      <c r="P594" s="112"/>
      <c r="Q594" s="112"/>
      <c r="R594" s="112"/>
      <c r="S594" s="112"/>
      <c r="T594" s="112"/>
      <c r="U594" s="95" t="str">
        <f t="shared" si="30"/>
        <v/>
      </c>
      <c r="V594" s="112"/>
      <c r="W594" s="112"/>
      <c r="X594" s="107">
        <v>100</v>
      </c>
      <c r="Y594" s="107">
        <f t="shared" si="31"/>
        <v>100</v>
      </c>
      <c r="Z594" s="107">
        <f t="shared" si="32"/>
        <v>0</v>
      </c>
    </row>
    <row r="595" spans="1:26" x14ac:dyDescent="0.25">
      <c r="A595" s="55" t="str">
        <f>_xlfn.XLOOKUP($G595,'.Auxiliar'!$G:$G,'.Auxiliar'!A:A,"-",0)</f>
        <v>RIO/MINAS</v>
      </c>
      <c r="B595" s="55" t="str">
        <f>_xlfn.XLOOKUP($G595,'.Auxiliar'!$G:$G,'.Auxiliar'!B:B,"-",0)</f>
        <v>FX ADICIONAL</v>
      </c>
      <c r="C595" s="55" t="str">
        <f>_xlfn.XLOOKUP($G595,'.Auxiliar'!$G:$G,'.Auxiliar'!C:C,"-",0)</f>
        <v>Crescente</v>
      </c>
      <c r="D595" s="55">
        <f>_xlfn.XLOOKUP($G595,'.Auxiliar'!$G:$G,'.Auxiliar'!D:D,"-",0)</f>
        <v>103.035</v>
      </c>
      <c r="E595" s="55">
        <f>_xlfn.XLOOKUP($G595,'.Auxiliar'!$G:$G,'.Auxiliar'!E:E,"-",0)</f>
        <v>104.032</v>
      </c>
      <c r="F595" s="55">
        <f>_xlfn.XLOOKUP($G595,'.Auxiliar'!$G:$G,'.Auxiliar'!F:F,"-",0)</f>
        <v>0.99699999999999989</v>
      </c>
      <c r="G595" s="59" t="s">
        <v>1607</v>
      </c>
      <c r="H595" s="108" t="s">
        <v>0</v>
      </c>
      <c r="I595" s="109" t="s">
        <v>0</v>
      </c>
      <c r="J595" s="109" t="s">
        <v>0</v>
      </c>
      <c r="K595" s="109" t="s">
        <v>0</v>
      </c>
      <c r="L595" s="109" t="s">
        <v>0</v>
      </c>
      <c r="M595" s="109" t="s">
        <v>0</v>
      </c>
      <c r="N595" s="110" t="s">
        <v>363</v>
      </c>
      <c r="O595" s="111"/>
      <c r="P595" s="112"/>
      <c r="Q595" s="112"/>
      <c r="R595" s="112"/>
      <c r="S595" s="112"/>
      <c r="T595" s="112"/>
      <c r="U595" s="95" t="str">
        <f t="shared" si="30"/>
        <v/>
      </c>
      <c r="V595" s="112"/>
      <c r="W595" s="112"/>
      <c r="X595" s="107">
        <v>100</v>
      </c>
      <c r="Y595" s="107">
        <f t="shared" si="31"/>
        <v>100</v>
      </c>
      <c r="Z595" s="107">
        <f t="shared" si="32"/>
        <v>0</v>
      </c>
    </row>
    <row r="596" spans="1:26" x14ac:dyDescent="0.25">
      <c r="A596" s="55" t="str">
        <f>_xlfn.XLOOKUP($G596,'.Auxiliar'!$G:$G,'.Auxiliar'!A:A,"-",0)</f>
        <v>RIO/MINAS</v>
      </c>
      <c r="B596" s="55" t="str">
        <f>_xlfn.XLOOKUP($G596,'.Auxiliar'!$G:$G,'.Auxiliar'!B:B,"-",0)</f>
        <v>FX ADICIONAL</v>
      </c>
      <c r="C596" s="55" t="str">
        <f>_xlfn.XLOOKUP($G596,'.Auxiliar'!$G:$G,'.Auxiliar'!C:C,"-",0)</f>
        <v>Crescente</v>
      </c>
      <c r="D596" s="55">
        <f>_xlfn.XLOOKUP($G596,'.Auxiliar'!$G:$G,'.Auxiliar'!D:D,"-",0)</f>
        <v>139</v>
      </c>
      <c r="E596" s="55">
        <f>_xlfn.XLOOKUP($G596,'.Auxiliar'!$G:$G,'.Auxiliar'!E:E,"-",0)</f>
        <v>145.19999999999999</v>
      </c>
      <c r="F596" s="55">
        <f>_xlfn.XLOOKUP($G596,'.Auxiliar'!$G:$G,'.Auxiliar'!F:F,"-",0)</f>
        <v>6.1999999999999886</v>
      </c>
      <c r="G596" s="59" t="s">
        <v>1610</v>
      </c>
      <c r="H596" s="108" t="s">
        <v>0</v>
      </c>
      <c r="I596" s="109" t="s">
        <v>0</v>
      </c>
      <c r="J596" s="109" t="s">
        <v>0</v>
      </c>
      <c r="K596" s="109" t="s">
        <v>0</v>
      </c>
      <c r="L596" s="109" t="s">
        <v>0</v>
      </c>
      <c r="M596" s="109" t="s">
        <v>0</v>
      </c>
      <c r="N596" s="110" t="s">
        <v>363</v>
      </c>
      <c r="O596" s="111"/>
      <c r="P596" s="112"/>
      <c r="Q596" s="112"/>
      <c r="R596" s="112"/>
      <c r="S596" s="112"/>
      <c r="T596" s="112"/>
      <c r="U596" s="95" t="str">
        <f t="shared" si="30"/>
        <v/>
      </c>
      <c r="V596" s="112"/>
      <c r="W596" s="112"/>
      <c r="X596" s="107">
        <v>100</v>
      </c>
      <c r="Y596" s="107">
        <f t="shared" si="31"/>
        <v>100</v>
      </c>
      <c r="Z596" s="107">
        <f t="shared" si="32"/>
        <v>0</v>
      </c>
    </row>
    <row r="597" spans="1:26" x14ac:dyDescent="0.25">
      <c r="A597" s="55" t="str">
        <f>_xlfn.XLOOKUP($G597,'.Auxiliar'!$G:$G,'.Auxiliar'!A:A,"-",0)</f>
        <v>RIO/MINAS</v>
      </c>
      <c r="B597" s="55" t="str">
        <f>_xlfn.XLOOKUP($G597,'.Auxiliar'!$G:$G,'.Auxiliar'!B:B,"-",0)</f>
        <v>FX ADICIONAL</v>
      </c>
      <c r="C597" s="55" t="str">
        <f>_xlfn.XLOOKUP($G597,'.Auxiliar'!$G:$G,'.Auxiliar'!C:C,"-",0)</f>
        <v>Crescente</v>
      </c>
      <c r="D597" s="55">
        <f>_xlfn.XLOOKUP($G597,'.Auxiliar'!$G:$G,'.Auxiliar'!D:D,"-",0)</f>
        <v>162.19800000000001</v>
      </c>
      <c r="E597" s="55">
        <f>_xlfn.XLOOKUP($G597,'.Auxiliar'!$G:$G,'.Auxiliar'!E:E,"-",0)</f>
        <v>164.9</v>
      </c>
      <c r="F597" s="55">
        <f>_xlfn.XLOOKUP($G597,'.Auxiliar'!$G:$G,'.Auxiliar'!F:F,"-",0)</f>
        <v>2.7019999999999982</v>
      </c>
      <c r="G597" s="59" t="s">
        <v>1550</v>
      </c>
      <c r="H597" s="108" t="s">
        <v>0</v>
      </c>
      <c r="I597" s="109" t="s">
        <v>0</v>
      </c>
      <c r="J597" s="109" t="s">
        <v>0</v>
      </c>
      <c r="K597" s="109" t="s">
        <v>0</v>
      </c>
      <c r="L597" s="109" t="s">
        <v>0</v>
      </c>
      <c r="M597" s="109" t="s">
        <v>363</v>
      </c>
      <c r="N597" s="110" t="s">
        <v>0</v>
      </c>
      <c r="O597" s="111"/>
      <c r="P597" s="112"/>
      <c r="Q597" s="112"/>
      <c r="R597" s="112"/>
      <c r="S597" s="112"/>
      <c r="T597" s="112"/>
      <c r="U597" s="95" t="str">
        <f t="shared" si="30"/>
        <v/>
      </c>
      <c r="V597" s="112"/>
      <c r="W597" s="112">
        <v>100</v>
      </c>
      <c r="X597" s="107"/>
      <c r="Y597" s="107">
        <f t="shared" si="31"/>
        <v>100</v>
      </c>
      <c r="Z597" s="107">
        <f t="shared" si="32"/>
        <v>0</v>
      </c>
    </row>
    <row r="598" spans="1:26" x14ac:dyDescent="0.25">
      <c r="A598" s="55" t="str">
        <f>_xlfn.XLOOKUP($G598,'.Auxiliar'!$G:$G,'.Auxiliar'!A:A,"-",0)</f>
        <v>RIO/MINAS</v>
      </c>
      <c r="B598" s="55" t="str">
        <f>_xlfn.XLOOKUP($G598,'.Auxiliar'!$G:$G,'.Auxiliar'!B:B,"-",0)</f>
        <v>FX ADICIONAL</v>
      </c>
      <c r="C598" s="55" t="str">
        <f>_xlfn.XLOOKUP($G598,'.Auxiliar'!$G:$G,'.Auxiliar'!C:C,"-",0)</f>
        <v>Crescente</v>
      </c>
      <c r="D598" s="55">
        <f>_xlfn.XLOOKUP($G598,'.Auxiliar'!$G:$G,'.Auxiliar'!D:D,"-",0)</f>
        <v>164.9</v>
      </c>
      <c r="E598" s="55">
        <f>_xlfn.XLOOKUP($G598,'.Auxiliar'!$G:$G,'.Auxiliar'!E:E,"-",0)</f>
        <v>167.3</v>
      </c>
      <c r="F598" s="55">
        <f>_xlfn.XLOOKUP($G598,'.Auxiliar'!$G:$G,'.Auxiliar'!F:F,"-",0)</f>
        <v>2.4000000000000057</v>
      </c>
      <c r="G598" s="59" t="s">
        <v>1552</v>
      </c>
      <c r="H598" s="108" t="s">
        <v>0</v>
      </c>
      <c r="I598" s="109" t="s">
        <v>0</v>
      </c>
      <c r="J598" s="109" t="s">
        <v>0</v>
      </c>
      <c r="K598" s="109" t="s">
        <v>0</v>
      </c>
      <c r="L598" s="109" t="s">
        <v>0</v>
      </c>
      <c r="M598" s="109" t="s">
        <v>363</v>
      </c>
      <c r="N598" s="110" t="s">
        <v>0</v>
      </c>
      <c r="O598" s="111"/>
      <c r="P598" s="112"/>
      <c r="Q598" s="112"/>
      <c r="R598" s="112"/>
      <c r="S598" s="112"/>
      <c r="T598" s="112"/>
      <c r="U598" s="95" t="str">
        <f t="shared" si="30"/>
        <v/>
      </c>
      <c r="V598" s="112"/>
      <c r="W598" s="112">
        <v>100</v>
      </c>
      <c r="X598" s="107"/>
      <c r="Y598" s="107">
        <f t="shared" si="31"/>
        <v>100</v>
      </c>
      <c r="Z598" s="107">
        <f t="shared" si="32"/>
        <v>0</v>
      </c>
    </row>
    <row r="599" spans="1:26" x14ac:dyDescent="0.25">
      <c r="A599" s="55" t="str">
        <f>_xlfn.XLOOKUP($G599,'.Auxiliar'!$G:$G,'.Auxiliar'!A:A,"-",0)</f>
        <v>RIO/MINAS</v>
      </c>
      <c r="B599" s="55" t="str">
        <f>_xlfn.XLOOKUP($G599,'.Auxiliar'!$G:$G,'.Auxiliar'!B:B,"-",0)</f>
        <v>FX ADICIONAL</v>
      </c>
      <c r="C599" s="55" t="str">
        <f>_xlfn.XLOOKUP($G599,'.Auxiliar'!$G:$G,'.Auxiliar'!C:C,"-",0)</f>
        <v>Crescente</v>
      </c>
      <c r="D599" s="55">
        <f>_xlfn.XLOOKUP($G599,'.Auxiliar'!$G:$G,'.Auxiliar'!D:D,"-",0)</f>
        <v>167.3</v>
      </c>
      <c r="E599" s="55">
        <f>_xlfn.XLOOKUP($G599,'.Auxiliar'!$G:$G,'.Auxiliar'!E:E,"-",0)</f>
        <v>171.4</v>
      </c>
      <c r="F599" s="55">
        <f>_xlfn.XLOOKUP($G599,'.Auxiliar'!$G:$G,'.Auxiliar'!F:F,"-",0)</f>
        <v>4.0999999999999943</v>
      </c>
      <c r="G599" s="59" t="s">
        <v>1554</v>
      </c>
      <c r="H599" s="108" t="s">
        <v>0</v>
      </c>
      <c r="I599" s="109" t="s">
        <v>0</v>
      </c>
      <c r="J599" s="109" t="s">
        <v>0</v>
      </c>
      <c r="K599" s="109" t="s">
        <v>0</v>
      </c>
      <c r="L599" s="109" t="s">
        <v>0</v>
      </c>
      <c r="M599" s="109" t="s">
        <v>363</v>
      </c>
      <c r="N599" s="110" t="s">
        <v>0</v>
      </c>
      <c r="O599" s="111"/>
      <c r="P599" s="112"/>
      <c r="Q599" s="112"/>
      <c r="R599" s="112"/>
      <c r="S599" s="112"/>
      <c r="T599" s="112"/>
      <c r="U599" s="95" t="str">
        <f t="shared" si="30"/>
        <v/>
      </c>
      <c r="V599" s="112"/>
      <c r="W599" s="112">
        <v>100</v>
      </c>
      <c r="X599" s="107"/>
      <c r="Y599" s="107">
        <f t="shared" si="31"/>
        <v>100</v>
      </c>
      <c r="Z599" s="107">
        <f t="shared" si="32"/>
        <v>0</v>
      </c>
    </row>
    <row r="600" spans="1:26" x14ac:dyDescent="0.25">
      <c r="A600" s="55" t="str">
        <f>_xlfn.XLOOKUP($G600,'.Auxiliar'!$G:$G,'.Auxiliar'!A:A,"-",0)</f>
        <v>RIO/MINAS</v>
      </c>
      <c r="B600" s="55" t="str">
        <f>_xlfn.XLOOKUP($G600,'.Auxiliar'!$G:$G,'.Auxiliar'!B:B,"-",0)</f>
        <v>FX ADICIONAL</v>
      </c>
      <c r="C600" s="55" t="str">
        <f>_xlfn.XLOOKUP($G600,'.Auxiliar'!$G:$G,'.Auxiliar'!C:C,"-",0)</f>
        <v>Crescente</v>
      </c>
      <c r="D600" s="55">
        <f>_xlfn.XLOOKUP($G600,'.Auxiliar'!$G:$G,'.Auxiliar'!D:D,"-",0)</f>
        <v>171.4</v>
      </c>
      <c r="E600" s="55">
        <f>_xlfn.XLOOKUP($G600,'.Auxiliar'!$G:$G,'.Auxiliar'!E:E,"-",0)</f>
        <v>174.6</v>
      </c>
      <c r="F600" s="55">
        <f>_xlfn.XLOOKUP($G600,'.Auxiliar'!$G:$G,'.Auxiliar'!F:F,"-",0)</f>
        <v>3.1999999999999886</v>
      </c>
      <c r="G600" s="59" t="s">
        <v>1556</v>
      </c>
      <c r="H600" s="108" t="s">
        <v>0</v>
      </c>
      <c r="I600" s="109" t="s">
        <v>0</v>
      </c>
      <c r="J600" s="109" t="s">
        <v>0</v>
      </c>
      <c r="K600" s="109" t="s">
        <v>0</v>
      </c>
      <c r="L600" s="109" t="s">
        <v>0</v>
      </c>
      <c r="M600" s="109" t="s">
        <v>363</v>
      </c>
      <c r="N600" s="110" t="s">
        <v>0</v>
      </c>
      <c r="O600" s="111"/>
      <c r="P600" s="112"/>
      <c r="Q600" s="112"/>
      <c r="R600" s="112"/>
      <c r="S600" s="112"/>
      <c r="T600" s="112"/>
      <c r="U600" s="95" t="str">
        <f t="shared" si="30"/>
        <v/>
      </c>
      <c r="V600" s="112"/>
      <c r="W600" s="112">
        <v>100</v>
      </c>
      <c r="X600" s="107"/>
      <c r="Y600" s="107">
        <f t="shared" si="31"/>
        <v>100</v>
      </c>
      <c r="Z600" s="107">
        <f t="shared" si="32"/>
        <v>0</v>
      </c>
    </row>
    <row r="601" spans="1:26" x14ac:dyDescent="0.25">
      <c r="A601" s="55" t="str">
        <f>_xlfn.XLOOKUP($G601,'.Auxiliar'!$G:$G,'.Auxiliar'!A:A,"-",0)</f>
        <v>RIO/MINAS</v>
      </c>
      <c r="B601" s="55" t="str">
        <f>_xlfn.XLOOKUP($G601,'.Auxiliar'!$G:$G,'.Auxiliar'!B:B,"-",0)</f>
        <v>FX ADICIONAL</v>
      </c>
      <c r="C601" s="55" t="str">
        <f>_xlfn.XLOOKUP($G601,'.Auxiliar'!$G:$G,'.Auxiliar'!C:C,"-",0)</f>
        <v>Crescente</v>
      </c>
      <c r="D601" s="55">
        <f>_xlfn.XLOOKUP($G601,'.Auxiliar'!$G:$G,'.Auxiliar'!D:D,"-",0)</f>
        <v>174.6</v>
      </c>
      <c r="E601" s="55">
        <f>_xlfn.XLOOKUP($G601,'.Auxiliar'!$G:$G,'.Auxiliar'!E:E,"-",0)</f>
        <v>178.5</v>
      </c>
      <c r="F601" s="55">
        <f>_xlfn.XLOOKUP($G601,'.Auxiliar'!$G:$G,'.Auxiliar'!F:F,"-",0)</f>
        <v>3.9000000000000057</v>
      </c>
      <c r="G601" s="59" t="s">
        <v>1558</v>
      </c>
      <c r="H601" s="108" t="s">
        <v>0</v>
      </c>
      <c r="I601" s="109" t="s">
        <v>0</v>
      </c>
      <c r="J601" s="109" t="s">
        <v>0</v>
      </c>
      <c r="K601" s="109" t="s">
        <v>0</v>
      </c>
      <c r="L601" s="109" t="s">
        <v>0</v>
      </c>
      <c r="M601" s="109" t="s">
        <v>363</v>
      </c>
      <c r="N601" s="110" t="s">
        <v>0</v>
      </c>
      <c r="O601" s="111"/>
      <c r="P601" s="112"/>
      <c r="Q601" s="112"/>
      <c r="R601" s="112"/>
      <c r="S601" s="112"/>
      <c r="T601" s="112"/>
      <c r="U601" s="95" t="str">
        <f t="shared" si="30"/>
        <v/>
      </c>
      <c r="V601" s="112"/>
      <c r="W601" s="112">
        <v>100</v>
      </c>
      <c r="X601" s="107"/>
      <c r="Y601" s="107">
        <f t="shared" si="31"/>
        <v>100</v>
      </c>
      <c r="Z601" s="107">
        <f t="shared" si="32"/>
        <v>0</v>
      </c>
    </row>
    <row r="602" spans="1:26" x14ac:dyDescent="0.25">
      <c r="A602" s="55" t="str">
        <f>_xlfn.XLOOKUP($G602,'.Auxiliar'!$G:$G,'.Auxiliar'!A:A,"-",0)</f>
        <v>RIO/MINAS</v>
      </c>
      <c r="B602" s="55" t="str">
        <f>_xlfn.XLOOKUP($G602,'.Auxiliar'!$G:$G,'.Auxiliar'!B:B,"-",0)</f>
        <v>FX ADICIONAL</v>
      </c>
      <c r="C602" s="55" t="str">
        <f>_xlfn.XLOOKUP($G602,'.Auxiliar'!$G:$G,'.Auxiliar'!C:C,"-",0)</f>
        <v>Crescente</v>
      </c>
      <c r="D602" s="55">
        <f>_xlfn.XLOOKUP($G602,'.Auxiliar'!$G:$G,'.Auxiliar'!D:D,"-",0)</f>
        <v>178.5</v>
      </c>
      <c r="E602" s="55">
        <f>_xlfn.XLOOKUP($G602,'.Auxiliar'!$G:$G,'.Auxiliar'!E:E,"-",0)</f>
        <v>182.6</v>
      </c>
      <c r="F602" s="55">
        <f>_xlfn.XLOOKUP($G602,'.Auxiliar'!$G:$G,'.Auxiliar'!F:F,"-",0)</f>
        <v>4.0999999999999943</v>
      </c>
      <c r="G602" s="59" t="s">
        <v>1560</v>
      </c>
      <c r="H602" s="108" t="s">
        <v>0</v>
      </c>
      <c r="I602" s="109" t="s">
        <v>0</v>
      </c>
      <c r="J602" s="109" t="s">
        <v>0</v>
      </c>
      <c r="K602" s="109" t="s">
        <v>0</v>
      </c>
      <c r="L602" s="109" t="s">
        <v>0</v>
      </c>
      <c r="M602" s="109" t="s">
        <v>363</v>
      </c>
      <c r="N602" s="110" t="s">
        <v>0</v>
      </c>
      <c r="O602" s="111"/>
      <c r="P602" s="112"/>
      <c r="Q602" s="112"/>
      <c r="R602" s="112"/>
      <c r="S602" s="112"/>
      <c r="T602" s="112"/>
      <c r="U602" s="95" t="str">
        <f t="shared" si="30"/>
        <v/>
      </c>
      <c r="V602" s="112"/>
      <c r="W602" s="112">
        <v>100</v>
      </c>
      <c r="X602" s="107"/>
      <c r="Y602" s="107">
        <f t="shared" si="31"/>
        <v>100</v>
      </c>
      <c r="Z602" s="107">
        <f t="shared" si="32"/>
        <v>0</v>
      </c>
    </row>
    <row r="603" spans="1:26" x14ac:dyDescent="0.25">
      <c r="A603" s="55" t="str">
        <f>_xlfn.XLOOKUP($G603,'.Auxiliar'!$G:$G,'.Auxiliar'!A:A,"-",0)</f>
        <v>RIO/MINAS</v>
      </c>
      <c r="B603" s="55" t="str">
        <f>_xlfn.XLOOKUP($G603,'.Auxiliar'!$G:$G,'.Auxiliar'!B:B,"-",0)</f>
        <v>FX ADICIONAL</v>
      </c>
      <c r="C603" s="55" t="str">
        <f>_xlfn.XLOOKUP($G603,'.Auxiliar'!$G:$G,'.Auxiliar'!C:C,"-",0)</f>
        <v>Crescente</v>
      </c>
      <c r="D603" s="55">
        <f>_xlfn.XLOOKUP($G603,'.Auxiliar'!$G:$G,'.Auxiliar'!D:D,"-",0)</f>
        <v>182.6</v>
      </c>
      <c r="E603" s="55">
        <f>_xlfn.XLOOKUP($G603,'.Auxiliar'!$G:$G,'.Auxiliar'!E:E,"-",0)</f>
        <v>189.1</v>
      </c>
      <c r="F603" s="55">
        <f>_xlfn.XLOOKUP($G603,'.Auxiliar'!$G:$G,'.Auxiliar'!F:F,"-",0)</f>
        <v>6.5</v>
      </c>
      <c r="G603" s="59" t="s">
        <v>1562</v>
      </c>
      <c r="H603" s="108" t="s">
        <v>0</v>
      </c>
      <c r="I603" s="109" t="s">
        <v>0</v>
      </c>
      <c r="J603" s="109" t="s">
        <v>0</v>
      </c>
      <c r="K603" s="109" t="s">
        <v>0</v>
      </c>
      <c r="L603" s="109" t="s">
        <v>0</v>
      </c>
      <c r="M603" s="109" t="s">
        <v>363</v>
      </c>
      <c r="N603" s="110" t="s">
        <v>0</v>
      </c>
      <c r="O603" s="111"/>
      <c r="P603" s="112"/>
      <c r="Q603" s="112"/>
      <c r="R603" s="112"/>
      <c r="S603" s="112"/>
      <c r="T603" s="112"/>
      <c r="U603" s="95" t="str">
        <f t="shared" si="30"/>
        <v/>
      </c>
      <c r="V603" s="112"/>
      <c r="W603" s="112">
        <v>100</v>
      </c>
      <c r="X603" s="107"/>
      <c r="Y603" s="107">
        <f t="shared" si="31"/>
        <v>100</v>
      </c>
      <c r="Z603" s="107">
        <f t="shared" si="32"/>
        <v>0</v>
      </c>
    </row>
    <row r="604" spans="1:26" x14ac:dyDescent="0.25">
      <c r="A604" s="55" t="str">
        <f>_xlfn.XLOOKUP($G604,'.Auxiliar'!$G:$G,'.Auxiliar'!A:A,"-",0)</f>
        <v>RIO/MINAS</v>
      </c>
      <c r="B604" s="55" t="str">
        <f>_xlfn.XLOOKUP($G604,'.Auxiliar'!$G:$G,'.Auxiliar'!B:B,"-",0)</f>
        <v>FX ADICIONAL</v>
      </c>
      <c r="C604" s="55" t="str">
        <f>_xlfn.XLOOKUP($G604,'.Auxiliar'!$G:$G,'.Auxiliar'!C:C,"-",0)</f>
        <v>Crescente</v>
      </c>
      <c r="D604" s="55">
        <f>_xlfn.XLOOKUP($G604,'.Auxiliar'!$G:$G,'.Auxiliar'!D:D,"-",0)</f>
        <v>189.1</v>
      </c>
      <c r="E604" s="55">
        <f>_xlfn.XLOOKUP($G604,'.Auxiliar'!$G:$G,'.Auxiliar'!E:E,"-",0)</f>
        <v>195.45</v>
      </c>
      <c r="F604" s="55">
        <f>_xlfn.XLOOKUP($G604,'.Auxiliar'!$G:$G,'.Auxiliar'!F:F,"-",0)</f>
        <v>6.3499999999999943</v>
      </c>
      <c r="G604" s="59" t="s">
        <v>1564</v>
      </c>
      <c r="H604" s="108" t="s">
        <v>0</v>
      </c>
      <c r="I604" s="109" t="s">
        <v>0</v>
      </c>
      <c r="J604" s="109" t="s">
        <v>0</v>
      </c>
      <c r="K604" s="109" t="s">
        <v>0</v>
      </c>
      <c r="L604" s="109" t="s">
        <v>0</v>
      </c>
      <c r="M604" s="109" t="s">
        <v>363</v>
      </c>
      <c r="N604" s="110" t="s">
        <v>0</v>
      </c>
      <c r="O604" s="111"/>
      <c r="P604" s="112"/>
      <c r="Q604" s="112"/>
      <c r="R604" s="112"/>
      <c r="S604" s="112"/>
      <c r="T604" s="112"/>
      <c r="U604" s="95" t="str">
        <f t="shared" si="30"/>
        <v/>
      </c>
      <c r="V604" s="112"/>
      <c r="W604" s="112">
        <v>100</v>
      </c>
      <c r="X604" s="107"/>
      <c r="Y604" s="107">
        <f t="shared" si="31"/>
        <v>100</v>
      </c>
      <c r="Z604" s="107">
        <f t="shared" si="32"/>
        <v>0</v>
      </c>
    </row>
    <row r="605" spans="1:26" x14ac:dyDescent="0.25">
      <c r="A605" s="55" t="str">
        <f>_xlfn.XLOOKUP($G605,'.Auxiliar'!$G:$G,'.Auxiliar'!A:A,"-",0)</f>
        <v>RIO/MINAS</v>
      </c>
      <c r="B605" s="55" t="str">
        <f>_xlfn.XLOOKUP($G605,'.Auxiliar'!$G:$G,'.Auxiliar'!B:B,"-",0)</f>
        <v>FX ADICIONAL</v>
      </c>
      <c r="C605" s="55" t="str">
        <f>_xlfn.XLOOKUP($G605,'.Auxiliar'!$G:$G,'.Auxiliar'!C:C,"-",0)</f>
        <v>Crescente</v>
      </c>
      <c r="D605" s="55">
        <f>_xlfn.XLOOKUP($G605,'.Auxiliar'!$G:$G,'.Auxiliar'!D:D,"-",0)</f>
        <v>195.45</v>
      </c>
      <c r="E605" s="55">
        <f>_xlfn.XLOOKUP($G605,'.Auxiliar'!$G:$G,'.Auxiliar'!E:E,"-",0)</f>
        <v>197.3</v>
      </c>
      <c r="F605" s="55">
        <f>_xlfn.XLOOKUP($G605,'.Auxiliar'!$G:$G,'.Auxiliar'!F:F,"-",0)</f>
        <v>1.8500000000000227</v>
      </c>
      <c r="G605" s="59" t="s">
        <v>1566</v>
      </c>
      <c r="H605" s="108" t="s">
        <v>0</v>
      </c>
      <c r="I605" s="109" t="s">
        <v>0</v>
      </c>
      <c r="J605" s="109" t="s">
        <v>0</v>
      </c>
      <c r="K605" s="109" t="s">
        <v>0</v>
      </c>
      <c r="L605" s="109" t="s">
        <v>0</v>
      </c>
      <c r="M605" s="109" t="s">
        <v>363</v>
      </c>
      <c r="N605" s="110" t="s">
        <v>0</v>
      </c>
      <c r="O605" s="111"/>
      <c r="P605" s="112"/>
      <c r="Q605" s="112"/>
      <c r="R605" s="112"/>
      <c r="S605" s="112"/>
      <c r="T605" s="112"/>
      <c r="U605" s="95" t="str">
        <f t="shared" si="30"/>
        <v/>
      </c>
      <c r="V605" s="112"/>
      <c r="W605" s="112">
        <v>100</v>
      </c>
      <c r="X605" s="107"/>
      <c r="Y605" s="107">
        <f t="shared" si="31"/>
        <v>100</v>
      </c>
      <c r="Z605" s="107">
        <f t="shared" si="32"/>
        <v>0</v>
      </c>
    </row>
    <row r="606" spans="1:26" x14ac:dyDescent="0.25">
      <c r="A606" s="55" t="str">
        <f>_xlfn.XLOOKUP($G606,'.Auxiliar'!$G:$G,'.Auxiliar'!A:A,"-",0)</f>
        <v>RIO/MINAS</v>
      </c>
      <c r="B606" s="55" t="str">
        <f>_xlfn.XLOOKUP($G606,'.Auxiliar'!$G:$G,'.Auxiliar'!B:B,"-",0)</f>
        <v>FX ADICIONAL</v>
      </c>
      <c r="C606" s="55" t="str">
        <f>_xlfn.XLOOKUP($G606,'.Auxiliar'!$G:$G,'.Auxiliar'!C:C,"-",0)</f>
        <v>Crescente</v>
      </c>
      <c r="D606" s="55">
        <f>_xlfn.XLOOKUP($G606,'.Auxiliar'!$G:$G,'.Auxiliar'!D:D,"-",0)</f>
        <v>197.3</v>
      </c>
      <c r="E606" s="55">
        <f>_xlfn.XLOOKUP($G606,'.Auxiliar'!$G:$G,'.Auxiliar'!E:E,"-",0)</f>
        <v>204.8</v>
      </c>
      <c r="F606" s="55">
        <f>_xlfn.XLOOKUP($G606,'.Auxiliar'!$G:$G,'.Auxiliar'!F:F,"-",0)</f>
        <v>7.5</v>
      </c>
      <c r="G606" s="59" t="s">
        <v>1613</v>
      </c>
      <c r="H606" s="108" t="s">
        <v>0</v>
      </c>
      <c r="I606" s="109" t="s">
        <v>0</v>
      </c>
      <c r="J606" s="109" t="s">
        <v>0</v>
      </c>
      <c r="K606" s="109" t="s">
        <v>0</v>
      </c>
      <c r="L606" s="109" t="s">
        <v>0</v>
      </c>
      <c r="M606" s="109" t="s">
        <v>0</v>
      </c>
      <c r="N606" s="110" t="s">
        <v>363</v>
      </c>
      <c r="O606" s="111"/>
      <c r="P606" s="112"/>
      <c r="Q606" s="112"/>
      <c r="R606" s="112"/>
      <c r="S606" s="112"/>
      <c r="T606" s="112"/>
      <c r="U606" s="95" t="str">
        <f t="shared" si="30"/>
        <v/>
      </c>
      <c r="V606" s="112"/>
      <c r="W606" s="112"/>
      <c r="X606" s="107">
        <v>100</v>
      </c>
      <c r="Y606" s="107">
        <f t="shared" si="31"/>
        <v>100</v>
      </c>
      <c r="Z606" s="107">
        <f t="shared" si="32"/>
        <v>0</v>
      </c>
    </row>
    <row r="607" spans="1:26" x14ac:dyDescent="0.25">
      <c r="A607" s="55" t="str">
        <f>_xlfn.XLOOKUP($G607,'.Auxiliar'!$G:$G,'.Auxiliar'!A:A,"-",0)</f>
        <v>RIO/MINAS</v>
      </c>
      <c r="B607" s="55" t="str">
        <f>_xlfn.XLOOKUP($G607,'.Auxiliar'!$G:$G,'.Auxiliar'!B:B,"-",0)</f>
        <v>FX ADICIONAL</v>
      </c>
      <c r="C607" s="55" t="str">
        <f>_xlfn.XLOOKUP($G607,'.Auxiliar'!$G:$G,'.Auxiliar'!C:C,"-",0)</f>
        <v>Crescente</v>
      </c>
      <c r="D607" s="55">
        <f>_xlfn.XLOOKUP($G607,'.Auxiliar'!$G:$G,'.Auxiliar'!D:D,"-",0)</f>
        <v>204.8</v>
      </c>
      <c r="E607" s="55">
        <f>_xlfn.XLOOKUP($G607,'.Auxiliar'!$G:$G,'.Auxiliar'!E:E,"-",0)</f>
        <v>207.08500000000001</v>
      </c>
      <c r="F607" s="55">
        <f>_xlfn.XLOOKUP($G607,'.Auxiliar'!$G:$G,'.Auxiliar'!F:F,"-",0)</f>
        <v>2.2849999999999966</v>
      </c>
      <c r="G607" s="59" t="s">
        <v>1615</v>
      </c>
      <c r="H607" s="108" t="s">
        <v>0</v>
      </c>
      <c r="I607" s="109" t="s">
        <v>0</v>
      </c>
      <c r="J607" s="109" t="s">
        <v>0</v>
      </c>
      <c r="K607" s="109" t="s">
        <v>0</v>
      </c>
      <c r="L607" s="109" t="s">
        <v>0</v>
      </c>
      <c r="M607" s="109" t="s">
        <v>0</v>
      </c>
      <c r="N607" s="110" t="s">
        <v>363</v>
      </c>
      <c r="O607" s="111"/>
      <c r="P607" s="112"/>
      <c r="Q607" s="112"/>
      <c r="R607" s="112"/>
      <c r="S607" s="112"/>
      <c r="T607" s="112"/>
      <c r="U607" s="95" t="str">
        <f t="shared" si="30"/>
        <v/>
      </c>
      <c r="V607" s="112"/>
      <c r="W607" s="112"/>
      <c r="X607" s="107">
        <v>100</v>
      </c>
      <c r="Y607" s="107">
        <f t="shared" si="31"/>
        <v>100</v>
      </c>
      <c r="Z607" s="107">
        <f t="shared" si="32"/>
        <v>0</v>
      </c>
    </row>
    <row r="608" spans="1:26" x14ac:dyDescent="0.25">
      <c r="A608" s="55" t="str">
        <f>_xlfn.XLOOKUP($G608,'.Auxiliar'!$G:$G,'.Auxiliar'!A:A,"-",0)</f>
        <v>RIO/MINAS</v>
      </c>
      <c r="B608" s="55" t="str">
        <f>_xlfn.XLOOKUP($G608,'.Auxiliar'!$G:$G,'.Auxiliar'!B:B,"-",0)</f>
        <v>FX ADICIONAL</v>
      </c>
      <c r="C608" s="55" t="str">
        <f>_xlfn.XLOOKUP($G608,'.Auxiliar'!$G:$G,'.Auxiliar'!C:C,"-",0)</f>
        <v>Crescente</v>
      </c>
      <c r="D608" s="55">
        <f>_xlfn.XLOOKUP($G608,'.Auxiliar'!$G:$G,'.Auxiliar'!D:D,"-",0)</f>
        <v>458.8</v>
      </c>
      <c r="E608" s="55">
        <f>_xlfn.XLOOKUP($G608,'.Auxiliar'!$G:$G,'.Auxiliar'!E:E,"-",0)</f>
        <v>460</v>
      </c>
      <c r="F608" s="55">
        <f>_xlfn.XLOOKUP($G608,'.Auxiliar'!$G:$G,'.Auxiliar'!F:F,"-",0)</f>
        <v>1.1999999999999886</v>
      </c>
      <c r="G608" s="59" t="s">
        <v>1617</v>
      </c>
      <c r="H608" s="108" t="s">
        <v>0</v>
      </c>
      <c r="I608" s="109" t="s">
        <v>0</v>
      </c>
      <c r="J608" s="109" t="s">
        <v>0</v>
      </c>
      <c r="K608" s="109" t="s">
        <v>0</v>
      </c>
      <c r="L608" s="109" t="s">
        <v>0</v>
      </c>
      <c r="M608" s="109" t="s">
        <v>0</v>
      </c>
      <c r="N608" s="110" t="s">
        <v>363</v>
      </c>
      <c r="O608" s="111"/>
      <c r="P608" s="112"/>
      <c r="Q608" s="112"/>
      <c r="R608" s="112"/>
      <c r="S608" s="112"/>
      <c r="T608" s="112"/>
      <c r="U608" s="95" t="str">
        <f t="shared" si="30"/>
        <v/>
      </c>
      <c r="V608" s="112"/>
      <c r="W608" s="112"/>
      <c r="X608" s="107">
        <v>100</v>
      </c>
      <c r="Y608" s="107">
        <f t="shared" si="31"/>
        <v>100</v>
      </c>
      <c r="Z608" s="107">
        <f t="shared" si="32"/>
        <v>0</v>
      </c>
    </row>
    <row r="609" spans="1:26" x14ac:dyDescent="0.25">
      <c r="A609" s="55" t="str">
        <f>_xlfn.XLOOKUP($G609,'.Auxiliar'!$G:$G,'.Auxiliar'!A:A,"-",0)</f>
        <v>RIO/MINAS</v>
      </c>
      <c r="B609" s="55" t="str">
        <f>_xlfn.XLOOKUP($G609,'.Auxiliar'!$G:$G,'.Auxiliar'!B:B,"-",0)</f>
        <v>FX ADICIONAL</v>
      </c>
      <c r="C609" s="55" t="str">
        <f>_xlfn.XLOOKUP($G609,'.Auxiliar'!$G:$G,'.Auxiliar'!C:C,"-",0)</f>
        <v>Crescente</v>
      </c>
      <c r="D609" s="55">
        <f>_xlfn.XLOOKUP($G609,'.Auxiliar'!$G:$G,'.Auxiliar'!D:D,"-",0)</f>
        <v>461.1</v>
      </c>
      <c r="E609" s="55">
        <f>_xlfn.XLOOKUP($G609,'.Auxiliar'!$G:$G,'.Auxiliar'!E:E,"-",0)</f>
        <v>462.3</v>
      </c>
      <c r="F609" s="55">
        <f>_xlfn.XLOOKUP($G609,'.Auxiliar'!$G:$G,'.Auxiliar'!F:F,"-",0)</f>
        <v>1.1999999999999886</v>
      </c>
      <c r="G609" s="59" t="s">
        <v>1618</v>
      </c>
      <c r="H609" s="108" t="s">
        <v>0</v>
      </c>
      <c r="I609" s="109" t="s">
        <v>0</v>
      </c>
      <c r="J609" s="109" t="s">
        <v>0</v>
      </c>
      <c r="K609" s="109" t="s">
        <v>0</v>
      </c>
      <c r="L609" s="109" t="s">
        <v>0</v>
      </c>
      <c r="M609" s="109" t="s">
        <v>0</v>
      </c>
      <c r="N609" s="110" t="s">
        <v>363</v>
      </c>
      <c r="O609" s="111"/>
      <c r="P609" s="112"/>
      <c r="Q609" s="112"/>
      <c r="R609" s="112"/>
      <c r="S609" s="112"/>
      <c r="T609" s="112"/>
      <c r="U609" s="95" t="str">
        <f t="shared" si="30"/>
        <v/>
      </c>
      <c r="V609" s="112"/>
      <c r="W609" s="112"/>
      <c r="X609" s="107">
        <v>100</v>
      </c>
      <c r="Y609" s="107">
        <f t="shared" si="31"/>
        <v>100</v>
      </c>
      <c r="Z609" s="107">
        <f t="shared" si="32"/>
        <v>0</v>
      </c>
    </row>
    <row r="610" spans="1:26" x14ac:dyDescent="0.25">
      <c r="A610" s="55" t="str">
        <f>_xlfn.XLOOKUP($G610,'.Auxiliar'!$G:$G,'.Auxiliar'!A:A,"-",0)</f>
        <v>RIO/MINAS</v>
      </c>
      <c r="B610" s="55" t="str">
        <f>_xlfn.XLOOKUP($G610,'.Auxiliar'!$G:$G,'.Auxiliar'!B:B,"-",0)</f>
        <v>FX ADICIONAL</v>
      </c>
      <c r="C610" s="55" t="str">
        <f>_xlfn.XLOOKUP($G610,'.Auxiliar'!$G:$G,'.Auxiliar'!C:C,"-",0)</f>
        <v>Crescente</v>
      </c>
      <c r="D610" s="55">
        <f>_xlfn.XLOOKUP($G610,'.Auxiliar'!$G:$G,'.Auxiliar'!D:D,"-",0)</f>
        <v>463.4</v>
      </c>
      <c r="E610" s="55">
        <f>_xlfn.XLOOKUP($G610,'.Auxiliar'!$G:$G,'.Auxiliar'!E:E,"-",0)</f>
        <v>464.6</v>
      </c>
      <c r="F610" s="55">
        <f>_xlfn.XLOOKUP($G610,'.Auxiliar'!$G:$G,'.Auxiliar'!F:F,"-",0)</f>
        <v>1.2000000000000455</v>
      </c>
      <c r="G610" s="59" t="s">
        <v>1620</v>
      </c>
      <c r="H610" s="108" t="s">
        <v>0</v>
      </c>
      <c r="I610" s="109" t="s">
        <v>0</v>
      </c>
      <c r="J610" s="109" t="s">
        <v>0</v>
      </c>
      <c r="K610" s="109" t="s">
        <v>0</v>
      </c>
      <c r="L610" s="109" t="s">
        <v>0</v>
      </c>
      <c r="M610" s="109" t="s">
        <v>0</v>
      </c>
      <c r="N610" s="110" t="s">
        <v>363</v>
      </c>
      <c r="O610" s="111"/>
      <c r="P610" s="112"/>
      <c r="Q610" s="112"/>
      <c r="R610" s="112"/>
      <c r="S610" s="112"/>
      <c r="T610" s="112"/>
      <c r="U610" s="95" t="str">
        <f t="shared" si="30"/>
        <v/>
      </c>
      <c r="V610" s="112"/>
      <c r="W610" s="112"/>
      <c r="X610" s="107">
        <v>100</v>
      </c>
      <c r="Y610" s="107">
        <f t="shared" si="31"/>
        <v>100</v>
      </c>
      <c r="Z610" s="107">
        <f t="shared" si="32"/>
        <v>0</v>
      </c>
    </row>
    <row r="611" spans="1:26" x14ac:dyDescent="0.25">
      <c r="A611" s="55" t="str">
        <f>_xlfn.XLOOKUP($G611,'.Auxiliar'!$G:$G,'.Auxiliar'!A:A,"-",0)</f>
        <v>RIO/MINAS</v>
      </c>
      <c r="B611" s="55" t="str">
        <f>_xlfn.XLOOKUP($G611,'.Auxiliar'!$G:$G,'.Auxiliar'!B:B,"-",0)</f>
        <v>FX ADICIONAL</v>
      </c>
      <c r="C611" s="55" t="str">
        <f>_xlfn.XLOOKUP($G611,'.Auxiliar'!$G:$G,'.Auxiliar'!C:C,"-",0)</f>
        <v>Crescente</v>
      </c>
      <c r="D611" s="55">
        <f>_xlfn.XLOOKUP($G611,'.Auxiliar'!$G:$G,'.Auxiliar'!D:D,"-",0)</f>
        <v>470.4</v>
      </c>
      <c r="E611" s="55">
        <f>_xlfn.XLOOKUP($G611,'.Auxiliar'!$G:$G,'.Auxiliar'!E:E,"-",0)</f>
        <v>471.6</v>
      </c>
      <c r="F611" s="55">
        <f>_xlfn.XLOOKUP($G611,'.Auxiliar'!$G:$G,'.Auxiliar'!F:F,"-",0)</f>
        <v>1.2000000000000455</v>
      </c>
      <c r="G611" s="59" t="s">
        <v>1625</v>
      </c>
      <c r="H611" s="108" t="s">
        <v>0</v>
      </c>
      <c r="I611" s="109" t="s">
        <v>0</v>
      </c>
      <c r="J611" s="109" t="s">
        <v>0</v>
      </c>
      <c r="K611" s="109" t="s">
        <v>0</v>
      </c>
      <c r="L611" s="109" t="s">
        <v>0</v>
      </c>
      <c r="M611" s="109" t="s">
        <v>0</v>
      </c>
      <c r="N611" s="110" t="s">
        <v>363</v>
      </c>
      <c r="O611" s="111"/>
      <c r="P611" s="112"/>
      <c r="Q611" s="112"/>
      <c r="R611" s="112"/>
      <c r="S611" s="112"/>
      <c r="T611" s="112"/>
      <c r="U611" s="95" t="str">
        <f t="shared" si="30"/>
        <v/>
      </c>
      <c r="V611" s="112"/>
      <c r="W611" s="112"/>
      <c r="X611" s="107">
        <v>100</v>
      </c>
      <c r="Y611" s="107">
        <f t="shared" si="31"/>
        <v>100</v>
      </c>
      <c r="Z611" s="107">
        <f t="shared" si="32"/>
        <v>0</v>
      </c>
    </row>
    <row r="612" spans="1:26" x14ac:dyDescent="0.25">
      <c r="A612" s="55" t="str">
        <f>_xlfn.XLOOKUP($G612,'.Auxiliar'!$G:$G,'.Auxiliar'!A:A,"-",0)</f>
        <v>RIO/MINAS</v>
      </c>
      <c r="B612" s="55" t="str">
        <f>_xlfn.XLOOKUP($G612,'.Auxiliar'!$G:$G,'.Auxiliar'!B:B,"-",0)</f>
        <v>FX ADICIONAL</v>
      </c>
      <c r="C612" s="55" t="str">
        <f>_xlfn.XLOOKUP($G612,'.Auxiliar'!$G:$G,'.Auxiliar'!C:C,"-",0)</f>
        <v>Crescente</v>
      </c>
      <c r="D612" s="55">
        <f>_xlfn.XLOOKUP($G612,'.Auxiliar'!$G:$G,'.Auxiliar'!D:D,"-",0)</f>
        <v>475.7</v>
      </c>
      <c r="E612" s="55">
        <f>_xlfn.XLOOKUP($G612,'.Auxiliar'!$G:$G,'.Auxiliar'!E:E,"-",0)</f>
        <v>476.9</v>
      </c>
      <c r="F612" s="55">
        <f>_xlfn.XLOOKUP($G612,'.Auxiliar'!$G:$G,'.Auxiliar'!F:F,"-",0)</f>
        <v>1.1999999999999886</v>
      </c>
      <c r="G612" s="59" t="s">
        <v>1627</v>
      </c>
      <c r="H612" s="108" t="s">
        <v>0</v>
      </c>
      <c r="I612" s="109" t="s">
        <v>0</v>
      </c>
      <c r="J612" s="109" t="s">
        <v>0</v>
      </c>
      <c r="K612" s="109" t="s">
        <v>0</v>
      </c>
      <c r="L612" s="109" t="s">
        <v>0</v>
      </c>
      <c r="M612" s="109" t="s">
        <v>0</v>
      </c>
      <c r="N612" s="110" t="s">
        <v>363</v>
      </c>
      <c r="O612" s="111"/>
      <c r="P612" s="112"/>
      <c r="Q612" s="112"/>
      <c r="R612" s="112"/>
      <c r="S612" s="112"/>
      <c r="T612" s="112"/>
      <c r="U612" s="95" t="str">
        <f t="shared" si="30"/>
        <v/>
      </c>
      <c r="V612" s="112"/>
      <c r="W612" s="112"/>
      <c r="X612" s="107">
        <v>100</v>
      </c>
      <c r="Y612" s="107">
        <f t="shared" si="31"/>
        <v>100</v>
      </c>
      <c r="Z612" s="107">
        <f t="shared" si="32"/>
        <v>0</v>
      </c>
    </row>
    <row r="613" spans="1:26" x14ac:dyDescent="0.25">
      <c r="A613" s="55" t="str">
        <f>_xlfn.XLOOKUP($G613,'.Auxiliar'!$G:$G,'.Auxiliar'!A:A,"-",0)</f>
        <v>RIO/MINAS</v>
      </c>
      <c r="B613" s="55" t="str">
        <f>_xlfn.XLOOKUP($G613,'.Auxiliar'!$G:$G,'.Auxiliar'!B:B,"-",0)</f>
        <v>FX ADICIONAL</v>
      </c>
      <c r="C613" s="55" t="str">
        <f>_xlfn.XLOOKUP($G613,'.Auxiliar'!$G:$G,'.Auxiliar'!C:C,"-",0)</f>
        <v>Crescente</v>
      </c>
      <c r="D613" s="55">
        <f>_xlfn.XLOOKUP($G613,'.Auxiliar'!$G:$G,'.Auxiliar'!D:D,"-",0)</f>
        <v>481</v>
      </c>
      <c r="E613" s="55">
        <f>_xlfn.XLOOKUP($G613,'.Auxiliar'!$G:$G,'.Auxiliar'!E:E,"-",0)</f>
        <v>482.2</v>
      </c>
      <c r="F613" s="55">
        <f>_xlfn.XLOOKUP($G613,'.Auxiliar'!$G:$G,'.Auxiliar'!F:F,"-",0)</f>
        <v>1.1999999999999886</v>
      </c>
      <c r="G613" s="59" t="s">
        <v>1629</v>
      </c>
      <c r="H613" s="108" t="s">
        <v>0</v>
      </c>
      <c r="I613" s="109" t="s">
        <v>0</v>
      </c>
      <c r="J613" s="109" t="s">
        <v>0</v>
      </c>
      <c r="K613" s="109" t="s">
        <v>0</v>
      </c>
      <c r="L613" s="109" t="s">
        <v>0</v>
      </c>
      <c r="M613" s="109" t="s">
        <v>0</v>
      </c>
      <c r="N613" s="110" t="s">
        <v>363</v>
      </c>
      <c r="O613" s="111"/>
      <c r="P613" s="112"/>
      <c r="Q613" s="112"/>
      <c r="R613" s="112"/>
      <c r="S613" s="112"/>
      <c r="T613" s="112"/>
      <c r="U613" s="95" t="str">
        <f t="shared" si="30"/>
        <v/>
      </c>
      <c r="V613" s="112"/>
      <c r="W613" s="112"/>
      <c r="X613" s="107">
        <v>100</v>
      </c>
      <c r="Y613" s="107">
        <f t="shared" si="31"/>
        <v>100</v>
      </c>
      <c r="Z613" s="107">
        <f t="shared" si="32"/>
        <v>0</v>
      </c>
    </row>
    <row r="614" spans="1:26" x14ac:dyDescent="0.25">
      <c r="A614" s="55" t="str">
        <f>_xlfn.XLOOKUP($G614,'.Auxiliar'!$G:$G,'.Auxiliar'!A:A,"-",0)</f>
        <v>RIO/MINAS</v>
      </c>
      <c r="B614" s="55" t="str">
        <f>_xlfn.XLOOKUP($G614,'.Auxiliar'!$G:$G,'.Auxiliar'!B:B,"-",0)</f>
        <v>FX ADICIONAL</v>
      </c>
      <c r="C614" s="55" t="str">
        <f>_xlfn.XLOOKUP($G614,'.Auxiliar'!$G:$G,'.Auxiliar'!C:C,"-",0)</f>
        <v>Crescente</v>
      </c>
      <c r="D614" s="55">
        <f>_xlfn.XLOOKUP($G614,'.Auxiliar'!$G:$G,'.Auxiliar'!D:D,"-",0)</f>
        <v>562.30499999999995</v>
      </c>
      <c r="E614" s="55">
        <f>_xlfn.XLOOKUP($G614,'.Auxiliar'!$G:$G,'.Auxiliar'!E:E,"-",0)</f>
        <v>563.5</v>
      </c>
      <c r="F614" s="55">
        <f>_xlfn.XLOOKUP($G614,'.Auxiliar'!$G:$G,'.Auxiliar'!F:F,"-",0)</f>
        <v>1.19500000000005</v>
      </c>
      <c r="G614" s="59" t="s">
        <v>1632</v>
      </c>
      <c r="H614" s="108" t="s">
        <v>0</v>
      </c>
      <c r="I614" s="109" t="s">
        <v>0</v>
      </c>
      <c r="J614" s="109" t="s">
        <v>0</v>
      </c>
      <c r="K614" s="109" t="s">
        <v>0</v>
      </c>
      <c r="L614" s="109" t="s">
        <v>0</v>
      </c>
      <c r="M614" s="109" t="s">
        <v>0</v>
      </c>
      <c r="N614" s="110" t="s">
        <v>363</v>
      </c>
      <c r="O614" s="111"/>
      <c r="P614" s="112"/>
      <c r="Q614" s="112"/>
      <c r="R614" s="112"/>
      <c r="S614" s="112"/>
      <c r="T614" s="112"/>
      <c r="U614" s="95" t="str">
        <f t="shared" si="30"/>
        <v/>
      </c>
      <c r="V614" s="112"/>
      <c r="W614" s="112"/>
      <c r="X614" s="107">
        <v>100</v>
      </c>
      <c r="Y614" s="107">
        <f t="shared" si="31"/>
        <v>100</v>
      </c>
      <c r="Z614" s="107">
        <f t="shared" si="32"/>
        <v>0</v>
      </c>
    </row>
    <row r="615" spans="1:26" x14ac:dyDescent="0.25">
      <c r="A615" s="55" t="str">
        <f>_xlfn.XLOOKUP($G615,'.Auxiliar'!$G:$G,'.Auxiliar'!A:A,"-",0)</f>
        <v>RIO/MINAS</v>
      </c>
      <c r="B615" s="55" t="str">
        <f>_xlfn.XLOOKUP($G615,'.Auxiliar'!$G:$G,'.Auxiliar'!B:B,"-",0)</f>
        <v>FX ADICIONAL</v>
      </c>
      <c r="C615" s="55" t="str">
        <f>_xlfn.XLOOKUP($G615,'.Auxiliar'!$G:$G,'.Auxiliar'!C:C,"-",0)</f>
        <v>Crescente</v>
      </c>
      <c r="D615" s="55">
        <f>_xlfn.XLOOKUP($G615,'.Auxiliar'!$G:$G,'.Auxiliar'!D:D,"-",0)</f>
        <v>567.5</v>
      </c>
      <c r="E615" s="55">
        <f>_xlfn.XLOOKUP($G615,'.Auxiliar'!$G:$G,'.Auxiliar'!E:E,"-",0)</f>
        <v>568.70500000000004</v>
      </c>
      <c r="F615" s="55">
        <f>_xlfn.XLOOKUP($G615,'.Auxiliar'!$G:$G,'.Auxiliar'!F:F,"-",0)</f>
        <v>1.2050000000000409</v>
      </c>
      <c r="G615" s="59" t="s">
        <v>1634</v>
      </c>
      <c r="H615" s="108" t="s">
        <v>0</v>
      </c>
      <c r="I615" s="109" t="s">
        <v>0</v>
      </c>
      <c r="J615" s="109" t="s">
        <v>0</v>
      </c>
      <c r="K615" s="109" t="s">
        <v>0</v>
      </c>
      <c r="L615" s="109" t="s">
        <v>0</v>
      </c>
      <c r="M615" s="109" t="s">
        <v>0</v>
      </c>
      <c r="N615" s="110" t="s">
        <v>363</v>
      </c>
      <c r="O615" s="111"/>
      <c r="P615" s="112"/>
      <c r="Q615" s="112"/>
      <c r="R615" s="112"/>
      <c r="S615" s="112"/>
      <c r="T615" s="112"/>
      <c r="U615" s="95" t="str">
        <f t="shared" si="30"/>
        <v/>
      </c>
      <c r="V615" s="112"/>
      <c r="W615" s="112"/>
      <c r="X615" s="107">
        <v>100</v>
      </c>
      <c r="Y615" s="107">
        <f t="shared" si="31"/>
        <v>100</v>
      </c>
      <c r="Z615" s="107">
        <f t="shared" si="32"/>
        <v>0</v>
      </c>
    </row>
    <row r="616" spans="1:26" x14ac:dyDescent="0.25">
      <c r="A616" s="55" t="str">
        <f>_xlfn.XLOOKUP($G616,'.Auxiliar'!$G:$G,'.Auxiliar'!A:A,"-",0)</f>
        <v>RIO/MINAS</v>
      </c>
      <c r="B616" s="55" t="str">
        <f>_xlfn.XLOOKUP($G616,'.Auxiliar'!$G:$G,'.Auxiliar'!B:B,"-",0)</f>
        <v>FX ADICIONAL</v>
      </c>
      <c r="C616" s="55" t="str">
        <f>_xlfn.XLOOKUP($G616,'.Auxiliar'!$G:$G,'.Auxiliar'!C:C,"-",0)</f>
        <v>Crescente</v>
      </c>
      <c r="D616" s="55">
        <f>_xlfn.XLOOKUP($G616,'.Auxiliar'!$G:$G,'.Auxiliar'!D:D,"-",0)</f>
        <v>569.9</v>
      </c>
      <c r="E616" s="55">
        <f>_xlfn.XLOOKUP($G616,'.Auxiliar'!$G:$G,'.Auxiliar'!E:E,"-",0)</f>
        <v>571.1</v>
      </c>
      <c r="F616" s="55">
        <f>_xlfn.XLOOKUP($G616,'.Auxiliar'!$G:$G,'.Auxiliar'!F:F,"-",0)</f>
        <v>1.2000000000000455</v>
      </c>
      <c r="G616" s="59" t="s">
        <v>1636</v>
      </c>
      <c r="H616" s="108" t="s">
        <v>0</v>
      </c>
      <c r="I616" s="109" t="s">
        <v>0</v>
      </c>
      <c r="J616" s="109" t="s">
        <v>0</v>
      </c>
      <c r="K616" s="109" t="s">
        <v>0</v>
      </c>
      <c r="L616" s="109" t="s">
        <v>0</v>
      </c>
      <c r="M616" s="109" t="s">
        <v>0</v>
      </c>
      <c r="N616" s="110" t="s">
        <v>363</v>
      </c>
      <c r="O616" s="111"/>
      <c r="P616" s="112"/>
      <c r="Q616" s="112"/>
      <c r="R616" s="112"/>
      <c r="S616" s="112"/>
      <c r="T616" s="112"/>
      <c r="U616" s="95" t="str">
        <f t="shared" si="30"/>
        <v/>
      </c>
      <c r="V616" s="112"/>
      <c r="W616" s="112"/>
      <c r="X616" s="107">
        <v>100</v>
      </c>
      <c r="Y616" s="107">
        <f t="shared" si="31"/>
        <v>100</v>
      </c>
      <c r="Z616" s="107">
        <f t="shared" si="32"/>
        <v>0</v>
      </c>
    </row>
    <row r="617" spans="1:26" x14ac:dyDescent="0.25">
      <c r="A617" s="55" t="str">
        <f>_xlfn.XLOOKUP($G617,'.Auxiliar'!$G:$G,'.Auxiliar'!A:A,"-",0)</f>
        <v>RIO/MINAS</v>
      </c>
      <c r="B617" s="55" t="str">
        <f>_xlfn.XLOOKUP($G617,'.Auxiliar'!$G:$G,'.Auxiliar'!B:B,"-",0)</f>
        <v>FX ADICIONAL</v>
      </c>
      <c r="C617" s="55" t="str">
        <f>_xlfn.XLOOKUP($G617,'.Auxiliar'!$G:$G,'.Auxiliar'!C:C,"-",0)</f>
        <v>Crescente</v>
      </c>
      <c r="D617" s="55">
        <f>_xlfn.XLOOKUP($G617,'.Auxiliar'!$G:$G,'.Auxiliar'!D:D,"-",0)</f>
        <v>572.29999999999995</v>
      </c>
      <c r="E617" s="55">
        <f>_xlfn.XLOOKUP($G617,'.Auxiliar'!$G:$G,'.Auxiliar'!E:E,"-",0)</f>
        <v>573.5</v>
      </c>
      <c r="F617" s="55">
        <f>_xlfn.XLOOKUP($G617,'.Auxiliar'!$G:$G,'.Auxiliar'!F:F,"-",0)</f>
        <v>1.2000000000000455</v>
      </c>
      <c r="G617" s="59" t="s">
        <v>1638</v>
      </c>
      <c r="H617" s="108" t="s">
        <v>0</v>
      </c>
      <c r="I617" s="109" t="s">
        <v>0</v>
      </c>
      <c r="J617" s="109" t="s">
        <v>0</v>
      </c>
      <c r="K617" s="109" t="s">
        <v>0</v>
      </c>
      <c r="L617" s="109" t="s">
        <v>0</v>
      </c>
      <c r="M617" s="109" t="s">
        <v>0</v>
      </c>
      <c r="N617" s="110" t="s">
        <v>363</v>
      </c>
      <c r="O617" s="111"/>
      <c r="P617" s="112"/>
      <c r="Q617" s="112"/>
      <c r="R617" s="112"/>
      <c r="S617" s="112"/>
      <c r="T617" s="112"/>
      <c r="U617" s="95" t="str">
        <f t="shared" si="30"/>
        <v/>
      </c>
      <c r="V617" s="112"/>
      <c r="W617" s="112"/>
      <c r="X617" s="107">
        <v>100</v>
      </c>
      <c r="Y617" s="107">
        <f t="shared" si="31"/>
        <v>100</v>
      </c>
      <c r="Z617" s="107">
        <f t="shared" si="32"/>
        <v>0</v>
      </c>
    </row>
    <row r="618" spans="1:26" x14ac:dyDescent="0.25">
      <c r="A618" s="55" t="str">
        <f>_xlfn.XLOOKUP($G618,'.Auxiliar'!$G:$G,'.Auxiliar'!A:A,"-",0)</f>
        <v>RIO/MINAS</v>
      </c>
      <c r="B618" s="55" t="str">
        <f>_xlfn.XLOOKUP($G618,'.Auxiliar'!$G:$G,'.Auxiliar'!B:B,"-",0)</f>
        <v>FX ADICIONAL</v>
      </c>
      <c r="C618" s="55" t="str">
        <f>_xlfn.XLOOKUP($G618,'.Auxiliar'!$G:$G,'.Auxiliar'!C:C,"-",0)</f>
        <v>Crescente</v>
      </c>
      <c r="D618" s="55">
        <f>_xlfn.XLOOKUP($G618,'.Auxiliar'!$G:$G,'.Auxiliar'!D:D,"-",0)</f>
        <v>574.70000000000005</v>
      </c>
      <c r="E618" s="55">
        <f>_xlfn.XLOOKUP($G618,'.Auxiliar'!$G:$G,'.Auxiliar'!E:E,"-",0)</f>
        <v>575.9</v>
      </c>
      <c r="F618" s="55">
        <f>_xlfn.XLOOKUP($G618,'.Auxiliar'!$G:$G,'.Auxiliar'!F:F,"-",0)</f>
        <v>1.1999999999999318</v>
      </c>
      <c r="G618" s="59" t="s">
        <v>1640</v>
      </c>
      <c r="H618" s="108" t="s">
        <v>0</v>
      </c>
      <c r="I618" s="109" t="s">
        <v>0</v>
      </c>
      <c r="J618" s="109" t="s">
        <v>0</v>
      </c>
      <c r="K618" s="109" t="s">
        <v>0</v>
      </c>
      <c r="L618" s="109" t="s">
        <v>0</v>
      </c>
      <c r="M618" s="109" t="s">
        <v>0</v>
      </c>
      <c r="N618" s="110" t="s">
        <v>363</v>
      </c>
      <c r="O618" s="111"/>
      <c r="P618" s="112"/>
      <c r="Q618" s="112"/>
      <c r="R618" s="112"/>
      <c r="S618" s="112"/>
      <c r="T618" s="112"/>
      <c r="U618" s="95" t="str">
        <f t="shared" si="30"/>
        <v/>
      </c>
      <c r="V618" s="112"/>
      <c r="W618" s="112"/>
      <c r="X618" s="107">
        <v>100</v>
      </c>
      <c r="Y618" s="107">
        <f t="shared" si="31"/>
        <v>100</v>
      </c>
      <c r="Z618" s="107">
        <f t="shared" si="32"/>
        <v>0</v>
      </c>
    </row>
    <row r="619" spans="1:26" x14ac:dyDescent="0.25">
      <c r="A619" s="55" t="str">
        <f>_xlfn.XLOOKUP($G619,'.Auxiliar'!$G:$G,'.Auxiliar'!A:A,"-",0)</f>
        <v>RIO/MINAS</v>
      </c>
      <c r="B619" s="55" t="str">
        <f>_xlfn.XLOOKUP($G619,'.Auxiliar'!$G:$G,'.Auxiliar'!B:B,"-",0)</f>
        <v>FX ADICIONAL</v>
      </c>
      <c r="C619" s="55" t="str">
        <f>_xlfn.XLOOKUP($G619,'.Auxiliar'!$G:$G,'.Auxiliar'!C:C,"-",0)</f>
        <v>Crescente</v>
      </c>
      <c r="D619" s="55">
        <f>_xlfn.XLOOKUP($G619,'.Auxiliar'!$G:$G,'.Auxiliar'!D:D,"-",0)</f>
        <v>577.11</v>
      </c>
      <c r="E619" s="55">
        <f>_xlfn.XLOOKUP($G619,'.Auxiliar'!$G:$G,'.Auxiliar'!E:E,"-",0)</f>
        <v>578.30499999999995</v>
      </c>
      <c r="F619" s="55">
        <f>_xlfn.XLOOKUP($G619,'.Auxiliar'!$G:$G,'.Auxiliar'!F:F,"-",0)</f>
        <v>1.1949999999999363</v>
      </c>
      <c r="G619" s="59" t="s">
        <v>1642</v>
      </c>
      <c r="H619" s="108" t="s">
        <v>0</v>
      </c>
      <c r="I619" s="109" t="s">
        <v>0</v>
      </c>
      <c r="J619" s="109" t="s">
        <v>0</v>
      </c>
      <c r="K619" s="109" t="s">
        <v>0</v>
      </c>
      <c r="L619" s="109" t="s">
        <v>0</v>
      </c>
      <c r="M619" s="109" t="s">
        <v>0</v>
      </c>
      <c r="N619" s="110" t="s">
        <v>363</v>
      </c>
      <c r="O619" s="111"/>
      <c r="P619" s="112"/>
      <c r="Q619" s="112"/>
      <c r="R619" s="112"/>
      <c r="S619" s="112"/>
      <c r="T619" s="112"/>
      <c r="U619" s="95" t="str">
        <f t="shared" si="30"/>
        <v/>
      </c>
      <c r="V619" s="112"/>
      <c r="W619" s="112"/>
      <c r="X619" s="107">
        <v>100</v>
      </c>
      <c r="Y619" s="107">
        <f t="shared" si="31"/>
        <v>100</v>
      </c>
      <c r="Z619" s="107">
        <f t="shared" si="32"/>
        <v>0</v>
      </c>
    </row>
    <row r="620" spans="1:26" x14ac:dyDescent="0.25">
      <c r="A620" s="55" t="str">
        <f>_xlfn.XLOOKUP($G620,'.Auxiliar'!$G:$G,'.Auxiliar'!A:A,"-",0)</f>
        <v>RIO/MINAS</v>
      </c>
      <c r="B620" s="55" t="str">
        <f>_xlfn.XLOOKUP($G620,'.Auxiliar'!$G:$G,'.Auxiliar'!B:B,"-",0)</f>
        <v>FX ADICIONAL</v>
      </c>
      <c r="C620" s="55" t="str">
        <f>_xlfn.XLOOKUP($G620,'.Auxiliar'!$G:$G,'.Auxiliar'!C:C,"-",0)</f>
        <v>Crescente</v>
      </c>
      <c r="D620" s="55">
        <f>_xlfn.XLOOKUP($G620,'.Auxiliar'!$G:$G,'.Auxiliar'!D:D,"-",0)</f>
        <v>579.5</v>
      </c>
      <c r="E620" s="55">
        <f>_xlfn.XLOOKUP($G620,'.Auxiliar'!$G:$G,'.Auxiliar'!E:E,"-",0)</f>
        <v>580.70000000000005</v>
      </c>
      <c r="F620" s="55">
        <f>_xlfn.XLOOKUP($G620,'.Auxiliar'!$G:$G,'.Auxiliar'!F:F,"-",0)</f>
        <v>1.2000000000000455</v>
      </c>
      <c r="G620" s="59" t="s">
        <v>1644</v>
      </c>
      <c r="H620" s="108" t="s">
        <v>0</v>
      </c>
      <c r="I620" s="109" t="s">
        <v>0</v>
      </c>
      <c r="J620" s="109" t="s">
        <v>0</v>
      </c>
      <c r="K620" s="109" t="s">
        <v>0</v>
      </c>
      <c r="L620" s="109" t="s">
        <v>0</v>
      </c>
      <c r="M620" s="109" t="s">
        <v>0</v>
      </c>
      <c r="N620" s="110" t="s">
        <v>363</v>
      </c>
      <c r="O620" s="111"/>
      <c r="P620" s="112"/>
      <c r="Q620" s="112"/>
      <c r="R620" s="112"/>
      <c r="S620" s="112"/>
      <c r="T620" s="112"/>
      <c r="U620" s="95" t="str">
        <f t="shared" si="30"/>
        <v/>
      </c>
      <c r="V620" s="112"/>
      <c r="W620" s="112"/>
      <c r="X620" s="107">
        <v>100</v>
      </c>
      <c r="Y620" s="107">
        <f t="shared" si="31"/>
        <v>100</v>
      </c>
      <c r="Z620" s="107">
        <f t="shared" si="32"/>
        <v>0</v>
      </c>
    </row>
    <row r="621" spans="1:26" x14ac:dyDescent="0.25">
      <c r="A621" s="55" t="str">
        <f>_xlfn.XLOOKUP($G621,'.Auxiliar'!$G:$G,'.Auxiliar'!A:A,"-",0)</f>
        <v>RIO/MINAS</v>
      </c>
      <c r="B621" s="55" t="str">
        <f>_xlfn.XLOOKUP($G621,'.Auxiliar'!$G:$G,'.Auxiliar'!B:B,"-",0)</f>
        <v>FX ADICIONAL</v>
      </c>
      <c r="C621" s="55" t="str">
        <f>_xlfn.XLOOKUP($G621,'.Auxiliar'!$G:$G,'.Auxiliar'!C:C,"-",0)</f>
        <v>Crescente</v>
      </c>
      <c r="D621" s="55">
        <f>_xlfn.XLOOKUP($G621,'.Auxiliar'!$G:$G,'.Auxiliar'!D:D,"-",0)</f>
        <v>581.9</v>
      </c>
      <c r="E621" s="55">
        <f>_xlfn.XLOOKUP($G621,'.Auxiliar'!$G:$G,'.Auxiliar'!E:E,"-",0)</f>
        <v>583.1</v>
      </c>
      <c r="F621" s="55">
        <f>_xlfn.XLOOKUP($G621,'.Auxiliar'!$G:$G,'.Auxiliar'!F:F,"-",0)</f>
        <v>1.2000000000000455</v>
      </c>
      <c r="G621" s="59" t="s">
        <v>1646</v>
      </c>
      <c r="H621" s="108" t="s">
        <v>0</v>
      </c>
      <c r="I621" s="109" t="s">
        <v>0</v>
      </c>
      <c r="J621" s="109" t="s">
        <v>0</v>
      </c>
      <c r="K621" s="109" t="s">
        <v>0</v>
      </c>
      <c r="L621" s="109" t="s">
        <v>0</v>
      </c>
      <c r="M621" s="109" t="s">
        <v>0</v>
      </c>
      <c r="N621" s="110" t="s">
        <v>363</v>
      </c>
      <c r="O621" s="111"/>
      <c r="P621" s="112"/>
      <c r="Q621" s="112"/>
      <c r="R621" s="112"/>
      <c r="S621" s="112"/>
      <c r="T621" s="112"/>
      <c r="U621" s="95" t="str">
        <f t="shared" si="30"/>
        <v/>
      </c>
      <c r="V621" s="112"/>
      <c r="W621" s="112"/>
      <c r="X621" s="107">
        <v>100</v>
      </c>
      <c r="Y621" s="107">
        <f t="shared" si="31"/>
        <v>100</v>
      </c>
      <c r="Z621" s="107">
        <f t="shared" si="32"/>
        <v>0</v>
      </c>
    </row>
    <row r="622" spans="1:26" x14ac:dyDescent="0.25">
      <c r="A622" s="55" t="str">
        <f>_xlfn.XLOOKUP($G622,'.Auxiliar'!$G:$G,'.Auxiliar'!A:A,"-",0)</f>
        <v>RIO/MINAS</v>
      </c>
      <c r="B622" s="55" t="str">
        <f>_xlfn.XLOOKUP($G622,'.Auxiliar'!$G:$G,'.Auxiliar'!B:B,"-",0)</f>
        <v>FX ADICIONAL</v>
      </c>
      <c r="C622" s="55" t="str">
        <f>_xlfn.XLOOKUP($G622,'.Auxiliar'!$G:$G,'.Auxiliar'!C:C,"-",0)</f>
        <v>Crescente</v>
      </c>
      <c r="D622" s="55">
        <f>_xlfn.XLOOKUP($G622,'.Auxiliar'!$G:$G,'.Auxiliar'!D:D,"-",0)</f>
        <v>584.6</v>
      </c>
      <c r="E622" s="55">
        <f>_xlfn.XLOOKUP($G622,'.Auxiliar'!$G:$G,'.Auxiliar'!E:E,"-",0)</f>
        <v>585.79999999999995</v>
      </c>
      <c r="F622" s="55">
        <f>_xlfn.XLOOKUP($G622,'.Auxiliar'!$G:$G,'.Auxiliar'!F:F,"-",0)</f>
        <v>1.1999999999999318</v>
      </c>
      <c r="G622" s="59" t="s">
        <v>1648</v>
      </c>
      <c r="H622" s="108" t="s">
        <v>0</v>
      </c>
      <c r="I622" s="109" t="s">
        <v>0</v>
      </c>
      <c r="J622" s="109" t="s">
        <v>0</v>
      </c>
      <c r="K622" s="109" t="s">
        <v>0</v>
      </c>
      <c r="L622" s="109" t="s">
        <v>0</v>
      </c>
      <c r="M622" s="109" t="s">
        <v>0</v>
      </c>
      <c r="N622" s="110" t="s">
        <v>363</v>
      </c>
      <c r="O622" s="111"/>
      <c r="P622" s="112"/>
      <c r="Q622" s="112"/>
      <c r="R622" s="112"/>
      <c r="S622" s="112"/>
      <c r="T622" s="112"/>
      <c r="U622" s="95" t="str">
        <f t="shared" si="30"/>
        <v/>
      </c>
      <c r="V622" s="112"/>
      <c r="W622" s="112"/>
      <c r="X622" s="107">
        <v>100</v>
      </c>
      <c r="Y622" s="107">
        <f t="shared" si="31"/>
        <v>100</v>
      </c>
      <c r="Z622" s="107">
        <f t="shared" si="32"/>
        <v>0</v>
      </c>
    </row>
    <row r="623" spans="1:26" x14ac:dyDescent="0.25">
      <c r="A623" s="55" t="str">
        <f>_xlfn.XLOOKUP($G623,'.Auxiliar'!$G:$G,'.Auxiliar'!A:A,"-",0)</f>
        <v>RIO/MINAS</v>
      </c>
      <c r="B623" s="55" t="str">
        <f>_xlfn.XLOOKUP($G623,'.Auxiliar'!$G:$G,'.Auxiliar'!B:B,"-",0)</f>
        <v>FX ADICIONAL</v>
      </c>
      <c r="C623" s="55" t="str">
        <f>_xlfn.XLOOKUP($G623,'.Auxiliar'!$G:$G,'.Auxiliar'!C:C,"-",0)</f>
        <v>Crescente</v>
      </c>
      <c r="D623" s="55">
        <f>_xlfn.XLOOKUP($G623,'.Auxiliar'!$G:$G,'.Auxiliar'!D:D,"-",0)</f>
        <v>594</v>
      </c>
      <c r="E623" s="55">
        <f>_xlfn.XLOOKUP($G623,'.Auxiliar'!$G:$G,'.Auxiliar'!E:E,"-",0)</f>
        <v>595.20699999999999</v>
      </c>
      <c r="F623" s="55">
        <f>_xlfn.XLOOKUP($G623,'.Auxiliar'!$G:$G,'.Auxiliar'!F:F,"-",0)</f>
        <v>1.2069999999999936</v>
      </c>
      <c r="G623" s="59" t="s">
        <v>1651</v>
      </c>
      <c r="H623" s="108" t="s">
        <v>0</v>
      </c>
      <c r="I623" s="109" t="s">
        <v>0</v>
      </c>
      <c r="J623" s="109" t="s">
        <v>0</v>
      </c>
      <c r="K623" s="109" t="s">
        <v>0</v>
      </c>
      <c r="L623" s="109" t="s">
        <v>0</v>
      </c>
      <c r="M623" s="109" t="s">
        <v>0</v>
      </c>
      <c r="N623" s="110" t="s">
        <v>363</v>
      </c>
      <c r="O623" s="111"/>
      <c r="P623" s="112"/>
      <c r="Q623" s="112"/>
      <c r="R623" s="112"/>
      <c r="S623" s="112"/>
      <c r="T623" s="112"/>
      <c r="U623" s="95" t="str">
        <f t="shared" si="30"/>
        <v/>
      </c>
      <c r="V623" s="112"/>
      <c r="W623" s="112"/>
      <c r="X623" s="107">
        <v>100</v>
      </c>
      <c r="Y623" s="107">
        <f t="shared" si="31"/>
        <v>100</v>
      </c>
      <c r="Z623" s="107">
        <f t="shared" si="32"/>
        <v>0</v>
      </c>
    </row>
    <row r="624" spans="1:26" x14ac:dyDescent="0.25">
      <c r="A624" s="55" t="str">
        <f>_xlfn.XLOOKUP($G624,'.Auxiliar'!$G:$G,'.Auxiliar'!A:A,"-",0)</f>
        <v>RIO/MINAS</v>
      </c>
      <c r="B624" s="55" t="str">
        <f>_xlfn.XLOOKUP($G624,'.Auxiliar'!$G:$G,'.Auxiliar'!B:B,"-",0)</f>
        <v>FX ADICIONAL</v>
      </c>
      <c r="C624" s="55" t="str">
        <f>_xlfn.XLOOKUP($G624,'.Auxiliar'!$G:$G,'.Auxiliar'!C:C,"-",0)</f>
        <v>Crescente</v>
      </c>
      <c r="D624" s="55">
        <f>_xlfn.XLOOKUP($G624,'.Auxiliar'!$G:$G,'.Auxiliar'!D:D,"-",0)</f>
        <v>598.70000000000005</v>
      </c>
      <c r="E624" s="55">
        <f>_xlfn.XLOOKUP($G624,'.Auxiliar'!$G:$G,'.Auxiliar'!E:E,"-",0)</f>
        <v>599.9</v>
      </c>
      <c r="F624" s="55">
        <f>_xlfn.XLOOKUP($G624,'.Auxiliar'!$G:$G,'.Auxiliar'!F:F,"-",0)</f>
        <v>1.1999999999999318</v>
      </c>
      <c r="G624" s="59" t="s">
        <v>1653</v>
      </c>
      <c r="H624" s="108" t="s">
        <v>0</v>
      </c>
      <c r="I624" s="109" t="s">
        <v>0</v>
      </c>
      <c r="J624" s="109" t="s">
        <v>0</v>
      </c>
      <c r="K624" s="109" t="s">
        <v>0</v>
      </c>
      <c r="L624" s="109" t="s">
        <v>0</v>
      </c>
      <c r="M624" s="109" t="s">
        <v>0</v>
      </c>
      <c r="N624" s="110" t="s">
        <v>363</v>
      </c>
      <c r="O624" s="111"/>
      <c r="P624" s="112"/>
      <c r="Q624" s="112"/>
      <c r="R624" s="112"/>
      <c r="S624" s="112"/>
      <c r="T624" s="112"/>
      <c r="U624" s="95" t="str">
        <f t="shared" si="30"/>
        <v/>
      </c>
      <c r="V624" s="112"/>
      <c r="W624" s="112"/>
      <c r="X624" s="107">
        <v>100</v>
      </c>
      <c r="Y624" s="107">
        <f t="shared" si="31"/>
        <v>100</v>
      </c>
      <c r="Z624" s="107">
        <f t="shared" si="32"/>
        <v>0</v>
      </c>
    </row>
    <row r="625" spans="1:26" x14ac:dyDescent="0.25">
      <c r="A625" s="55" t="str">
        <f>_xlfn.XLOOKUP($G625,'.Auxiliar'!$G:$G,'.Auxiliar'!A:A,"-",0)</f>
        <v>RIO/MINAS</v>
      </c>
      <c r="B625" s="55" t="str">
        <f>_xlfn.XLOOKUP($G625,'.Auxiliar'!$G:$G,'.Auxiliar'!B:B,"-",0)</f>
        <v>FX ADICIONAL</v>
      </c>
      <c r="C625" s="55" t="str">
        <f>_xlfn.XLOOKUP($G625,'.Auxiliar'!$G:$G,'.Auxiliar'!C:C,"-",0)</f>
        <v>Crescente</v>
      </c>
      <c r="D625" s="55">
        <f>_xlfn.XLOOKUP($G625,'.Auxiliar'!$G:$G,'.Auxiliar'!D:D,"-",0)</f>
        <v>603.29999999999995</v>
      </c>
      <c r="E625" s="55">
        <f>_xlfn.XLOOKUP($G625,'.Auxiliar'!$G:$G,'.Auxiliar'!E:E,"-",0)</f>
        <v>604.5</v>
      </c>
      <c r="F625" s="55">
        <f>_xlfn.XLOOKUP($G625,'.Auxiliar'!$G:$G,'.Auxiliar'!F:F,"-",0)</f>
        <v>1.2000000000000455</v>
      </c>
      <c r="G625" s="59" t="s">
        <v>1655</v>
      </c>
      <c r="H625" s="108" t="s">
        <v>0</v>
      </c>
      <c r="I625" s="109" t="s">
        <v>0</v>
      </c>
      <c r="J625" s="109" t="s">
        <v>0</v>
      </c>
      <c r="K625" s="109" t="s">
        <v>0</v>
      </c>
      <c r="L625" s="109" t="s">
        <v>0</v>
      </c>
      <c r="M625" s="109" t="s">
        <v>0</v>
      </c>
      <c r="N625" s="110" t="s">
        <v>363</v>
      </c>
      <c r="O625" s="111"/>
      <c r="P625" s="112"/>
      <c r="Q625" s="112"/>
      <c r="R625" s="112"/>
      <c r="S625" s="112"/>
      <c r="T625" s="112"/>
      <c r="U625" s="95" t="str">
        <f t="shared" si="30"/>
        <v/>
      </c>
      <c r="V625" s="112"/>
      <c r="W625" s="112"/>
      <c r="X625" s="107">
        <v>100</v>
      </c>
      <c r="Y625" s="107">
        <f t="shared" si="31"/>
        <v>100</v>
      </c>
      <c r="Z625" s="107">
        <f t="shared" si="32"/>
        <v>0</v>
      </c>
    </row>
    <row r="626" spans="1:26" x14ac:dyDescent="0.25">
      <c r="A626" s="55" t="str">
        <f>_xlfn.XLOOKUP($G626,'.Auxiliar'!$G:$G,'.Auxiliar'!A:A,"-",0)</f>
        <v>RIO/MINAS</v>
      </c>
      <c r="B626" s="55" t="str">
        <f>_xlfn.XLOOKUP($G626,'.Auxiliar'!$G:$G,'.Auxiliar'!B:B,"-",0)</f>
        <v>FX ADICIONAL</v>
      </c>
      <c r="C626" s="55" t="str">
        <f>_xlfn.XLOOKUP($G626,'.Auxiliar'!$G:$G,'.Auxiliar'!C:C,"-",0)</f>
        <v>Crescente</v>
      </c>
      <c r="D626" s="55">
        <f>_xlfn.XLOOKUP($G626,'.Auxiliar'!$G:$G,'.Auxiliar'!D:D,"-",0)</f>
        <v>608</v>
      </c>
      <c r="E626" s="55">
        <f>_xlfn.XLOOKUP($G626,'.Auxiliar'!$G:$G,'.Auxiliar'!E:E,"-",0)</f>
        <v>609.20000000000005</v>
      </c>
      <c r="F626" s="55">
        <f>_xlfn.XLOOKUP($G626,'.Auxiliar'!$G:$G,'.Auxiliar'!F:F,"-",0)</f>
        <v>1.2000000000000455</v>
      </c>
      <c r="G626" s="59" t="s">
        <v>1657</v>
      </c>
      <c r="H626" s="108" t="s">
        <v>0</v>
      </c>
      <c r="I626" s="109" t="s">
        <v>0</v>
      </c>
      <c r="J626" s="109" t="s">
        <v>0</v>
      </c>
      <c r="K626" s="109" t="s">
        <v>0</v>
      </c>
      <c r="L626" s="109" t="s">
        <v>0</v>
      </c>
      <c r="M626" s="109" t="s">
        <v>0</v>
      </c>
      <c r="N626" s="110" t="s">
        <v>363</v>
      </c>
      <c r="O626" s="111"/>
      <c r="P626" s="112"/>
      <c r="Q626" s="112"/>
      <c r="R626" s="112"/>
      <c r="S626" s="112"/>
      <c r="T626" s="112"/>
      <c r="U626" s="95" t="str">
        <f t="shared" si="30"/>
        <v/>
      </c>
      <c r="V626" s="112"/>
      <c r="W626" s="112"/>
      <c r="X626" s="107">
        <v>100</v>
      </c>
      <c r="Y626" s="107">
        <f t="shared" si="31"/>
        <v>100</v>
      </c>
      <c r="Z626" s="107">
        <f t="shared" si="32"/>
        <v>0</v>
      </c>
    </row>
    <row r="627" spans="1:26" x14ac:dyDescent="0.25">
      <c r="A627" s="55" t="str">
        <f>_xlfn.XLOOKUP($G627,'.Auxiliar'!$G:$G,'.Auxiliar'!A:A,"-",0)</f>
        <v>RIO/MINAS</v>
      </c>
      <c r="B627" s="55" t="str">
        <f>_xlfn.XLOOKUP($G627,'.Auxiliar'!$G:$G,'.Auxiliar'!B:B,"-",0)</f>
        <v>FX ADICIONAL</v>
      </c>
      <c r="C627" s="55" t="str">
        <f>_xlfn.XLOOKUP($G627,'.Auxiliar'!$G:$G,'.Auxiliar'!C:C,"-",0)</f>
        <v>Crescente</v>
      </c>
      <c r="D627" s="55">
        <f>_xlfn.XLOOKUP($G627,'.Auxiliar'!$G:$G,'.Auxiliar'!D:D,"-",0)</f>
        <v>612.70000000000005</v>
      </c>
      <c r="E627" s="55">
        <f>_xlfn.XLOOKUP($G627,'.Auxiliar'!$G:$G,'.Auxiliar'!E:E,"-",0)</f>
        <v>613.9</v>
      </c>
      <c r="F627" s="55">
        <f>_xlfn.XLOOKUP($G627,'.Auxiliar'!$G:$G,'.Auxiliar'!F:F,"-",0)</f>
        <v>1.1999999999999318</v>
      </c>
      <c r="G627" s="59" t="s">
        <v>1659</v>
      </c>
      <c r="H627" s="108" t="s">
        <v>0</v>
      </c>
      <c r="I627" s="109" t="s">
        <v>0</v>
      </c>
      <c r="J627" s="109" t="s">
        <v>0</v>
      </c>
      <c r="K627" s="109" t="s">
        <v>0</v>
      </c>
      <c r="L627" s="109" t="s">
        <v>0</v>
      </c>
      <c r="M627" s="109" t="s">
        <v>0</v>
      </c>
      <c r="N627" s="110" t="s">
        <v>363</v>
      </c>
      <c r="O627" s="111"/>
      <c r="P627" s="112"/>
      <c r="Q627" s="112"/>
      <c r="R627" s="112"/>
      <c r="S627" s="112"/>
      <c r="T627" s="112"/>
      <c r="U627" s="95" t="str">
        <f t="shared" si="30"/>
        <v/>
      </c>
      <c r="V627" s="112"/>
      <c r="W627" s="112"/>
      <c r="X627" s="107">
        <v>100</v>
      </c>
      <c r="Y627" s="107">
        <f t="shared" si="31"/>
        <v>100</v>
      </c>
      <c r="Z627" s="107">
        <f t="shared" si="32"/>
        <v>0</v>
      </c>
    </row>
    <row r="628" spans="1:26" x14ac:dyDescent="0.25">
      <c r="A628" s="55" t="str">
        <f>_xlfn.XLOOKUP($G628,'.Auxiliar'!$G:$G,'.Auxiliar'!A:A,"-",0)</f>
        <v>RIO/MINAS</v>
      </c>
      <c r="B628" s="55" t="str">
        <f>_xlfn.XLOOKUP($G628,'.Auxiliar'!$G:$G,'.Auxiliar'!B:B,"-",0)</f>
        <v>FX ADICIONAL</v>
      </c>
      <c r="C628" s="55" t="str">
        <f>_xlfn.XLOOKUP($G628,'.Auxiliar'!$G:$G,'.Auxiliar'!C:C,"-",0)</f>
        <v>Crescente</v>
      </c>
      <c r="D628" s="55">
        <f>_xlfn.XLOOKUP($G628,'.Auxiliar'!$G:$G,'.Auxiliar'!D:D,"-",0)</f>
        <v>617.29999999999995</v>
      </c>
      <c r="E628" s="55">
        <f>_xlfn.XLOOKUP($G628,'.Auxiliar'!$G:$G,'.Auxiliar'!E:E,"-",0)</f>
        <v>618.5</v>
      </c>
      <c r="F628" s="55">
        <f>_xlfn.XLOOKUP($G628,'.Auxiliar'!$G:$G,'.Auxiliar'!F:F,"-",0)</f>
        <v>1.2000000000000455</v>
      </c>
      <c r="G628" s="59" t="s">
        <v>1661</v>
      </c>
      <c r="H628" s="108" t="s">
        <v>0</v>
      </c>
      <c r="I628" s="109" t="s">
        <v>0</v>
      </c>
      <c r="J628" s="109" t="s">
        <v>0</v>
      </c>
      <c r="K628" s="109" t="s">
        <v>0</v>
      </c>
      <c r="L628" s="109" t="s">
        <v>0</v>
      </c>
      <c r="M628" s="109" t="s">
        <v>0</v>
      </c>
      <c r="N628" s="110" t="s">
        <v>363</v>
      </c>
      <c r="O628" s="111"/>
      <c r="P628" s="112"/>
      <c r="Q628" s="112"/>
      <c r="R628" s="112"/>
      <c r="S628" s="112"/>
      <c r="T628" s="112"/>
      <c r="U628" s="95" t="str">
        <f t="shared" si="30"/>
        <v/>
      </c>
      <c r="V628" s="112"/>
      <c r="W628" s="112"/>
      <c r="X628" s="107">
        <v>100</v>
      </c>
      <c r="Y628" s="107">
        <f t="shared" si="31"/>
        <v>100</v>
      </c>
      <c r="Z628" s="107">
        <f t="shared" si="32"/>
        <v>0</v>
      </c>
    </row>
    <row r="629" spans="1:26" x14ac:dyDescent="0.25">
      <c r="A629" s="55" t="str">
        <f>_xlfn.XLOOKUP($G629,'.Auxiliar'!$G:$G,'.Auxiliar'!A:A,"-",0)</f>
        <v>RIO/MINAS</v>
      </c>
      <c r="B629" s="55" t="str">
        <f>_xlfn.XLOOKUP($G629,'.Auxiliar'!$G:$G,'.Auxiliar'!B:B,"-",0)</f>
        <v>FX ADICIONAL</v>
      </c>
      <c r="C629" s="55" t="str">
        <f>_xlfn.XLOOKUP($G629,'.Auxiliar'!$G:$G,'.Auxiliar'!C:C,"-",0)</f>
        <v>Crescente</v>
      </c>
      <c r="D629" s="55">
        <f>_xlfn.XLOOKUP($G629,'.Auxiliar'!$G:$G,'.Auxiliar'!D:D,"-",0)</f>
        <v>622.79999999999995</v>
      </c>
      <c r="E629" s="55">
        <f>_xlfn.XLOOKUP($G629,'.Auxiliar'!$G:$G,'.Auxiliar'!E:E,"-",0)</f>
        <v>624</v>
      </c>
      <c r="F629" s="55">
        <f>_xlfn.XLOOKUP($G629,'.Auxiliar'!$G:$G,'.Auxiliar'!F:F,"-",0)</f>
        <v>1.2000000000000455</v>
      </c>
      <c r="G629" s="59" t="s">
        <v>1663</v>
      </c>
      <c r="H629" s="108" t="s">
        <v>0</v>
      </c>
      <c r="I629" s="109" t="s">
        <v>0</v>
      </c>
      <c r="J629" s="109" t="s">
        <v>0</v>
      </c>
      <c r="K629" s="109" t="s">
        <v>0</v>
      </c>
      <c r="L629" s="109" t="s">
        <v>0</v>
      </c>
      <c r="M629" s="109" t="s">
        <v>0</v>
      </c>
      <c r="N629" s="110" t="s">
        <v>363</v>
      </c>
      <c r="O629" s="111"/>
      <c r="P629" s="112"/>
      <c r="Q629" s="112"/>
      <c r="R629" s="112"/>
      <c r="S629" s="112"/>
      <c r="T629" s="112"/>
      <c r="U629" s="95" t="str">
        <f t="shared" si="30"/>
        <v/>
      </c>
      <c r="V629" s="112"/>
      <c r="W629" s="112"/>
      <c r="X629" s="107">
        <v>100</v>
      </c>
      <c r="Y629" s="107">
        <f t="shared" si="31"/>
        <v>100</v>
      </c>
      <c r="Z629" s="107">
        <f t="shared" si="32"/>
        <v>0</v>
      </c>
    </row>
    <row r="630" spans="1:26" x14ac:dyDescent="0.25">
      <c r="A630" s="55" t="str">
        <f>_xlfn.XLOOKUP($G630,'.Auxiliar'!$G:$G,'.Auxiliar'!A:A,"-",0)</f>
        <v>RIO/MINAS</v>
      </c>
      <c r="B630" s="55" t="str">
        <f>_xlfn.XLOOKUP($G630,'.Auxiliar'!$G:$G,'.Auxiliar'!B:B,"-",0)</f>
        <v>FX ADICIONAL</v>
      </c>
      <c r="C630" s="55" t="str">
        <f>_xlfn.XLOOKUP($G630,'.Auxiliar'!$G:$G,'.Auxiliar'!C:C,"-",0)</f>
        <v>Crescente</v>
      </c>
      <c r="D630" s="55">
        <f>_xlfn.XLOOKUP($G630,'.Auxiliar'!$G:$G,'.Auxiliar'!D:D,"-",0)</f>
        <v>627.5</v>
      </c>
      <c r="E630" s="55">
        <f>_xlfn.XLOOKUP($G630,'.Auxiliar'!$G:$G,'.Auxiliar'!E:E,"-",0)</f>
        <v>628.70000000000005</v>
      </c>
      <c r="F630" s="55">
        <f>_xlfn.XLOOKUP($G630,'.Auxiliar'!$G:$G,'.Auxiliar'!F:F,"-",0)</f>
        <v>1.2000000000000455</v>
      </c>
      <c r="G630" s="59" t="s">
        <v>1665</v>
      </c>
      <c r="H630" s="108" t="s">
        <v>0</v>
      </c>
      <c r="I630" s="109" t="s">
        <v>0</v>
      </c>
      <c r="J630" s="109" t="s">
        <v>0</v>
      </c>
      <c r="K630" s="109" t="s">
        <v>0</v>
      </c>
      <c r="L630" s="109" t="s">
        <v>0</v>
      </c>
      <c r="M630" s="109" t="s">
        <v>0</v>
      </c>
      <c r="N630" s="110" t="s">
        <v>363</v>
      </c>
      <c r="O630" s="111"/>
      <c r="P630" s="112"/>
      <c r="Q630" s="112"/>
      <c r="R630" s="112"/>
      <c r="S630" s="112"/>
      <c r="T630" s="112"/>
      <c r="U630" s="95" t="str">
        <f t="shared" si="30"/>
        <v/>
      </c>
      <c r="V630" s="112"/>
      <c r="W630" s="112"/>
      <c r="X630" s="107">
        <v>100</v>
      </c>
      <c r="Y630" s="107">
        <f t="shared" si="31"/>
        <v>100</v>
      </c>
      <c r="Z630" s="107">
        <f t="shared" si="32"/>
        <v>0</v>
      </c>
    </row>
    <row r="631" spans="1:26" x14ac:dyDescent="0.25">
      <c r="A631" s="55" t="str">
        <f>_xlfn.XLOOKUP($G631,'.Auxiliar'!$G:$G,'.Auxiliar'!A:A,"-",0)</f>
        <v>RIO/MINAS</v>
      </c>
      <c r="B631" s="55" t="str">
        <f>_xlfn.XLOOKUP($G631,'.Auxiliar'!$G:$G,'.Auxiliar'!B:B,"-",0)</f>
        <v>FX ADICIONAL</v>
      </c>
      <c r="C631" s="55" t="str">
        <f>_xlfn.XLOOKUP($G631,'.Auxiliar'!$G:$G,'.Auxiliar'!C:C,"-",0)</f>
        <v>Crescente</v>
      </c>
      <c r="D631" s="55">
        <f>_xlfn.XLOOKUP($G631,'.Auxiliar'!$G:$G,'.Auxiliar'!D:D,"-",0)</f>
        <v>636.5</v>
      </c>
      <c r="E631" s="55">
        <f>_xlfn.XLOOKUP($G631,'.Auxiliar'!$G:$G,'.Auxiliar'!E:E,"-",0)</f>
        <v>637.70000000000005</v>
      </c>
      <c r="F631" s="55">
        <f>_xlfn.XLOOKUP($G631,'.Auxiliar'!$G:$G,'.Auxiliar'!F:F,"-",0)</f>
        <v>1.2000000000000455</v>
      </c>
      <c r="G631" s="59" t="s">
        <v>1666</v>
      </c>
      <c r="H631" s="108" t="s">
        <v>0</v>
      </c>
      <c r="I631" s="109" t="s">
        <v>0</v>
      </c>
      <c r="J631" s="109" t="s">
        <v>0</v>
      </c>
      <c r="K631" s="109" t="s">
        <v>0</v>
      </c>
      <c r="L631" s="109" t="s">
        <v>0</v>
      </c>
      <c r="M631" s="109" t="s">
        <v>0</v>
      </c>
      <c r="N631" s="110" t="s">
        <v>363</v>
      </c>
      <c r="O631" s="111"/>
      <c r="P631" s="112"/>
      <c r="Q631" s="112"/>
      <c r="R631" s="112"/>
      <c r="S631" s="112"/>
      <c r="T631" s="112"/>
      <c r="U631" s="95" t="str">
        <f t="shared" si="30"/>
        <v/>
      </c>
      <c r="V631" s="112"/>
      <c r="W631" s="112"/>
      <c r="X631" s="107">
        <v>100</v>
      </c>
      <c r="Y631" s="107">
        <f t="shared" si="31"/>
        <v>100</v>
      </c>
      <c r="Z631" s="107">
        <f t="shared" si="32"/>
        <v>0</v>
      </c>
    </row>
    <row r="632" spans="1:26" x14ac:dyDescent="0.25">
      <c r="A632" s="55" t="str">
        <f>_xlfn.XLOOKUP($G632,'.Auxiliar'!$G:$G,'.Auxiliar'!A:A,"-",0)</f>
        <v>RIO/MINAS</v>
      </c>
      <c r="B632" s="55" t="str">
        <f>_xlfn.XLOOKUP($G632,'.Auxiliar'!$G:$G,'.Auxiliar'!B:B,"-",0)</f>
        <v>FX ADICIONAL</v>
      </c>
      <c r="C632" s="55" t="str">
        <f>_xlfn.XLOOKUP($G632,'.Auxiliar'!$G:$G,'.Auxiliar'!C:C,"-",0)</f>
        <v>Crescente</v>
      </c>
      <c r="D632" s="55">
        <f>_xlfn.XLOOKUP($G632,'.Auxiliar'!$G:$G,'.Auxiliar'!D:D,"-",0)</f>
        <v>640.36699999999996</v>
      </c>
      <c r="E632" s="55">
        <f>_xlfn.XLOOKUP($G632,'.Auxiliar'!$G:$G,'.Auxiliar'!E:E,"-",0)</f>
        <v>641.20000000000005</v>
      </c>
      <c r="F632" s="55">
        <f>_xlfn.XLOOKUP($G632,'.Auxiliar'!$G:$G,'.Auxiliar'!F:F,"-",0)</f>
        <v>0.83300000000008367</v>
      </c>
      <c r="G632" s="59" t="s">
        <v>1668</v>
      </c>
      <c r="H632" s="108" t="s">
        <v>0</v>
      </c>
      <c r="I632" s="109" t="s">
        <v>0</v>
      </c>
      <c r="J632" s="109" t="s">
        <v>0</v>
      </c>
      <c r="K632" s="109" t="s">
        <v>0</v>
      </c>
      <c r="L632" s="109" t="s">
        <v>0</v>
      </c>
      <c r="M632" s="109" t="s">
        <v>0</v>
      </c>
      <c r="N632" s="110" t="s">
        <v>363</v>
      </c>
      <c r="O632" s="111"/>
      <c r="P632" s="112"/>
      <c r="Q632" s="112"/>
      <c r="R632" s="112"/>
      <c r="S632" s="112"/>
      <c r="T632" s="112"/>
      <c r="U632" s="95" t="str">
        <f t="shared" si="30"/>
        <v/>
      </c>
      <c r="V632" s="112"/>
      <c r="W632" s="112"/>
      <c r="X632" s="107">
        <v>100</v>
      </c>
      <c r="Y632" s="107">
        <f t="shared" si="31"/>
        <v>100</v>
      </c>
      <c r="Z632" s="107">
        <f t="shared" si="32"/>
        <v>0</v>
      </c>
    </row>
    <row r="633" spans="1:26" x14ac:dyDescent="0.25">
      <c r="A633" s="55" t="str">
        <f>_xlfn.XLOOKUP($G633,'.Auxiliar'!$G:$G,'.Auxiliar'!A:A,"-",0)</f>
        <v>RIO/MINAS</v>
      </c>
      <c r="B633" s="55" t="str">
        <f>_xlfn.XLOOKUP($G633,'.Auxiliar'!$G:$G,'.Auxiliar'!B:B,"-",0)</f>
        <v>FX ADICIONAL</v>
      </c>
      <c r="C633" s="55" t="str">
        <f>_xlfn.XLOOKUP($G633,'.Auxiliar'!$G:$G,'.Auxiliar'!C:C,"-",0)</f>
        <v>Crescente</v>
      </c>
      <c r="D633" s="55">
        <f>_xlfn.XLOOKUP($G633,'.Auxiliar'!$G:$G,'.Auxiliar'!D:D,"-",0)</f>
        <v>644</v>
      </c>
      <c r="E633" s="55">
        <f>_xlfn.XLOOKUP($G633,'.Auxiliar'!$G:$G,'.Auxiliar'!E:E,"-",0)</f>
        <v>645.19500000000005</v>
      </c>
      <c r="F633" s="55">
        <f>_xlfn.XLOOKUP($G633,'.Auxiliar'!$G:$G,'.Auxiliar'!F:F,"-",0)</f>
        <v>1.19500000000005</v>
      </c>
      <c r="G633" s="59" t="s">
        <v>1669</v>
      </c>
      <c r="H633" s="108" t="s">
        <v>0</v>
      </c>
      <c r="I633" s="109" t="s">
        <v>0</v>
      </c>
      <c r="J633" s="109" t="s">
        <v>0</v>
      </c>
      <c r="K633" s="109" t="s">
        <v>0</v>
      </c>
      <c r="L633" s="109" t="s">
        <v>0</v>
      </c>
      <c r="M633" s="109" t="s">
        <v>0</v>
      </c>
      <c r="N633" s="110" t="s">
        <v>363</v>
      </c>
      <c r="O633" s="111"/>
      <c r="P633" s="112"/>
      <c r="Q633" s="112"/>
      <c r="R633" s="112"/>
      <c r="S633" s="112"/>
      <c r="T633" s="112"/>
      <c r="U633" s="95" t="str">
        <f t="shared" si="30"/>
        <v/>
      </c>
      <c r="V633" s="112"/>
      <c r="W633" s="112"/>
      <c r="X633" s="107">
        <v>100</v>
      </c>
      <c r="Y633" s="107">
        <f t="shared" si="31"/>
        <v>100</v>
      </c>
      <c r="Z633" s="107">
        <f t="shared" si="32"/>
        <v>0</v>
      </c>
    </row>
    <row r="634" spans="1:26" x14ac:dyDescent="0.25">
      <c r="A634" s="55" t="str">
        <f>_xlfn.XLOOKUP($G634,'.Auxiliar'!$G:$G,'.Auxiliar'!A:A,"-",0)</f>
        <v>RIO/MINAS</v>
      </c>
      <c r="B634" s="55" t="str">
        <f>_xlfn.XLOOKUP($G634,'.Auxiliar'!$G:$G,'.Auxiliar'!B:B,"-",0)</f>
        <v>FX ADICIONAL</v>
      </c>
      <c r="C634" s="55" t="str">
        <f>_xlfn.XLOOKUP($G634,'.Auxiliar'!$G:$G,'.Auxiliar'!C:C,"-",0)</f>
        <v>Crescente</v>
      </c>
      <c r="D634" s="55">
        <f>_xlfn.XLOOKUP($G634,'.Auxiliar'!$G:$G,'.Auxiliar'!D:D,"-",0)</f>
        <v>648</v>
      </c>
      <c r="E634" s="55">
        <f>_xlfn.XLOOKUP($G634,'.Auxiliar'!$G:$G,'.Auxiliar'!E:E,"-",0)</f>
        <v>649.19500000000005</v>
      </c>
      <c r="F634" s="55">
        <f>_xlfn.XLOOKUP($G634,'.Auxiliar'!$G:$G,'.Auxiliar'!F:F,"-",0)</f>
        <v>1.19500000000005</v>
      </c>
      <c r="G634" s="59" t="s">
        <v>1671</v>
      </c>
      <c r="H634" s="108" t="s">
        <v>0</v>
      </c>
      <c r="I634" s="109" t="s">
        <v>0</v>
      </c>
      <c r="J634" s="109" t="s">
        <v>0</v>
      </c>
      <c r="K634" s="109" t="s">
        <v>0</v>
      </c>
      <c r="L634" s="109" t="s">
        <v>0</v>
      </c>
      <c r="M634" s="109" t="s">
        <v>0</v>
      </c>
      <c r="N634" s="110" t="s">
        <v>363</v>
      </c>
      <c r="O634" s="111"/>
      <c r="P634" s="112"/>
      <c r="Q634" s="112"/>
      <c r="R634" s="112"/>
      <c r="S634" s="112"/>
      <c r="T634" s="112"/>
      <c r="U634" s="95" t="str">
        <f t="shared" si="30"/>
        <v/>
      </c>
      <c r="V634" s="112"/>
      <c r="W634" s="112"/>
      <c r="X634" s="107">
        <v>100</v>
      </c>
      <c r="Y634" s="107">
        <f t="shared" si="31"/>
        <v>100</v>
      </c>
      <c r="Z634" s="107">
        <f t="shared" si="32"/>
        <v>0</v>
      </c>
    </row>
    <row r="635" spans="1:26" x14ac:dyDescent="0.25">
      <c r="A635" s="55" t="str">
        <f>_xlfn.XLOOKUP($G635,'.Auxiliar'!$G:$G,'.Auxiliar'!A:A,"-",0)</f>
        <v>RIO/MINAS</v>
      </c>
      <c r="B635" s="55" t="str">
        <f>_xlfn.XLOOKUP($G635,'.Auxiliar'!$G:$G,'.Auxiliar'!B:B,"-",0)</f>
        <v>FX ADICIONAL</v>
      </c>
      <c r="C635" s="55" t="str">
        <f>_xlfn.XLOOKUP($G635,'.Auxiliar'!$G:$G,'.Auxiliar'!C:C,"-",0)</f>
        <v>Crescente</v>
      </c>
      <c r="D635" s="55">
        <f>_xlfn.XLOOKUP($G635,'.Auxiliar'!$G:$G,'.Auxiliar'!D:D,"-",0)</f>
        <v>651.29999999999995</v>
      </c>
      <c r="E635" s="55">
        <f>_xlfn.XLOOKUP($G635,'.Auxiliar'!$G:$G,'.Auxiliar'!E:E,"-",0)</f>
        <v>652.5</v>
      </c>
      <c r="F635" s="55">
        <f>_xlfn.XLOOKUP($G635,'.Auxiliar'!$G:$G,'.Auxiliar'!F:F,"-",0)</f>
        <v>1.2000000000000455</v>
      </c>
      <c r="G635" s="59" t="s">
        <v>1673</v>
      </c>
      <c r="H635" s="108" t="s">
        <v>0</v>
      </c>
      <c r="I635" s="109" t="s">
        <v>0</v>
      </c>
      <c r="J635" s="109" t="s">
        <v>0</v>
      </c>
      <c r="K635" s="109" t="s">
        <v>0</v>
      </c>
      <c r="L635" s="109" t="s">
        <v>0</v>
      </c>
      <c r="M635" s="109" t="s">
        <v>0</v>
      </c>
      <c r="N635" s="110" t="s">
        <v>363</v>
      </c>
      <c r="O635" s="111"/>
      <c r="P635" s="112"/>
      <c r="Q635" s="112"/>
      <c r="R635" s="112"/>
      <c r="S635" s="112"/>
      <c r="T635" s="112"/>
      <c r="U635" s="95" t="str">
        <f t="shared" si="30"/>
        <v/>
      </c>
      <c r="V635" s="112"/>
      <c r="W635" s="112"/>
      <c r="X635" s="107">
        <v>100</v>
      </c>
      <c r="Y635" s="107">
        <f t="shared" si="31"/>
        <v>100</v>
      </c>
      <c r="Z635" s="107">
        <f t="shared" si="32"/>
        <v>0</v>
      </c>
    </row>
    <row r="636" spans="1:26" x14ac:dyDescent="0.25">
      <c r="A636" s="55" t="str">
        <f>_xlfn.XLOOKUP($G636,'.Auxiliar'!$G:$G,'.Auxiliar'!A:A,"-",0)</f>
        <v>RIO/MINAS</v>
      </c>
      <c r="B636" s="55" t="str">
        <f>_xlfn.XLOOKUP($G636,'.Auxiliar'!$G:$G,'.Auxiliar'!B:B,"-",0)</f>
        <v>FX ADICIONAL</v>
      </c>
      <c r="C636" s="55" t="str">
        <f>_xlfn.XLOOKUP($G636,'.Auxiliar'!$G:$G,'.Auxiliar'!C:C,"-",0)</f>
        <v>Crescente</v>
      </c>
      <c r="D636" s="55">
        <f>_xlfn.XLOOKUP($G636,'.Auxiliar'!$G:$G,'.Auxiliar'!D:D,"-",0)</f>
        <v>655</v>
      </c>
      <c r="E636" s="55">
        <f>_xlfn.XLOOKUP($G636,'.Auxiliar'!$G:$G,'.Auxiliar'!E:E,"-",0)</f>
        <v>656.2</v>
      </c>
      <c r="F636" s="55">
        <f>_xlfn.XLOOKUP($G636,'.Auxiliar'!$G:$G,'.Auxiliar'!F:F,"-",0)</f>
        <v>1.2000000000000455</v>
      </c>
      <c r="G636" s="59" t="s">
        <v>1676</v>
      </c>
      <c r="H636" s="108" t="s">
        <v>0</v>
      </c>
      <c r="I636" s="109" t="s">
        <v>0</v>
      </c>
      <c r="J636" s="109" t="s">
        <v>0</v>
      </c>
      <c r="K636" s="109" t="s">
        <v>0</v>
      </c>
      <c r="L636" s="109" t="s">
        <v>0</v>
      </c>
      <c r="M636" s="109" t="s">
        <v>0</v>
      </c>
      <c r="N636" s="110" t="s">
        <v>363</v>
      </c>
      <c r="O636" s="111"/>
      <c r="P636" s="112"/>
      <c r="Q636" s="112"/>
      <c r="R636" s="112"/>
      <c r="S636" s="112"/>
      <c r="T636" s="112"/>
      <c r="U636" s="95" t="str">
        <f t="shared" si="30"/>
        <v/>
      </c>
      <c r="V636" s="112"/>
      <c r="W636" s="112"/>
      <c r="X636" s="107">
        <v>100</v>
      </c>
      <c r="Y636" s="107">
        <f t="shared" si="31"/>
        <v>100</v>
      </c>
      <c r="Z636" s="107">
        <f t="shared" si="32"/>
        <v>0</v>
      </c>
    </row>
    <row r="637" spans="1:26" x14ac:dyDescent="0.25">
      <c r="A637" s="55" t="str">
        <f>_xlfn.XLOOKUP($G637,'.Auxiliar'!$G:$G,'.Auxiliar'!A:A,"-",0)</f>
        <v>RIO/MINAS</v>
      </c>
      <c r="B637" s="55" t="str">
        <f>_xlfn.XLOOKUP($G637,'.Auxiliar'!$G:$G,'.Auxiliar'!B:B,"-",0)</f>
        <v>FX ADICIONAL</v>
      </c>
      <c r="C637" s="55" t="str">
        <f>_xlfn.XLOOKUP($G637,'.Auxiliar'!$G:$G,'.Auxiliar'!C:C,"-",0)</f>
        <v>Crescente</v>
      </c>
      <c r="D637" s="55">
        <f>_xlfn.XLOOKUP($G637,'.Auxiliar'!$G:$G,'.Auxiliar'!D:D,"-",0)</f>
        <v>661.1</v>
      </c>
      <c r="E637" s="55">
        <f>_xlfn.XLOOKUP($G637,'.Auxiliar'!$G:$G,'.Auxiliar'!E:E,"-",0)</f>
        <v>662.31</v>
      </c>
      <c r="F637" s="55">
        <f>_xlfn.XLOOKUP($G637,'.Auxiliar'!$G:$G,'.Auxiliar'!F:F,"-",0)</f>
        <v>1.2099999999999227</v>
      </c>
      <c r="G637" s="59" t="s">
        <v>1677</v>
      </c>
      <c r="H637" s="108" t="s">
        <v>0</v>
      </c>
      <c r="I637" s="109" t="s">
        <v>0</v>
      </c>
      <c r="J637" s="109" t="s">
        <v>0</v>
      </c>
      <c r="K637" s="109" t="s">
        <v>0</v>
      </c>
      <c r="L637" s="109" t="s">
        <v>0</v>
      </c>
      <c r="M637" s="109" t="s">
        <v>0</v>
      </c>
      <c r="N637" s="110" t="s">
        <v>363</v>
      </c>
      <c r="O637" s="111"/>
      <c r="P637" s="112"/>
      <c r="Q637" s="112"/>
      <c r="R637" s="112"/>
      <c r="S637" s="112"/>
      <c r="T637" s="112"/>
      <c r="U637" s="95" t="str">
        <f t="shared" si="30"/>
        <v/>
      </c>
      <c r="V637" s="112"/>
      <c r="W637" s="112"/>
      <c r="X637" s="107">
        <v>100</v>
      </c>
      <c r="Y637" s="107">
        <f t="shared" si="31"/>
        <v>100</v>
      </c>
      <c r="Z637" s="107">
        <f t="shared" si="32"/>
        <v>0</v>
      </c>
    </row>
    <row r="638" spans="1:26" x14ac:dyDescent="0.25">
      <c r="A638" s="55" t="str">
        <f>_xlfn.XLOOKUP($G638,'.Auxiliar'!$G:$G,'.Auxiliar'!A:A,"-",0)</f>
        <v>RIO/MINAS</v>
      </c>
      <c r="B638" s="55" t="str">
        <f>_xlfn.XLOOKUP($G638,'.Auxiliar'!$G:$G,'.Auxiliar'!B:B,"-",0)</f>
        <v>FX ADICIONAL</v>
      </c>
      <c r="C638" s="55" t="str">
        <f>_xlfn.XLOOKUP($G638,'.Auxiliar'!$G:$G,'.Auxiliar'!C:C,"-",0)</f>
        <v>Crescente</v>
      </c>
      <c r="D638" s="55">
        <f>_xlfn.XLOOKUP($G638,'.Auxiliar'!$G:$G,'.Auxiliar'!D:D,"-",0)</f>
        <v>666</v>
      </c>
      <c r="E638" s="55">
        <f>_xlfn.XLOOKUP($G638,'.Auxiliar'!$G:$G,'.Auxiliar'!E:E,"-",0)</f>
        <v>667.19500000000005</v>
      </c>
      <c r="F638" s="55">
        <f>_xlfn.XLOOKUP($G638,'.Auxiliar'!$G:$G,'.Auxiliar'!F:F,"-",0)</f>
        <v>1.19500000000005</v>
      </c>
      <c r="G638" s="59" t="s">
        <v>1678</v>
      </c>
      <c r="H638" s="108" t="s">
        <v>0</v>
      </c>
      <c r="I638" s="109" t="s">
        <v>0</v>
      </c>
      <c r="J638" s="109" t="s">
        <v>0</v>
      </c>
      <c r="K638" s="109" t="s">
        <v>0</v>
      </c>
      <c r="L638" s="109" t="s">
        <v>0</v>
      </c>
      <c r="M638" s="109" t="s">
        <v>0</v>
      </c>
      <c r="N638" s="110" t="s">
        <v>363</v>
      </c>
      <c r="O638" s="111"/>
      <c r="P638" s="112"/>
      <c r="Q638" s="112"/>
      <c r="R638" s="112"/>
      <c r="S638" s="112"/>
      <c r="T638" s="112"/>
      <c r="U638" s="95" t="str">
        <f t="shared" si="30"/>
        <v/>
      </c>
      <c r="V638" s="112"/>
      <c r="W638" s="112"/>
      <c r="X638" s="107">
        <v>100</v>
      </c>
      <c r="Y638" s="107">
        <f t="shared" si="31"/>
        <v>100</v>
      </c>
      <c r="Z638" s="107">
        <f t="shared" si="32"/>
        <v>0</v>
      </c>
    </row>
    <row r="639" spans="1:26" x14ac:dyDescent="0.25">
      <c r="A639" s="55" t="str">
        <f>_xlfn.XLOOKUP($G639,'.Auxiliar'!$G:$G,'.Auxiliar'!A:A,"-",0)</f>
        <v>RIO/MINAS</v>
      </c>
      <c r="B639" s="55" t="str">
        <f>_xlfn.XLOOKUP($G639,'.Auxiliar'!$G:$G,'.Auxiliar'!B:B,"-",0)</f>
        <v>FX ADICIONAL</v>
      </c>
      <c r="C639" s="55" t="str">
        <f>_xlfn.XLOOKUP($G639,'.Auxiliar'!$G:$G,'.Auxiliar'!C:C,"-",0)</f>
        <v>Crescente</v>
      </c>
      <c r="D639" s="55">
        <f>_xlfn.XLOOKUP($G639,'.Auxiliar'!$G:$G,'.Auxiliar'!D:D,"-",0)</f>
        <v>671</v>
      </c>
      <c r="E639" s="55">
        <f>_xlfn.XLOOKUP($G639,'.Auxiliar'!$G:$G,'.Auxiliar'!E:E,"-",0)</f>
        <v>672.2</v>
      </c>
      <c r="F639" s="55">
        <f>_xlfn.XLOOKUP($G639,'.Auxiliar'!$G:$G,'.Auxiliar'!F:F,"-",0)</f>
        <v>1.2000000000000455</v>
      </c>
      <c r="G639" s="59" t="s">
        <v>1680</v>
      </c>
      <c r="H639" s="108" t="s">
        <v>0</v>
      </c>
      <c r="I639" s="109" t="s">
        <v>0</v>
      </c>
      <c r="J639" s="109" t="s">
        <v>0</v>
      </c>
      <c r="K639" s="109" t="s">
        <v>0</v>
      </c>
      <c r="L639" s="109" t="s">
        <v>0</v>
      </c>
      <c r="M639" s="109" t="s">
        <v>0</v>
      </c>
      <c r="N639" s="110" t="s">
        <v>363</v>
      </c>
      <c r="O639" s="111"/>
      <c r="P639" s="112"/>
      <c r="Q639" s="112"/>
      <c r="R639" s="112"/>
      <c r="S639" s="112"/>
      <c r="T639" s="112"/>
      <c r="U639" s="95" t="str">
        <f t="shared" si="30"/>
        <v/>
      </c>
      <c r="V639" s="112"/>
      <c r="W639" s="112"/>
      <c r="X639" s="107">
        <v>100</v>
      </c>
      <c r="Y639" s="107">
        <f t="shared" si="31"/>
        <v>100</v>
      </c>
      <c r="Z639" s="107">
        <f t="shared" si="32"/>
        <v>0</v>
      </c>
    </row>
    <row r="640" spans="1:26" x14ac:dyDescent="0.25">
      <c r="A640" s="55" t="str">
        <f>_xlfn.XLOOKUP($G640,'.Auxiliar'!$G:$G,'.Auxiliar'!A:A,"-",0)</f>
        <v>RIO/MINAS</v>
      </c>
      <c r="B640" s="55" t="str">
        <f>_xlfn.XLOOKUP($G640,'.Auxiliar'!$G:$G,'.Auxiliar'!B:B,"-",0)</f>
        <v>FX ADICIONAL</v>
      </c>
      <c r="C640" s="55" t="str">
        <f>_xlfn.XLOOKUP($G640,'.Auxiliar'!$G:$G,'.Auxiliar'!C:C,"-",0)</f>
        <v>Crescente</v>
      </c>
      <c r="D640" s="55">
        <f>_xlfn.XLOOKUP($G640,'.Auxiliar'!$G:$G,'.Auxiliar'!D:D,"-",0)</f>
        <v>675.505</v>
      </c>
      <c r="E640" s="55">
        <f>_xlfn.XLOOKUP($G640,'.Auxiliar'!$G:$G,'.Auxiliar'!E:E,"-",0)</f>
        <v>676.8</v>
      </c>
      <c r="F640" s="55">
        <f>_xlfn.XLOOKUP($G640,'.Auxiliar'!$G:$G,'.Auxiliar'!F:F,"-",0)</f>
        <v>1.2949999999999591</v>
      </c>
      <c r="G640" s="59" t="s">
        <v>1682</v>
      </c>
      <c r="H640" s="108" t="s">
        <v>0</v>
      </c>
      <c r="I640" s="109" t="s">
        <v>0</v>
      </c>
      <c r="J640" s="109" t="s">
        <v>0</v>
      </c>
      <c r="K640" s="109" t="s">
        <v>0</v>
      </c>
      <c r="L640" s="109" t="s">
        <v>0</v>
      </c>
      <c r="M640" s="109" t="s">
        <v>0</v>
      </c>
      <c r="N640" s="110" t="s">
        <v>363</v>
      </c>
      <c r="O640" s="111"/>
      <c r="P640" s="112"/>
      <c r="Q640" s="112"/>
      <c r="R640" s="112"/>
      <c r="S640" s="112"/>
      <c r="T640" s="112"/>
      <c r="U640" s="95" t="str">
        <f t="shared" si="30"/>
        <v/>
      </c>
      <c r="V640" s="112"/>
      <c r="W640" s="112"/>
      <c r="X640" s="107">
        <v>100</v>
      </c>
      <c r="Y640" s="107">
        <f t="shared" si="31"/>
        <v>100</v>
      </c>
      <c r="Z640" s="107">
        <f t="shared" si="32"/>
        <v>0</v>
      </c>
    </row>
    <row r="641" spans="1:26" x14ac:dyDescent="0.25">
      <c r="A641" s="55" t="str">
        <f>_xlfn.XLOOKUP($G641,'.Auxiliar'!$G:$G,'.Auxiliar'!A:A,"-",0)</f>
        <v>RIO/MINAS</v>
      </c>
      <c r="B641" s="55" t="str">
        <f>_xlfn.XLOOKUP($G641,'.Auxiliar'!$G:$G,'.Auxiliar'!B:B,"-",0)</f>
        <v>FX ADICIONAL</v>
      </c>
      <c r="C641" s="55" t="str">
        <f>_xlfn.XLOOKUP($G641,'.Auxiliar'!$G:$G,'.Auxiliar'!C:C,"-",0)</f>
        <v>Crescente</v>
      </c>
      <c r="D641" s="55">
        <f>_xlfn.XLOOKUP($G641,'.Auxiliar'!$G:$G,'.Auxiliar'!D:D,"-",0)</f>
        <v>680.2</v>
      </c>
      <c r="E641" s="55">
        <f>_xlfn.XLOOKUP($G641,'.Auxiliar'!$G:$G,'.Auxiliar'!E:E,"-",0)</f>
        <v>681.4</v>
      </c>
      <c r="F641" s="55">
        <f>_xlfn.XLOOKUP($G641,'.Auxiliar'!$G:$G,'.Auxiliar'!F:F,"-",0)</f>
        <v>1.1999999999999318</v>
      </c>
      <c r="G641" s="59" t="s">
        <v>1684</v>
      </c>
      <c r="H641" s="108" t="s">
        <v>0</v>
      </c>
      <c r="I641" s="109" t="s">
        <v>0</v>
      </c>
      <c r="J641" s="109" t="s">
        <v>0</v>
      </c>
      <c r="K641" s="109" t="s">
        <v>0</v>
      </c>
      <c r="L641" s="109" t="s">
        <v>0</v>
      </c>
      <c r="M641" s="109" t="s">
        <v>0</v>
      </c>
      <c r="N641" s="110" t="s">
        <v>363</v>
      </c>
      <c r="O641" s="111"/>
      <c r="P641" s="112"/>
      <c r="Q641" s="112"/>
      <c r="R641" s="112"/>
      <c r="S641" s="112"/>
      <c r="T641" s="112"/>
      <c r="U641" s="95" t="str">
        <f t="shared" si="30"/>
        <v/>
      </c>
      <c r="V641" s="112"/>
      <c r="W641" s="112"/>
      <c r="X641" s="107">
        <v>100</v>
      </c>
      <c r="Y641" s="107">
        <f t="shared" si="31"/>
        <v>100</v>
      </c>
      <c r="Z641" s="107">
        <f t="shared" si="32"/>
        <v>0</v>
      </c>
    </row>
    <row r="642" spans="1:26" x14ac:dyDescent="0.25">
      <c r="A642" s="55" t="str">
        <f>_xlfn.XLOOKUP($G642,'.Auxiliar'!$G:$G,'.Auxiliar'!A:A,"-",0)</f>
        <v>RIO/MINAS</v>
      </c>
      <c r="B642" s="55" t="str">
        <f>_xlfn.XLOOKUP($G642,'.Auxiliar'!$G:$G,'.Auxiliar'!B:B,"-",0)</f>
        <v>FX ADICIONAL</v>
      </c>
      <c r="C642" s="55" t="str">
        <f>_xlfn.XLOOKUP($G642,'.Auxiliar'!$G:$G,'.Auxiliar'!C:C,"-",0)</f>
        <v>Crescente</v>
      </c>
      <c r="D642" s="55">
        <f>_xlfn.XLOOKUP($G642,'.Auxiliar'!$G:$G,'.Auxiliar'!D:D,"-",0)</f>
        <v>684</v>
      </c>
      <c r="E642" s="55">
        <f>_xlfn.XLOOKUP($G642,'.Auxiliar'!$G:$G,'.Auxiliar'!E:E,"-",0)</f>
        <v>685.2</v>
      </c>
      <c r="F642" s="55">
        <f>_xlfn.XLOOKUP($G642,'.Auxiliar'!$G:$G,'.Auxiliar'!F:F,"-",0)</f>
        <v>1.2000000000000455</v>
      </c>
      <c r="G642" s="59" t="s">
        <v>1686</v>
      </c>
      <c r="H642" s="108" t="s">
        <v>0</v>
      </c>
      <c r="I642" s="109" t="s">
        <v>0</v>
      </c>
      <c r="J642" s="109" t="s">
        <v>0</v>
      </c>
      <c r="K642" s="109" t="s">
        <v>0</v>
      </c>
      <c r="L642" s="109" t="s">
        <v>0</v>
      </c>
      <c r="M642" s="109" t="s">
        <v>0</v>
      </c>
      <c r="N642" s="110" t="s">
        <v>363</v>
      </c>
      <c r="O642" s="111"/>
      <c r="P642" s="112"/>
      <c r="Q642" s="112"/>
      <c r="R642" s="112"/>
      <c r="S642" s="112"/>
      <c r="T642" s="112"/>
      <c r="U642" s="95" t="str">
        <f t="shared" si="30"/>
        <v/>
      </c>
      <c r="V642" s="112"/>
      <c r="W642" s="112"/>
      <c r="X642" s="107">
        <v>100</v>
      </c>
      <c r="Y642" s="107">
        <f t="shared" si="31"/>
        <v>100</v>
      </c>
      <c r="Z642" s="107">
        <f t="shared" si="32"/>
        <v>0</v>
      </c>
    </row>
    <row r="643" spans="1:26" x14ac:dyDescent="0.25">
      <c r="A643" s="55" t="str">
        <f>_xlfn.XLOOKUP($G643,'.Auxiliar'!$G:$G,'.Auxiliar'!A:A,"-",0)</f>
        <v>RIO/MINAS</v>
      </c>
      <c r="B643" s="55" t="str">
        <f>_xlfn.XLOOKUP($G643,'.Auxiliar'!$G:$G,'.Auxiliar'!B:B,"-",0)</f>
        <v>FX ADICIONAL</v>
      </c>
      <c r="C643" s="55" t="str">
        <f>_xlfn.XLOOKUP($G643,'.Auxiliar'!$G:$G,'.Auxiliar'!C:C,"-",0)</f>
        <v>Crescente</v>
      </c>
      <c r="D643" s="55">
        <f>_xlfn.XLOOKUP($G643,'.Auxiliar'!$G:$G,'.Auxiliar'!D:D,"-",0)</f>
        <v>695.3</v>
      </c>
      <c r="E643" s="55">
        <f>_xlfn.XLOOKUP($G643,'.Auxiliar'!$G:$G,'.Auxiliar'!E:E,"-",0)</f>
        <v>696.5</v>
      </c>
      <c r="F643" s="55">
        <f>_xlfn.XLOOKUP($G643,'.Auxiliar'!$G:$G,'.Auxiliar'!F:F,"-",0)</f>
        <v>1.2000000000000455</v>
      </c>
      <c r="G643" s="59" t="s">
        <v>1690</v>
      </c>
      <c r="H643" s="108" t="s">
        <v>0</v>
      </c>
      <c r="I643" s="109" t="s">
        <v>0</v>
      </c>
      <c r="J643" s="109" t="s">
        <v>0</v>
      </c>
      <c r="K643" s="109" t="s">
        <v>0</v>
      </c>
      <c r="L643" s="109" t="s">
        <v>0</v>
      </c>
      <c r="M643" s="109" t="s">
        <v>0</v>
      </c>
      <c r="N643" s="110" t="s">
        <v>363</v>
      </c>
      <c r="O643" s="111"/>
      <c r="P643" s="112"/>
      <c r="Q643" s="112"/>
      <c r="R643" s="112"/>
      <c r="S643" s="112"/>
      <c r="T643" s="112"/>
      <c r="U643" s="95" t="str">
        <f t="shared" ref="U643:U706" si="33">IF(SUM(V643:X643)=100,"",100-(P643+R643))</f>
        <v/>
      </c>
      <c r="V643" s="112"/>
      <c r="W643" s="112"/>
      <c r="X643" s="107">
        <v>100</v>
      </c>
      <c r="Y643" s="107">
        <f t="shared" ref="Y643:Y706" si="34">SUM(P643,R643,S643,V643,W643,X643)</f>
        <v>100</v>
      </c>
      <c r="Z643" s="107">
        <f t="shared" ref="Z643:Z706" si="35">SUM(P643,R643,T643)</f>
        <v>0</v>
      </c>
    </row>
    <row r="644" spans="1:26" x14ac:dyDescent="0.25">
      <c r="A644" s="55" t="str">
        <f>_xlfn.XLOOKUP($G644,'.Auxiliar'!$G:$G,'.Auxiliar'!A:A,"-",0)</f>
        <v>RIO/MINAS</v>
      </c>
      <c r="B644" s="55" t="str">
        <f>_xlfn.XLOOKUP($G644,'.Auxiliar'!$G:$G,'.Auxiliar'!B:B,"-",0)</f>
        <v>FX ADICIONAL</v>
      </c>
      <c r="C644" s="55" t="str">
        <f>_xlfn.XLOOKUP($G644,'.Auxiliar'!$G:$G,'.Auxiliar'!C:C,"-",0)</f>
        <v>Crescente</v>
      </c>
      <c r="D644" s="55">
        <f>_xlfn.XLOOKUP($G644,'.Auxiliar'!$G:$G,'.Auxiliar'!D:D,"-",0)</f>
        <v>699.3</v>
      </c>
      <c r="E644" s="55">
        <f>_xlfn.XLOOKUP($G644,'.Auxiliar'!$G:$G,'.Auxiliar'!E:E,"-",0)</f>
        <v>700.5</v>
      </c>
      <c r="F644" s="55">
        <f>_xlfn.XLOOKUP($G644,'.Auxiliar'!$G:$G,'.Auxiliar'!F:F,"-",0)</f>
        <v>1.2000000000000455</v>
      </c>
      <c r="G644" s="59" t="s">
        <v>1691</v>
      </c>
      <c r="H644" s="108" t="s">
        <v>0</v>
      </c>
      <c r="I644" s="109" t="s">
        <v>0</v>
      </c>
      <c r="J644" s="109" t="s">
        <v>0</v>
      </c>
      <c r="K644" s="109" t="s">
        <v>0</v>
      </c>
      <c r="L644" s="109" t="s">
        <v>0</v>
      </c>
      <c r="M644" s="109" t="s">
        <v>0</v>
      </c>
      <c r="N644" s="110" t="s">
        <v>363</v>
      </c>
      <c r="O644" s="111"/>
      <c r="P644" s="112"/>
      <c r="Q644" s="112"/>
      <c r="R644" s="112"/>
      <c r="S644" s="112"/>
      <c r="T644" s="112"/>
      <c r="U644" s="95" t="str">
        <f t="shared" si="33"/>
        <v/>
      </c>
      <c r="V644" s="112"/>
      <c r="W644" s="112"/>
      <c r="X644" s="107">
        <v>100</v>
      </c>
      <c r="Y644" s="107">
        <f t="shared" si="34"/>
        <v>100</v>
      </c>
      <c r="Z644" s="107">
        <f t="shared" si="35"/>
        <v>0</v>
      </c>
    </row>
    <row r="645" spans="1:26" x14ac:dyDescent="0.25">
      <c r="A645" s="55" t="str">
        <f>_xlfn.XLOOKUP($G645,'.Auxiliar'!$G:$G,'.Auxiliar'!A:A,"-",0)</f>
        <v>RIO/MINAS</v>
      </c>
      <c r="B645" s="55" t="str">
        <f>_xlfn.XLOOKUP($G645,'.Auxiliar'!$G:$G,'.Auxiliar'!B:B,"-",0)</f>
        <v>FX ADICIONAL</v>
      </c>
      <c r="C645" s="55" t="str">
        <f>_xlfn.XLOOKUP($G645,'.Auxiliar'!$G:$G,'.Auxiliar'!C:C,"-",0)</f>
        <v>Crescente</v>
      </c>
      <c r="D645" s="55">
        <f>_xlfn.XLOOKUP($G645,'.Auxiliar'!$G:$G,'.Auxiliar'!D:D,"-",0)</f>
        <v>777.3</v>
      </c>
      <c r="E645" s="55">
        <f>_xlfn.XLOOKUP($G645,'.Auxiliar'!$G:$G,'.Auxiliar'!E:E,"-",0)</f>
        <v>778.5</v>
      </c>
      <c r="F645" s="55">
        <f>_xlfn.XLOOKUP($G645,'.Auxiliar'!$G:$G,'.Auxiliar'!F:F,"-",0)</f>
        <v>1.2000000000000455</v>
      </c>
      <c r="G645" s="59" t="s">
        <v>1693</v>
      </c>
      <c r="H645" s="108" t="s">
        <v>0</v>
      </c>
      <c r="I645" s="109" t="s">
        <v>0</v>
      </c>
      <c r="J645" s="109" t="s">
        <v>0</v>
      </c>
      <c r="K645" s="109" t="s">
        <v>0</v>
      </c>
      <c r="L645" s="109" t="s">
        <v>0</v>
      </c>
      <c r="M645" s="109" t="s">
        <v>0</v>
      </c>
      <c r="N645" s="110" t="s">
        <v>363</v>
      </c>
      <c r="O645" s="111"/>
      <c r="P645" s="112"/>
      <c r="Q645" s="112"/>
      <c r="R645" s="112"/>
      <c r="S645" s="112"/>
      <c r="T645" s="112"/>
      <c r="U645" s="95" t="str">
        <f t="shared" si="33"/>
        <v/>
      </c>
      <c r="V645" s="112"/>
      <c r="W645" s="112"/>
      <c r="X645" s="107">
        <v>100</v>
      </c>
      <c r="Y645" s="107">
        <f t="shared" si="34"/>
        <v>100</v>
      </c>
      <c r="Z645" s="107">
        <f t="shared" si="35"/>
        <v>0</v>
      </c>
    </row>
    <row r="646" spans="1:26" x14ac:dyDescent="0.25">
      <c r="A646" s="55" t="str">
        <f>_xlfn.XLOOKUP($G646,'.Auxiliar'!$G:$G,'.Auxiliar'!A:A,"-",0)</f>
        <v>RIO/MINAS</v>
      </c>
      <c r="B646" s="55" t="str">
        <f>_xlfn.XLOOKUP($G646,'.Auxiliar'!$G:$G,'.Auxiliar'!B:B,"-",0)</f>
        <v>FX ADICIONAL</v>
      </c>
      <c r="C646" s="55" t="str">
        <f>_xlfn.XLOOKUP($G646,'.Auxiliar'!$G:$G,'.Auxiliar'!C:C,"-",0)</f>
        <v>Crescente</v>
      </c>
      <c r="D646" s="55">
        <f>_xlfn.XLOOKUP($G646,'.Auxiliar'!$G:$G,'.Auxiliar'!D:D,"-",0)</f>
        <v>781.28499999999997</v>
      </c>
      <c r="E646" s="55">
        <f>_xlfn.XLOOKUP($G646,'.Auxiliar'!$G:$G,'.Auxiliar'!E:E,"-",0)</f>
        <v>782.5</v>
      </c>
      <c r="F646" s="55">
        <f>_xlfn.XLOOKUP($G646,'.Auxiliar'!$G:$G,'.Auxiliar'!F:F,"-",0)</f>
        <v>1.2150000000000318</v>
      </c>
      <c r="G646" s="59" t="s">
        <v>1696</v>
      </c>
      <c r="H646" s="108" t="s">
        <v>0</v>
      </c>
      <c r="I646" s="109" t="s">
        <v>0</v>
      </c>
      <c r="J646" s="109" t="s">
        <v>0</v>
      </c>
      <c r="K646" s="109" t="s">
        <v>0</v>
      </c>
      <c r="L646" s="109" t="s">
        <v>0</v>
      </c>
      <c r="M646" s="109" t="s">
        <v>0</v>
      </c>
      <c r="N646" s="110" t="s">
        <v>363</v>
      </c>
      <c r="O646" s="111"/>
      <c r="P646" s="112"/>
      <c r="Q646" s="112"/>
      <c r="R646" s="112"/>
      <c r="S646" s="112"/>
      <c r="T646" s="112"/>
      <c r="U646" s="95" t="str">
        <f t="shared" si="33"/>
        <v/>
      </c>
      <c r="V646" s="112"/>
      <c r="W646" s="112"/>
      <c r="X646" s="107">
        <v>100</v>
      </c>
      <c r="Y646" s="107">
        <f t="shared" si="34"/>
        <v>100</v>
      </c>
      <c r="Z646" s="107">
        <f t="shared" si="35"/>
        <v>0</v>
      </c>
    </row>
    <row r="647" spans="1:26" x14ac:dyDescent="0.25">
      <c r="A647" s="55" t="str">
        <f>_xlfn.XLOOKUP($G647,'.Auxiliar'!$G:$G,'.Auxiliar'!A:A,"-",0)</f>
        <v>RIO/MINAS</v>
      </c>
      <c r="B647" s="55" t="str">
        <f>_xlfn.XLOOKUP($G647,'.Auxiliar'!$G:$G,'.Auxiliar'!B:B,"-",0)</f>
        <v>FX ADICIONAL</v>
      </c>
      <c r="C647" s="55" t="str">
        <f>_xlfn.XLOOKUP($G647,'.Auxiliar'!$G:$G,'.Auxiliar'!C:C,"-",0)</f>
        <v>Crescente</v>
      </c>
      <c r="D647" s="55">
        <f>_xlfn.XLOOKUP($G647,'.Auxiliar'!$G:$G,'.Auxiliar'!D:D,"-",0)</f>
        <v>783.30499999999995</v>
      </c>
      <c r="E647" s="55">
        <f>_xlfn.XLOOKUP($G647,'.Auxiliar'!$G:$G,'.Auxiliar'!E:E,"-",0)</f>
        <v>784.5</v>
      </c>
      <c r="F647" s="55">
        <f>_xlfn.XLOOKUP($G647,'.Auxiliar'!$G:$G,'.Auxiliar'!F:F,"-",0)</f>
        <v>1.19500000000005</v>
      </c>
      <c r="G647" s="59" t="s">
        <v>1698</v>
      </c>
      <c r="H647" s="108" t="s">
        <v>0</v>
      </c>
      <c r="I647" s="109" t="s">
        <v>0</v>
      </c>
      <c r="J647" s="109" t="s">
        <v>0</v>
      </c>
      <c r="K647" s="109" t="s">
        <v>0</v>
      </c>
      <c r="L647" s="109" t="s">
        <v>0</v>
      </c>
      <c r="M647" s="109" t="s">
        <v>0</v>
      </c>
      <c r="N647" s="110" t="s">
        <v>363</v>
      </c>
      <c r="O647" s="111"/>
      <c r="P647" s="112"/>
      <c r="Q647" s="112"/>
      <c r="R647" s="112"/>
      <c r="S647" s="112"/>
      <c r="T647" s="112"/>
      <c r="U647" s="95" t="str">
        <f t="shared" si="33"/>
        <v/>
      </c>
      <c r="V647" s="112"/>
      <c r="W647" s="112"/>
      <c r="X647" s="107">
        <v>100</v>
      </c>
      <c r="Y647" s="107">
        <f t="shared" si="34"/>
        <v>100</v>
      </c>
      <c r="Z647" s="107">
        <f t="shared" si="35"/>
        <v>0</v>
      </c>
    </row>
    <row r="648" spans="1:26" x14ac:dyDescent="0.25">
      <c r="A648" s="55" t="str">
        <f>_xlfn.XLOOKUP($G648,'.Auxiliar'!$G:$G,'.Auxiliar'!A:A,"-",0)</f>
        <v>RIO/MINAS</v>
      </c>
      <c r="B648" s="55" t="str">
        <f>_xlfn.XLOOKUP($G648,'.Auxiliar'!$G:$G,'.Auxiliar'!B:B,"-",0)</f>
        <v>FX ADICIONAL</v>
      </c>
      <c r="C648" s="55" t="str">
        <f>_xlfn.XLOOKUP($G648,'.Auxiliar'!$G:$G,'.Auxiliar'!C:C,"-",0)</f>
        <v>Crescente</v>
      </c>
      <c r="D648" s="55">
        <f>_xlfn.XLOOKUP($G648,'.Auxiliar'!$G:$G,'.Auxiliar'!D:D,"-",0)</f>
        <v>787.30799999999999</v>
      </c>
      <c r="E648" s="55">
        <f>_xlfn.XLOOKUP($G648,'.Auxiliar'!$G:$G,'.Auxiliar'!E:E,"-",0)</f>
        <v>788.5</v>
      </c>
      <c r="F648" s="55">
        <f>_xlfn.XLOOKUP($G648,'.Auxiliar'!$G:$G,'.Auxiliar'!F:F,"-",0)</f>
        <v>1.1920000000000073</v>
      </c>
      <c r="G648" s="59" t="s">
        <v>1701</v>
      </c>
      <c r="H648" s="108" t="s">
        <v>0</v>
      </c>
      <c r="I648" s="109" t="s">
        <v>0</v>
      </c>
      <c r="J648" s="109" t="s">
        <v>0</v>
      </c>
      <c r="K648" s="109" t="s">
        <v>0</v>
      </c>
      <c r="L648" s="109" t="s">
        <v>0</v>
      </c>
      <c r="M648" s="109" t="s">
        <v>0</v>
      </c>
      <c r="N648" s="110" t="s">
        <v>363</v>
      </c>
      <c r="O648" s="111"/>
      <c r="P648" s="112"/>
      <c r="Q648" s="112"/>
      <c r="R648" s="112"/>
      <c r="S648" s="112"/>
      <c r="T648" s="112"/>
      <c r="U648" s="95" t="str">
        <f t="shared" si="33"/>
        <v/>
      </c>
      <c r="V648" s="112"/>
      <c r="W648" s="112"/>
      <c r="X648" s="107">
        <v>100</v>
      </c>
      <c r="Y648" s="107">
        <f t="shared" si="34"/>
        <v>100</v>
      </c>
      <c r="Z648" s="107">
        <f t="shared" si="35"/>
        <v>0</v>
      </c>
    </row>
    <row r="649" spans="1:26" x14ac:dyDescent="0.25">
      <c r="A649" s="55" t="str">
        <f>_xlfn.XLOOKUP($G649,'.Auxiliar'!$G:$G,'.Auxiliar'!A:A,"-",0)</f>
        <v>RIO/MINAS</v>
      </c>
      <c r="B649" s="55" t="str">
        <f>_xlfn.XLOOKUP($G649,'.Auxiliar'!$G:$G,'.Auxiliar'!B:B,"-",0)</f>
        <v>FX ADICIONAL</v>
      </c>
      <c r="C649" s="55" t="str">
        <f>_xlfn.XLOOKUP($G649,'.Auxiliar'!$G:$G,'.Auxiliar'!C:C,"-",0)</f>
        <v>Crescente</v>
      </c>
      <c r="D649" s="55">
        <f>_xlfn.XLOOKUP($G649,'.Auxiliar'!$G:$G,'.Auxiliar'!D:D,"-",0)</f>
        <v>789.3</v>
      </c>
      <c r="E649" s="55">
        <f>_xlfn.XLOOKUP($G649,'.Auxiliar'!$G:$G,'.Auxiliar'!E:E,"-",0)</f>
        <v>790.5</v>
      </c>
      <c r="F649" s="55">
        <f>_xlfn.XLOOKUP($G649,'.Auxiliar'!$G:$G,'.Auxiliar'!F:F,"-",0)</f>
        <v>1.2000000000000455</v>
      </c>
      <c r="G649" s="59" t="s">
        <v>1703</v>
      </c>
      <c r="H649" s="108" t="s">
        <v>0</v>
      </c>
      <c r="I649" s="109" t="s">
        <v>0</v>
      </c>
      <c r="J649" s="109" t="s">
        <v>0</v>
      </c>
      <c r="K649" s="109" t="s">
        <v>0</v>
      </c>
      <c r="L649" s="109" t="s">
        <v>0</v>
      </c>
      <c r="M649" s="109" t="s">
        <v>0</v>
      </c>
      <c r="N649" s="110" t="s">
        <v>363</v>
      </c>
      <c r="O649" s="111"/>
      <c r="P649" s="112"/>
      <c r="Q649" s="112"/>
      <c r="R649" s="112"/>
      <c r="S649" s="112"/>
      <c r="T649" s="112"/>
      <c r="U649" s="95" t="str">
        <f t="shared" si="33"/>
        <v/>
      </c>
      <c r="V649" s="112"/>
      <c r="W649" s="112"/>
      <c r="X649" s="107">
        <v>100</v>
      </c>
      <c r="Y649" s="107">
        <f t="shared" si="34"/>
        <v>100</v>
      </c>
      <c r="Z649" s="107">
        <f t="shared" si="35"/>
        <v>0</v>
      </c>
    </row>
    <row r="650" spans="1:26" x14ac:dyDescent="0.25">
      <c r="A650" s="55" t="str">
        <f>_xlfn.XLOOKUP($G650,'.Auxiliar'!$G:$G,'.Auxiliar'!A:A,"-",0)</f>
        <v>RIO/MINAS</v>
      </c>
      <c r="B650" s="55" t="str">
        <f>_xlfn.XLOOKUP($G650,'.Auxiliar'!$G:$G,'.Auxiliar'!B:B,"-",0)</f>
        <v>FX ADICIONAL</v>
      </c>
      <c r="C650" s="55" t="str">
        <f>_xlfn.XLOOKUP($G650,'.Auxiliar'!$G:$G,'.Auxiliar'!C:C,"-",0)</f>
        <v>Crescente</v>
      </c>
      <c r="D650" s="55">
        <f>_xlfn.XLOOKUP($G650,'.Auxiliar'!$G:$G,'.Auxiliar'!D:D,"-",0)</f>
        <v>793.5</v>
      </c>
      <c r="E650" s="55">
        <f>_xlfn.XLOOKUP($G650,'.Auxiliar'!$G:$G,'.Auxiliar'!E:E,"-",0)</f>
        <v>794.7</v>
      </c>
      <c r="F650" s="55">
        <f>_xlfn.XLOOKUP($G650,'.Auxiliar'!$G:$G,'.Auxiliar'!F:F,"-",0)</f>
        <v>1.2000000000000455</v>
      </c>
      <c r="G650" s="59" t="s">
        <v>1706</v>
      </c>
      <c r="H650" s="108" t="s">
        <v>0</v>
      </c>
      <c r="I650" s="109" t="s">
        <v>0</v>
      </c>
      <c r="J650" s="109" t="s">
        <v>0</v>
      </c>
      <c r="K650" s="109" t="s">
        <v>0</v>
      </c>
      <c r="L650" s="109" t="s">
        <v>0</v>
      </c>
      <c r="M650" s="109" t="s">
        <v>0</v>
      </c>
      <c r="N650" s="110" t="s">
        <v>363</v>
      </c>
      <c r="O650" s="111"/>
      <c r="P650" s="112"/>
      <c r="Q650" s="112"/>
      <c r="R650" s="112"/>
      <c r="S650" s="112"/>
      <c r="T650" s="112"/>
      <c r="U650" s="95" t="str">
        <f t="shared" si="33"/>
        <v/>
      </c>
      <c r="V650" s="112"/>
      <c r="W650" s="112"/>
      <c r="X650" s="107">
        <v>100</v>
      </c>
      <c r="Y650" s="107">
        <f t="shared" si="34"/>
        <v>100</v>
      </c>
      <c r="Z650" s="107">
        <f t="shared" si="35"/>
        <v>0</v>
      </c>
    </row>
    <row r="651" spans="1:26" x14ac:dyDescent="0.25">
      <c r="A651" s="55" t="str">
        <f>_xlfn.XLOOKUP($G651,'.Auxiliar'!$G:$G,'.Auxiliar'!A:A,"-",0)</f>
        <v>RIO/MINAS</v>
      </c>
      <c r="B651" s="55" t="str">
        <f>_xlfn.XLOOKUP($G651,'.Auxiliar'!$G:$G,'.Auxiliar'!B:B,"-",0)</f>
        <v>FX ADICIONAL</v>
      </c>
      <c r="C651" s="55" t="str">
        <f>_xlfn.XLOOKUP($G651,'.Auxiliar'!$G:$G,'.Auxiliar'!C:C,"-",0)</f>
        <v>Crescente</v>
      </c>
      <c r="D651" s="55">
        <f>_xlfn.XLOOKUP($G651,'.Auxiliar'!$G:$G,'.Auxiliar'!D:D,"-",0)</f>
        <v>796.5</v>
      </c>
      <c r="E651" s="55">
        <f>_xlfn.XLOOKUP($G651,'.Auxiliar'!$G:$G,'.Auxiliar'!E:E,"-",0)</f>
        <v>797.7</v>
      </c>
      <c r="F651" s="55">
        <f>_xlfn.XLOOKUP($G651,'.Auxiliar'!$G:$G,'.Auxiliar'!F:F,"-",0)</f>
        <v>1.2000000000000455</v>
      </c>
      <c r="G651" s="59" t="s">
        <v>1707</v>
      </c>
      <c r="H651" s="108" t="s">
        <v>0</v>
      </c>
      <c r="I651" s="109" t="s">
        <v>0</v>
      </c>
      <c r="J651" s="109" t="s">
        <v>0</v>
      </c>
      <c r="K651" s="109" t="s">
        <v>0</v>
      </c>
      <c r="L651" s="109" t="s">
        <v>0</v>
      </c>
      <c r="M651" s="109" t="s">
        <v>0</v>
      </c>
      <c r="N651" s="110" t="s">
        <v>363</v>
      </c>
      <c r="O651" s="111"/>
      <c r="P651" s="112"/>
      <c r="Q651" s="112"/>
      <c r="R651" s="112"/>
      <c r="S651" s="112"/>
      <c r="T651" s="112"/>
      <c r="U651" s="95" t="str">
        <f t="shared" si="33"/>
        <v/>
      </c>
      <c r="V651" s="112"/>
      <c r="W651" s="112"/>
      <c r="X651" s="107">
        <v>100</v>
      </c>
      <c r="Y651" s="107">
        <f t="shared" si="34"/>
        <v>100</v>
      </c>
      <c r="Z651" s="107">
        <f t="shared" si="35"/>
        <v>0</v>
      </c>
    </row>
    <row r="652" spans="1:26" x14ac:dyDescent="0.25">
      <c r="A652" s="55" t="str">
        <f>_xlfn.XLOOKUP($G652,'.Auxiliar'!$G:$G,'.Auxiliar'!A:A,"-",0)</f>
        <v>RIO/MINAS</v>
      </c>
      <c r="B652" s="55" t="str">
        <f>_xlfn.XLOOKUP($G652,'.Auxiliar'!$G:$G,'.Auxiliar'!B:B,"-",0)</f>
        <v>FX ADICIONAL</v>
      </c>
      <c r="C652" s="55" t="str">
        <f>_xlfn.XLOOKUP($G652,'.Auxiliar'!$G:$G,'.Auxiliar'!C:C,"-",0)</f>
        <v>Crescente</v>
      </c>
      <c r="D652" s="55">
        <f>_xlfn.XLOOKUP($G652,'.Auxiliar'!$G:$G,'.Auxiliar'!D:D,"-",0)</f>
        <v>800.5</v>
      </c>
      <c r="E652" s="55">
        <f>_xlfn.XLOOKUP($G652,'.Auxiliar'!$G:$G,'.Auxiliar'!E:E,"-",0)</f>
        <v>801.7</v>
      </c>
      <c r="F652" s="55">
        <f>_xlfn.XLOOKUP($G652,'.Auxiliar'!$G:$G,'.Auxiliar'!F:F,"-",0)</f>
        <v>1.2000000000000455</v>
      </c>
      <c r="G652" s="59" t="s">
        <v>1710</v>
      </c>
      <c r="H652" s="108" t="s">
        <v>0</v>
      </c>
      <c r="I652" s="109" t="s">
        <v>0</v>
      </c>
      <c r="J652" s="109" t="s">
        <v>0</v>
      </c>
      <c r="K652" s="109" t="s">
        <v>0</v>
      </c>
      <c r="L652" s="109" t="s">
        <v>0</v>
      </c>
      <c r="M652" s="109" t="s">
        <v>0</v>
      </c>
      <c r="N652" s="110" t="s">
        <v>363</v>
      </c>
      <c r="O652" s="111"/>
      <c r="P652" s="112"/>
      <c r="Q652" s="112"/>
      <c r="R652" s="112"/>
      <c r="S652" s="112"/>
      <c r="T652" s="112"/>
      <c r="U652" s="95" t="str">
        <f t="shared" si="33"/>
        <v/>
      </c>
      <c r="V652" s="112"/>
      <c r="W652" s="112"/>
      <c r="X652" s="107">
        <v>100</v>
      </c>
      <c r="Y652" s="107">
        <f t="shared" si="34"/>
        <v>100</v>
      </c>
      <c r="Z652" s="107">
        <f t="shared" si="35"/>
        <v>0</v>
      </c>
    </row>
    <row r="653" spans="1:26" x14ac:dyDescent="0.25">
      <c r="A653" s="55" t="str">
        <f>_xlfn.XLOOKUP($G653,'.Auxiliar'!$G:$G,'.Auxiliar'!A:A,"-",0)</f>
        <v>RIO/MINAS</v>
      </c>
      <c r="B653" s="55" t="str">
        <f>_xlfn.XLOOKUP($G653,'.Auxiliar'!$G:$G,'.Auxiliar'!B:B,"-",0)</f>
        <v>FX ADICIONAL</v>
      </c>
      <c r="C653" s="55" t="str">
        <f>_xlfn.XLOOKUP($G653,'.Auxiliar'!$G:$G,'.Auxiliar'!C:C,"-",0)</f>
        <v>Crescente</v>
      </c>
      <c r="D653" s="55">
        <f>_xlfn.XLOOKUP($G653,'.Auxiliar'!$G:$G,'.Auxiliar'!D:D,"-",0)</f>
        <v>802.5</v>
      </c>
      <c r="E653" s="55">
        <f>_xlfn.XLOOKUP($G653,'.Auxiliar'!$G:$G,'.Auxiliar'!E:E,"-",0)</f>
        <v>803.7</v>
      </c>
      <c r="F653" s="55">
        <f>_xlfn.XLOOKUP($G653,'.Auxiliar'!$G:$G,'.Auxiliar'!F:F,"-",0)</f>
        <v>1.2000000000000455</v>
      </c>
      <c r="G653" s="59" t="s">
        <v>1712</v>
      </c>
      <c r="H653" s="108" t="s">
        <v>0</v>
      </c>
      <c r="I653" s="109" t="s">
        <v>0</v>
      </c>
      <c r="J653" s="109" t="s">
        <v>0</v>
      </c>
      <c r="K653" s="109" t="s">
        <v>0</v>
      </c>
      <c r="L653" s="109" t="s">
        <v>0</v>
      </c>
      <c r="M653" s="109" t="s">
        <v>0</v>
      </c>
      <c r="N653" s="110" t="s">
        <v>363</v>
      </c>
      <c r="O653" s="111"/>
      <c r="P653" s="112"/>
      <c r="Q653" s="112"/>
      <c r="R653" s="112"/>
      <c r="S653" s="112"/>
      <c r="T653" s="112"/>
      <c r="U653" s="95" t="str">
        <f t="shared" si="33"/>
        <v/>
      </c>
      <c r="V653" s="112"/>
      <c r="W653" s="112"/>
      <c r="X653" s="107">
        <v>100</v>
      </c>
      <c r="Y653" s="107">
        <f t="shared" si="34"/>
        <v>100</v>
      </c>
      <c r="Z653" s="107">
        <f t="shared" si="35"/>
        <v>0</v>
      </c>
    </row>
    <row r="654" spans="1:26" x14ac:dyDescent="0.25">
      <c r="A654" s="55" t="str">
        <f>_xlfn.XLOOKUP($G654,'.Auxiliar'!$G:$G,'.Auxiliar'!A:A,"-",0)</f>
        <v>RIO/MINAS</v>
      </c>
      <c r="B654" s="55" t="str">
        <f>_xlfn.XLOOKUP($G654,'.Auxiliar'!$G:$G,'.Auxiliar'!B:B,"-",0)</f>
        <v>FX ADICIONAL</v>
      </c>
      <c r="C654" s="55" t="str">
        <f>_xlfn.XLOOKUP($G654,'.Auxiliar'!$G:$G,'.Auxiliar'!C:C,"-",0)</f>
        <v>Crescente</v>
      </c>
      <c r="D654" s="55">
        <f>_xlfn.XLOOKUP($G654,'.Auxiliar'!$G:$G,'.Auxiliar'!D:D,"-",0)</f>
        <v>804.5</v>
      </c>
      <c r="E654" s="55">
        <f>_xlfn.XLOOKUP($G654,'.Auxiliar'!$G:$G,'.Auxiliar'!E:E,"-",0)</f>
        <v>805.7</v>
      </c>
      <c r="F654" s="55">
        <f>_xlfn.XLOOKUP($G654,'.Auxiliar'!$G:$G,'.Auxiliar'!F:F,"-",0)</f>
        <v>1.2000000000000455</v>
      </c>
      <c r="G654" s="59" t="s">
        <v>1714</v>
      </c>
      <c r="H654" s="108" t="s">
        <v>0</v>
      </c>
      <c r="I654" s="109" t="s">
        <v>0</v>
      </c>
      <c r="J654" s="109" t="s">
        <v>0</v>
      </c>
      <c r="K654" s="109" t="s">
        <v>0</v>
      </c>
      <c r="L654" s="109" t="s">
        <v>0</v>
      </c>
      <c r="M654" s="109" t="s">
        <v>0</v>
      </c>
      <c r="N654" s="110" t="s">
        <v>363</v>
      </c>
      <c r="O654" s="111"/>
      <c r="P654" s="112"/>
      <c r="Q654" s="112"/>
      <c r="R654" s="112"/>
      <c r="S654" s="112"/>
      <c r="T654" s="112"/>
      <c r="U654" s="95" t="str">
        <f t="shared" si="33"/>
        <v/>
      </c>
      <c r="V654" s="112"/>
      <c r="W654" s="112"/>
      <c r="X654" s="107">
        <v>100</v>
      </c>
      <c r="Y654" s="107">
        <f t="shared" si="34"/>
        <v>100</v>
      </c>
      <c r="Z654" s="107">
        <f t="shared" si="35"/>
        <v>0</v>
      </c>
    </row>
    <row r="655" spans="1:26" x14ac:dyDescent="0.25">
      <c r="A655" s="55" t="str">
        <f>_xlfn.XLOOKUP($G655,'.Auxiliar'!$G:$G,'.Auxiliar'!A:A,"-",0)</f>
        <v>RIO/MINAS</v>
      </c>
      <c r="B655" s="55" t="str">
        <f>_xlfn.XLOOKUP($G655,'.Auxiliar'!$G:$G,'.Auxiliar'!B:B,"-",0)</f>
        <v>FX ADICIONAL</v>
      </c>
      <c r="C655" s="55" t="str">
        <f>_xlfn.XLOOKUP($G655,'.Auxiliar'!$G:$G,'.Auxiliar'!C:C,"-",0)</f>
        <v>Crescente</v>
      </c>
      <c r="D655" s="55">
        <f>_xlfn.XLOOKUP($G655,'.Auxiliar'!$G:$G,'.Auxiliar'!D:D,"-",0)</f>
        <v>806.5</v>
      </c>
      <c r="E655" s="55">
        <f>_xlfn.XLOOKUP($G655,'.Auxiliar'!$G:$G,'.Auxiliar'!E:E,"-",0)</f>
        <v>807.7</v>
      </c>
      <c r="F655" s="55">
        <f>_xlfn.XLOOKUP($G655,'.Auxiliar'!$G:$G,'.Auxiliar'!F:F,"-",0)</f>
        <v>1.2000000000000455</v>
      </c>
      <c r="G655" s="59" t="s">
        <v>1715</v>
      </c>
      <c r="H655" s="108" t="s">
        <v>0</v>
      </c>
      <c r="I655" s="109" t="s">
        <v>0</v>
      </c>
      <c r="J655" s="109" t="s">
        <v>0</v>
      </c>
      <c r="K655" s="109" t="s">
        <v>0</v>
      </c>
      <c r="L655" s="109" t="s">
        <v>0</v>
      </c>
      <c r="M655" s="109" t="s">
        <v>0</v>
      </c>
      <c r="N655" s="110" t="s">
        <v>363</v>
      </c>
      <c r="O655" s="111"/>
      <c r="P655" s="112"/>
      <c r="Q655" s="112"/>
      <c r="R655" s="112"/>
      <c r="S655" s="112"/>
      <c r="T655" s="112"/>
      <c r="U655" s="95" t="str">
        <f t="shared" si="33"/>
        <v/>
      </c>
      <c r="V655" s="112"/>
      <c r="W655" s="112"/>
      <c r="X655" s="107">
        <v>100</v>
      </c>
      <c r="Y655" s="107">
        <f t="shared" si="34"/>
        <v>100</v>
      </c>
      <c r="Z655" s="107">
        <f t="shared" si="35"/>
        <v>0</v>
      </c>
    </row>
    <row r="656" spans="1:26" x14ac:dyDescent="0.25">
      <c r="A656" s="55" t="str">
        <f>_xlfn.XLOOKUP($G656,'.Auxiliar'!$G:$G,'.Auxiliar'!A:A,"-",0)</f>
        <v>RIO/MINAS</v>
      </c>
      <c r="B656" s="55" t="str">
        <f>_xlfn.XLOOKUP($G656,'.Auxiliar'!$G:$G,'.Auxiliar'!B:B,"-",0)</f>
        <v>FX ADICIONAL</v>
      </c>
      <c r="C656" s="55" t="str">
        <f>_xlfn.XLOOKUP($G656,'.Auxiliar'!$G:$G,'.Auxiliar'!C:C,"-",0)</f>
        <v>Crescente</v>
      </c>
      <c r="D656" s="55">
        <f>_xlfn.XLOOKUP($G656,'.Auxiliar'!$G:$G,'.Auxiliar'!D:D,"-",0)</f>
        <v>808.9</v>
      </c>
      <c r="E656" s="55">
        <f>_xlfn.XLOOKUP($G656,'.Auxiliar'!$G:$G,'.Auxiliar'!E:E,"-",0)</f>
        <v>810.1</v>
      </c>
      <c r="F656" s="55">
        <f>_xlfn.XLOOKUP($G656,'.Auxiliar'!$G:$G,'.Auxiliar'!F:F,"-",0)</f>
        <v>1.2000000000000455</v>
      </c>
      <c r="G656" s="59" t="s">
        <v>1718</v>
      </c>
      <c r="H656" s="108" t="s">
        <v>0</v>
      </c>
      <c r="I656" s="109" t="s">
        <v>0</v>
      </c>
      <c r="J656" s="109" t="s">
        <v>0</v>
      </c>
      <c r="K656" s="109" t="s">
        <v>0</v>
      </c>
      <c r="L656" s="109" t="s">
        <v>0</v>
      </c>
      <c r="M656" s="109" t="s">
        <v>0</v>
      </c>
      <c r="N656" s="110" t="s">
        <v>363</v>
      </c>
      <c r="O656" s="111"/>
      <c r="P656" s="112"/>
      <c r="Q656" s="112"/>
      <c r="R656" s="112"/>
      <c r="S656" s="112"/>
      <c r="T656" s="112"/>
      <c r="U656" s="95" t="str">
        <f t="shared" si="33"/>
        <v/>
      </c>
      <c r="V656" s="112"/>
      <c r="W656" s="112"/>
      <c r="X656" s="107">
        <v>100</v>
      </c>
      <c r="Y656" s="107">
        <f t="shared" si="34"/>
        <v>100</v>
      </c>
      <c r="Z656" s="107">
        <f t="shared" si="35"/>
        <v>0</v>
      </c>
    </row>
    <row r="657" spans="1:26" x14ac:dyDescent="0.25">
      <c r="A657" s="55" t="str">
        <f>_xlfn.XLOOKUP($G657,'.Auxiliar'!$G:$G,'.Auxiliar'!A:A,"-",0)</f>
        <v>RIO/MINAS</v>
      </c>
      <c r="B657" s="55" t="str">
        <f>_xlfn.XLOOKUP($G657,'.Auxiliar'!$G:$G,'.Auxiliar'!B:B,"-",0)</f>
        <v>FX ADICIONAL</v>
      </c>
      <c r="C657" s="55" t="str">
        <f>_xlfn.XLOOKUP($G657,'.Auxiliar'!$G:$G,'.Auxiliar'!C:C,"-",0)</f>
        <v>Crescente</v>
      </c>
      <c r="D657" s="55">
        <f>_xlfn.XLOOKUP($G657,'.Auxiliar'!$G:$G,'.Auxiliar'!D:D,"-",0)</f>
        <v>811.1</v>
      </c>
      <c r="E657" s="55">
        <f>_xlfn.XLOOKUP($G657,'.Auxiliar'!$G:$G,'.Auxiliar'!E:E,"-",0)</f>
        <v>812.3</v>
      </c>
      <c r="F657" s="55">
        <f>_xlfn.XLOOKUP($G657,'.Auxiliar'!$G:$G,'.Auxiliar'!F:F,"-",0)</f>
        <v>1.1999999999999318</v>
      </c>
      <c r="G657" s="59" t="s">
        <v>1720</v>
      </c>
      <c r="H657" s="108" t="s">
        <v>0</v>
      </c>
      <c r="I657" s="109" t="s">
        <v>0</v>
      </c>
      <c r="J657" s="109" t="s">
        <v>0</v>
      </c>
      <c r="K657" s="109" t="s">
        <v>0</v>
      </c>
      <c r="L657" s="109" t="s">
        <v>0</v>
      </c>
      <c r="M657" s="109" t="s">
        <v>0</v>
      </c>
      <c r="N657" s="110" t="s">
        <v>363</v>
      </c>
      <c r="O657" s="111"/>
      <c r="P657" s="112"/>
      <c r="Q657" s="112"/>
      <c r="R657" s="112"/>
      <c r="S657" s="112"/>
      <c r="T657" s="112"/>
      <c r="U657" s="95" t="str">
        <f t="shared" si="33"/>
        <v/>
      </c>
      <c r="V657" s="112"/>
      <c r="W657" s="112"/>
      <c r="X657" s="107">
        <v>100</v>
      </c>
      <c r="Y657" s="107">
        <f t="shared" si="34"/>
        <v>100</v>
      </c>
      <c r="Z657" s="107">
        <f t="shared" si="35"/>
        <v>0</v>
      </c>
    </row>
    <row r="658" spans="1:26" x14ac:dyDescent="0.25">
      <c r="A658" s="55" t="str">
        <f>_xlfn.XLOOKUP($G658,'.Auxiliar'!$G:$G,'.Auxiliar'!A:A,"-",0)</f>
        <v>RIO/MINAS</v>
      </c>
      <c r="B658" s="55" t="str">
        <f>_xlfn.XLOOKUP($G658,'.Auxiliar'!$G:$G,'.Auxiliar'!B:B,"-",0)</f>
        <v>FX ADICIONAL</v>
      </c>
      <c r="C658" s="55" t="str">
        <f>_xlfn.XLOOKUP($G658,'.Auxiliar'!$G:$G,'.Auxiliar'!C:C,"-",0)</f>
        <v>Crescente</v>
      </c>
      <c r="D658" s="55">
        <f>_xlfn.XLOOKUP($G658,'.Auxiliar'!$G:$G,'.Auxiliar'!D:D,"-",0)</f>
        <v>94</v>
      </c>
      <c r="E658" s="55">
        <f>_xlfn.XLOOKUP($G658,'.Auxiliar'!$G:$G,'.Auxiliar'!E:E,"-",0)</f>
        <v>95</v>
      </c>
      <c r="F658" s="55">
        <f>_xlfn.XLOOKUP($G658,'.Auxiliar'!$G:$G,'.Auxiliar'!F:F,"-",0)</f>
        <v>1</v>
      </c>
      <c r="G658" s="59" t="s">
        <v>1603</v>
      </c>
      <c r="H658" s="108" t="s">
        <v>0</v>
      </c>
      <c r="I658" s="109" t="s">
        <v>0</v>
      </c>
      <c r="J658" s="109" t="s">
        <v>0</v>
      </c>
      <c r="K658" s="109" t="s">
        <v>0</v>
      </c>
      <c r="L658" s="109" t="s">
        <v>0</v>
      </c>
      <c r="M658" s="109" t="s">
        <v>0</v>
      </c>
      <c r="N658" s="110" t="s">
        <v>363</v>
      </c>
      <c r="O658" s="111"/>
      <c r="P658" s="112"/>
      <c r="Q658" s="112"/>
      <c r="R658" s="112"/>
      <c r="S658" s="112"/>
      <c r="T658" s="112"/>
      <c r="U658" s="95" t="str">
        <f t="shared" si="33"/>
        <v/>
      </c>
      <c r="V658" s="112"/>
      <c r="W658" s="112"/>
      <c r="X658" s="107">
        <v>100</v>
      </c>
      <c r="Y658" s="107">
        <f t="shared" si="34"/>
        <v>100</v>
      </c>
      <c r="Z658" s="107">
        <f t="shared" si="35"/>
        <v>0</v>
      </c>
    </row>
    <row r="659" spans="1:26" x14ac:dyDescent="0.25">
      <c r="A659" s="55" t="str">
        <f>_xlfn.XLOOKUP($G659,'.Auxiliar'!$G:$G,'.Auxiliar'!A:A,"-",0)</f>
        <v>RIO/MINAS</v>
      </c>
      <c r="B659" s="55" t="str">
        <f>_xlfn.XLOOKUP($G659,'.Auxiliar'!$G:$G,'.Auxiliar'!B:B,"-",0)</f>
        <v>FX ADICIONAL</v>
      </c>
      <c r="C659" s="55" t="str">
        <f>_xlfn.XLOOKUP($G659,'.Auxiliar'!$G:$G,'.Auxiliar'!C:C,"-",0)</f>
        <v>Crescente</v>
      </c>
      <c r="D659" s="55">
        <f>_xlfn.XLOOKUP($G659,'.Auxiliar'!$G:$G,'.Auxiliar'!D:D,"-",0)</f>
        <v>97.563000000000002</v>
      </c>
      <c r="E659" s="55">
        <f>_xlfn.XLOOKUP($G659,'.Auxiliar'!$G:$G,'.Auxiliar'!E:E,"-",0)</f>
        <v>99.025999999999996</v>
      </c>
      <c r="F659" s="55">
        <f>_xlfn.XLOOKUP($G659,'.Auxiliar'!$G:$G,'.Auxiliar'!F:F,"-",0)</f>
        <v>1.4629999999999939</v>
      </c>
      <c r="G659" s="59" t="s">
        <v>1604</v>
      </c>
      <c r="H659" s="108" t="s">
        <v>0</v>
      </c>
      <c r="I659" s="109" t="s">
        <v>0</v>
      </c>
      <c r="J659" s="109" t="s">
        <v>0</v>
      </c>
      <c r="K659" s="109" t="s">
        <v>0</v>
      </c>
      <c r="L659" s="109" t="s">
        <v>0</v>
      </c>
      <c r="M659" s="109" t="s">
        <v>0</v>
      </c>
      <c r="N659" s="110" t="s">
        <v>363</v>
      </c>
      <c r="O659" s="111"/>
      <c r="P659" s="112"/>
      <c r="Q659" s="112"/>
      <c r="R659" s="112"/>
      <c r="S659" s="112"/>
      <c r="T659" s="112"/>
      <c r="U659" s="95" t="str">
        <f t="shared" si="33"/>
        <v/>
      </c>
      <c r="V659" s="112"/>
      <c r="W659" s="112"/>
      <c r="X659" s="107">
        <v>100</v>
      </c>
      <c r="Y659" s="107">
        <f t="shared" si="34"/>
        <v>100</v>
      </c>
      <c r="Z659" s="107">
        <f t="shared" si="35"/>
        <v>0</v>
      </c>
    </row>
    <row r="660" spans="1:26" x14ac:dyDescent="0.25">
      <c r="A660" s="55" t="str">
        <f>_xlfn.XLOOKUP($G660,'.Auxiliar'!$G:$G,'.Auxiliar'!A:A,"-",0)</f>
        <v>RIO/MINAS</v>
      </c>
      <c r="B660" s="55" t="str">
        <f>_xlfn.XLOOKUP($G660,'.Auxiliar'!$G:$G,'.Auxiliar'!B:B,"-",0)</f>
        <v>FX ADICIONAL</v>
      </c>
      <c r="C660" s="55" t="str">
        <f>_xlfn.XLOOKUP($G660,'.Auxiliar'!$G:$G,'.Auxiliar'!C:C,"-",0)</f>
        <v>Decrescente</v>
      </c>
      <c r="D660" s="55">
        <f>_xlfn.XLOOKUP($G660,'.Auxiliar'!$G:$G,'.Auxiliar'!D:D,"-",0)</f>
        <v>101.006</v>
      </c>
      <c r="E660" s="55">
        <f>_xlfn.XLOOKUP($G660,'.Auxiliar'!$G:$G,'.Auxiliar'!E:E,"-",0)</f>
        <v>101.35</v>
      </c>
      <c r="F660" s="55">
        <f>_xlfn.XLOOKUP($G660,'.Auxiliar'!$G:$G,'.Auxiliar'!F:F,"-",0)</f>
        <v>0.34399999999999409</v>
      </c>
      <c r="G660" s="59" t="s">
        <v>1606</v>
      </c>
      <c r="H660" s="108" t="s">
        <v>0</v>
      </c>
      <c r="I660" s="109" t="s">
        <v>0</v>
      </c>
      <c r="J660" s="109" t="s">
        <v>0</v>
      </c>
      <c r="K660" s="109" t="s">
        <v>0</v>
      </c>
      <c r="L660" s="109" t="s">
        <v>0</v>
      </c>
      <c r="M660" s="109" t="s">
        <v>0</v>
      </c>
      <c r="N660" s="110" t="s">
        <v>363</v>
      </c>
      <c r="O660" s="111"/>
      <c r="P660" s="112"/>
      <c r="Q660" s="112"/>
      <c r="R660" s="112"/>
      <c r="S660" s="112"/>
      <c r="T660" s="112"/>
      <c r="U660" s="95" t="str">
        <f t="shared" si="33"/>
        <v/>
      </c>
      <c r="V660" s="112"/>
      <c r="W660" s="112"/>
      <c r="X660" s="107">
        <v>100</v>
      </c>
      <c r="Y660" s="107">
        <f t="shared" si="34"/>
        <v>100</v>
      </c>
      <c r="Z660" s="107">
        <f t="shared" si="35"/>
        <v>0</v>
      </c>
    </row>
    <row r="661" spans="1:26" x14ac:dyDescent="0.25">
      <c r="A661" s="55" t="str">
        <f>_xlfn.XLOOKUP($G661,'.Auxiliar'!$G:$G,'.Auxiliar'!A:A,"-",0)</f>
        <v>RIO/MINAS</v>
      </c>
      <c r="B661" s="55" t="str">
        <f>_xlfn.XLOOKUP($G661,'.Auxiliar'!$G:$G,'.Auxiliar'!B:B,"-",0)</f>
        <v>FX ADICIONAL</v>
      </c>
      <c r="C661" s="55" t="str">
        <f>_xlfn.XLOOKUP($G661,'.Auxiliar'!$G:$G,'.Auxiliar'!C:C,"-",0)</f>
        <v>Decrescente</v>
      </c>
      <c r="D661" s="55">
        <f>_xlfn.XLOOKUP($G661,'.Auxiliar'!$G:$G,'.Auxiliar'!D:D,"-",0)</f>
        <v>124.4</v>
      </c>
      <c r="E661" s="55">
        <f>_xlfn.XLOOKUP($G661,'.Auxiliar'!$G:$G,'.Auxiliar'!E:E,"-",0)</f>
        <v>134.4</v>
      </c>
      <c r="F661" s="55">
        <f>_xlfn.XLOOKUP($G661,'.Auxiliar'!$G:$G,'.Auxiliar'!F:F,"-",0)</f>
        <v>10</v>
      </c>
      <c r="G661" s="59" t="s">
        <v>1608</v>
      </c>
      <c r="H661" s="108" t="s">
        <v>0</v>
      </c>
      <c r="I661" s="109" t="s">
        <v>0</v>
      </c>
      <c r="J661" s="109" t="s">
        <v>0</v>
      </c>
      <c r="K661" s="109" t="s">
        <v>0</v>
      </c>
      <c r="L661" s="109" t="s">
        <v>0</v>
      </c>
      <c r="M661" s="109" t="s">
        <v>0</v>
      </c>
      <c r="N661" s="110" t="s">
        <v>363</v>
      </c>
      <c r="O661" s="111"/>
      <c r="P661" s="112"/>
      <c r="Q661" s="112"/>
      <c r="R661" s="112"/>
      <c r="S661" s="112"/>
      <c r="T661" s="112"/>
      <c r="U661" s="95" t="str">
        <f t="shared" si="33"/>
        <v/>
      </c>
      <c r="V661" s="112"/>
      <c r="W661" s="112"/>
      <c r="X661" s="107">
        <v>100</v>
      </c>
      <c r="Y661" s="107">
        <f t="shared" si="34"/>
        <v>100</v>
      </c>
      <c r="Z661" s="107">
        <f t="shared" si="35"/>
        <v>0</v>
      </c>
    </row>
    <row r="662" spans="1:26" x14ac:dyDescent="0.25">
      <c r="A662" s="55" t="str">
        <f>_xlfn.XLOOKUP($G662,'.Auxiliar'!$G:$G,'.Auxiliar'!A:A,"-",0)</f>
        <v>RIO/MINAS</v>
      </c>
      <c r="B662" s="55" t="str">
        <f>_xlfn.XLOOKUP($G662,'.Auxiliar'!$G:$G,'.Auxiliar'!B:B,"-",0)</f>
        <v>FX ADICIONAL</v>
      </c>
      <c r="C662" s="55" t="str">
        <f>_xlfn.XLOOKUP($G662,'.Auxiliar'!$G:$G,'.Auxiliar'!C:C,"-",0)</f>
        <v>Decrescente</v>
      </c>
      <c r="D662" s="55">
        <f>_xlfn.XLOOKUP($G662,'.Auxiliar'!$G:$G,'.Auxiliar'!D:D,"-",0)</f>
        <v>134.4</v>
      </c>
      <c r="E662" s="55">
        <f>_xlfn.XLOOKUP($G662,'.Auxiliar'!$G:$G,'.Auxiliar'!E:E,"-",0)</f>
        <v>139</v>
      </c>
      <c r="F662" s="55">
        <f>_xlfn.XLOOKUP($G662,'.Auxiliar'!$G:$G,'.Auxiliar'!F:F,"-",0)</f>
        <v>4.5999999999999943</v>
      </c>
      <c r="G662" s="59" t="s">
        <v>1609</v>
      </c>
      <c r="H662" s="108" t="s">
        <v>0</v>
      </c>
      <c r="I662" s="109" t="s">
        <v>0</v>
      </c>
      <c r="J662" s="109" t="s">
        <v>0</v>
      </c>
      <c r="K662" s="109" t="s">
        <v>0</v>
      </c>
      <c r="L662" s="109" t="s">
        <v>0</v>
      </c>
      <c r="M662" s="109" t="s">
        <v>0</v>
      </c>
      <c r="N662" s="110" t="s">
        <v>363</v>
      </c>
      <c r="O662" s="111"/>
      <c r="P662" s="112"/>
      <c r="Q662" s="112"/>
      <c r="R662" s="112"/>
      <c r="S662" s="112"/>
      <c r="T662" s="112"/>
      <c r="U662" s="95" t="str">
        <f t="shared" si="33"/>
        <v/>
      </c>
      <c r="V662" s="112"/>
      <c r="W662" s="112"/>
      <c r="X662" s="107">
        <v>100</v>
      </c>
      <c r="Y662" s="107">
        <f t="shared" si="34"/>
        <v>100</v>
      </c>
      <c r="Z662" s="107">
        <f t="shared" si="35"/>
        <v>0</v>
      </c>
    </row>
    <row r="663" spans="1:26" x14ac:dyDescent="0.25">
      <c r="A663" s="55" t="str">
        <f>_xlfn.XLOOKUP($G663,'.Auxiliar'!$G:$G,'.Auxiliar'!A:A,"-",0)</f>
        <v>RIO/MINAS</v>
      </c>
      <c r="B663" s="55" t="str">
        <f>_xlfn.XLOOKUP($G663,'.Auxiliar'!$G:$G,'.Auxiliar'!B:B,"-",0)</f>
        <v>FX ADICIONAL</v>
      </c>
      <c r="C663" s="55" t="str">
        <f>_xlfn.XLOOKUP($G663,'.Auxiliar'!$G:$G,'.Auxiliar'!C:C,"-",0)</f>
        <v>Decrescente</v>
      </c>
      <c r="D663" s="55">
        <f>_xlfn.XLOOKUP($G663,'.Auxiliar'!$G:$G,'.Auxiliar'!D:D,"-",0)</f>
        <v>139</v>
      </c>
      <c r="E663" s="55">
        <f>_xlfn.XLOOKUP($G663,'.Auxiliar'!$G:$G,'.Auxiliar'!E:E,"-",0)</f>
        <v>145.4</v>
      </c>
      <c r="F663" s="55">
        <f>_xlfn.XLOOKUP($G663,'.Auxiliar'!$G:$G,'.Auxiliar'!F:F,"-",0)</f>
        <v>6.4000000000000057</v>
      </c>
      <c r="G663" s="59" t="s">
        <v>1611</v>
      </c>
      <c r="H663" s="108" t="s">
        <v>0</v>
      </c>
      <c r="I663" s="109" t="s">
        <v>0</v>
      </c>
      <c r="J663" s="109" t="s">
        <v>0</v>
      </c>
      <c r="K663" s="109" t="s">
        <v>0</v>
      </c>
      <c r="L663" s="109" t="s">
        <v>0</v>
      </c>
      <c r="M663" s="109" t="s">
        <v>0</v>
      </c>
      <c r="N663" s="110" t="s">
        <v>363</v>
      </c>
      <c r="O663" s="111"/>
      <c r="P663" s="112"/>
      <c r="Q663" s="112"/>
      <c r="R663" s="112"/>
      <c r="S663" s="112"/>
      <c r="T663" s="112"/>
      <c r="U663" s="95" t="str">
        <f t="shared" si="33"/>
        <v/>
      </c>
      <c r="V663" s="112"/>
      <c r="W663" s="112"/>
      <c r="X663" s="107">
        <v>100</v>
      </c>
      <c r="Y663" s="107">
        <f t="shared" si="34"/>
        <v>100</v>
      </c>
      <c r="Z663" s="107">
        <f t="shared" si="35"/>
        <v>0</v>
      </c>
    </row>
    <row r="664" spans="1:26" x14ac:dyDescent="0.25">
      <c r="A664" s="55" t="str">
        <f>_xlfn.XLOOKUP($G664,'.Auxiliar'!$G:$G,'.Auxiliar'!A:A,"-",0)</f>
        <v>RIO/MINAS</v>
      </c>
      <c r="B664" s="55" t="str">
        <f>_xlfn.XLOOKUP($G664,'.Auxiliar'!$G:$G,'.Auxiliar'!B:B,"-",0)</f>
        <v>FX ADICIONAL</v>
      </c>
      <c r="C664" s="55" t="str">
        <f>_xlfn.XLOOKUP($G664,'.Auxiliar'!$G:$G,'.Auxiliar'!C:C,"-",0)</f>
        <v>Decrescente</v>
      </c>
      <c r="D664" s="55">
        <f>_xlfn.XLOOKUP($G664,'.Auxiliar'!$G:$G,'.Auxiliar'!D:D,"-",0)</f>
        <v>162.19800000000001</v>
      </c>
      <c r="E664" s="55">
        <f>_xlfn.XLOOKUP($G664,'.Auxiliar'!$G:$G,'.Auxiliar'!E:E,"-",0)</f>
        <v>164.9</v>
      </c>
      <c r="F664" s="55">
        <f>_xlfn.XLOOKUP($G664,'.Auxiliar'!$G:$G,'.Auxiliar'!F:F,"-",0)</f>
        <v>2.7019999999999982</v>
      </c>
      <c r="G664" s="59" t="s">
        <v>1549</v>
      </c>
      <c r="H664" s="108" t="s">
        <v>0</v>
      </c>
      <c r="I664" s="109" t="s">
        <v>0</v>
      </c>
      <c r="J664" s="109" t="s">
        <v>0</v>
      </c>
      <c r="K664" s="109" t="s">
        <v>0</v>
      </c>
      <c r="L664" s="109" t="s">
        <v>0</v>
      </c>
      <c r="M664" s="109" t="s">
        <v>363</v>
      </c>
      <c r="N664" s="110" t="s">
        <v>0</v>
      </c>
      <c r="O664" s="111"/>
      <c r="P664" s="112"/>
      <c r="Q664" s="112"/>
      <c r="R664" s="112"/>
      <c r="S664" s="112"/>
      <c r="T664" s="112"/>
      <c r="U664" s="95" t="str">
        <f t="shared" si="33"/>
        <v/>
      </c>
      <c r="V664" s="112"/>
      <c r="W664" s="112">
        <v>100</v>
      </c>
      <c r="X664" s="107"/>
      <c r="Y664" s="107">
        <f t="shared" si="34"/>
        <v>100</v>
      </c>
      <c r="Z664" s="107">
        <f t="shared" si="35"/>
        <v>0</v>
      </c>
    </row>
    <row r="665" spans="1:26" x14ac:dyDescent="0.25">
      <c r="A665" s="55" t="str">
        <f>_xlfn.XLOOKUP($G665,'.Auxiliar'!$G:$G,'.Auxiliar'!A:A,"-",0)</f>
        <v>RIO/MINAS</v>
      </c>
      <c r="B665" s="55" t="str">
        <f>_xlfn.XLOOKUP($G665,'.Auxiliar'!$G:$G,'.Auxiliar'!B:B,"-",0)</f>
        <v>FX ADICIONAL</v>
      </c>
      <c r="C665" s="55" t="str">
        <f>_xlfn.XLOOKUP($G665,'.Auxiliar'!$G:$G,'.Auxiliar'!C:C,"-",0)</f>
        <v>Decrescente</v>
      </c>
      <c r="D665" s="55">
        <f>_xlfn.XLOOKUP($G665,'.Auxiliar'!$G:$G,'.Auxiliar'!D:D,"-",0)</f>
        <v>164.9</v>
      </c>
      <c r="E665" s="55">
        <f>_xlfn.XLOOKUP($G665,'.Auxiliar'!$G:$G,'.Auxiliar'!E:E,"-",0)</f>
        <v>167.3</v>
      </c>
      <c r="F665" s="55">
        <f>_xlfn.XLOOKUP($G665,'.Auxiliar'!$G:$G,'.Auxiliar'!F:F,"-",0)</f>
        <v>2.4000000000000057</v>
      </c>
      <c r="G665" s="59" t="s">
        <v>1551</v>
      </c>
      <c r="H665" s="108" t="s">
        <v>0</v>
      </c>
      <c r="I665" s="109" t="s">
        <v>0</v>
      </c>
      <c r="J665" s="109" t="s">
        <v>0</v>
      </c>
      <c r="K665" s="109" t="s">
        <v>0</v>
      </c>
      <c r="L665" s="109" t="s">
        <v>0</v>
      </c>
      <c r="M665" s="109" t="s">
        <v>363</v>
      </c>
      <c r="N665" s="110" t="s">
        <v>0</v>
      </c>
      <c r="O665" s="111"/>
      <c r="P665" s="112"/>
      <c r="Q665" s="112"/>
      <c r="R665" s="112"/>
      <c r="S665" s="112"/>
      <c r="T665" s="112"/>
      <c r="U665" s="95" t="str">
        <f t="shared" si="33"/>
        <v/>
      </c>
      <c r="V665" s="112"/>
      <c r="W665" s="112">
        <v>100</v>
      </c>
      <c r="X665" s="107"/>
      <c r="Y665" s="107">
        <f t="shared" si="34"/>
        <v>100</v>
      </c>
      <c r="Z665" s="107">
        <f t="shared" si="35"/>
        <v>0</v>
      </c>
    </row>
    <row r="666" spans="1:26" x14ac:dyDescent="0.25">
      <c r="A666" s="55" t="str">
        <f>_xlfn.XLOOKUP($G666,'.Auxiliar'!$G:$G,'.Auxiliar'!A:A,"-",0)</f>
        <v>RIO/MINAS</v>
      </c>
      <c r="B666" s="55" t="str">
        <f>_xlfn.XLOOKUP($G666,'.Auxiliar'!$G:$G,'.Auxiliar'!B:B,"-",0)</f>
        <v>FX ADICIONAL</v>
      </c>
      <c r="C666" s="55" t="str">
        <f>_xlfn.XLOOKUP($G666,'.Auxiliar'!$G:$G,'.Auxiliar'!C:C,"-",0)</f>
        <v>Decrescente</v>
      </c>
      <c r="D666" s="55">
        <f>_xlfn.XLOOKUP($G666,'.Auxiliar'!$G:$G,'.Auxiliar'!D:D,"-",0)</f>
        <v>167.3</v>
      </c>
      <c r="E666" s="55">
        <f>_xlfn.XLOOKUP($G666,'.Auxiliar'!$G:$G,'.Auxiliar'!E:E,"-",0)</f>
        <v>171.4</v>
      </c>
      <c r="F666" s="55">
        <f>_xlfn.XLOOKUP($G666,'.Auxiliar'!$G:$G,'.Auxiliar'!F:F,"-",0)</f>
        <v>4.0999999999999943</v>
      </c>
      <c r="G666" s="59" t="s">
        <v>1553</v>
      </c>
      <c r="H666" s="108" t="s">
        <v>0</v>
      </c>
      <c r="I666" s="109" t="s">
        <v>0</v>
      </c>
      <c r="J666" s="109" t="s">
        <v>0</v>
      </c>
      <c r="K666" s="109" t="s">
        <v>0</v>
      </c>
      <c r="L666" s="109" t="s">
        <v>0</v>
      </c>
      <c r="M666" s="109" t="s">
        <v>363</v>
      </c>
      <c r="N666" s="110" t="s">
        <v>0</v>
      </c>
      <c r="O666" s="111"/>
      <c r="P666" s="112"/>
      <c r="Q666" s="112"/>
      <c r="R666" s="112"/>
      <c r="S666" s="112"/>
      <c r="T666" s="112"/>
      <c r="U666" s="95" t="str">
        <f t="shared" si="33"/>
        <v/>
      </c>
      <c r="V666" s="112"/>
      <c r="W666" s="112">
        <v>100</v>
      </c>
      <c r="X666" s="107"/>
      <c r="Y666" s="107">
        <f t="shared" si="34"/>
        <v>100</v>
      </c>
      <c r="Z666" s="107">
        <f t="shared" si="35"/>
        <v>0</v>
      </c>
    </row>
    <row r="667" spans="1:26" x14ac:dyDescent="0.25">
      <c r="A667" s="55" t="str">
        <f>_xlfn.XLOOKUP($G667,'.Auxiliar'!$G:$G,'.Auxiliar'!A:A,"-",0)</f>
        <v>RIO/MINAS</v>
      </c>
      <c r="B667" s="55" t="str">
        <f>_xlfn.XLOOKUP($G667,'.Auxiliar'!$G:$G,'.Auxiliar'!B:B,"-",0)</f>
        <v>FX ADICIONAL</v>
      </c>
      <c r="C667" s="55" t="str">
        <f>_xlfn.XLOOKUP($G667,'.Auxiliar'!$G:$G,'.Auxiliar'!C:C,"-",0)</f>
        <v>Decrescente</v>
      </c>
      <c r="D667" s="55">
        <f>_xlfn.XLOOKUP($G667,'.Auxiliar'!$G:$G,'.Auxiliar'!D:D,"-",0)</f>
        <v>171.4</v>
      </c>
      <c r="E667" s="55">
        <f>_xlfn.XLOOKUP($G667,'.Auxiliar'!$G:$G,'.Auxiliar'!E:E,"-",0)</f>
        <v>174.6</v>
      </c>
      <c r="F667" s="55">
        <f>_xlfn.XLOOKUP($G667,'.Auxiliar'!$G:$G,'.Auxiliar'!F:F,"-",0)</f>
        <v>3.1999999999999886</v>
      </c>
      <c r="G667" s="59" t="s">
        <v>1555</v>
      </c>
      <c r="H667" s="108" t="s">
        <v>0</v>
      </c>
      <c r="I667" s="109" t="s">
        <v>0</v>
      </c>
      <c r="J667" s="109" t="s">
        <v>0</v>
      </c>
      <c r="K667" s="109" t="s">
        <v>0</v>
      </c>
      <c r="L667" s="109" t="s">
        <v>0</v>
      </c>
      <c r="M667" s="109" t="s">
        <v>363</v>
      </c>
      <c r="N667" s="110" t="s">
        <v>0</v>
      </c>
      <c r="O667" s="111"/>
      <c r="P667" s="112"/>
      <c r="Q667" s="112"/>
      <c r="R667" s="112"/>
      <c r="S667" s="112"/>
      <c r="T667" s="112"/>
      <c r="U667" s="95" t="str">
        <f t="shared" si="33"/>
        <v/>
      </c>
      <c r="V667" s="112"/>
      <c r="W667" s="112">
        <v>100</v>
      </c>
      <c r="X667" s="107"/>
      <c r="Y667" s="107">
        <f t="shared" si="34"/>
        <v>100</v>
      </c>
      <c r="Z667" s="107">
        <f t="shared" si="35"/>
        <v>0</v>
      </c>
    </row>
    <row r="668" spans="1:26" x14ac:dyDescent="0.25">
      <c r="A668" s="55" t="str">
        <f>_xlfn.XLOOKUP($G668,'.Auxiliar'!$G:$G,'.Auxiliar'!A:A,"-",0)</f>
        <v>RIO/MINAS</v>
      </c>
      <c r="B668" s="55" t="str">
        <f>_xlfn.XLOOKUP($G668,'.Auxiliar'!$G:$G,'.Auxiliar'!B:B,"-",0)</f>
        <v>FX ADICIONAL</v>
      </c>
      <c r="C668" s="55" t="str">
        <f>_xlfn.XLOOKUP($G668,'.Auxiliar'!$G:$G,'.Auxiliar'!C:C,"-",0)</f>
        <v>Decrescente</v>
      </c>
      <c r="D668" s="55">
        <f>_xlfn.XLOOKUP($G668,'.Auxiliar'!$G:$G,'.Auxiliar'!D:D,"-",0)</f>
        <v>174.6</v>
      </c>
      <c r="E668" s="55">
        <f>_xlfn.XLOOKUP($G668,'.Auxiliar'!$G:$G,'.Auxiliar'!E:E,"-",0)</f>
        <v>178.5</v>
      </c>
      <c r="F668" s="55">
        <f>_xlfn.XLOOKUP($G668,'.Auxiliar'!$G:$G,'.Auxiliar'!F:F,"-",0)</f>
        <v>3.9000000000000057</v>
      </c>
      <c r="G668" s="59" t="s">
        <v>1557</v>
      </c>
      <c r="H668" s="108" t="s">
        <v>0</v>
      </c>
      <c r="I668" s="109" t="s">
        <v>0</v>
      </c>
      <c r="J668" s="109" t="s">
        <v>0</v>
      </c>
      <c r="K668" s="109" t="s">
        <v>0</v>
      </c>
      <c r="L668" s="109" t="s">
        <v>0</v>
      </c>
      <c r="M668" s="109" t="s">
        <v>363</v>
      </c>
      <c r="N668" s="110" t="s">
        <v>0</v>
      </c>
      <c r="O668" s="111"/>
      <c r="P668" s="112"/>
      <c r="Q668" s="112"/>
      <c r="R668" s="112"/>
      <c r="S668" s="112"/>
      <c r="T668" s="112"/>
      <c r="U668" s="95" t="str">
        <f t="shared" si="33"/>
        <v/>
      </c>
      <c r="V668" s="112"/>
      <c r="W668" s="112">
        <v>100</v>
      </c>
      <c r="X668" s="107"/>
      <c r="Y668" s="107">
        <f t="shared" si="34"/>
        <v>100</v>
      </c>
      <c r="Z668" s="107">
        <f t="shared" si="35"/>
        <v>0</v>
      </c>
    </row>
    <row r="669" spans="1:26" x14ac:dyDescent="0.25">
      <c r="A669" s="55" t="str">
        <f>_xlfn.XLOOKUP($G669,'.Auxiliar'!$G:$G,'.Auxiliar'!A:A,"-",0)</f>
        <v>RIO/MINAS</v>
      </c>
      <c r="B669" s="55" t="str">
        <f>_xlfn.XLOOKUP($G669,'.Auxiliar'!$G:$G,'.Auxiliar'!B:B,"-",0)</f>
        <v>FX ADICIONAL</v>
      </c>
      <c r="C669" s="55" t="str">
        <f>_xlfn.XLOOKUP($G669,'.Auxiliar'!$G:$G,'.Auxiliar'!C:C,"-",0)</f>
        <v>Decrescente</v>
      </c>
      <c r="D669" s="55">
        <f>_xlfn.XLOOKUP($G669,'.Auxiliar'!$G:$G,'.Auxiliar'!D:D,"-",0)</f>
        <v>178.5</v>
      </c>
      <c r="E669" s="55">
        <f>_xlfn.XLOOKUP($G669,'.Auxiliar'!$G:$G,'.Auxiliar'!E:E,"-",0)</f>
        <v>182.6</v>
      </c>
      <c r="F669" s="55">
        <f>_xlfn.XLOOKUP($G669,'.Auxiliar'!$G:$G,'.Auxiliar'!F:F,"-",0)</f>
        <v>4.0999999999999943</v>
      </c>
      <c r="G669" s="59" t="s">
        <v>1559</v>
      </c>
      <c r="H669" s="108" t="s">
        <v>0</v>
      </c>
      <c r="I669" s="109" t="s">
        <v>0</v>
      </c>
      <c r="J669" s="109" t="s">
        <v>0</v>
      </c>
      <c r="K669" s="109" t="s">
        <v>0</v>
      </c>
      <c r="L669" s="109" t="s">
        <v>0</v>
      </c>
      <c r="M669" s="109" t="s">
        <v>363</v>
      </c>
      <c r="N669" s="110" t="s">
        <v>0</v>
      </c>
      <c r="O669" s="111"/>
      <c r="P669" s="112"/>
      <c r="Q669" s="112"/>
      <c r="R669" s="112"/>
      <c r="S669" s="112"/>
      <c r="T669" s="112"/>
      <c r="U669" s="95" t="str">
        <f t="shared" si="33"/>
        <v/>
      </c>
      <c r="V669" s="112"/>
      <c r="W669" s="112">
        <v>100</v>
      </c>
      <c r="X669" s="107"/>
      <c r="Y669" s="107">
        <f t="shared" si="34"/>
        <v>100</v>
      </c>
      <c r="Z669" s="107">
        <f t="shared" si="35"/>
        <v>0</v>
      </c>
    </row>
    <row r="670" spans="1:26" x14ac:dyDescent="0.25">
      <c r="A670" s="55" t="str">
        <f>_xlfn.XLOOKUP($G670,'.Auxiliar'!$G:$G,'.Auxiliar'!A:A,"-",0)</f>
        <v>RIO/MINAS</v>
      </c>
      <c r="B670" s="55" t="str">
        <f>_xlfn.XLOOKUP($G670,'.Auxiliar'!$G:$G,'.Auxiliar'!B:B,"-",0)</f>
        <v>FX ADICIONAL</v>
      </c>
      <c r="C670" s="55" t="str">
        <f>_xlfn.XLOOKUP($G670,'.Auxiliar'!$G:$G,'.Auxiliar'!C:C,"-",0)</f>
        <v>Decrescente</v>
      </c>
      <c r="D670" s="55">
        <f>_xlfn.XLOOKUP($G670,'.Auxiliar'!$G:$G,'.Auxiliar'!D:D,"-",0)</f>
        <v>182.6</v>
      </c>
      <c r="E670" s="55">
        <f>_xlfn.XLOOKUP($G670,'.Auxiliar'!$G:$G,'.Auxiliar'!E:E,"-",0)</f>
        <v>189.1</v>
      </c>
      <c r="F670" s="55">
        <f>_xlfn.XLOOKUP($G670,'.Auxiliar'!$G:$G,'.Auxiliar'!F:F,"-",0)</f>
        <v>6.5</v>
      </c>
      <c r="G670" s="59" t="s">
        <v>1561</v>
      </c>
      <c r="H670" s="108" t="s">
        <v>0</v>
      </c>
      <c r="I670" s="109" t="s">
        <v>0</v>
      </c>
      <c r="J670" s="109" t="s">
        <v>0</v>
      </c>
      <c r="K670" s="109" t="s">
        <v>0</v>
      </c>
      <c r="L670" s="109" t="s">
        <v>0</v>
      </c>
      <c r="M670" s="109" t="s">
        <v>363</v>
      </c>
      <c r="N670" s="110" t="s">
        <v>0</v>
      </c>
      <c r="O670" s="111"/>
      <c r="P670" s="112"/>
      <c r="Q670" s="112"/>
      <c r="R670" s="112"/>
      <c r="S670" s="112"/>
      <c r="T670" s="112"/>
      <c r="U670" s="95" t="str">
        <f t="shared" si="33"/>
        <v/>
      </c>
      <c r="V670" s="112"/>
      <c r="W670" s="112">
        <v>100</v>
      </c>
      <c r="X670" s="107"/>
      <c r="Y670" s="107">
        <f t="shared" si="34"/>
        <v>100</v>
      </c>
      <c r="Z670" s="107">
        <f t="shared" si="35"/>
        <v>0</v>
      </c>
    </row>
    <row r="671" spans="1:26" x14ac:dyDescent="0.25">
      <c r="A671" s="55" t="str">
        <f>_xlfn.XLOOKUP($G671,'.Auxiliar'!$G:$G,'.Auxiliar'!A:A,"-",0)</f>
        <v>RIO/MINAS</v>
      </c>
      <c r="B671" s="55" t="str">
        <f>_xlfn.XLOOKUP($G671,'.Auxiliar'!$G:$G,'.Auxiliar'!B:B,"-",0)</f>
        <v>FX ADICIONAL</v>
      </c>
      <c r="C671" s="55" t="str">
        <f>_xlfn.XLOOKUP($G671,'.Auxiliar'!$G:$G,'.Auxiliar'!C:C,"-",0)</f>
        <v>Decrescente</v>
      </c>
      <c r="D671" s="55">
        <f>_xlfn.XLOOKUP($G671,'.Auxiliar'!$G:$G,'.Auxiliar'!D:D,"-",0)</f>
        <v>189.1</v>
      </c>
      <c r="E671" s="55">
        <f>_xlfn.XLOOKUP($G671,'.Auxiliar'!$G:$G,'.Auxiliar'!E:E,"-",0)</f>
        <v>195.45</v>
      </c>
      <c r="F671" s="55">
        <f>_xlfn.XLOOKUP($G671,'.Auxiliar'!$G:$G,'.Auxiliar'!F:F,"-",0)</f>
        <v>6.3499999999999943</v>
      </c>
      <c r="G671" s="59" t="s">
        <v>1563</v>
      </c>
      <c r="H671" s="108" t="s">
        <v>0</v>
      </c>
      <c r="I671" s="109" t="s">
        <v>0</v>
      </c>
      <c r="J671" s="109" t="s">
        <v>0</v>
      </c>
      <c r="K671" s="109" t="s">
        <v>0</v>
      </c>
      <c r="L671" s="109" t="s">
        <v>0</v>
      </c>
      <c r="M671" s="109" t="s">
        <v>363</v>
      </c>
      <c r="N671" s="110" t="s">
        <v>0</v>
      </c>
      <c r="O671" s="111"/>
      <c r="P671" s="112"/>
      <c r="Q671" s="112"/>
      <c r="R671" s="112"/>
      <c r="S671" s="112"/>
      <c r="T671" s="112"/>
      <c r="U671" s="95" t="str">
        <f t="shared" si="33"/>
        <v/>
      </c>
      <c r="V671" s="112"/>
      <c r="W671" s="112">
        <v>100</v>
      </c>
      <c r="X671" s="107"/>
      <c r="Y671" s="107">
        <f t="shared" si="34"/>
        <v>100</v>
      </c>
      <c r="Z671" s="107">
        <f t="shared" si="35"/>
        <v>0</v>
      </c>
    </row>
    <row r="672" spans="1:26" x14ac:dyDescent="0.25">
      <c r="A672" s="55" t="str">
        <f>_xlfn.XLOOKUP($G672,'.Auxiliar'!$G:$G,'.Auxiliar'!A:A,"-",0)</f>
        <v>RIO/MINAS</v>
      </c>
      <c r="B672" s="55" t="str">
        <f>_xlfn.XLOOKUP($G672,'.Auxiliar'!$G:$G,'.Auxiliar'!B:B,"-",0)</f>
        <v>FX ADICIONAL</v>
      </c>
      <c r="C672" s="55" t="str">
        <f>_xlfn.XLOOKUP($G672,'.Auxiliar'!$G:$G,'.Auxiliar'!C:C,"-",0)</f>
        <v>Decrescente</v>
      </c>
      <c r="D672" s="55">
        <f>_xlfn.XLOOKUP($G672,'.Auxiliar'!$G:$G,'.Auxiliar'!D:D,"-",0)</f>
        <v>195.45</v>
      </c>
      <c r="E672" s="55">
        <f>_xlfn.XLOOKUP($G672,'.Auxiliar'!$G:$G,'.Auxiliar'!E:E,"-",0)</f>
        <v>197.3</v>
      </c>
      <c r="F672" s="55">
        <f>_xlfn.XLOOKUP($G672,'.Auxiliar'!$G:$G,'.Auxiliar'!F:F,"-",0)</f>
        <v>1.8500000000000227</v>
      </c>
      <c r="G672" s="59" t="s">
        <v>1565</v>
      </c>
      <c r="H672" s="108" t="s">
        <v>0</v>
      </c>
      <c r="I672" s="109" t="s">
        <v>0</v>
      </c>
      <c r="J672" s="109" t="s">
        <v>0</v>
      </c>
      <c r="K672" s="109" t="s">
        <v>0</v>
      </c>
      <c r="L672" s="109" t="s">
        <v>0</v>
      </c>
      <c r="M672" s="109" t="s">
        <v>363</v>
      </c>
      <c r="N672" s="110" t="s">
        <v>0</v>
      </c>
      <c r="O672" s="111"/>
      <c r="P672" s="112"/>
      <c r="Q672" s="112"/>
      <c r="R672" s="112"/>
      <c r="S672" s="112"/>
      <c r="T672" s="112"/>
      <c r="U672" s="95" t="str">
        <f t="shared" si="33"/>
        <v/>
      </c>
      <c r="V672" s="112"/>
      <c r="W672" s="112">
        <v>100</v>
      </c>
      <c r="X672" s="107"/>
      <c r="Y672" s="107">
        <f t="shared" si="34"/>
        <v>100</v>
      </c>
      <c r="Z672" s="107">
        <f t="shared" si="35"/>
        <v>0</v>
      </c>
    </row>
    <row r="673" spans="1:26" x14ac:dyDescent="0.25">
      <c r="A673" s="55" t="str">
        <f>_xlfn.XLOOKUP($G673,'.Auxiliar'!$G:$G,'.Auxiliar'!A:A,"-",0)</f>
        <v>RIO/MINAS</v>
      </c>
      <c r="B673" s="55" t="str">
        <f>_xlfn.XLOOKUP($G673,'.Auxiliar'!$G:$G,'.Auxiliar'!B:B,"-",0)</f>
        <v>FX ADICIONAL</v>
      </c>
      <c r="C673" s="55" t="str">
        <f>_xlfn.XLOOKUP($G673,'.Auxiliar'!$G:$G,'.Auxiliar'!C:C,"-",0)</f>
        <v>Decrescente</v>
      </c>
      <c r="D673" s="55">
        <f>_xlfn.XLOOKUP($G673,'.Auxiliar'!$G:$G,'.Auxiliar'!D:D,"-",0)</f>
        <v>197.3</v>
      </c>
      <c r="E673" s="55">
        <f>_xlfn.XLOOKUP($G673,'.Auxiliar'!$G:$G,'.Auxiliar'!E:E,"-",0)</f>
        <v>204.8</v>
      </c>
      <c r="F673" s="55">
        <f>_xlfn.XLOOKUP($G673,'.Auxiliar'!$G:$G,'.Auxiliar'!F:F,"-",0)</f>
        <v>7.5</v>
      </c>
      <c r="G673" s="59" t="s">
        <v>1612</v>
      </c>
      <c r="H673" s="108" t="s">
        <v>0</v>
      </c>
      <c r="I673" s="109" t="s">
        <v>0</v>
      </c>
      <c r="J673" s="109" t="s">
        <v>0</v>
      </c>
      <c r="K673" s="109" t="s">
        <v>0</v>
      </c>
      <c r="L673" s="109" t="s">
        <v>0</v>
      </c>
      <c r="M673" s="109" t="s">
        <v>0</v>
      </c>
      <c r="N673" s="110" t="s">
        <v>363</v>
      </c>
      <c r="O673" s="111"/>
      <c r="P673" s="112"/>
      <c r="Q673" s="112"/>
      <c r="R673" s="112"/>
      <c r="S673" s="112"/>
      <c r="T673" s="112"/>
      <c r="U673" s="95" t="str">
        <f t="shared" si="33"/>
        <v/>
      </c>
      <c r="V673" s="112"/>
      <c r="W673" s="112"/>
      <c r="X673" s="107">
        <v>100</v>
      </c>
      <c r="Y673" s="107">
        <f t="shared" si="34"/>
        <v>100</v>
      </c>
      <c r="Z673" s="107">
        <f t="shared" si="35"/>
        <v>0</v>
      </c>
    </row>
    <row r="674" spans="1:26" x14ac:dyDescent="0.25">
      <c r="A674" s="55" t="str">
        <f>_xlfn.XLOOKUP($G674,'.Auxiliar'!$G:$G,'.Auxiliar'!A:A,"-",0)</f>
        <v>RIO/MINAS</v>
      </c>
      <c r="B674" s="55" t="str">
        <f>_xlfn.XLOOKUP($G674,'.Auxiliar'!$G:$G,'.Auxiliar'!B:B,"-",0)</f>
        <v>FX ADICIONAL</v>
      </c>
      <c r="C674" s="55" t="str">
        <f>_xlfn.XLOOKUP($G674,'.Auxiliar'!$G:$G,'.Auxiliar'!C:C,"-",0)</f>
        <v>Decrescente</v>
      </c>
      <c r="D674" s="55">
        <f>_xlfn.XLOOKUP($G674,'.Auxiliar'!$G:$G,'.Auxiliar'!D:D,"-",0)</f>
        <v>204.8</v>
      </c>
      <c r="E674" s="55">
        <f>_xlfn.XLOOKUP($G674,'.Auxiliar'!$G:$G,'.Auxiliar'!E:E,"-",0)</f>
        <v>207.08500000000001</v>
      </c>
      <c r="F674" s="55">
        <f>_xlfn.XLOOKUP($G674,'.Auxiliar'!$G:$G,'.Auxiliar'!F:F,"-",0)</f>
        <v>2.2849999999999966</v>
      </c>
      <c r="G674" s="59" t="s">
        <v>1614</v>
      </c>
      <c r="H674" s="108" t="s">
        <v>0</v>
      </c>
      <c r="I674" s="109" t="s">
        <v>0</v>
      </c>
      <c r="J674" s="109" t="s">
        <v>0</v>
      </c>
      <c r="K674" s="109" t="s">
        <v>0</v>
      </c>
      <c r="L674" s="109" t="s">
        <v>0</v>
      </c>
      <c r="M674" s="109" t="s">
        <v>0</v>
      </c>
      <c r="N674" s="110" t="s">
        <v>363</v>
      </c>
      <c r="O674" s="111"/>
      <c r="P674" s="112"/>
      <c r="Q674" s="112"/>
      <c r="R674" s="112"/>
      <c r="S674" s="112"/>
      <c r="T674" s="112"/>
      <c r="U674" s="95" t="str">
        <f t="shared" si="33"/>
        <v/>
      </c>
      <c r="V674" s="112"/>
      <c r="W674" s="112"/>
      <c r="X674" s="107">
        <v>100</v>
      </c>
      <c r="Y674" s="107">
        <f t="shared" si="34"/>
        <v>100</v>
      </c>
      <c r="Z674" s="107">
        <f t="shared" si="35"/>
        <v>0</v>
      </c>
    </row>
    <row r="675" spans="1:26" x14ac:dyDescent="0.25">
      <c r="A675" s="55" t="str">
        <f>_xlfn.XLOOKUP($G675,'.Auxiliar'!$G:$G,'.Auxiliar'!A:A,"-",0)</f>
        <v>RIO/MINAS</v>
      </c>
      <c r="B675" s="55" t="str">
        <f>_xlfn.XLOOKUP($G675,'.Auxiliar'!$G:$G,'.Auxiliar'!B:B,"-",0)</f>
        <v>FX ADICIONAL</v>
      </c>
      <c r="C675" s="55" t="str">
        <f>_xlfn.XLOOKUP($G675,'.Auxiliar'!$G:$G,'.Auxiliar'!C:C,"-",0)</f>
        <v>Decrescente</v>
      </c>
      <c r="D675" s="55">
        <f>_xlfn.XLOOKUP($G675,'.Auxiliar'!$G:$G,'.Auxiliar'!D:D,"-",0)</f>
        <v>457.5</v>
      </c>
      <c r="E675" s="55">
        <f>_xlfn.XLOOKUP($G675,'.Auxiliar'!$G:$G,'.Auxiliar'!E:E,"-",0)</f>
        <v>458.6</v>
      </c>
      <c r="F675" s="55">
        <f>_xlfn.XLOOKUP($G675,'.Auxiliar'!$G:$G,'.Auxiliar'!F:F,"-",0)</f>
        <v>1.1000000000000227</v>
      </c>
      <c r="G675" s="59" t="s">
        <v>1616</v>
      </c>
      <c r="H675" s="108" t="s">
        <v>0</v>
      </c>
      <c r="I675" s="109" t="s">
        <v>0</v>
      </c>
      <c r="J675" s="109" t="s">
        <v>0</v>
      </c>
      <c r="K675" s="109" t="s">
        <v>0</v>
      </c>
      <c r="L675" s="109" t="s">
        <v>0</v>
      </c>
      <c r="M675" s="109" t="s">
        <v>0</v>
      </c>
      <c r="N675" s="110" t="s">
        <v>363</v>
      </c>
      <c r="O675" s="111"/>
      <c r="P675" s="112"/>
      <c r="Q675" s="112"/>
      <c r="R675" s="112"/>
      <c r="S675" s="112"/>
      <c r="T675" s="112"/>
      <c r="U675" s="95" t="str">
        <f t="shared" si="33"/>
        <v/>
      </c>
      <c r="V675" s="112"/>
      <c r="W675" s="112"/>
      <c r="X675" s="107">
        <v>100</v>
      </c>
      <c r="Y675" s="107">
        <f t="shared" si="34"/>
        <v>100</v>
      </c>
      <c r="Z675" s="107">
        <f t="shared" si="35"/>
        <v>0</v>
      </c>
    </row>
    <row r="676" spans="1:26" x14ac:dyDescent="0.25">
      <c r="A676" s="55" t="str">
        <f>_xlfn.XLOOKUP($G676,'.Auxiliar'!$G:$G,'.Auxiliar'!A:A,"-",0)</f>
        <v>RIO/MINAS</v>
      </c>
      <c r="B676" s="55" t="str">
        <f>_xlfn.XLOOKUP($G676,'.Auxiliar'!$G:$G,'.Auxiliar'!B:B,"-",0)</f>
        <v>FX ADICIONAL</v>
      </c>
      <c r="C676" s="55" t="str">
        <f>_xlfn.XLOOKUP($G676,'.Auxiliar'!$G:$G,'.Auxiliar'!C:C,"-",0)</f>
        <v>Decrescente</v>
      </c>
      <c r="D676" s="55">
        <f>_xlfn.XLOOKUP($G676,'.Auxiliar'!$G:$G,'.Auxiliar'!D:D,"-",0)</f>
        <v>461.28100000000001</v>
      </c>
      <c r="E676" s="55">
        <f>_xlfn.XLOOKUP($G676,'.Auxiliar'!$G:$G,'.Auxiliar'!E:E,"-",0)</f>
        <v>460</v>
      </c>
      <c r="F676" s="55">
        <f>_xlfn.XLOOKUP($G676,'.Auxiliar'!$G:$G,'.Auxiliar'!F:F,"-",0)</f>
        <v>1.2810000000000059</v>
      </c>
      <c r="G676" s="59" t="s">
        <v>1619</v>
      </c>
      <c r="H676" s="108" t="s">
        <v>0</v>
      </c>
      <c r="I676" s="109" t="s">
        <v>0</v>
      </c>
      <c r="J676" s="109" t="s">
        <v>0</v>
      </c>
      <c r="K676" s="109" t="s">
        <v>0</v>
      </c>
      <c r="L676" s="109" t="s">
        <v>0</v>
      </c>
      <c r="M676" s="109" t="s">
        <v>0</v>
      </c>
      <c r="N676" s="110" t="s">
        <v>363</v>
      </c>
      <c r="O676" s="111"/>
      <c r="P676" s="112"/>
      <c r="Q676" s="112"/>
      <c r="R676" s="112"/>
      <c r="S676" s="112"/>
      <c r="T676" s="112"/>
      <c r="U676" s="95" t="str">
        <f t="shared" si="33"/>
        <v/>
      </c>
      <c r="V676" s="112"/>
      <c r="W676" s="112"/>
      <c r="X676" s="107">
        <v>100</v>
      </c>
      <c r="Y676" s="107">
        <f t="shared" si="34"/>
        <v>100</v>
      </c>
      <c r="Z676" s="107">
        <f t="shared" si="35"/>
        <v>0</v>
      </c>
    </row>
    <row r="677" spans="1:26" x14ac:dyDescent="0.25">
      <c r="A677" s="55" t="str">
        <f>_xlfn.XLOOKUP($G677,'.Auxiliar'!$G:$G,'.Auxiliar'!A:A,"-",0)</f>
        <v>RIO/MINAS</v>
      </c>
      <c r="B677" s="55" t="str">
        <f>_xlfn.XLOOKUP($G677,'.Auxiliar'!$G:$G,'.Auxiliar'!B:B,"-",0)</f>
        <v>FX ADICIONAL</v>
      </c>
      <c r="C677" s="55" t="str">
        <f>_xlfn.XLOOKUP($G677,'.Auxiliar'!$G:$G,'.Auxiliar'!C:C,"-",0)</f>
        <v>Decrescente</v>
      </c>
      <c r="D677" s="55">
        <f>_xlfn.XLOOKUP($G677,'.Auxiliar'!$G:$G,'.Auxiliar'!D:D,"-",0)</f>
        <v>463.5</v>
      </c>
      <c r="E677" s="55">
        <f>_xlfn.XLOOKUP($G677,'.Auxiliar'!$G:$G,'.Auxiliar'!E:E,"-",0)</f>
        <v>462.2</v>
      </c>
      <c r="F677" s="55">
        <f>_xlfn.XLOOKUP($G677,'.Auxiliar'!$G:$G,'.Auxiliar'!F:F,"-",0)</f>
        <v>1.3000000000000114</v>
      </c>
      <c r="G677" s="59" t="s">
        <v>1621</v>
      </c>
      <c r="H677" s="108" t="s">
        <v>0</v>
      </c>
      <c r="I677" s="109" t="s">
        <v>0</v>
      </c>
      <c r="J677" s="109" t="s">
        <v>0</v>
      </c>
      <c r="K677" s="109" t="s">
        <v>0</v>
      </c>
      <c r="L677" s="109" t="s">
        <v>0</v>
      </c>
      <c r="M677" s="109" t="s">
        <v>0</v>
      </c>
      <c r="N677" s="110" t="s">
        <v>363</v>
      </c>
      <c r="O677" s="111"/>
      <c r="P677" s="112"/>
      <c r="Q677" s="112"/>
      <c r="R677" s="112"/>
      <c r="S677" s="112"/>
      <c r="T677" s="112"/>
      <c r="U677" s="95" t="str">
        <f t="shared" si="33"/>
        <v/>
      </c>
      <c r="V677" s="112"/>
      <c r="W677" s="112"/>
      <c r="X677" s="107">
        <v>100</v>
      </c>
      <c r="Y677" s="107">
        <f t="shared" si="34"/>
        <v>100</v>
      </c>
      <c r="Z677" s="107">
        <f t="shared" si="35"/>
        <v>0</v>
      </c>
    </row>
    <row r="678" spans="1:26" x14ac:dyDescent="0.25">
      <c r="A678" s="55" t="str">
        <f>_xlfn.XLOOKUP($G678,'.Auxiliar'!$G:$G,'.Auxiliar'!A:A,"-",0)</f>
        <v>RIO/MINAS</v>
      </c>
      <c r="B678" s="55" t="str">
        <f>_xlfn.XLOOKUP($G678,'.Auxiliar'!$G:$G,'.Auxiliar'!B:B,"-",0)</f>
        <v>FX ADICIONAL</v>
      </c>
      <c r="C678" s="55" t="str">
        <f>_xlfn.XLOOKUP($G678,'.Auxiliar'!$G:$G,'.Auxiliar'!C:C,"-",0)</f>
        <v>Decrescente</v>
      </c>
      <c r="D678" s="55">
        <f>_xlfn.XLOOKUP($G678,'.Auxiliar'!$G:$G,'.Auxiliar'!D:D,"-",0)</f>
        <v>465.8</v>
      </c>
      <c r="E678" s="55">
        <f>_xlfn.XLOOKUP($G678,'.Auxiliar'!$G:$G,'.Auxiliar'!E:E,"-",0)</f>
        <v>464.5</v>
      </c>
      <c r="F678" s="55">
        <f>_xlfn.XLOOKUP($G678,'.Auxiliar'!$G:$G,'.Auxiliar'!F:F,"-",0)</f>
        <v>1.3000000000000114</v>
      </c>
      <c r="G678" s="59" t="s">
        <v>1622</v>
      </c>
      <c r="H678" s="108" t="s">
        <v>0</v>
      </c>
      <c r="I678" s="109" t="s">
        <v>0</v>
      </c>
      <c r="J678" s="109" t="s">
        <v>0</v>
      </c>
      <c r="K678" s="109" t="s">
        <v>0</v>
      </c>
      <c r="L678" s="109" t="s">
        <v>0</v>
      </c>
      <c r="M678" s="109" t="s">
        <v>0</v>
      </c>
      <c r="N678" s="110" t="s">
        <v>363</v>
      </c>
      <c r="O678" s="111"/>
      <c r="P678" s="112"/>
      <c r="Q678" s="112"/>
      <c r="R678" s="112"/>
      <c r="S678" s="112"/>
      <c r="T678" s="112"/>
      <c r="U678" s="95" t="str">
        <f t="shared" si="33"/>
        <v/>
      </c>
      <c r="V678" s="112"/>
      <c r="W678" s="112"/>
      <c r="X678" s="107">
        <v>100</v>
      </c>
      <c r="Y678" s="107">
        <f t="shared" si="34"/>
        <v>100</v>
      </c>
      <c r="Z678" s="107">
        <f t="shared" si="35"/>
        <v>0</v>
      </c>
    </row>
    <row r="679" spans="1:26" x14ac:dyDescent="0.25">
      <c r="A679" s="55" t="str">
        <f>_xlfn.XLOOKUP($G679,'.Auxiliar'!$G:$G,'.Auxiliar'!A:A,"-",0)</f>
        <v>RIO/MINAS</v>
      </c>
      <c r="B679" s="55" t="str">
        <f>_xlfn.XLOOKUP($G679,'.Auxiliar'!$G:$G,'.Auxiliar'!B:B,"-",0)</f>
        <v>FX ADICIONAL</v>
      </c>
      <c r="C679" s="55" t="str">
        <f>_xlfn.XLOOKUP($G679,'.Auxiliar'!$G:$G,'.Auxiliar'!C:C,"-",0)</f>
        <v>Decrescente</v>
      </c>
      <c r="D679" s="55">
        <f>_xlfn.XLOOKUP($G679,'.Auxiliar'!$G:$G,'.Auxiliar'!D:D,"-",0)</f>
        <v>468.1</v>
      </c>
      <c r="E679" s="55">
        <f>_xlfn.XLOOKUP($G679,'.Auxiliar'!$G:$G,'.Auxiliar'!E:E,"-",0)</f>
        <v>466.8</v>
      </c>
      <c r="F679" s="55">
        <f>_xlfn.XLOOKUP($G679,'.Auxiliar'!$G:$G,'.Auxiliar'!F:F,"-",0)</f>
        <v>1.3000000000000114</v>
      </c>
      <c r="G679" s="59" t="s">
        <v>1623</v>
      </c>
      <c r="H679" s="108" t="s">
        <v>0</v>
      </c>
      <c r="I679" s="109" t="s">
        <v>0</v>
      </c>
      <c r="J679" s="109" t="s">
        <v>0</v>
      </c>
      <c r="K679" s="109" t="s">
        <v>0</v>
      </c>
      <c r="L679" s="109" t="s">
        <v>0</v>
      </c>
      <c r="M679" s="109" t="s">
        <v>0</v>
      </c>
      <c r="N679" s="110" t="s">
        <v>363</v>
      </c>
      <c r="O679" s="111"/>
      <c r="P679" s="112"/>
      <c r="Q679" s="112"/>
      <c r="R679" s="112"/>
      <c r="S679" s="112"/>
      <c r="T679" s="112"/>
      <c r="U679" s="95" t="str">
        <f t="shared" si="33"/>
        <v/>
      </c>
      <c r="V679" s="112"/>
      <c r="W679" s="112"/>
      <c r="X679" s="107">
        <v>100</v>
      </c>
      <c r="Y679" s="107">
        <f t="shared" si="34"/>
        <v>100</v>
      </c>
      <c r="Z679" s="107">
        <f t="shared" si="35"/>
        <v>0</v>
      </c>
    </row>
    <row r="680" spans="1:26" x14ac:dyDescent="0.25">
      <c r="A680" s="55" t="str">
        <f>_xlfn.XLOOKUP($G680,'.Auxiliar'!$G:$G,'.Auxiliar'!A:A,"-",0)</f>
        <v>RIO/MINAS</v>
      </c>
      <c r="B680" s="55" t="str">
        <f>_xlfn.XLOOKUP($G680,'.Auxiliar'!$G:$G,'.Auxiliar'!B:B,"-",0)</f>
        <v>FX ADICIONAL</v>
      </c>
      <c r="C680" s="55" t="str">
        <f>_xlfn.XLOOKUP($G680,'.Auxiliar'!$G:$G,'.Auxiliar'!C:C,"-",0)</f>
        <v>Decrescente</v>
      </c>
      <c r="D680" s="55">
        <f>_xlfn.XLOOKUP($G680,'.Auxiliar'!$G:$G,'.Auxiliar'!D:D,"-",0)</f>
        <v>470.4</v>
      </c>
      <c r="E680" s="55">
        <f>_xlfn.XLOOKUP($G680,'.Auxiliar'!$G:$G,'.Auxiliar'!E:E,"-",0)</f>
        <v>469.1</v>
      </c>
      <c r="F680" s="55">
        <f>_xlfn.XLOOKUP($G680,'.Auxiliar'!$G:$G,'.Auxiliar'!F:F,"-",0)</f>
        <v>1.2999999999999545</v>
      </c>
      <c r="G680" s="59" t="s">
        <v>1624</v>
      </c>
      <c r="H680" s="108" t="s">
        <v>0</v>
      </c>
      <c r="I680" s="109" t="s">
        <v>0</v>
      </c>
      <c r="J680" s="109" t="s">
        <v>0</v>
      </c>
      <c r="K680" s="109" t="s">
        <v>0</v>
      </c>
      <c r="L680" s="109" t="s">
        <v>0</v>
      </c>
      <c r="M680" s="109" t="s">
        <v>0</v>
      </c>
      <c r="N680" s="110" t="s">
        <v>363</v>
      </c>
      <c r="O680" s="111"/>
      <c r="P680" s="112"/>
      <c r="Q680" s="112"/>
      <c r="R680" s="112"/>
      <c r="S680" s="112"/>
      <c r="T680" s="112"/>
      <c r="U680" s="95" t="str">
        <f t="shared" si="33"/>
        <v/>
      </c>
      <c r="V680" s="112"/>
      <c r="W680" s="112"/>
      <c r="X680" s="107">
        <v>100</v>
      </c>
      <c r="Y680" s="107">
        <f t="shared" si="34"/>
        <v>100</v>
      </c>
      <c r="Z680" s="107">
        <f t="shared" si="35"/>
        <v>0</v>
      </c>
    </row>
    <row r="681" spans="1:26" x14ac:dyDescent="0.25">
      <c r="A681" s="55" t="str">
        <f>_xlfn.XLOOKUP($G681,'.Auxiliar'!$G:$G,'.Auxiliar'!A:A,"-",0)</f>
        <v>RIO/MINAS</v>
      </c>
      <c r="B681" s="55" t="str">
        <f>_xlfn.XLOOKUP($G681,'.Auxiliar'!$G:$G,'.Auxiliar'!B:B,"-",0)</f>
        <v>FX ADICIONAL</v>
      </c>
      <c r="C681" s="55" t="str">
        <f>_xlfn.XLOOKUP($G681,'.Auxiliar'!$G:$G,'.Auxiliar'!C:C,"-",0)</f>
        <v>Decrescente</v>
      </c>
      <c r="D681" s="55">
        <f>_xlfn.XLOOKUP($G681,'.Auxiliar'!$G:$G,'.Auxiliar'!D:D,"-",0)</f>
        <v>473.4</v>
      </c>
      <c r="E681" s="55">
        <f>_xlfn.XLOOKUP($G681,'.Auxiliar'!$G:$G,'.Auxiliar'!E:E,"-",0)</f>
        <v>472.2</v>
      </c>
      <c r="F681" s="55">
        <f>_xlfn.XLOOKUP($G681,'.Auxiliar'!$G:$G,'.Auxiliar'!F:F,"-",0)</f>
        <v>1.1999999999999886</v>
      </c>
      <c r="G681" s="59" t="s">
        <v>1626</v>
      </c>
      <c r="H681" s="108" t="s">
        <v>0</v>
      </c>
      <c r="I681" s="109" t="s">
        <v>0</v>
      </c>
      <c r="J681" s="109" t="s">
        <v>0</v>
      </c>
      <c r="K681" s="109" t="s">
        <v>0</v>
      </c>
      <c r="L681" s="109" t="s">
        <v>0</v>
      </c>
      <c r="M681" s="109" t="s">
        <v>0</v>
      </c>
      <c r="N681" s="110" t="s">
        <v>363</v>
      </c>
      <c r="O681" s="111"/>
      <c r="P681" s="112"/>
      <c r="Q681" s="112"/>
      <c r="R681" s="112"/>
      <c r="S681" s="112"/>
      <c r="T681" s="112"/>
      <c r="U681" s="95" t="str">
        <f t="shared" si="33"/>
        <v/>
      </c>
      <c r="V681" s="112"/>
      <c r="W681" s="112"/>
      <c r="X681" s="107">
        <v>100</v>
      </c>
      <c r="Y681" s="107">
        <f t="shared" si="34"/>
        <v>100</v>
      </c>
      <c r="Z681" s="107">
        <f t="shared" si="35"/>
        <v>0</v>
      </c>
    </row>
    <row r="682" spans="1:26" x14ac:dyDescent="0.25">
      <c r="A682" s="55" t="str">
        <f>_xlfn.XLOOKUP($G682,'.Auxiliar'!$G:$G,'.Auxiliar'!A:A,"-",0)</f>
        <v>RIO/MINAS</v>
      </c>
      <c r="B682" s="55" t="str">
        <f>_xlfn.XLOOKUP($G682,'.Auxiliar'!$G:$G,'.Auxiliar'!B:B,"-",0)</f>
        <v>FX ADICIONAL</v>
      </c>
      <c r="C682" s="55" t="str">
        <f>_xlfn.XLOOKUP($G682,'.Auxiliar'!$G:$G,'.Auxiliar'!C:C,"-",0)</f>
        <v>Decrescente</v>
      </c>
      <c r="D682" s="55">
        <f>_xlfn.XLOOKUP($G682,'.Auxiliar'!$G:$G,'.Auxiliar'!D:D,"-",0)</f>
        <v>476.815</v>
      </c>
      <c r="E682" s="55">
        <f>_xlfn.XLOOKUP($G682,'.Auxiliar'!$G:$G,'.Auxiliar'!E:E,"-",0)</f>
        <v>476.5</v>
      </c>
      <c r="F682" s="55">
        <f>_xlfn.XLOOKUP($G682,'.Auxiliar'!$G:$G,'.Auxiliar'!F:F,"-",0)</f>
        <v>0.31499999999999773</v>
      </c>
      <c r="G682" s="59" t="s">
        <v>1628</v>
      </c>
      <c r="H682" s="108" t="s">
        <v>0</v>
      </c>
      <c r="I682" s="109" t="s">
        <v>0</v>
      </c>
      <c r="J682" s="109" t="s">
        <v>0</v>
      </c>
      <c r="K682" s="109" t="s">
        <v>0</v>
      </c>
      <c r="L682" s="109" t="s">
        <v>0</v>
      </c>
      <c r="M682" s="109" t="s">
        <v>0</v>
      </c>
      <c r="N682" s="110" t="s">
        <v>363</v>
      </c>
      <c r="O682" s="111"/>
      <c r="P682" s="112"/>
      <c r="Q682" s="112"/>
      <c r="R682" s="112"/>
      <c r="S682" s="112"/>
      <c r="T682" s="112"/>
      <c r="U682" s="95" t="str">
        <f t="shared" si="33"/>
        <v/>
      </c>
      <c r="V682" s="112"/>
      <c r="W682" s="112"/>
      <c r="X682" s="107">
        <v>100</v>
      </c>
      <c r="Y682" s="107">
        <f t="shared" si="34"/>
        <v>100</v>
      </c>
      <c r="Z682" s="107">
        <f t="shared" si="35"/>
        <v>0</v>
      </c>
    </row>
    <row r="683" spans="1:26" x14ac:dyDescent="0.25">
      <c r="A683" s="55" t="str">
        <f>_xlfn.XLOOKUP($G683,'.Auxiliar'!$G:$G,'.Auxiliar'!A:A,"-",0)</f>
        <v>RIO/MINAS</v>
      </c>
      <c r="B683" s="55" t="str">
        <f>_xlfn.XLOOKUP($G683,'.Auxiliar'!$G:$G,'.Auxiliar'!B:B,"-",0)</f>
        <v>FX ADICIONAL</v>
      </c>
      <c r="C683" s="55" t="str">
        <f>_xlfn.XLOOKUP($G683,'.Auxiliar'!$G:$G,'.Auxiliar'!C:C,"-",0)</f>
        <v>Decrescente</v>
      </c>
      <c r="D683" s="55">
        <f>_xlfn.XLOOKUP($G683,'.Auxiliar'!$G:$G,'.Auxiliar'!D:D,"-",0)</f>
        <v>482</v>
      </c>
      <c r="E683" s="55">
        <f>_xlfn.XLOOKUP($G683,'.Auxiliar'!$G:$G,'.Auxiliar'!E:E,"-",0)</f>
        <v>480.8</v>
      </c>
      <c r="F683" s="55">
        <f>_xlfn.XLOOKUP($G683,'.Auxiliar'!$G:$G,'.Auxiliar'!F:F,"-",0)</f>
        <v>1.1999999999999886</v>
      </c>
      <c r="G683" s="59" t="s">
        <v>1630</v>
      </c>
      <c r="H683" s="108" t="s">
        <v>0</v>
      </c>
      <c r="I683" s="109" t="s">
        <v>0</v>
      </c>
      <c r="J683" s="109" t="s">
        <v>0</v>
      </c>
      <c r="K683" s="109" t="s">
        <v>0</v>
      </c>
      <c r="L683" s="109" t="s">
        <v>0</v>
      </c>
      <c r="M683" s="109" t="s">
        <v>0</v>
      </c>
      <c r="N683" s="110" t="s">
        <v>363</v>
      </c>
      <c r="O683" s="111"/>
      <c r="P683" s="112"/>
      <c r="Q683" s="112"/>
      <c r="R683" s="112"/>
      <c r="S683" s="112"/>
      <c r="T683" s="112"/>
      <c r="U683" s="95" t="str">
        <f t="shared" si="33"/>
        <v/>
      </c>
      <c r="V683" s="112"/>
      <c r="W683" s="112"/>
      <c r="X683" s="107">
        <v>100</v>
      </c>
      <c r="Y683" s="107">
        <f t="shared" si="34"/>
        <v>100</v>
      </c>
      <c r="Z683" s="107">
        <f t="shared" si="35"/>
        <v>0</v>
      </c>
    </row>
    <row r="684" spans="1:26" x14ac:dyDescent="0.25">
      <c r="A684" s="55" t="str">
        <f>_xlfn.XLOOKUP($G684,'.Auxiliar'!$G:$G,'.Auxiliar'!A:A,"-",0)</f>
        <v>RIO/MINAS</v>
      </c>
      <c r="B684" s="55" t="str">
        <f>_xlfn.XLOOKUP($G684,'.Auxiliar'!$G:$G,'.Auxiliar'!B:B,"-",0)</f>
        <v>FX ADICIONAL</v>
      </c>
      <c r="C684" s="55" t="str">
        <f>_xlfn.XLOOKUP($G684,'.Auxiliar'!$G:$G,'.Auxiliar'!C:C,"-",0)</f>
        <v>Decrescente</v>
      </c>
      <c r="D684" s="55">
        <f>_xlfn.XLOOKUP($G684,'.Auxiliar'!$G:$G,'.Auxiliar'!D:D,"-",0)</f>
        <v>486.29599999999999</v>
      </c>
      <c r="E684" s="55">
        <f>_xlfn.XLOOKUP($G684,'.Auxiliar'!$G:$G,'.Auxiliar'!E:E,"-",0)</f>
        <v>485.1</v>
      </c>
      <c r="F684" s="55">
        <f>_xlfn.XLOOKUP($G684,'.Auxiliar'!$G:$G,'.Auxiliar'!F:F,"-",0)</f>
        <v>1.1959999999999695</v>
      </c>
      <c r="G684" s="59" t="s">
        <v>1631</v>
      </c>
      <c r="H684" s="108" t="s">
        <v>0</v>
      </c>
      <c r="I684" s="109" t="s">
        <v>0</v>
      </c>
      <c r="J684" s="109" t="s">
        <v>0</v>
      </c>
      <c r="K684" s="109" t="s">
        <v>0</v>
      </c>
      <c r="L684" s="109" t="s">
        <v>0</v>
      </c>
      <c r="M684" s="109" t="s">
        <v>0</v>
      </c>
      <c r="N684" s="110" t="s">
        <v>363</v>
      </c>
      <c r="O684" s="111"/>
      <c r="P684" s="112"/>
      <c r="Q684" s="112"/>
      <c r="R684" s="112"/>
      <c r="S684" s="112"/>
      <c r="T684" s="112"/>
      <c r="U684" s="95" t="str">
        <f t="shared" si="33"/>
        <v/>
      </c>
      <c r="V684" s="112"/>
      <c r="W684" s="112"/>
      <c r="X684" s="107">
        <v>100</v>
      </c>
      <c r="Y684" s="107">
        <f t="shared" si="34"/>
        <v>100</v>
      </c>
      <c r="Z684" s="107">
        <f t="shared" si="35"/>
        <v>0</v>
      </c>
    </row>
    <row r="685" spans="1:26" x14ac:dyDescent="0.25">
      <c r="A685" s="55" t="str">
        <f>_xlfn.XLOOKUP($G685,'.Auxiliar'!$G:$G,'.Auxiliar'!A:A,"-",0)</f>
        <v>RIO/MINAS</v>
      </c>
      <c r="B685" s="55" t="str">
        <f>_xlfn.XLOOKUP($G685,'.Auxiliar'!$G:$G,'.Auxiliar'!B:B,"-",0)</f>
        <v>FX ADICIONAL</v>
      </c>
      <c r="C685" s="55" t="str">
        <f>_xlfn.XLOOKUP($G685,'.Auxiliar'!$G:$G,'.Auxiliar'!C:C,"-",0)</f>
        <v>Decrescente</v>
      </c>
      <c r="D685" s="55">
        <f>_xlfn.XLOOKUP($G685,'.Auxiliar'!$G:$G,'.Auxiliar'!D:D,"-",0)</f>
        <v>567.4</v>
      </c>
      <c r="E685" s="55">
        <f>_xlfn.XLOOKUP($G685,'.Auxiliar'!$G:$G,'.Auxiliar'!E:E,"-",0)</f>
        <v>563.5</v>
      </c>
      <c r="F685" s="55">
        <f>_xlfn.XLOOKUP($G685,'.Auxiliar'!$G:$G,'.Auxiliar'!F:F,"-",0)</f>
        <v>3.8999999999999773</v>
      </c>
      <c r="G685" s="59" t="s">
        <v>1633</v>
      </c>
      <c r="H685" s="108" t="s">
        <v>0</v>
      </c>
      <c r="I685" s="109" t="s">
        <v>0</v>
      </c>
      <c r="J685" s="109" t="s">
        <v>0</v>
      </c>
      <c r="K685" s="109" t="s">
        <v>0</v>
      </c>
      <c r="L685" s="109" t="s">
        <v>0</v>
      </c>
      <c r="M685" s="109" t="s">
        <v>0</v>
      </c>
      <c r="N685" s="110" t="s">
        <v>363</v>
      </c>
      <c r="O685" s="111"/>
      <c r="P685" s="112"/>
      <c r="Q685" s="112"/>
      <c r="R685" s="112"/>
      <c r="S685" s="112"/>
      <c r="T685" s="112"/>
      <c r="U685" s="95" t="str">
        <f t="shared" si="33"/>
        <v/>
      </c>
      <c r="V685" s="112"/>
      <c r="W685" s="112"/>
      <c r="X685" s="107">
        <v>100</v>
      </c>
      <c r="Y685" s="107">
        <f t="shared" si="34"/>
        <v>100</v>
      </c>
      <c r="Z685" s="107">
        <f t="shared" si="35"/>
        <v>0</v>
      </c>
    </row>
    <row r="686" spans="1:26" x14ac:dyDescent="0.25">
      <c r="A686" s="55" t="str">
        <f>_xlfn.XLOOKUP($G686,'.Auxiliar'!$G:$G,'.Auxiliar'!A:A,"-",0)</f>
        <v>RIO/MINAS</v>
      </c>
      <c r="B686" s="55" t="str">
        <f>_xlfn.XLOOKUP($G686,'.Auxiliar'!$G:$G,'.Auxiliar'!B:B,"-",0)</f>
        <v>FX ADICIONAL</v>
      </c>
      <c r="C686" s="55" t="str">
        <f>_xlfn.XLOOKUP($G686,'.Auxiliar'!$G:$G,'.Auxiliar'!C:C,"-",0)</f>
        <v>Decrescente</v>
      </c>
      <c r="D686" s="55">
        <f>_xlfn.XLOOKUP($G686,'.Auxiliar'!$G:$G,'.Auxiliar'!D:D,"-",0)</f>
        <v>569.79999999999995</v>
      </c>
      <c r="E686" s="55">
        <f>_xlfn.XLOOKUP($G686,'.Auxiliar'!$G:$G,'.Auxiliar'!E:E,"-",0)</f>
        <v>568.6</v>
      </c>
      <c r="F686" s="55">
        <f>_xlfn.XLOOKUP($G686,'.Auxiliar'!$G:$G,'.Auxiliar'!F:F,"-",0)</f>
        <v>1.1999999999999318</v>
      </c>
      <c r="G686" s="59" t="s">
        <v>1635</v>
      </c>
      <c r="H686" s="108" t="s">
        <v>0</v>
      </c>
      <c r="I686" s="109" t="s">
        <v>0</v>
      </c>
      <c r="J686" s="109" t="s">
        <v>0</v>
      </c>
      <c r="K686" s="109" t="s">
        <v>0</v>
      </c>
      <c r="L686" s="109" t="s">
        <v>0</v>
      </c>
      <c r="M686" s="109" t="s">
        <v>0</v>
      </c>
      <c r="N686" s="110" t="s">
        <v>363</v>
      </c>
      <c r="O686" s="111"/>
      <c r="P686" s="112"/>
      <c r="Q686" s="112"/>
      <c r="R686" s="112"/>
      <c r="S686" s="112"/>
      <c r="T686" s="112"/>
      <c r="U686" s="95" t="str">
        <f t="shared" si="33"/>
        <v/>
      </c>
      <c r="V686" s="112"/>
      <c r="W686" s="112"/>
      <c r="X686" s="107">
        <v>100</v>
      </c>
      <c r="Y686" s="107">
        <f t="shared" si="34"/>
        <v>100</v>
      </c>
      <c r="Z686" s="107">
        <f t="shared" si="35"/>
        <v>0</v>
      </c>
    </row>
    <row r="687" spans="1:26" x14ac:dyDescent="0.25">
      <c r="A687" s="55" t="str">
        <f>_xlfn.XLOOKUP($G687,'.Auxiliar'!$G:$G,'.Auxiliar'!A:A,"-",0)</f>
        <v>RIO/MINAS</v>
      </c>
      <c r="B687" s="55" t="str">
        <f>_xlfn.XLOOKUP($G687,'.Auxiliar'!$G:$G,'.Auxiliar'!B:B,"-",0)</f>
        <v>FX ADICIONAL</v>
      </c>
      <c r="C687" s="55" t="str">
        <f>_xlfn.XLOOKUP($G687,'.Auxiliar'!$G:$G,'.Auxiliar'!C:C,"-",0)</f>
        <v>Decrescente</v>
      </c>
      <c r="D687" s="55">
        <f>_xlfn.XLOOKUP($G687,'.Auxiliar'!$G:$G,'.Auxiliar'!D:D,"-",0)</f>
        <v>572.20000000000005</v>
      </c>
      <c r="E687" s="55">
        <f>_xlfn.XLOOKUP($G687,'.Auxiliar'!$G:$G,'.Auxiliar'!E:E,"-",0)</f>
        <v>571</v>
      </c>
      <c r="F687" s="55">
        <f>_xlfn.XLOOKUP($G687,'.Auxiliar'!$G:$G,'.Auxiliar'!F:F,"-",0)</f>
        <v>1.2000000000000455</v>
      </c>
      <c r="G687" s="59" t="s">
        <v>1637</v>
      </c>
      <c r="H687" s="108" t="s">
        <v>0</v>
      </c>
      <c r="I687" s="109" t="s">
        <v>0</v>
      </c>
      <c r="J687" s="109" t="s">
        <v>0</v>
      </c>
      <c r="K687" s="109" t="s">
        <v>0</v>
      </c>
      <c r="L687" s="109" t="s">
        <v>0</v>
      </c>
      <c r="M687" s="109" t="s">
        <v>0</v>
      </c>
      <c r="N687" s="110" t="s">
        <v>363</v>
      </c>
      <c r="O687" s="111"/>
      <c r="P687" s="112"/>
      <c r="Q687" s="112"/>
      <c r="R687" s="112"/>
      <c r="S687" s="112"/>
      <c r="T687" s="112"/>
      <c r="U687" s="95" t="str">
        <f t="shared" si="33"/>
        <v/>
      </c>
      <c r="V687" s="112"/>
      <c r="W687" s="112"/>
      <c r="X687" s="107">
        <v>100</v>
      </c>
      <c r="Y687" s="107">
        <f t="shared" si="34"/>
        <v>100</v>
      </c>
      <c r="Z687" s="107">
        <f t="shared" si="35"/>
        <v>0</v>
      </c>
    </row>
    <row r="688" spans="1:26" x14ac:dyDescent="0.25">
      <c r="A688" s="55" t="str">
        <f>_xlfn.XLOOKUP($G688,'.Auxiliar'!$G:$G,'.Auxiliar'!A:A,"-",0)</f>
        <v>RIO/MINAS</v>
      </c>
      <c r="B688" s="55" t="str">
        <f>_xlfn.XLOOKUP($G688,'.Auxiliar'!$G:$G,'.Auxiliar'!B:B,"-",0)</f>
        <v>FX ADICIONAL</v>
      </c>
      <c r="C688" s="55" t="str">
        <f>_xlfn.XLOOKUP($G688,'.Auxiliar'!$G:$G,'.Auxiliar'!C:C,"-",0)</f>
        <v>Decrescente</v>
      </c>
      <c r="D688" s="55">
        <f>_xlfn.XLOOKUP($G688,'.Auxiliar'!$G:$G,'.Auxiliar'!D:D,"-",0)</f>
        <v>574.6</v>
      </c>
      <c r="E688" s="55">
        <f>_xlfn.XLOOKUP($G688,'.Auxiliar'!$G:$G,'.Auxiliar'!E:E,"-",0)</f>
        <v>573.4</v>
      </c>
      <c r="F688" s="55">
        <f>_xlfn.XLOOKUP($G688,'.Auxiliar'!$G:$G,'.Auxiliar'!F:F,"-",0)</f>
        <v>1.2000000000000455</v>
      </c>
      <c r="G688" s="59" t="s">
        <v>1639</v>
      </c>
      <c r="H688" s="108" t="s">
        <v>0</v>
      </c>
      <c r="I688" s="109" t="s">
        <v>0</v>
      </c>
      <c r="J688" s="109" t="s">
        <v>0</v>
      </c>
      <c r="K688" s="109" t="s">
        <v>0</v>
      </c>
      <c r="L688" s="109" t="s">
        <v>0</v>
      </c>
      <c r="M688" s="109" t="s">
        <v>0</v>
      </c>
      <c r="N688" s="110" t="s">
        <v>363</v>
      </c>
      <c r="O688" s="111"/>
      <c r="P688" s="112"/>
      <c r="Q688" s="112"/>
      <c r="R688" s="112"/>
      <c r="S688" s="112"/>
      <c r="T688" s="112"/>
      <c r="U688" s="95" t="str">
        <f t="shared" si="33"/>
        <v/>
      </c>
      <c r="V688" s="112"/>
      <c r="W688" s="112"/>
      <c r="X688" s="107">
        <v>100</v>
      </c>
      <c r="Y688" s="107">
        <f t="shared" si="34"/>
        <v>100</v>
      </c>
      <c r="Z688" s="107">
        <f t="shared" si="35"/>
        <v>0</v>
      </c>
    </row>
    <row r="689" spans="1:26" x14ac:dyDescent="0.25">
      <c r="A689" s="55" t="str">
        <f>_xlfn.XLOOKUP($G689,'.Auxiliar'!$G:$G,'.Auxiliar'!A:A,"-",0)</f>
        <v>RIO/MINAS</v>
      </c>
      <c r="B689" s="55" t="str">
        <f>_xlfn.XLOOKUP($G689,'.Auxiliar'!$G:$G,'.Auxiliar'!B:B,"-",0)</f>
        <v>FX ADICIONAL</v>
      </c>
      <c r="C689" s="55" t="str">
        <f>_xlfn.XLOOKUP($G689,'.Auxiliar'!$G:$G,'.Auxiliar'!C:C,"-",0)</f>
        <v>Decrescente</v>
      </c>
      <c r="D689" s="55">
        <f>_xlfn.XLOOKUP($G689,'.Auxiliar'!$G:$G,'.Auxiliar'!D:D,"-",0)</f>
        <v>577</v>
      </c>
      <c r="E689" s="55">
        <f>_xlfn.XLOOKUP($G689,'.Auxiliar'!$G:$G,'.Auxiliar'!E:E,"-",0)</f>
        <v>575.79999999999995</v>
      </c>
      <c r="F689" s="55">
        <f>_xlfn.XLOOKUP($G689,'.Auxiliar'!$G:$G,'.Auxiliar'!F:F,"-",0)</f>
        <v>1.2000000000000455</v>
      </c>
      <c r="G689" s="59" t="s">
        <v>1641</v>
      </c>
      <c r="H689" s="108" t="s">
        <v>0</v>
      </c>
      <c r="I689" s="109" t="s">
        <v>0</v>
      </c>
      <c r="J689" s="109" t="s">
        <v>0</v>
      </c>
      <c r="K689" s="109" t="s">
        <v>0</v>
      </c>
      <c r="L689" s="109" t="s">
        <v>0</v>
      </c>
      <c r="M689" s="109" t="s">
        <v>0</v>
      </c>
      <c r="N689" s="110" t="s">
        <v>363</v>
      </c>
      <c r="O689" s="111"/>
      <c r="P689" s="112"/>
      <c r="Q689" s="112"/>
      <c r="R689" s="112"/>
      <c r="S689" s="112"/>
      <c r="T689" s="112"/>
      <c r="U689" s="95" t="str">
        <f t="shared" si="33"/>
        <v/>
      </c>
      <c r="V689" s="112"/>
      <c r="W689" s="112"/>
      <c r="X689" s="107">
        <v>100</v>
      </c>
      <c r="Y689" s="107">
        <f t="shared" si="34"/>
        <v>100</v>
      </c>
      <c r="Z689" s="107">
        <f t="shared" si="35"/>
        <v>0</v>
      </c>
    </row>
    <row r="690" spans="1:26" x14ac:dyDescent="0.25">
      <c r="A690" s="55" t="str">
        <f>_xlfn.XLOOKUP($G690,'.Auxiliar'!$G:$G,'.Auxiliar'!A:A,"-",0)</f>
        <v>RIO/MINAS</v>
      </c>
      <c r="B690" s="55" t="str">
        <f>_xlfn.XLOOKUP($G690,'.Auxiliar'!$G:$G,'.Auxiliar'!B:B,"-",0)</f>
        <v>FX ADICIONAL</v>
      </c>
      <c r="C690" s="55" t="str">
        <f>_xlfn.XLOOKUP($G690,'.Auxiliar'!$G:$G,'.Auxiliar'!C:C,"-",0)</f>
        <v>Decrescente</v>
      </c>
      <c r="D690" s="55">
        <f>_xlfn.XLOOKUP($G690,'.Auxiliar'!$G:$G,'.Auxiliar'!D:D,"-",0)</f>
        <v>579.4</v>
      </c>
      <c r="E690" s="55">
        <f>_xlfn.XLOOKUP($G690,'.Auxiliar'!$G:$G,'.Auxiliar'!E:E,"-",0)</f>
        <v>578.20500000000004</v>
      </c>
      <c r="F690" s="55">
        <f>_xlfn.XLOOKUP($G690,'.Auxiliar'!$G:$G,'.Auxiliar'!F:F,"-",0)</f>
        <v>1.1949999999999363</v>
      </c>
      <c r="G690" s="59" t="s">
        <v>1643</v>
      </c>
      <c r="H690" s="108" t="s">
        <v>0</v>
      </c>
      <c r="I690" s="109" t="s">
        <v>0</v>
      </c>
      <c r="J690" s="109" t="s">
        <v>0</v>
      </c>
      <c r="K690" s="109" t="s">
        <v>0</v>
      </c>
      <c r="L690" s="109" t="s">
        <v>0</v>
      </c>
      <c r="M690" s="109" t="s">
        <v>0</v>
      </c>
      <c r="N690" s="110" t="s">
        <v>363</v>
      </c>
      <c r="O690" s="111"/>
      <c r="P690" s="112"/>
      <c r="Q690" s="112"/>
      <c r="R690" s="112"/>
      <c r="S690" s="112"/>
      <c r="T690" s="112"/>
      <c r="U690" s="95" t="str">
        <f t="shared" si="33"/>
        <v/>
      </c>
      <c r="V690" s="112"/>
      <c r="W690" s="112"/>
      <c r="X690" s="107">
        <v>100</v>
      </c>
      <c r="Y690" s="107">
        <f t="shared" si="34"/>
        <v>100</v>
      </c>
      <c r="Z690" s="107">
        <f t="shared" si="35"/>
        <v>0</v>
      </c>
    </row>
    <row r="691" spans="1:26" x14ac:dyDescent="0.25">
      <c r="A691" s="55" t="str">
        <f>_xlfn.XLOOKUP($G691,'.Auxiliar'!$G:$G,'.Auxiliar'!A:A,"-",0)</f>
        <v>RIO/MINAS</v>
      </c>
      <c r="B691" s="55" t="str">
        <f>_xlfn.XLOOKUP($G691,'.Auxiliar'!$G:$G,'.Auxiliar'!B:B,"-",0)</f>
        <v>FX ADICIONAL</v>
      </c>
      <c r="C691" s="55" t="str">
        <f>_xlfn.XLOOKUP($G691,'.Auxiliar'!$G:$G,'.Auxiliar'!C:C,"-",0)</f>
        <v>Decrescente</v>
      </c>
      <c r="D691" s="55">
        <f>_xlfn.XLOOKUP($G691,'.Auxiliar'!$G:$G,'.Auxiliar'!D:D,"-",0)</f>
        <v>581.79999999999995</v>
      </c>
      <c r="E691" s="55">
        <f>_xlfn.XLOOKUP($G691,'.Auxiliar'!$G:$G,'.Auxiliar'!E:E,"-",0)</f>
        <v>580.6</v>
      </c>
      <c r="F691" s="55">
        <f>_xlfn.XLOOKUP($G691,'.Auxiliar'!$G:$G,'.Auxiliar'!F:F,"-",0)</f>
        <v>1.1999999999999318</v>
      </c>
      <c r="G691" s="59" t="s">
        <v>1645</v>
      </c>
      <c r="H691" s="108" t="s">
        <v>0</v>
      </c>
      <c r="I691" s="109" t="s">
        <v>0</v>
      </c>
      <c r="J691" s="109" t="s">
        <v>0</v>
      </c>
      <c r="K691" s="109" t="s">
        <v>0</v>
      </c>
      <c r="L691" s="109" t="s">
        <v>0</v>
      </c>
      <c r="M691" s="109" t="s">
        <v>0</v>
      </c>
      <c r="N691" s="110" t="s">
        <v>363</v>
      </c>
      <c r="O691" s="111"/>
      <c r="P691" s="112"/>
      <c r="Q691" s="112"/>
      <c r="R691" s="112"/>
      <c r="S691" s="112"/>
      <c r="T691" s="112"/>
      <c r="U691" s="95" t="str">
        <f t="shared" si="33"/>
        <v/>
      </c>
      <c r="V691" s="112"/>
      <c r="W691" s="112"/>
      <c r="X691" s="107">
        <v>100</v>
      </c>
      <c r="Y691" s="107">
        <f t="shared" si="34"/>
        <v>100</v>
      </c>
      <c r="Z691" s="107">
        <f t="shared" si="35"/>
        <v>0</v>
      </c>
    </row>
    <row r="692" spans="1:26" x14ac:dyDescent="0.25">
      <c r="A692" s="55" t="str">
        <f>_xlfn.XLOOKUP($G692,'.Auxiliar'!$G:$G,'.Auxiliar'!A:A,"-",0)</f>
        <v>RIO/MINAS</v>
      </c>
      <c r="B692" s="55" t="str">
        <f>_xlfn.XLOOKUP($G692,'.Auxiliar'!$G:$G,'.Auxiliar'!B:B,"-",0)</f>
        <v>FX ADICIONAL</v>
      </c>
      <c r="C692" s="55" t="str">
        <f>_xlfn.XLOOKUP($G692,'.Auxiliar'!$G:$G,'.Auxiliar'!C:C,"-",0)</f>
        <v>Decrescente</v>
      </c>
      <c r="D692" s="55">
        <f>_xlfn.XLOOKUP($G692,'.Auxiliar'!$G:$G,'.Auxiliar'!D:D,"-",0)</f>
        <v>584.20000000000005</v>
      </c>
      <c r="E692" s="55">
        <f>_xlfn.XLOOKUP($G692,'.Auxiliar'!$G:$G,'.Auxiliar'!E:E,"-",0)</f>
        <v>583</v>
      </c>
      <c r="F692" s="55">
        <f>_xlfn.XLOOKUP($G692,'.Auxiliar'!$G:$G,'.Auxiliar'!F:F,"-",0)</f>
        <v>1.2000000000000455</v>
      </c>
      <c r="G692" s="59" t="s">
        <v>1647</v>
      </c>
      <c r="H692" s="108" t="s">
        <v>0</v>
      </c>
      <c r="I692" s="109" t="s">
        <v>0</v>
      </c>
      <c r="J692" s="109" t="s">
        <v>0</v>
      </c>
      <c r="K692" s="109" t="s">
        <v>0</v>
      </c>
      <c r="L692" s="109" t="s">
        <v>0</v>
      </c>
      <c r="M692" s="109" t="s">
        <v>0</v>
      </c>
      <c r="N692" s="110" t="s">
        <v>363</v>
      </c>
      <c r="O692" s="111"/>
      <c r="P692" s="112"/>
      <c r="Q692" s="112"/>
      <c r="R692" s="112"/>
      <c r="S692" s="112"/>
      <c r="T692" s="112"/>
      <c r="U692" s="95" t="str">
        <f t="shared" si="33"/>
        <v/>
      </c>
      <c r="V692" s="112"/>
      <c r="W692" s="112"/>
      <c r="X692" s="107">
        <v>100</v>
      </c>
      <c r="Y692" s="107">
        <f t="shared" si="34"/>
        <v>100</v>
      </c>
      <c r="Z692" s="107">
        <f t="shared" si="35"/>
        <v>0</v>
      </c>
    </row>
    <row r="693" spans="1:26" x14ac:dyDescent="0.25">
      <c r="A693" s="55" t="str">
        <f>_xlfn.XLOOKUP($G693,'.Auxiliar'!$G:$G,'.Auxiliar'!A:A,"-",0)</f>
        <v>RIO/MINAS</v>
      </c>
      <c r="B693" s="55" t="str">
        <f>_xlfn.XLOOKUP($G693,'.Auxiliar'!$G:$G,'.Auxiliar'!B:B,"-",0)</f>
        <v>FX ADICIONAL</v>
      </c>
      <c r="C693" s="55" t="str">
        <f>_xlfn.XLOOKUP($G693,'.Auxiliar'!$G:$G,'.Auxiliar'!C:C,"-",0)</f>
        <v>Decrescente</v>
      </c>
      <c r="D693" s="55">
        <f>_xlfn.XLOOKUP($G693,'.Auxiliar'!$G:$G,'.Auxiliar'!D:D,"-",0)</f>
        <v>586.20000000000005</v>
      </c>
      <c r="E693" s="55">
        <f>_xlfn.XLOOKUP($G693,'.Auxiliar'!$G:$G,'.Auxiliar'!E:E,"-",0)</f>
        <v>585</v>
      </c>
      <c r="F693" s="55">
        <f>_xlfn.XLOOKUP($G693,'.Auxiliar'!$G:$G,'.Auxiliar'!F:F,"-",0)</f>
        <v>1.2000000000000455</v>
      </c>
      <c r="G693" s="59" t="s">
        <v>1649</v>
      </c>
      <c r="H693" s="108" t="s">
        <v>0</v>
      </c>
      <c r="I693" s="109" t="s">
        <v>0</v>
      </c>
      <c r="J693" s="109" t="s">
        <v>0</v>
      </c>
      <c r="K693" s="109" t="s">
        <v>0</v>
      </c>
      <c r="L693" s="109" t="s">
        <v>0</v>
      </c>
      <c r="M693" s="109" t="s">
        <v>0</v>
      </c>
      <c r="N693" s="110" t="s">
        <v>363</v>
      </c>
      <c r="O693" s="111"/>
      <c r="P693" s="112"/>
      <c r="Q693" s="112"/>
      <c r="R693" s="112"/>
      <c r="S693" s="112"/>
      <c r="T693" s="112"/>
      <c r="U693" s="95" t="str">
        <f t="shared" si="33"/>
        <v/>
      </c>
      <c r="V693" s="112"/>
      <c r="W693" s="112"/>
      <c r="X693" s="107">
        <v>100</v>
      </c>
      <c r="Y693" s="107">
        <f t="shared" si="34"/>
        <v>100</v>
      </c>
      <c r="Z693" s="107">
        <f t="shared" si="35"/>
        <v>0</v>
      </c>
    </row>
    <row r="694" spans="1:26" x14ac:dyDescent="0.25">
      <c r="A694" s="55" t="str">
        <f>_xlfn.XLOOKUP($G694,'.Auxiliar'!$G:$G,'.Auxiliar'!A:A,"-",0)</f>
        <v>RIO/MINAS</v>
      </c>
      <c r="B694" s="55" t="str">
        <f>_xlfn.XLOOKUP($G694,'.Auxiliar'!$G:$G,'.Auxiliar'!B:B,"-",0)</f>
        <v>FX ADICIONAL</v>
      </c>
      <c r="C694" s="55" t="str">
        <f>_xlfn.XLOOKUP($G694,'.Auxiliar'!$G:$G,'.Auxiliar'!C:C,"-",0)</f>
        <v>Decrescente</v>
      </c>
      <c r="D694" s="55">
        <f>_xlfn.XLOOKUP($G694,'.Auxiliar'!$G:$G,'.Auxiliar'!D:D,"-",0)</f>
        <v>593.9</v>
      </c>
      <c r="E694" s="55">
        <f>_xlfn.XLOOKUP($G694,'.Auxiliar'!$G:$G,'.Auxiliar'!E:E,"-",0)</f>
        <v>591</v>
      </c>
      <c r="F694" s="55">
        <f>_xlfn.XLOOKUP($G694,'.Auxiliar'!$G:$G,'.Auxiliar'!F:F,"-",0)</f>
        <v>2.8999999999999773</v>
      </c>
      <c r="G694" s="59" t="s">
        <v>1650</v>
      </c>
      <c r="H694" s="108" t="s">
        <v>0</v>
      </c>
      <c r="I694" s="109" t="s">
        <v>0</v>
      </c>
      <c r="J694" s="109" t="s">
        <v>0</v>
      </c>
      <c r="K694" s="109" t="s">
        <v>0</v>
      </c>
      <c r="L694" s="109" t="s">
        <v>0</v>
      </c>
      <c r="M694" s="109" t="s">
        <v>0</v>
      </c>
      <c r="N694" s="110" t="s">
        <v>363</v>
      </c>
      <c r="O694" s="111"/>
      <c r="P694" s="112"/>
      <c r="Q694" s="112"/>
      <c r="R694" s="112"/>
      <c r="S694" s="112"/>
      <c r="T694" s="112"/>
      <c r="U694" s="95" t="str">
        <f t="shared" si="33"/>
        <v/>
      </c>
      <c r="V694" s="112"/>
      <c r="W694" s="112"/>
      <c r="X694" s="107">
        <v>100</v>
      </c>
      <c r="Y694" s="107">
        <f t="shared" si="34"/>
        <v>100</v>
      </c>
      <c r="Z694" s="107">
        <f t="shared" si="35"/>
        <v>0</v>
      </c>
    </row>
    <row r="695" spans="1:26" x14ac:dyDescent="0.25">
      <c r="A695" s="55" t="str">
        <f>_xlfn.XLOOKUP($G695,'.Auxiliar'!$G:$G,'.Auxiliar'!A:A,"-",0)</f>
        <v>RIO/MINAS</v>
      </c>
      <c r="B695" s="55" t="str">
        <f>_xlfn.XLOOKUP($G695,'.Auxiliar'!$G:$G,'.Auxiliar'!B:B,"-",0)</f>
        <v>FX ADICIONAL</v>
      </c>
      <c r="C695" s="55" t="str">
        <f>_xlfn.XLOOKUP($G695,'.Auxiliar'!$G:$G,'.Auxiliar'!C:C,"-",0)</f>
        <v>Decrescente</v>
      </c>
      <c r="D695" s="55">
        <f>_xlfn.XLOOKUP($G695,'.Auxiliar'!$G:$G,'.Auxiliar'!D:D,"-",0)</f>
        <v>598.6</v>
      </c>
      <c r="E695" s="55">
        <f>_xlfn.XLOOKUP($G695,'.Auxiliar'!$G:$G,'.Auxiliar'!E:E,"-",0)</f>
        <v>597.4</v>
      </c>
      <c r="F695" s="55">
        <f>_xlfn.XLOOKUP($G695,'.Auxiliar'!$G:$G,'.Auxiliar'!F:F,"-",0)</f>
        <v>1.2000000000000455</v>
      </c>
      <c r="G695" s="59" t="s">
        <v>1652</v>
      </c>
      <c r="H695" s="108" t="s">
        <v>0</v>
      </c>
      <c r="I695" s="109" t="s">
        <v>0</v>
      </c>
      <c r="J695" s="109" t="s">
        <v>0</v>
      </c>
      <c r="K695" s="109" t="s">
        <v>0</v>
      </c>
      <c r="L695" s="109" t="s">
        <v>0</v>
      </c>
      <c r="M695" s="109" t="s">
        <v>0</v>
      </c>
      <c r="N695" s="110" t="s">
        <v>363</v>
      </c>
      <c r="O695" s="111"/>
      <c r="P695" s="112"/>
      <c r="Q695" s="112"/>
      <c r="R695" s="112"/>
      <c r="S695" s="112"/>
      <c r="T695" s="112"/>
      <c r="U695" s="95" t="str">
        <f t="shared" si="33"/>
        <v/>
      </c>
      <c r="V695" s="112"/>
      <c r="W695" s="112"/>
      <c r="X695" s="107">
        <v>100</v>
      </c>
      <c r="Y695" s="107">
        <f t="shared" si="34"/>
        <v>100</v>
      </c>
      <c r="Z695" s="107">
        <f t="shared" si="35"/>
        <v>0</v>
      </c>
    </row>
    <row r="696" spans="1:26" x14ac:dyDescent="0.25">
      <c r="A696" s="55" t="str">
        <f>_xlfn.XLOOKUP($G696,'.Auxiliar'!$G:$G,'.Auxiliar'!A:A,"-",0)</f>
        <v>RIO/MINAS</v>
      </c>
      <c r="B696" s="55" t="str">
        <f>_xlfn.XLOOKUP($G696,'.Auxiliar'!$G:$G,'.Auxiliar'!B:B,"-",0)</f>
        <v>FX ADICIONAL</v>
      </c>
      <c r="C696" s="55" t="str">
        <f>_xlfn.XLOOKUP($G696,'.Auxiliar'!$G:$G,'.Auxiliar'!C:C,"-",0)</f>
        <v>Decrescente</v>
      </c>
      <c r="D696" s="55">
        <f>_xlfn.XLOOKUP($G696,'.Auxiliar'!$G:$G,'.Auxiliar'!D:D,"-",0)</f>
        <v>603.29999999999995</v>
      </c>
      <c r="E696" s="55">
        <f>_xlfn.XLOOKUP($G696,'.Auxiliar'!$G:$G,'.Auxiliar'!E:E,"-",0)</f>
        <v>602.1</v>
      </c>
      <c r="F696" s="55">
        <f>_xlfn.XLOOKUP($G696,'.Auxiliar'!$G:$G,'.Auxiliar'!F:F,"-",0)</f>
        <v>1.1999999999999318</v>
      </c>
      <c r="G696" s="59" t="s">
        <v>1654</v>
      </c>
      <c r="H696" s="108" t="s">
        <v>0</v>
      </c>
      <c r="I696" s="109" t="s">
        <v>0</v>
      </c>
      <c r="J696" s="109" t="s">
        <v>0</v>
      </c>
      <c r="K696" s="109" t="s">
        <v>0</v>
      </c>
      <c r="L696" s="109" t="s">
        <v>0</v>
      </c>
      <c r="M696" s="109" t="s">
        <v>0</v>
      </c>
      <c r="N696" s="110" t="s">
        <v>363</v>
      </c>
      <c r="O696" s="111"/>
      <c r="P696" s="112"/>
      <c r="Q696" s="112"/>
      <c r="R696" s="112"/>
      <c r="S696" s="112"/>
      <c r="T696" s="112"/>
      <c r="U696" s="95" t="str">
        <f t="shared" si="33"/>
        <v/>
      </c>
      <c r="V696" s="112"/>
      <c r="W696" s="112"/>
      <c r="X696" s="107">
        <v>100</v>
      </c>
      <c r="Y696" s="107">
        <f t="shared" si="34"/>
        <v>100</v>
      </c>
      <c r="Z696" s="107">
        <f t="shared" si="35"/>
        <v>0</v>
      </c>
    </row>
    <row r="697" spans="1:26" x14ac:dyDescent="0.25">
      <c r="A697" s="55" t="str">
        <f>_xlfn.XLOOKUP($G697,'.Auxiliar'!$G:$G,'.Auxiliar'!A:A,"-",0)</f>
        <v>RIO/MINAS</v>
      </c>
      <c r="B697" s="55" t="str">
        <f>_xlfn.XLOOKUP($G697,'.Auxiliar'!$G:$G,'.Auxiliar'!B:B,"-",0)</f>
        <v>FX ADICIONAL</v>
      </c>
      <c r="C697" s="55" t="str">
        <f>_xlfn.XLOOKUP($G697,'.Auxiliar'!$G:$G,'.Auxiliar'!C:C,"-",0)</f>
        <v>Decrescente</v>
      </c>
      <c r="D697" s="55">
        <f>_xlfn.XLOOKUP($G697,'.Auxiliar'!$G:$G,'.Auxiliar'!D:D,"-",0)</f>
        <v>608</v>
      </c>
      <c r="E697" s="55">
        <f>_xlfn.XLOOKUP($G697,'.Auxiliar'!$G:$G,'.Auxiliar'!E:E,"-",0)</f>
        <v>606.79999999999995</v>
      </c>
      <c r="F697" s="55">
        <f>_xlfn.XLOOKUP($G697,'.Auxiliar'!$G:$G,'.Auxiliar'!F:F,"-",0)</f>
        <v>1.2000000000000455</v>
      </c>
      <c r="G697" s="59" t="s">
        <v>1656</v>
      </c>
      <c r="H697" s="108" t="s">
        <v>0</v>
      </c>
      <c r="I697" s="109" t="s">
        <v>0</v>
      </c>
      <c r="J697" s="109" t="s">
        <v>0</v>
      </c>
      <c r="K697" s="109" t="s">
        <v>0</v>
      </c>
      <c r="L697" s="109" t="s">
        <v>0</v>
      </c>
      <c r="M697" s="109" t="s">
        <v>0</v>
      </c>
      <c r="N697" s="110" t="s">
        <v>363</v>
      </c>
      <c r="O697" s="111"/>
      <c r="P697" s="112"/>
      <c r="Q697" s="112"/>
      <c r="R697" s="112"/>
      <c r="S697" s="112"/>
      <c r="T697" s="112"/>
      <c r="U697" s="95" t="str">
        <f t="shared" si="33"/>
        <v/>
      </c>
      <c r="V697" s="112"/>
      <c r="W697" s="112"/>
      <c r="X697" s="107">
        <v>100</v>
      </c>
      <c r="Y697" s="107">
        <f t="shared" si="34"/>
        <v>100</v>
      </c>
      <c r="Z697" s="107">
        <f t="shared" si="35"/>
        <v>0</v>
      </c>
    </row>
    <row r="698" spans="1:26" x14ac:dyDescent="0.25">
      <c r="A698" s="55" t="str">
        <f>_xlfn.XLOOKUP($G698,'.Auxiliar'!$G:$G,'.Auxiliar'!A:A,"-",0)</f>
        <v>RIO/MINAS</v>
      </c>
      <c r="B698" s="55" t="str">
        <f>_xlfn.XLOOKUP($G698,'.Auxiliar'!$G:$G,'.Auxiliar'!B:B,"-",0)</f>
        <v>FX ADICIONAL</v>
      </c>
      <c r="C698" s="55" t="str">
        <f>_xlfn.XLOOKUP($G698,'.Auxiliar'!$G:$G,'.Auxiliar'!C:C,"-",0)</f>
        <v>Decrescente</v>
      </c>
      <c r="D698" s="55">
        <f>_xlfn.XLOOKUP($G698,'.Auxiliar'!$G:$G,'.Auxiliar'!D:D,"-",0)</f>
        <v>609.20000000000005</v>
      </c>
      <c r="E698" s="55">
        <f>_xlfn.XLOOKUP($G698,'.Auxiliar'!$G:$G,'.Auxiliar'!E:E,"-",0)</f>
        <v>608</v>
      </c>
      <c r="F698" s="55">
        <f>_xlfn.XLOOKUP($G698,'.Auxiliar'!$G:$G,'.Auxiliar'!F:F,"-",0)</f>
        <v>1.2000000000000455</v>
      </c>
      <c r="G698" s="59" t="s">
        <v>1658</v>
      </c>
      <c r="H698" s="108" t="s">
        <v>0</v>
      </c>
      <c r="I698" s="109" t="s">
        <v>0</v>
      </c>
      <c r="J698" s="109" t="s">
        <v>0</v>
      </c>
      <c r="K698" s="109" t="s">
        <v>0</v>
      </c>
      <c r="L698" s="109" t="s">
        <v>0</v>
      </c>
      <c r="M698" s="109" t="s">
        <v>0</v>
      </c>
      <c r="N698" s="110" t="s">
        <v>363</v>
      </c>
      <c r="O698" s="111"/>
      <c r="P698" s="112"/>
      <c r="Q698" s="112"/>
      <c r="R698" s="112"/>
      <c r="S698" s="112"/>
      <c r="T698" s="112"/>
      <c r="U698" s="95" t="str">
        <f t="shared" si="33"/>
        <v/>
      </c>
      <c r="V698" s="112"/>
      <c r="W698" s="112"/>
      <c r="X698" s="107">
        <v>100</v>
      </c>
      <c r="Y698" s="107">
        <f t="shared" si="34"/>
        <v>100</v>
      </c>
      <c r="Z698" s="107">
        <f t="shared" si="35"/>
        <v>0</v>
      </c>
    </row>
    <row r="699" spans="1:26" x14ac:dyDescent="0.25">
      <c r="A699" s="55" t="str">
        <f>_xlfn.XLOOKUP($G699,'.Auxiliar'!$G:$G,'.Auxiliar'!A:A,"-",0)</f>
        <v>RIO/MINAS</v>
      </c>
      <c r="B699" s="55" t="str">
        <f>_xlfn.XLOOKUP($G699,'.Auxiliar'!$G:$G,'.Auxiliar'!B:B,"-",0)</f>
        <v>FX ADICIONAL</v>
      </c>
      <c r="C699" s="55" t="str">
        <f>_xlfn.XLOOKUP($G699,'.Auxiliar'!$G:$G,'.Auxiliar'!C:C,"-",0)</f>
        <v>Decrescente</v>
      </c>
      <c r="D699" s="55">
        <f>_xlfn.XLOOKUP($G699,'.Auxiliar'!$G:$G,'.Auxiliar'!D:D,"-",0)</f>
        <v>617</v>
      </c>
      <c r="E699" s="55">
        <f>_xlfn.XLOOKUP($G699,'.Auxiliar'!$G:$G,'.Auxiliar'!E:E,"-",0)</f>
        <v>615.5</v>
      </c>
      <c r="F699" s="55">
        <f>_xlfn.XLOOKUP($G699,'.Auxiliar'!$G:$G,'.Auxiliar'!F:F,"-",0)</f>
        <v>1.5</v>
      </c>
      <c r="G699" s="59" t="s">
        <v>1660</v>
      </c>
      <c r="H699" s="108" t="s">
        <v>0</v>
      </c>
      <c r="I699" s="109" t="s">
        <v>0</v>
      </c>
      <c r="J699" s="109" t="s">
        <v>0</v>
      </c>
      <c r="K699" s="109" t="s">
        <v>0</v>
      </c>
      <c r="L699" s="109" t="s">
        <v>0</v>
      </c>
      <c r="M699" s="109" t="s">
        <v>0</v>
      </c>
      <c r="N699" s="110" t="s">
        <v>363</v>
      </c>
      <c r="O699" s="111"/>
      <c r="P699" s="112"/>
      <c r="Q699" s="112"/>
      <c r="R699" s="112"/>
      <c r="S699" s="112"/>
      <c r="T699" s="112"/>
      <c r="U699" s="95" t="str">
        <f t="shared" si="33"/>
        <v/>
      </c>
      <c r="V699" s="112"/>
      <c r="W699" s="112"/>
      <c r="X699" s="107">
        <v>100</v>
      </c>
      <c r="Y699" s="107">
        <f t="shared" si="34"/>
        <v>100</v>
      </c>
      <c r="Z699" s="107">
        <f t="shared" si="35"/>
        <v>0</v>
      </c>
    </row>
    <row r="700" spans="1:26" x14ac:dyDescent="0.25">
      <c r="A700" s="55" t="str">
        <f>_xlfn.XLOOKUP($G700,'.Auxiliar'!$G:$G,'.Auxiliar'!A:A,"-",0)</f>
        <v>RIO/MINAS</v>
      </c>
      <c r="B700" s="55" t="str">
        <f>_xlfn.XLOOKUP($G700,'.Auxiliar'!$G:$G,'.Auxiliar'!B:B,"-",0)</f>
        <v>FX ADICIONAL</v>
      </c>
      <c r="C700" s="55" t="str">
        <f>_xlfn.XLOOKUP($G700,'.Auxiliar'!$G:$G,'.Auxiliar'!C:C,"-",0)</f>
        <v>Decrescente</v>
      </c>
      <c r="D700" s="55">
        <f>_xlfn.XLOOKUP($G700,'.Auxiliar'!$G:$G,'.Auxiliar'!D:D,"-",0)</f>
        <v>622.1</v>
      </c>
      <c r="E700" s="55">
        <f>_xlfn.XLOOKUP($G700,'.Auxiliar'!$G:$G,'.Auxiliar'!E:E,"-",0)</f>
        <v>620.9</v>
      </c>
      <c r="F700" s="55">
        <f>_xlfn.XLOOKUP($G700,'.Auxiliar'!$G:$G,'.Auxiliar'!F:F,"-",0)</f>
        <v>1.2000000000000455</v>
      </c>
      <c r="G700" s="59" t="s">
        <v>1662</v>
      </c>
      <c r="H700" s="108" t="s">
        <v>0</v>
      </c>
      <c r="I700" s="109" t="s">
        <v>0</v>
      </c>
      <c r="J700" s="109" t="s">
        <v>0</v>
      </c>
      <c r="K700" s="109" t="s">
        <v>0</v>
      </c>
      <c r="L700" s="109" t="s">
        <v>0</v>
      </c>
      <c r="M700" s="109" t="s">
        <v>0</v>
      </c>
      <c r="N700" s="110" t="s">
        <v>363</v>
      </c>
      <c r="O700" s="111"/>
      <c r="P700" s="112"/>
      <c r="Q700" s="112"/>
      <c r="R700" s="112"/>
      <c r="S700" s="112"/>
      <c r="T700" s="112"/>
      <c r="U700" s="95" t="str">
        <f t="shared" si="33"/>
        <v/>
      </c>
      <c r="V700" s="112"/>
      <c r="W700" s="112"/>
      <c r="X700" s="107">
        <v>100</v>
      </c>
      <c r="Y700" s="107">
        <f t="shared" si="34"/>
        <v>100</v>
      </c>
      <c r="Z700" s="107">
        <f t="shared" si="35"/>
        <v>0</v>
      </c>
    </row>
    <row r="701" spans="1:26" x14ac:dyDescent="0.25">
      <c r="A701" s="55" t="str">
        <f>_xlfn.XLOOKUP($G701,'.Auxiliar'!$G:$G,'.Auxiliar'!A:A,"-",0)</f>
        <v>RIO/MINAS</v>
      </c>
      <c r="B701" s="55" t="str">
        <f>_xlfn.XLOOKUP($G701,'.Auxiliar'!$G:$G,'.Auxiliar'!B:B,"-",0)</f>
        <v>FX ADICIONAL</v>
      </c>
      <c r="C701" s="55" t="str">
        <f>_xlfn.XLOOKUP($G701,'.Auxiliar'!$G:$G,'.Auxiliar'!C:C,"-",0)</f>
        <v>Decrescente</v>
      </c>
      <c r="D701" s="55">
        <f>_xlfn.XLOOKUP($G701,'.Auxiliar'!$G:$G,'.Auxiliar'!D:D,"-",0)</f>
        <v>627.20000000000005</v>
      </c>
      <c r="E701" s="55">
        <f>_xlfn.XLOOKUP($G701,'.Auxiliar'!$G:$G,'.Auxiliar'!E:E,"-",0)</f>
        <v>626</v>
      </c>
      <c r="F701" s="55">
        <f>_xlfn.XLOOKUP($G701,'.Auxiliar'!$G:$G,'.Auxiliar'!F:F,"-",0)</f>
        <v>1.2000000000000455</v>
      </c>
      <c r="G701" s="59" t="s">
        <v>1664</v>
      </c>
      <c r="H701" s="108" t="s">
        <v>0</v>
      </c>
      <c r="I701" s="109" t="s">
        <v>0</v>
      </c>
      <c r="J701" s="109" t="s">
        <v>0</v>
      </c>
      <c r="K701" s="109" t="s">
        <v>0</v>
      </c>
      <c r="L701" s="109" t="s">
        <v>0</v>
      </c>
      <c r="M701" s="109" t="s">
        <v>0</v>
      </c>
      <c r="N701" s="110" t="s">
        <v>363</v>
      </c>
      <c r="O701" s="111"/>
      <c r="P701" s="112"/>
      <c r="Q701" s="112"/>
      <c r="R701" s="112"/>
      <c r="S701" s="112"/>
      <c r="T701" s="112"/>
      <c r="U701" s="95" t="str">
        <f t="shared" si="33"/>
        <v/>
      </c>
      <c r="V701" s="112"/>
      <c r="W701" s="112"/>
      <c r="X701" s="107">
        <v>100</v>
      </c>
      <c r="Y701" s="107">
        <f t="shared" si="34"/>
        <v>100</v>
      </c>
      <c r="Z701" s="107">
        <f t="shared" si="35"/>
        <v>0</v>
      </c>
    </row>
    <row r="702" spans="1:26" x14ac:dyDescent="0.25">
      <c r="A702" s="55" t="str">
        <f>_xlfn.XLOOKUP($G702,'.Auxiliar'!$G:$G,'.Auxiliar'!A:A,"-",0)</f>
        <v>RIO/MINAS</v>
      </c>
      <c r="B702" s="55" t="str">
        <f>_xlfn.XLOOKUP($G702,'.Auxiliar'!$G:$G,'.Auxiliar'!B:B,"-",0)</f>
        <v>FX ADICIONAL</v>
      </c>
      <c r="C702" s="55" t="str">
        <f>_xlfn.XLOOKUP($G702,'.Auxiliar'!$G:$G,'.Auxiliar'!C:C,"-",0)</f>
        <v>Decrescente</v>
      </c>
      <c r="D702" s="55">
        <f>_xlfn.XLOOKUP($G702,'.Auxiliar'!$G:$G,'.Auxiliar'!D:D,"-",0)</f>
        <v>636.5</v>
      </c>
      <c r="E702" s="55">
        <f>_xlfn.XLOOKUP($G702,'.Auxiliar'!$G:$G,'.Auxiliar'!E:E,"-",0)</f>
        <v>635.19500000000005</v>
      </c>
      <c r="F702" s="55">
        <f>_xlfn.XLOOKUP($G702,'.Auxiliar'!$G:$G,'.Auxiliar'!F:F,"-",0)</f>
        <v>1.30499999999995</v>
      </c>
      <c r="G702" s="59" t="s">
        <v>1667</v>
      </c>
      <c r="H702" s="108" t="s">
        <v>0</v>
      </c>
      <c r="I702" s="109" t="s">
        <v>0</v>
      </c>
      <c r="J702" s="109" t="s">
        <v>0</v>
      </c>
      <c r="K702" s="109" t="s">
        <v>0</v>
      </c>
      <c r="L702" s="109" t="s">
        <v>0</v>
      </c>
      <c r="M702" s="109" t="s">
        <v>0</v>
      </c>
      <c r="N702" s="110" t="s">
        <v>363</v>
      </c>
      <c r="O702" s="111"/>
      <c r="P702" s="112"/>
      <c r="Q702" s="112"/>
      <c r="R702" s="112"/>
      <c r="S702" s="112"/>
      <c r="T702" s="112"/>
      <c r="U702" s="95" t="str">
        <f t="shared" si="33"/>
        <v/>
      </c>
      <c r="V702" s="112"/>
      <c r="W702" s="112"/>
      <c r="X702" s="107">
        <v>100</v>
      </c>
      <c r="Y702" s="107">
        <f t="shared" si="34"/>
        <v>100</v>
      </c>
      <c r="Z702" s="107">
        <f t="shared" si="35"/>
        <v>0</v>
      </c>
    </row>
    <row r="703" spans="1:26" x14ac:dyDescent="0.25">
      <c r="A703" s="55" t="str">
        <f>_xlfn.XLOOKUP($G703,'.Auxiliar'!$G:$G,'.Auxiliar'!A:A,"-",0)</f>
        <v>RIO/MINAS</v>
      </c>
      <c r="B703" s="55" t="str">
        <f>_xlfn.XLOOKUP($G703,'.Auxiliar'!$G:$G,'.Auxiliar'!B:B,"-",0)</f>
        <v>FX ADICIONAL</v>
      </c>
      <c r="C703" s="55" t="str">
        <f>_xlfn.XLOOKUP($G703,'.Auxiliar'!$G:$G,'.Auxiliar'!C:C,"-",0)</f>
        <v>Decrescente</v>
      </c>
      <c r="D703" s="55">
        <f>_xlfn.XLOOKUP($G703,'.Auxiliar'!$G:$G,'.Auxiliar'!D:D,"-",0)</f>
        <v>645</v>
      </c>
      <c r="E703" s="55">
        <f>_xlfn.XLOOKUP($G703,'.Auxiliar'!$G:$G,'.Auxiliar'!E:E,"-",0)</f>
        <v>643.79999999999995</v>
      </c>
      <c r="F703" s="55">
        <f>_xlfn.XLOOKUP($G703,'.Auxiliar'!$G:$G,'.Auxiliar'!F:F,"-",0)</f>
        <v>1.2000000000000455</v>
      </c>
      <c r="G703" s="59" t="s">
        <v>1670</v>
      </c>
      <c r="H703" s="108" t="s">
        <v>0</v>
      </c>
      <c r="I703" s="109" t="s">
        <v>0</v>
      </c>
      <c r="J703" s="109" t="s">
        <v>0</v>
      </c>
      <c r="K703" s="109" t="s">
        <v>0</v>
      </c>
      <c r="L703" s="109" t="s">
        <v>0</v>
      </c>
      <c r="M703" s="109" t="s">
        <v>0</v>
      </c>
      <c r="N703" s="110" t="s">
        <v>363</v>
      </c>
      <c r="O703" s="111"/>
      <c r="P703" s="112"/>
      <c r="Q703" s="112"/>
      <c r="R703" s="112"/>
      <c r="S703" s="112"/>
      <c r="T703" s="112"/>
      <c r="U703" s="95" t="str">
        <f t="shared" si="33"/>
        <v/>
      </c>
      <c r="V703" s="112"/>
      <c r="W703" s="112"/>
      <c r="X703" s="107">
        <v>100</v>
      </c>
      <c r="Y703" s="107">
        <f t="shared" si="34"/>
        <v>100</v>
      </c>
      <c r="Z703" s="107">
        <f t="shared" si="35"/>
        <v>0</v>
      </c>
    </row>
    <row r="704" spans="1:26" x14ac:dyDescent="0.25">
      <c r="A704" s="55" t="str">
        <f>_xlfn.XLOOKUP($G704,'.Auxiliar'!$G:$G,'.Auxiliar'!A:A,"-",0)</f>
        <v>RIO/MINAS</v>
      </c>
      <c r="B704" s="55" t="str">
        <f>_xlfn.XLOOKUP($G704,'.Auxiliar'!$G:$G,'.Auxiliar'!B:B,"-",0)</f>
        <v>FX ADICIONAL</v>
      </c>
      <c r="C704" s="55" t="str">
        <f>_xlfn.XLOOKUP($G704,'.Auxiliar'!$G:$G,'.Auxiliar'!C:C,"-",0)</f>
        <v>Decrescente</v>
      </c>
      <c r="D704" s="55">
        <f>_xlfn.XLOOKUP($G704,'.Auxiliar'!$G:$G,'.Auxiliar'!D:D,"-",0)</f>
        <v>648</v>
      </c>
      <c r="E704" s="55">
        <f>_xlfn.XLOOKUP($G704,'.Auxiliar'!$G:$G,'.Auxiliar'!E:E,"-",0)</f>
        <v>646.79999999999995</v>
      </c>
      <c r="F704" s="55">
        <f>_xlfn.XLOOKUP($G704,'.Auxiliar'!$G:$G,'.Auxiliar'!F:F,"-",0)</f>
        <v>1.2000000000000455</v>
      </c>
      <c r="G704" s="59" t="s">
        <v>1672</v>
      </c>
      <c r="H704" s="108" t="s">
        <v>0</v>
      </c>
      <c r="I704" s="109" t="s">
        <v>0</v>
      </c>
      <c r="J704" s="109" t="s">
        <v>0</v>
      </c>
      <c r="K704" s="109" t="s">
        <v>0</v>
      </c>
      <c r="L704" s="109" t="s">
        <v>0</v>
      </c>
      <c r="M704" s="109" t="s">
        <v>0</v>
      </c>
      <c r="N704" s="110" t="s">
        <v>363</v>
      </c>
      <c r="O704" s="111"/>
      <c r="P704" s="112"/>
      <c r="Q704" s="112"/>
      <c r="R704" s="112"/>
      <c r="S704" s="112"/>
      <c r="T704" s="112"/>
      <c r="U704" s="95" t="str">
        <f t="shared" si="33"/>
        <v/>
      </c>
      <c r="V704" s="112"/>
      <c r="W704" s="112"/>
      <c r="X704" s="107">
        <v>100</v>
      </c>
      <c r="Y704" s="107">
        <f t="shared" si="34"/>
        <v>100</v>
      </c>
      <c r="Z704" s="107">
        <f t="shared" si="35"/>
        <v>0</v>
      </c>
    </row>
    <row r="705" spans="1:26" x14ac:dyDescent="0.25">
      <c r="A705" s="55" t="str">
        <f>_xlfn.XLOOKUP($G705,'.Auxiliar'!$G:$G,'.Auxiliar'!A:A,"-",0)</f>
        <v>RIO/MINAS</v>
      </c>
      <c r="B705" s="55" t="str">
        <f>_xlfn.XLOOKUP($G705,'.Auxiliar'!$G:$G,'.Auxiliar'!B:B,"-",0)</f>
        <v>FX ADICIONAL</v>
      </c>
      <c r="C705" s="55" t="str">
        <f>_xlfn.XLOOKUP($G705,'.Auxiliar'!$G:$G,'.Auxiliar'!C:C,"-",0)</f>
        <v>Decrescente</v>
      </c>
      <c r="D705" s="55">
        <f>_xlfn.XLOOKUP($G705,'.Auxiliar'!$G:$G,'.Auxiliar'!D:D,"-",0)</f>
        <v>651.29999999999995</v>
      </c>
      <c r="E705" s="55">
        <f>_xlfn.XLOOKUP($G705,'.Auxiliar'!$G:$G,'.Auxiliar'!E:E,"-",0)</f>
        <v>650.1</v>
      </c>
      <c r="F705" s="55">
        <f>_xlfn.XLOOKUP($G705,'.Auxiliar'!$G:$G,'.Auxiliar'!F:F,"-",0)</f>
        <v>1.1999999999999318</v>
      </c>
      <c r="G705" s="59" t="s">
        <v>1674</v>
      </c>
      <c r="H705" s="108" t="s">
        <v>0</v>
      </c>
      <c r="I705" s="109" t="s">
        <v>0</v>
      </c>
      <c r="J705" s="109" t="s">
        <v>0</v>
      </c>
      <c r="K705" s="109" t="s">
        <v>0</v>
      </c>
      <c r="L705" s="109" t="s">
        <v>0</v>
      </c>
      <c r="M705" s="109" t="s">
        <v>0</v>
      </c>
      <c r="N705" s="110" t="s">
        <v>363</v>
      </c>
      <c r="O705" s="111"/>
      <c r="P705" s="112"/>
      <c r="Q705" s="112"/>
      <c r="R705" s="112"/>
      <c r="S705" s="112"/>
      <c r="T705" s="112"/>
      <c r="U705" s="95" t="str">
        <f t="shared" si="33"/>
        <v/>
      </c>
      <c r="V705" s="112"/>
      <c r="W705" s="112"/>
      <c r="X705" s="107">
        <v>100</v>
      </c>
      <c r="Y705" s="107">
        <f t="shared" si="34"/>
        <v>100</v>
      </c>
      <c r="Z705" s="107">
        <f t="shared" si="35"/>
        <v>0</v>
      </c>
    </row>
    <row r="706" spans="1:26" x14ac:dyDescent="0.25">
      <c r="A706" s="55" t="str">
        <f>_xlfn.XLOOKUP($G706,'.Auxiliar'!$G:$G,'.Auxiliar'!A:A,"-",0)</f>
        <v>RIO/MINAS</v>
      </c>
      <c r="B706" s="55" t="str">
        <f>_xlfn.XLOOKUP($G706,'.Auxiliar'!$G:$G,'.Auxiliar'!B:B,"-",0)</f>
        <v>FX ADICIONAL</v>
      </c>
      <c r="C706" s="55" t="str">
        <f>_xlfn.XLOOKUP($G706,'.Auxiliar'!$G:$G,'.Auxiliar'!C:C,"-",0)</f>
        <v>Decrescente</v>
      </c>
      <c r="D706" s="55">
        <f>_xlfn.XLOOKUP($G706,'.Auxiliar'!$G:$G,'.Auxiliar'!D:D,"-",0)</f>
        <v>652.5</v>
      </c>
      <c r="E706" s="55">
        <f>_xlfn.XLOOKUP($G706,'.Auxiliar'!$G:$G,'.Auxiliar'!E:E,"-",0)</f>
        <v>652.25</v>
      </c>
      <c r="F706" s="55">
        <f>_xlfn.XLOOKUP($G706,'.Auxiliar'!$G:$G,'.Auxiliar'!F:F,"-",0)</f>
        <v>0.25</v>
      </c>
      <c r="G706" s="59" t="s">
        <v>1675</v>
      </c>
      <c r="H706" s="108" t="s">
        <v>0</v>
      </c>
      <c r="I706" s="109" t="s">
        <v>0</v>
      </c>
      <c r="J706" s="109" t="s">
        <v>0</v>
      </c>
      <c r="K706" s="109" t="s">
        <v>0</v>
      </c>
      <c r="L706" s="109" t="s">
        <v>0</v>
      </c>
      <c r="M706" s="109" t="s">
        <v>0</v>
      </c>
      <c r="N706" s="110" t="s">
        <v>363</v>
      </c>
      <c r="O706" s="111"/>
      <c r="P706" s="112"/>
      <c r="Q706" s="112"/>
      <c r="R706" s="112"/>
      <c r="S706" s="112"/>
      <c r="T706" s="112"/>
      <c r="U706" s="95" t="str">
        <f t="shared" si="33"/>
        <v/>
      </c>
      <c r="V706" s="112"/>
      <c r="W706" s="112"/>
      <c r="X706" s="107">
        <v>100</v>
      </c>
      <c r="Y706" s="107">
        <f t="shared" si="34"/>
        <v>100</v>
      </c>
      <c r="Z706" s="107">
        <f t="shared" si="35"/>
        <v>0</v>
      </c>
    </row>
    <row r="707" spans="1:26" x14ac:dyDescent="0.25">
      <c r="A707" s="55" t="str">
        <f>_xlfn.XLOOKUP($G707,'.Auxiliar'!$G:$G,'.Auxiliar'!A:A,"-",0)</f>
        <v>RIO/MINAS</v>
      </c>
      <c r="B707" s="55" t="str">
        <f>_xlfn.XLOOKUP($G707,'.Auxiliar'!$G:$G,'.Auxiliar'!B:B,"-",0)</f>
        <v>FX ADICIONAL</v>
      </c>
      <c r="C707" s="55" t="str">
        <f>_xlfn.XLOOKUP($G707,'.Auxiliar'!$G:$G,'.Auxiliar'!C:C,"-",0)</f>
        <v>Decrescente</v>
      </c>
      <c r="D707" s="55">
        <f>_xlfn.XLOOKUP($G707,'.Auxiliar'!$G:$G,'.Auxiliar'!D:D,"-",0)</f>
        <v>669.9</v>
      </c>
      <c r="E707" s="55">
        <f>_xlfn.XLOOKUP($G707,'.Auxiliar'!$G:$G,'.Auxiliar'!E:E,"-",0)</f>
        <v>668</v>
      </c>
      <c r="F707" s="55">
        <f>_xlfn.XLOOKUP($G707,'.Auxiliar'!$G:$G,'.Auxiliar'!F:F,"-",0)</f>
        <v>1.8999999999999773</v>
      </c>
      <c r="G707" s="59" t="s">
        <v>1679</v>
      </c>
      <c r="H707" s="108" t="s">
        <v>0</v>
      </c>
      <c r="I707" s="109" t="s">
        <v>0</v>
      </c>
      <c r="J707" s="109" t="s">
        <v>0</v>
      </c>
      <c r="K707" s="109" t="s">
        <v>0</v>
      </c>
      <c r="L707" s="109" t="s">
        <v>0</v>
      </c>
      <c r="M707" s="109" t="s">
        <v>0</v>
      </c>
      <c r="N707" s="110" t="s">
        <v>363</v>
      </c>
      <c r="O707" s="111"/>
      <c r="P707" s="112"/>
      <c r="Q707" s="112"/>
      <c r="R707" s="112"/>
      <c r="S707" s="112"/>
      <c r="T707" s="112"/>
      <c r="U707" s="95" t="str">
        <f t="shared" ref="U707:U770" si="36">IF(SUM(V707:X707)=100,"",100-(P707+R707))</f>
        <v/>
      </c>
      <c r="V707" s="112"/>
      <c r="W707" s="112"/>
      <c r="X707" s="107">
        <v>100</v>
      </c>
      <c r="Y707" s="107">
        <f t="shared" ref="Y707:Y770" si="37">SUM(P707,R707,S707,V707,W707,X707)</f>
        <v>100</v>
      </c>
      <c r="Z707" s="107">
        <f t="shared" ref="Z707:Z770" si="38">SUM(P707,R707,T707)</f>
        <v>0</v>
      </c>
    </row>
    <row r="708" spans="1:26" x14ac:dyDescent="0.25">
      <c r="A708" s="55" t="str">
        <f>_xlfn.XLOOKUP($G708,'.Auxiliar'!$G:$G,'.Auxiliar'!A:A,"-",0)</f>
        <v>RIO/MINAS</v>
      </c>
      <c r="B708" s="55" t="str">
        <f>_xlfn.XLOOKUP($G708,'.Auxiliar'!$G:$G,'.Auxiliar'!B:B,"-",0)</f>
        <v>FX ADICIONAL</v>
      </c>
      <c r="C708" s="55" t="str">
        <f>_xlfn.XLOOKUP($G708,'.Auxiliar'!$G:$G,'.Auxiliar'!C:C,"-",0)</f>
        <v>Decrescente</v>
      </c>
      <c r="D708" s="55">
        <f>_xlfn.XLOOKUP($G708,'.Auxiliar'!$G:$G,'.Auxiliar'!D:D,"-",0)</f>
        <v>674.2</v>
      </c>
      <c r="E708" s="55">
        <f>_xlfn.XLOOKUP($G708,'.Auxiliar'!$G:$G,'.Auxiliar'!E:E,"-",0)</f>
        <v>673</v>
      </c>
      <c r="F708" s="55">
        <f>_xlfn.XLOOKUP($G708,'.Auxiliar'!$G:$G,'.Auxiliar'!F:F,"-",0)</f>
        <v>1.2000000000000455</v>
      </c>
      <c r="G708" s="59" t="s">
        <v>1681</v>
      </c>
      <c r="H708" s="108" t="s">
        <v>0</v>
      </c>
      <c r="I708" s="109" t="s">
        <v>0</v>
      </c>
      <c r="J708" s="109" t="s">
        <v>0</v>
      </c>
      <c r="K708" s="109" t="s">
        <v>0</v>
      </c>
      <c r="L708" s="109" t="s">
        <v>0</v>
      </c>
      <c r="M708" s="109" t="s">
        <v>0</v>
      </c>
      <c r="N708" s="110" t="s">
        <v>363</v>
      </c>
      <c r="O708" s="111"/>
      <c r="P708" s="112"/>
      <c r="Q708" s="112"/>
      <c r="R708" s="112"/>
      <c r="S708" s="112"/>
      <c r="T708" s="112"/>
      <c r="U708" s="95" t="str">
        <f t="shared" si="36"/>
        <v/>
      </c>
      <c r="V708" s="112"/>
      <c r="W708" s="112"/>
      <c r="X708" s="107">
        <v>100</v>
      </c>
      <c r="Y708" s="107">
        <f t="shared" si="37"/>
        <v>100</v>
      </c>
      <c r="Z708" s="107">
        <f t="shared" si="38"/>
        <v>0</v>
      </c>
    </row>
    <row r="709" spans="1:26" x14ac:dyDescent="0.25">
      <c r="A709" s="55" t="str">
        <f>_xlfn.XLOOKUP($G709,'.Auxiliar'!$G:$G,'.Auxiliar'!A:A,"-",0)</f>
        <v>RIO/MINAS</v>
      </c>
      <c r="B709" s="55" t="str">
        <f>_xlfn.XLOOKUP($G709,'.Auxiliar'!$G:$G,'.Auxiliar'!B:B,"-",0)</f>
        <v>FX ADICIONAL</v>
      </c>
      <c r="C709" s="55" t="str">
        <f>_xlfn.XLOOKUP($G709,'.Auxiliar'!$G:$G,'.Auxiliar'!C:C,"-",0)</f>
        <v>Decrescente</v>
      </c>
      <c r="D709" s="55">
        <f>_xlfn.XLOOKUP($G709,'.Auxiliar'!$G:$G,'.Auxiliar'!D:D,"-",0)</f>
        <v>678.5</v>
      </c>
      <c r="E709" s="55">
        <f>_xlfn.XLOOKUP($G709,'.Auxiliar'!$G:$G,'.Auxiliar'!E:E,"-",0)</f>
        <v>677.3</v>
      </c>
      <c r="F709" s="55">
        <f>_xlfn.XLOOKUP($G709,'.Auxiliar'!$G:$G,'.Auxiliar'!F:F,"-",0)</f>
        <v>1.2000000000000455</v>
      </c>
      <c r="G709" s="59" t="s">
        <v>1683</v>
      </c>
      <c r="H709" s="108" t="s">
        <v>0</v>
      </c>
      <c r="I709" s="109" t="s">
        <v>0</v>
      </c>
      <c r="J709" s="109" t="s">
        <v>0</v>
      </c>
      <c r="K709" s="109" t="s">
        <v>0</v>
      </c>
      <c r="L709" s="109" t="s">
        <v>0</v>
      </c>
      <c r="M709" s="109" t="s">
        <v>0</v>
      </c>
      <c r="N709" s="110" t="s">
        <v>363</v>
      </c>
      <c r="O709" s="111"/>
      <c r="P709" s="112"/>
      <c r="Q709" s="112"/>
      <c r="R709" s="112"/>
      <c r="S709" s="112"/>
      <c r="T709" s="112"/>
      <c r="U709" s="95" t="str">
        <f t="shared" si="36"/>
        <v/>
      </c>
      <c r="V709" s="112"/>
      <c r="W709" s="112"/>
      <c r="X709" s="107">
        <v>100</v>
      </c>
      <c r="Y709" s="107">
        <f t="shared" si="37"/>
        <v>100</v>
      </c>
      <c r="Z709" s="107">
        <f t="shared" si="38"/>
        <v>0</v>
      </c>
    </row>
    <row r="710" spans="1:26" x14ac:dyDescent="0.25">
      <c r="A710" s="55" t="str">
        <f>_xlfn.XLOOKUP($G710,'.Auxiliar'!$G:$G,'.Auxiliar'!A:A,"-",0)</f>
        <v>RIO/MINAS</v>
      </c>
      <c r="B710" s="55" t="str">
        <f>_xlfn.XLOOKUP($G710,'.Auxiliar'!$G:$G,'.Auxiliar'!B:B,"-",0)</f>
        <v>FX ADICIONAL</v>
      </c>
      <c r="C710" s="55" t="str">
        <f>_xlfn.XLOOKUP($G710,'.Auxiliar'!$G:$G,'.Auxiliar'!C:C,"-",0)</f>
        <v>Decrescente</v>
      </c>
      <c r="D710" s="55">
        <f>_xlfn.XLOOKUP($G710,'.Auxiliar'!$G:$G,'.Auxiliar'!D:D,"-",0)</f>
        <v>682.8</v>
      </c>
      <c r="E710" s="55">
        <f>_xlfn.XLOOKUP($G710,'.Auxiliar'!$G:$G,'.Auxiliar'!E:E,"-",0)</f>
        <v>681.6</v>
      </c>
      <c r="F710" s="55">
        <f>_xlfn.XLOOKUP($G710,'.Auxiliar'!$G:$G,'.Auxiliar'!F:F,"-",0)</f>
        <v>1.1999999999999318</v>
      </c>
      <c r="G710" s="59" t="s">
        <v>1685</v>
      </c>
      <c r="H710" s="108" t="s">
        <v>0</v>
      </c>
      <c r="I710" s="109" t="s">
        <v>0</v>
      </c>
      <c r="J710" s="109" t="s">
        <v>0</v>
      </c>
      <c r="K710" s="109" t="s">
        <v>0</v>
      </c>
      <c r="L710" s="109" t="s">
        <v>0</v>
      </c>
      <c r="M710" s="109" t="s">
        <v>0</v>
      </c>
      <c r="N710" s="110" t="s">
        <v>363</v>
      </c>
      <c r="O710" s="111"/>
      <c r="P710" s="112"/>
      <c r="Q710" s="112"/>
      <c r="R710" s="112"/>
      <c r="S710" s="112"/>
      <c r="T710" s="112"/>
      <c r="U710" s="95" t="str">
        <f t="shared" si="36"/>
        <v/>
      </c>
      <c r="V710" s="112"/>
      <c r="W710" s="112"/>
      <c r="X710" s="107">
        <v>100</v>
      </c>
      <c r="Y710" s="107">
        <f t="shared" si="37"/>
        <v>100</v>
      </c>
      <c r="Z710" s="107">
        <f t="shared" si="38"/>
        <v>0</v>
      </c>
    </row>
    <row r="711" spans="1:26" x14ac:dyDescent="0.25">
      <c r="A711" s="55" t="str">
        <f>_xlfn.XLOOKUP($G711,'.Auxiliar'!$G:$G,'.Auxiliar'!A:A,"-",0)</f>
        <v>RIO/MINAS</v>
      </c>
      <c r="B711" s="55" t="str">
        <f>_xlfn.XLOOKUP($G711,'.Auxiliar'!$G:$G,'.Auxiliar'!B:B,"-",0)</f>
        <v>FX ADICIONAL</v>
      </c>
      <c r="C711" s="55" t="str">
        <f>_xlfn.XLOOKUP($G711,'.Auxiliar'!$G:$G,'.Auxiliar'!C:C,"-",0)</f>
        <v>Decrescente</v>
      </c>
      <c r="D711" s="55">
        <f>_xlfn.XLOOKUP($G711,'.Auxiliar'!$G:$G,'.Auxiliar'!D:D,"-",0)</f>
        <v>687.1</v>
      </c>
      <c r="E711" s="55">
        <f>_xlfn.XLOOKUP($G711,'.Auxiliar'!$G:$G,'.Auxiliar'!E:E,"-",0)</f>
        <v>685.9</v>
      </c>
      <c r="F711" s="55">
        <f>_xlfn.XLOOKUP($G711,'.Auxiliar'!$G:$G,'.Auxiliar'!F:F,"-",0)</f>
        <v>1.2000000000000455</v>
      </c>
      <c r="G711" s="59" t="s">
        <v>1687</v>
      </c>
      <c r="H711" s="108" t="s">
        <v>0</v>
      </c>
      <c r="I711" s="109" t="s">
        <v>0</v>
      </c>
      <c r="J711" s="109" t="s">
        <v>0</v>
      </c>
      <c r="K711" s="109" t="s">
        <v>0</v>
      </c>
      <c r="L711" s="109" t="s">
        <v>0</v>
      </c>
      <c r="M711" s="109" t="s">
        <v>0</v>
      </c>
      <c r="N711" s="110" t="s">
        <v>363</v>
      </c>
      <c r="O711" s="111"/>
      <c r="P711" s="112"/>
      <c r="Q711" s="112"/>
      <c r="R711" s="112"/>
      <c r="S711" s="112"/>
      <c r="T711" s="112"/>
      <c r="U711" s="95" t="str">
        <f t="shared" si="36"/>
        <v/>
      </c>
      <c r="V711" s="112"/>
      <c r="W711" s="112"/>
      <c r="X711" s="107">
        <v>100</v>
      </c>
      <c r="Y711" s="107">
        <f t="shared" si="37"/>
        <v>100</v>
      </c>
      <c r="Z711" s="107">
        <f t="shared" si="38"/>
        <v>0</v>
      </c>
    </row>
    <row r="712" spans="1:26" x14ac:dyDescent="0.25">
      <c r="A712" s="55" t="str">
        <f>_xlfn.XLOOKUP($G712,'.Auxiliar'!$G:$G,'.Auxiliar'!A:A,"-",0)</f>
        <v>RIO/MINAS</v>
      </c>
      <c r="B712" s="55" t="str">
        <f>_xlfn.XLOOKUP($G712,'.Auxiliar'!$G:$G,'.Auxiliar'!B:B,"-",0)</f>
        <v>FX ADICIONAL</v>
      </c>
      <c r="C712" s="55" t="str">
        <f>_xlfn.XLOOKUP($G712,'.Auxiliar'!$G:$G,'.Auxiliar'!C:C,"-",0)</f>
        <v>Decrescente</v>
      </c>
      <c r="D712" s="55">
        <f>_xlfn.XLOOKUP($G712,'.Auxiliar'!$G:$G,'.Auxiliar'!D:D,"-",0)</f>
        <v>691.1</v>
      </c>
      <c r="E712" s="55">
        <f>_xlfn.XLOOKUP($G712,'.Auxiliar'!$G:$G,'.Auxiliar'!E:E,"-",0)</f>
        <v>689.9</v>
      </c>
      <c r="F712" s="55">
        <f>_xlfn.XLOOKUP($G712,'.Auxiliar'!$G:$G,'.Auxiliar'!F:F,"-",0)</f>
        <v>1.2000000000000455</v>
      </c>
      <c r="G712" s="59" t="s">
        <v>1688</v>
      </c>
      <c r="H712" s="108" t="s">
        <v>0</v>
      </c>
      <c r="I712" s="109" t="s">
        <v>0</v>
      </c>
      <c r="J712" s="109" t="s">
        <v>0</v>
      </c>
      <c r="K712" s="109" t="s">
        <v>0</v>
      </c>
      <c r="L712" s="109" t="s">
        <v>0</v>
      </c>
      <c r="M712" s="109" t="s">
        <v>0</v>
      </c>
      <c r="N712" s="110" t="s">
        <v>363</v>
      </c>
      <c r="O712" s="111"/>
      <c r="P712" s="112"/>
      <c r="Q712" s="112"/>
      <c r="R712" s="112"/>
      <c r="S712" s="112"/>
      <c r="T712" s="112"/>
      <c r="U712" s="95" t="str">
        <f t="shared" si="36"/>
        <v/>
      </c>
      <c r="V712" s="112"/>
      <c r="W712" s="112"/>
      <c r="X712" s="107">
        <v>100</v>
      </c>
      <c r="Y712" s="107">
        <f t="shared" si="37"/>
        <v>100</v>
      </c>
      <c r="Z712" s="107">
        <f t="shared" si="38"/>
        <v>0</v>
      </c>
    </row>
    <row r="713" spans="1:26" x14ac:dyDescent="0.25">
      <c r="A713" s="55" t="str">
        <f>_xlfn.XLOOKUP($G713,'.Auxiliar'!$G:$G,'.Auxiliar'!A:A,"-",0)</f>
        <v>RIO/MINAS</v>
      </c>
      <c r="B713" s="55" t="str">
        <f>_xlfn.XLOOKUP($G713,'.Auxiliar'!$G:$G,'.Auxiliar'!B:B,"-",0)</f>
        <v>FX ADICIONAL</v>
      </c>
      <c r="C713" s="55" t="str">
        <f>_xlfn.XLOOKUP($G713,'.Auxiliar'!$G:$G,'.Auxiliar'!C:C,"-",0)</f>
        <v>Decrescente</v>
      </c>
      <c r="D713" s="55">
        <f>_xlfn.XLOOKUP($G713,'.Auxiliar'!$G:$G,'.Auxiliar'!D:D,"-",0)</f>
        <v>695</v>
      </c>
      <c r="E713" s="55">
        <f>_xlfn.XLOOKUP($G713,'.Auxiliar'!$G:$G,'.Auxiliar'!E:E,"-",0)</f>
        <v>694.4</v>
      </c>
      <c r="F713" s="55">
        <f>_xlfn.XLOOKUP($G713,'.Auxiliar'!$G:$G,'.Auxiliar'!F:F,"-",0)</f>
        <v>0.60000000000002274</v>
      </c>
      <c r="G713" s="59" t="s">
        <v>1689</v>
      </c>
      <c r="H713" s="108" t="s">
        <v>0</v>
      </c>
      <c r="I713" s="109" t="s">
        <v>0</v>
      </c>
      <c r="J713" s="109" t="s">
        <v>0</v>
      </c>
      <c r="K713" s="109" t="s">
        <v>0</v>
      </c>
      <c r="L713" s="109" t="s">
        <v>0</v>
      </c>
      <c r="M713" s="109" t="s">
        <v>0</v>
      </c>
      <c r="N713" s="110" t="s">
        <v>363</v>
      </c>
      <c r="O713" s="111"/>
      <c r="P713" s="112"/>
      <c r="Q713" s="112"/>
      <c r="R713" s="112"/>
      <c r="S713" s="112"/>
      <c r="T713" s="112"/>
      <c r="U713" s="95" t="str">
        <f t="shared" si="36"/>
        <v/>
      </c>
      <c r="V713" s="112"/>
      <c r="W713" s="112"/>
      <c r="X713" s="107">
        <v>100</v>
      </c>
      <c r="Y713" s="107">
        <f t="shared" si="37"/>
        <v>100</v>
      </c>
      <c r="Z713" s="107">
        <f t="shared" si="38"/>
        <v>0</v>
      </c>
    </row>
    <row r="714" spans="1:26" x14ac:dyDescent="0.25">
      <c r="A714" s="55" t="str">
        <f>_xlfn.XLOOKUP($G714,'.Auxiliar'!$G:$G,'.Auxiliar'!A:A,"-",0)</f>
        <v>RIO/MINAS</v>
      </c>
      <c r="B714" s="55" t="str">
        <f>_xlfn.XLOOKUP($G714,'.Auxiliar'!$G:$G,'.Auxiliar'!B:B,"-",0)</f>
        <v>FX ADICIONAL</v>
      </c>
      <c r="C714" s="55" t="str">
        <f>_xlfn.XLOOKUP($G714,'.Auxiliar'!$G:$G,'.Auxiliar'!C:C,"-",0)</f>
        <v>Decrescente</v>
      </c>
      <c r="D714" s="55">
        <f>_xlfn.XLOOKUP($G714,'.Auxiliar'!$G:$G,'.Auxiliar'!D:D,"-",0)</f>
        <v>775.3</v>
      </c>
      <c r="E714" s="55">
        <f>_xlfn.XLOOKUP($G714,'.Auxiliar'!$G:$G,'.Auxiliar'!E:E,"-",0)</f>
        <v>773.3</v>
      </c>
      <c r="F714" s="55">
        <f>_xlfn.XLOOKUP($G714,'.Auxiliar'!$G:$G,'.Auxiliar'!F:F,"-",0)</f>
        <v>2</v>
      </c>
      <c r="G714" s="59" t="s">
        <v>1692</v>
      </c>
      <c r="H714" s="108" t="s">
        <v>0</v>
      </c>
      <c r="I714" s="109" t="s">
        <v>0</v>
      </c>
      <c r="J714" s="109" t="s">
        <v>0</v>
      </c>
      <c r="K714" s="109" t="s">
        <v>0</v>
      </c>
      <c r="L714" s="109" t="s">
        <v>0</v>
      </c>
      <c r="M714" s="109" t="s">
        <v>0</v>
      </c>
      <c r="N714" s="110" t="s">
        <v>363</v>
      </c>
      <c r="O714" s="111"/>
      <c r="P714" s="112"/>
      <c r="Q714" s="112"/>
      <c r="R714" s="112"/>
      <c r="S714" s="112"/>
      <c r="T714" s="112"/>
      <c r="U714" s="95" t="str">
        <f t="shared" si="36"/>
        <v/>
      </c>
      <c r="V714" s="112"/>
      <c r="W714" s="112"/>
      <c r="X714" s="107">
        <v>100</v>
      </c>
      <c r="Y714" s="107">
        <f t="shared" si="37"/>
        <v>100</v>
      </c>
      <c r="Z714" s="107">
        <f t="shared" si="38"/>
        <v>0</v>
      </c>
    </row>
    <row r="715" spans="1:26" x14ac:dyDescent="0.25">
      <c r="A715" s="55" t="str">
        <f>_xlfn.XLOOKUP($G715,'.Auxiliar'!$G:$G,'.Auxiliar'!A:A,"-",0)</f>
        <v>RIO/MINAS</v>
      </c>
      <c r="B715" s="55" t="str">
        <f>_xlfn.XLOOKUP($G715,'.Auxiliar'!$G:$G,'.Auxiliar'!B:B,"-",0)</f>
        <v>FX ADICIONAL</v>
      </c>
      <c r="C715" s="55" t="str">
        <f>_xlfn.XLOOKUP($G715,'.Auxiliar'!$G:$G,'.Auxiliar'!C:C,"-",0)</f>
        <v>Decrescente</v>
      </c>
      <c r="D715" s="55">
        <f>_xlfn.XLOOKUP($G715,'.Auxiliar'!$G:$G,'.Auxiliar'!D:D,"-",0)</f>
        <v>777.4</v>
      </c>
      <c r="E715" s="55">
        <f>_xlfn.XLOOKUP($G715,'.Auxiliar'!$G:$G,'.Auxiliar'!E:E,"-",0)</f>
        <v>776.2</v>
      </c>
      <c r="F715" s="55">
        <f>_xlfn.XLOOKUP($G715,'.Auxiliar'!$G:$G,'.Auxiliar'!F:F,"-",0)</f>
        <v>1.1999999999999318</v>
      </c>
      <c r="G715" s="59" t="s">
        <v>1694</v>
      </c>
      <c r="H715" s="108" t="s">
        <v>0</v>
      </c>
      <c r="I715" s="109" t="s">
        <v>0</v>
      </c>
      <c r="J715" s="109" t="s">
        <v>0</v>
      </c>
      <c r="K715" s="109" t="s">
        <v>0</v>
      </c>
      <c r="L715" s="109" t="s">
        <v>0</v>
      </c>
      <c r="M715" s="109" t="s">
        <v>0</v>
      </c>
      <c r="N715" s="110" t="s">
        <v>363</v>
      </c>
      <c r="O715" s="111"/>
      <c r="P715" s="112"/>
      <c r="Q715" s="112"/>
      <c r="R715" s="112"/>
      <c r="S715" s="112"/>
      <c r="T715" s="112"/>
      <c r="U715" s="95" t="str">
        <f t="shared" si="36"/>
        <v/>
      </c>
      <c r="V715" s="112"/>
      <c r="W715" s="112"/>
      <c r="X715" s="107">
        <v>100</v>
      </c>
      <c r="Y715" s="107">
        <f t="shared" si="37"/>
        <v>100</v>
      </c>
      <c r="Z715" s="107">
        <f t="shared" si="38"/>
        <v>0</v>
      </c>
    </row>
    <row r="716" spans="1:26" x14ac:dyDescent="0.25">
      <c r="A716" s="55" t="str">
        <f>_xlfn.XLOOKUP($G716,'.Auxiliar'!$G:$G,'.Auxiliar'!A:A,"-",0)</f>
        <v>RIO/MINAS</v>
      </c>
      <c r="B716" s="55" t="str">
        <f>_xlfn.XLOOKUP($G716,'.Auxiliar'!$G:$G,'.Auxiliar'!B:B,"-",0)</f>
        <v>FX ADICIONAL</v>
      </c>
      <c r="C716" s="55" t="str">
        <f>_xlfn.XLOOKUP($G716,'.Auxiliar'!$G:$G,'.Auxiliar'!C:C,"-",0)</f>
        <v>Decrescente</v>
      </c>
      <c r="D716" s="55">
        <f>_xlfn.XLOOKUP($G716,'.Auxiliar'!$G:$G,'.Auxiliar'!D:D,"-",0)</f>
        <v>779.4</v>
      </c>
      <c r="E716" s="55">
        <f>_xlfn.XLOOKUP($G716,'.Auxiliar'!$G:$G,'.Auxiliar'!E:E,"-",0)</f>
        <v>778.19</v>
      </c>
      <c r="F716" s="55">
        <f>_xlfn.XLOOKUP($G716,'.Auxiliar'!$G:$G,'.Auxiliar'!F:F,"-",0)</f>
        <v>1.2099999999999227</v>
      </c>
      <c r="G716" s="59" t="s">
        <v>1695</v>
      </c>
      <c r="H716" s="108" t="s">
        <v>0</v>
      </c>
      <c r="I716" s="109" t="s">
        <v>0</v>
      </c>
      <c r="J716" s="109" t="s">
        <v>0</v>
      </c>
      <c r="K716" s="109" t="s">
        <v>0</v>
      </c>
      <c r="L716" s="109" t="s">
        <v>0</v>
      </c>
      <c r="M716" s="109" t="s">
        <v>0</v>
      </c>
      <c r="N716" s="110" t="s">
        <v>363</v>
      </c>
      <c r="O716" s="111"/>
      <c r="P716" s="112"/>
      <c r="Q716" s="112"/>
      <c r="R716" s="112"/>
      <c r="S716" s="112"/>
      <c r="T716" s="112"/>
      <c r="U716" s="95" t="str">
        <f t="shared" si="36"/>
        <v/>
      </c>
      <c r="V716" s="112"/>
      <c r="W716" s="112"/>
      <c r="X716" s="107">
        <v>100</v>
      </c>
      <c r="Y716" s="107">
        <f t="shared" si="37"/>
        <v>100</v>
      </c>
      <c r="Z716" s="107">
        <f t="shared" si="38"/>
        <v>0</v>
      </c>
    </row>
    <row r="717" spans="1:26" x14ac:dyDescent="0.25">
      <c r="A717" s="55" t="str">
        <f>_xlfn.XLOOKUP($G717,'.Auxiliar'!$G:$G,'.Auxiliar'!A:A,"-",0)</f>
        <v>RIO/MINAS</v>
      </c>
      <c r="B717" s="55" t="str">
        <f>_xlfn.XLOOKUP($G717,'.Auxiliar'!$G:$G,'.Auxiliar'!B:B,"-",0)</f>
        <v>FX ADICIONAL</v>
      </c>
      <c r="C717" s="55" t="str">
        <f>_xlfn.XLOOKUP($G717,'.Auxiliar'!$G:$G,'.Auxiliar'!C:C,"-",0)</f>
        <v>Decrescente</v>
      </c>
      <c r="D717" s="55">
        <f>_xlfn.XLOOKUP($G717,'.Auxiliar'!$G:$G,'.Auxiliar'!D:D,"-",0)</f>
        <v>781.4</v>
      </c>
      <c r="E717" s="55">
        <f>_xlfn.XLOOKUP($G717,'.Auxiliar'!$G:$G,'.Auxiliar'!E:E,"-",0)</f>
        <v>780.2</v>
      </c>
      <c r="F717" s="55">
        <f>_xlfn.XLOOKUP($G717,'.Auxiliar'!$G:$G,'.Auxiliar'!F:F,"-",0)</f>
        <v>1.1999999999999318</v>
      </c>
      <c r="G717" s="59" t="s">
        <v>1697</v>
      </c>
      <c r="H717" s="108" t="s">
        <v>0</v>
      </c>
      <c r="I717" s="109" t="s">
        <v>0</v>
      </c>
      <c r="J717" s="109" t="s">
        <v>0</v>
      </c>
      <c r="K717" s="109" t="s">
        <v>0</v>
      </c>
      <c r="L717" s="109" t="s">
        <v>0</v>
      </c>
      <c r="M717" s="109" t="s">
        <v>0</v>
      </c>
      <c r="N717" s="110" t="s">
        <v>363</v>
      </c>
      <c r="O717" s="111"/>
      <c r="P717" s="112"/>
      <c r="Q717" s="112"/>
      <c r="R717" s="112"/>
      <c r="S717" s="112"/>
      <c r="T717" s="112"/>
      <c r="U717" s="95" t="str">
        <f t="shared" si="36"/>
        <v/>
      </c>
      <c r="V717" s="112"/>
      <c r="W717" s="112"/>
      <c r="X717" s="107">
        <v>100</v>
      </c>
      <c r="Y717" s="107">
        <f t="shared" si="37"/>
        <v>100</v>
      </c>
      <c r="Z717" s="107">
        <f t="shared" si="38"/>
        <v>0</v>
      </c>
    </row>
    <row r="718" spans="1:26" x14ac:dyDescent="0.25">
      <c r="A718" s="55" t="str">
        <f>_xlfn.XLOOKUP($G718,'.Auxiliar'!$G:$G,'.Auxiliar'!A:A,"-",0)</f>
        <v>RIO/MINAS</v>
      </c>
      <c r="B718" s="55" t="str">
        <f>_xlfn.XLOOKUP($G718,'.Auxiliar'!$G:$G,'.Auxiliar'!B:B,"-",0)</f>
        <v>FX ADICIONAL</v>
      </c>
      <c r="C718" s="55" t="str">
        <f>_xlfn.XLOOKUP($G718,'.Auxiliar'!$G:$G,'.Auxiliar'!C:C,"-",0)</f>
        <v>Decrescente</v>
      </c>
      <c r="D718" s="55">
        <f>_xlfn.XLOOKUP($G718,'.Auxiliar'!$G:$G,'.Auxiliar'!D:D,"-",0)</f>
        <v>783.4</v>
      </c>
      <c r="E718" s="55">
        <f>_xlfn.XLOOKUP($G718,'.Auxiliar'!$G:$G,'.Auxiliar'!E:E,"-",0)</f>
        <v>782.2</v>
      </c>
      <c r="F718" s="55">
        <f>_xlfn.XLOOKUP($G718,'.Auxiliar'!$G:$G,'.Auxiliar'!F:F,"-",0)</f>
        <v>1.1999999999999318</v>
      </c>
      <c r="G718" s="59" t="s">
        <v>1699</v>
      </c>
      <c r="H718" s="108" t="s">
        <v>0</v>
      </c>
      <c r="I718" s="109" t="s">
        <v>0</v>
      </c>
      <c r="J718" s="109" t="s">
        <v>0</v>
      </c>
      <c r="K718" s="109" t="s">
        <v>0</v>
      </c>
      <c r="L718" s="109" t="s">
        <v>0</v>
      </c>
      <c r="M718" s="109" t="s">
        <v>0</v>
      </c>
      <c r="N718" s="110" t="s">
        <v>363</v>
      </c>
      <c r="O718" s="111"/>
      <c r="P718" s="112"/>
      <c r="Q718" s="112"/>
      <c r="R718" s="112"/>
      <c r="S718" s="112"/>
      <c r="T718" s="112"/>
      <c r="U718" s="95" t="str">
        <f t="shared" si="36"/>
        <v/>
      </c>
      <c r="V718" s="112"/>
      <c r="W718" s="112"/>
      <c r="X718" s="107">
        <v>100</v>
      </c>
      <c r="Y718" s="107">
        <f t="shared" si="37"/>
        <v>100</v>
      </c>
      <c r="Z718" s="107">
        <f t="shared" si="38"/>
        <v>0</v>
      </c>
    </row>
    <row r="719" spans="1:26" x14ac:dyDescent="0.25">
      <c r="A719" s="55" t="str">
        <f>_xlfn.XLOOKUP($G719,'.Auxiliar'!$G:$G,'.Auxiliar'!A:A,"-",0)</f>
        <v>RIO/MINAS</v>
      </c>
      <c r="B719" s="55" t="str">
        <f>_xlfn.XLOOKUP($G719,'.Auxiliar'!$G:$G,'.Auxiliar'!B:B,"-",0)</f>
        <v>FX ADICIONAL</v>
      </c>
      <c r="C719" s="55" t="str">
        <f>_xlfn.XLOOKUP($G719,'.Auxiliar'!$G:$G,'.Auxiliar'!C:C,"-",0)</f>
        <v>Decrescente</v>
      </c>
      <c r="D719" s="55">
        <f>_xlfn.XLOOKUP($G719,'.Auxiliar'!$G:$G,'.Auxiliar'!D:D,"-",0)</f>
        <v>785.4</v>
      </c>
      <c r="E719" s="55">
        <f>_xlfn.XLOOKUP($G719,'.Auxiliar'!$G:$G,'.Auxiliar'!E:E,"-",0)</f>
        <v>784.19500000000005</v>
      </c>
      <c r="F719" s="55">
        <f>_xlfn.XLOOKUP($G719,'.Auxiliar'!$G:$G,'.Auxiliar'!F:F,"-",0)</f>
        <v>1.2049999999999272</v>
      </c>
      <c r="G719" s="59" t="s">
        <v>1700</v>
      </c>
      <c r="H719" s="108" t="s">
        <v>0</v>
      </c>
      <c r="I719" s="109" t="s">
        <v>0</v>
      </c>
      <c r="J719" s="109" t="s">
        <v>0</v>
      </c>
      <c r="K719" s="109" t="s">
        <v>0</v>
      </c>
      <c r="L719" s="109" t="s">
        <v>0</v>
      </c>
      <c r="M719" s="109" t="s">
        <v>0</v>
      </c>
      <c r="N719" s="110" t="s">
        <v>363</v>
      </c>
      <c r="O719" s="111"/>
      <c r="P719" s="112"/>
      <c r="Q719" s="112"/>
      <c r="R719" s="112"/>
      <c r="S719" s="112"/>
      <c r="T719" s="112"/>
      <c r="U719" s="95" t="str">
        <f t="shared" si="36"/>
        <v/>
      </c>
      <c r="V719" s="112"/>
      <c r="W719" s="112"/>
      <c r="X719" s="107">
        <v>100</v>
      </c>
      <c r="Y719" s="107">
        <f t="shared" si="37"/>
        <v>100</v>
      </c>
      <c r="Z719" s="107">
        <f t="shared" si="38"/>
        <v>0</v>
      </c>
    </row>
    <row r="720" spans="1:26" x14ac:dyDescent="0.25">
      <c r="A720" s="55" t="str">
        <f>_xlfn.XLOOKUP($G720,'.Auxiliar'!$G:$G,'.Auxiliar'!A:A,"-",0)</f>
        <v>RIO/MINAS</v>
      </c>
      <c r="B720" s="55" t="str">
        <f>_xlfn.XLOOKUP($G720,'.Auxiliar'!$G:$G,'.Auxiliar'!B:B,"-",0)</f>
        <v>FX ADICIONAL</v>
      </c>
      <c r="C720" s="55" t="str">
        <f>_xlfn.XLOOKUP($G720,'.Auxiliar'!$G:$G,'.Auxiliar'!C:C,"-",0)</f>
        <v>Decrescente</v>
      </c>
      <c r="D720" s="55">
        <f>_xlfn.XLOOKUP($G720,'.Auxiliar'!$G:$G,'.Auxiliar'!D:D,"-",0)</f>
        <v>787.4</v>
      </c>
      <c r="E720" s="55">
        <f>_xlfn.XLOOKUP($G720,'.Auxiliar'!$G:$G,'.Auxiliar'!E:E,"-",0)</f>
        <v>786.2</v>
      </c>
      <c r="F720" s="55">
        <f>_xlfn.XLOOKUP($G720,'.Auxiliar'!$G:$G,'.Auxiliar'!F:F,"-",0)</f>
        <v>1.1999999999999318</v>
      </c>
      <c r="G720" s="59" t="s">
        <v>1702</v>
      </c>
      <c r="H720" s="108" t="s">
        <v>0</v>
      </c>
      <c r="I720" s="109" t="s">
        <v>0</v>
      </c>
      <c r="J720" s="109" t="s">
        <v>0</v>
      </c>
      <c r="K720" s="109" t="s">
        <v>0</v>
      </c>
      <c r="L720" s="109" t="s">
        <v>0</v>
      </c>
      <c r="M720" s="109" t="s">
        <v>0</v>
      </c>
      <c r="N720" s="110" t="s">
        <v>363</v>
      </c>
      <c r="O720" s="111"/>
      <c r="P720" s="112"/>
      <c r="Q720" s="112"/>
      <c r="R720" s="112"/>
      <c r="S720" s="112"/>
      <c r="T720" s="112"/>
      <c r="U720" s="95" t="str">
        <f t="shared" si="36"/>
        <v/>
      </c>
      <c r="V720" s="112"/>
      <c r="W720" s="112"/>
      <c r="X720" s="107">
        <v>100</v>
      </c>
      <c r="Y720" s="107">
        <f t="shared" si="37"/>
        <v>100</v>
      </c>
      <c r="Z720" s="107">
        <f t="shared" si="38"/>
        <v>0</v>
      </c>
    </row>
    <row r="721" spans="1:26" x14ac:dyDescent="0.25">
      <c r="A721" s="55" t="str">
        <f>_xlfn.XLOOKUP($G721,'.Auxiliar'!$G:$G,'.Auxiliar'!A:A,"-",0)</f>
        <v>RIO/MINAS</v>
      </c>
      <c r="B721" s="55" t="str">
        <f>_xlfn.XLOOKUP($G721,'.Auxiliar'!$G:$G,'.Auxiliar'!B:B,"-",0)</f>
        <v>FX ADICIONAL</v>
      </c>
      <c r="C721" s="55" t="str">
        <f>_xlfn.XLOOKUP($G721,'.Auxiliar'!$G:$G,'.Auxiliar'!C:C,"-",0)</f>
        <v>Decrescente</v>
      </c>
      <c r="D721" s="55">
        <f>_xlfn.XLOOKUP($G721,'.Auxiliar'!$G:$G,'.Auxiliar'!D:D,"-",0)</f>
        <v>789.4</v>
      </c>
      <c r="E721" s="55">
        <f>_xlfn.XLOOKUP($G721,'.Auxiliar'!$G:$G,'.Auxiliar'!E:E,"-",0)</f>
        <v>788.2</v>
      </c>
      <c r="F721" s="55">
        <f>_xlfn.XLOOKUP($G721,'.Auxiliar'!$G:$G,'.Auxiliar'!F:F,"-",0)</f>
        <v>1.1999999999999318</v>
      </c>
      <c r="G721" s="59" t="s">
        <v>1704</v>
      </c>
      <c r="H721" s="108" t="s">
        <v>0</v>
      </c>
      <c r="I721" s="109" t="s">
        <v>0</v>
      </c>
      <c r="J721" s="109" t="s">
        <v>0</v>
      </c>
      <c r="K721" s="109" t="s">
        <v>0</v>
      </c>
      <c r="L721" s="109" t="s">
        <v>0</v>
      </c>
      <c r="M721" s="109" t="s">
        <v>0</v>
      </c>
      <c r="N721" s="110" t="s">
        <v>363</v>
      </c>
      <c r="O721" s="111"/>
      <c r="P721" s="112"/>
      <c r="Q721" s="112"/>
      <c r="R721" s="112"/>
      <c r="S721" s="112"/>
      <c r="T721" s="112"/>
      <c r="U721" s="95" t="str">
        <f t="shared" si="36"/>
        <v/>
      </c>
      <c r="V721" s="112"/>
      <c r="W721" s="112"/>
      <c r="X721" s="107">
        <v>100</v>
      </c>
      <c r="Y721" s="107">
        <f t="shared" si="37"/>
        <v>100</v>
      </c>
      <c r="Z721" s="107">
        <f t="shared" si="38"/>
        <v>0</v>
      </c>
    </row>
    <row r="722" spans="1:26" x14ac:dyDescent="0.25">
      <c r="A722" s="55" t="str">
        <f>_xlfn.XLOOKUP($G722,'.Auxiliar'!$G:$G,'.Auxiliar'!A:A,"-",0)</f>
        <v>RIO/MINAS</v>
      </c>
      <c r="B722" s="55" t="str">
        <f>_xlfn.XLOOKUP($G722,'.Auxiliar'!$G:$G,'.Auxiliar'!B:B,"-",0)</f>
        <v>FX ADICIONAL</v>
      </c>
      <c r="C722" s="55" t="str">
        <f>_xlfn.XLOOKUP($G722,'.Auxiliar'!$G:$G,'.Auxiliar'!C:C,"-",0)</f>
        <v>Decrescente</v>
      </c>
      <c r="D722" s="55">
        <f>_xlfn.XLOOKUP($G722,'.Auxiliar'!$G:$G,'.Auxiliar'!D:D,"-",0)</f>
        <v>793.4</v>
      </c>
      <c r="E722" s="55">
        <f>_xlfn.XLOOKUP($G722,'.Auxiliar'!$G:$G,'.Auxiliar'!E:E,"-",0)</f>
        <v>792.2</v>
      </c>
      <c r="F722" s="55">
        <f>_xlfn.XLOOKUP($G722,'.Auxiliar'!$G:$G,'.Auxiliar'!F:F,"-",0)</f>
        <v>1.1999999999999318</v>
      </c>
      <c r="G722" s="59" t="s">
        <v>1705</v>
      </c>
      <c r="H722" s="108" t="s">
        <v>0</v>
      </c>
      <c r="I722" s="109" t="s">
        <v>0</v>
      </c>
      <c r="J722" s="109" t="s">
        <v>0</v>
      </c>
      <c r="K722" s="109" t="s">
        <v>0</v>
      </c>
      <c r="L722" s="109" t="s">
        <v>0</v>
      </c>
      <c r="M722" s="109" t="s">
        <v>0</v>
      </c>
      <c r="N722" s="110" t="s">
        <v>363</v>
      </c>
      <c r="O722" s="111"/>
      <c r="P722" s="112"/>
      <c r="Q722" s="112"/>
      <c r="R722" s="112"/>
      <c r="S722" s="112"/>
      <c r="T722" s="112"/>
      <c r="U722" s="95" t="str">
        <f t="shared" si="36"/>
        <v/>
      </c>
      <c r="V722" s="112"/>
      <c r="W722" s="112"/>
      <c r="X722" s="107">
        <v>100</v>
      </c>
      <c r="Y722" s="107">
        <f t="shared" si="37"/>
        <v>100</v>
      </c>
      <c r="Z722" s="107">
        <f t="shared" si="38"/>
        <v>0</v>
      </c>
    </row>
    <row r="723" spans="1:26" x14ac:dyDescent="0.25">
      <c r="A723" s="55" t="str">
        <f>_xlfn.XLOOKUP($G723,'.Auxiliar'!$G:$G,'.Auxiliar'!A:A,"-",0)</f>
        <v>RIO/MINAS</v>
      </c>
      <c r="B723" s="55" t="str">
        <f>_xlfn.XLOOKUP($G723,'.Auxiliar'!$G:$G,'.Auxiliar'!B:B,"-",0)</f>
        <v>FX ADICIONAL</v>
      </c>
      <c r="C723" s="55" t="str">
        <f>_xlfn.XLOOKUP($G723,'.Auxiliar'!$G:$G,'.Auxiliar'!C:C,"-",0)</f>
        <v>Decrescente</v>
      </c>
      <c r="D723" s="55">
        <f>_xlfn.XLOOKUP($G723,'.Auxiliar'!$G:$G,'.Auxiliar'!D:D,"-",0)</f>
        <v>798.4</v>
      </c>
      <c r="E723" s="55">
        <f>_xlfn.XLOOKUP($G723,'.Auxiliar'!$G:$G,'.Auxiliar'!E:E,"-",0)</f>
        <v>797.2</v>
      </c>
      <c r="F723" s="55">
        <f>_xlfn.XLOOKUP($G723,'.Auxiliar'!$G:$G,'.Auxiliar'!F:F,"-",0)</f>
        <v>1.1999999999999318</v>
      </c>
      <c r="G723" s="59" t="s">
        <v>1708</v>
      </c>
      <c r="H723" s="108" t="s">
        <v>0</v>
      </c>
      <c r="I723" s="109" t="s">
        <v>0</v>
      </c>
      <c r="J723" s="109" t="s">
        <v>0</v>
      </c>
      <c r="K723" s="109" t="s">
        <v>0</v>
      </c>
      <c r="L723" s="109" t="s">
        <v>0</v>
      </c>
      <c r="M723" s="109" t="s">
        <v>0</v>
      </c>
      <c r="N723" s="110" t="s">
        <v>363</v>
      </c>
      <c r="O723" s="111"/>
      <c r="P723" s="112"/>
      <c r="Q723" s="112"/>
      <c r="R723" s="112"/>
      <c r="S723" s="112"/>
      <c r="T723" s="112"/>
      <c r="U723" s="95" t="str">
        <f t="shared" si="36"/>
        <v/>
      </c>
      <c r="V723" s="112"/>
      <c r="W723" s="112"/>
      <c r="X723" s="107">
        <v>100</v>
      </c>
      <c r="Y723" s="107">
        <f t="shared" si="37"/>
        <v>100</v>
      </c>
      <c r="Z723" s="107">
        <f t="shared" si="38"/>
        <v>0</v>
      </c>
    </row>
    <row r="724" spans="1:26" x14ac:dyDescent="0.25">
      <c r="A724" s="55" t="str">
        <f>_xlfn.XLOOKUP($G724,'.Auxiliar'!$G:$G,'.Auxiliar'!A:A,"-",0)</f>
        <v>RIO/MINAS</v>
      </c>
      <c r="B724" s="55" t="str">
        <f>_xlfn.XLOOKUP($G724,'.Auxiliar'!$G:$G,'.Auxiliar'!B:B,"-",0)</f>
        <v>FX ADICIONAL</v>
      </c>
      <c r="C724" s="55" t="str">
        <f>_xlfn.XLOOKUP($G724,'.Auxiliar'!$G:$G,'.Auxiliar'!C:C,"-",0)</f>
        <v>Decrescente</v>
      </c>
      <c r="D724" s="55">
        <f>_xlfn.XLOOKUP($G724,'.Auxiliar'!$G:$G,'.Auxiliar'!D:D,"-",0)</f>
        <v>800.4</v>
      </c>
      <c r="E724" s="55">
        <f>_xlfn.XLOOKUP($G724,'.Auxiliar'!$G:$G,'.Auxiliar'!E:E,"-",0)</f>
        <v>799.2</v>
      </c>
      <c r="F724" s="55">
        <f>_xlfn.XLOOKUP($G724,'.Auxiliar'!$G:$G,'.Auxiliar'!F:F,"-",0)</f>
        <v>1.1999999999999318</v>
      </c>
      <c r="G724" s="59" t="s">
        <v>1709</v>
      </c>
      <c r="H724" s="108" t="s">
        <v>0</v>
      </c>
      <c r="I724" s="109" t="s">
        <v>0</v>
      </c>
      <c r="J724" s="109" t="s">
        <v>0</v>
      </c>
      <c r="K724" s="109" t="s">
        <v>0</v>
      </c>
      <c r="L724" s="109" t="s">
        <v>0</v>
      </c>
      <c r="M724" s="109" t="s">
        <v>0</v>
      </c>
      <c r="N724" s="110" t="s">
        <v>363</v>
      </c>
      <c r="O724" s="111"/>
      <c r="P724" s="112"/>
      <c r="Q724" s="112"/>
      <c r="R724" s="112"/>
      <c r="S724" s="112"/>
      <c r="T724" s="112"/>
      <c r="U724" s="95" t="str">
        <f t="shared" si="36"/>
        <v/>
      </c>
      <c r="V724" s="112"/>
      <c r="W724" s="112"/>
      <c r="X724" s="107">
        <v>100</v>
      </c>
      <c r="Y724" s="107">
        <f t="shared" si="37"/>
        <v>100</v>
      </c>
      <c r="Z724" s="107">
        <f t="shared" si="38"/>
        <v>0</v>
      </c>
    </row>
    <row r="725" spans="1:26" x14ac:dyDescent="0.25">
      <c r="A725" s="55" t="str">
        <f>_xlfn.XLOOKUP($G725,'.Auxiliar'!$G:$G,'.Auxiliar'!A:A,"-",0)</f>
        <v>RIO/MINAS</v>
      </c>
      <c r="B725" s="55" t="str">
        <f>_xlfn.XLOOKUP($G725,'.Auxiliar'!$G:$G,'.Auxiliar'!B:B,"-",0)</f>
        <v>FX ADICIONAL</v>
      </c>
      <c r="C725" s="55" t="str">
        <f>_xlfn.XLOOKUP($G725,'.Auxiliar'!$G:$G,'.Auxiliar'!C:C,"-",0)</f>
        <v>Decrescente</v>
      </c>
      <c r="D725" s="55">
        <f>_xlfn.XLOOKUP($G725,'.Auxiliar'!$G:$G,'.Auxiliar'!D:D,"-",0)</f>
        <v>802.4</v>
      </c>
      <c r="E725" s="55">
        <f>_xlfn.XLOOKUP($G725,'.Auxiliar'!$G:$G,'.Auxiliar'!E:E,"-",0)</f>
        <v>801.2</v>
      </c>
      <c r="F725" s="55">
        <f>_xlfn.XLOOKUP($G725,'.Auxiliar'!$G:$G,'.Auxiliar'!F:F,"-",0)</f>
        <v>1.1999999999999318</v>
      </c>
      <c r="G725" s="59" t="s">
        <v>1711</v>
      </c>
      <c r="H725" s="108" t="s">
        <v>0</v>
      </c>
      <c r="I725" s="109" t="s">
        <v>0</v>
      </c>
      <c r="J725" s="109" t="s">
        <v>0</v>
      </c>
      <c r="K725" s="109" t="s">
        <v>0</v>
      </c>
      <c r="L725" s="109" t="s">
        <v>0</v>
      </c>
      <c r="M725" s="109" t="s">
        <v>0</v>
      </c>
      <c r="N725" s="110" t="s">
        <v>363</v>
      </c>
      <c r="O725" s="111"/>
      <c r="P725" s="112"/>
      <c r="Q725" s="112"/>
      <c r="R725" s="112"/>
      <c r="S725" s="112"/>
      <c r="T725" s="112"/>
      <c r="U725" s="95" t="str">
        <f t="shared" si="36"/>
        <v/>
      </c>
      <c r="V725" s="112"/>
      <c r="W725" s="112"/>
      <c r="X725" s="107">
        <v>100</v>
      </c>
      <c r="Y725" s="107">
        <f t="shared" si="37"/>
        <v>100</v>
      </c>
      <c r="Z725" s="107">
        <f t="shared" si="38"/>
        <v>0</v>
      </c>
    </row>
    <row r="726" spans="1:26" x14ac:dyDescent="0.25">
      <c r="A726" s="55" t="str">
        <f>_xlfn.XLOOKUP($G726,'.Auxiliar'!$G:$G,'.Auxiliar'!A:A,"-",0)</f>
        <v>RIO/MINAS</v>
      </c>
      <c r="B726" s="55" t="str">
        <f>_xlfn.XLOOKUP($G726,'.Auxiliar'!$G:$G,'.Auxiliar'!B:B,"-",0)</f>
        <v>FX ADICIONAL</v>
      </c>
      <c r="C726" s="55" t="str">
        <f>_xlfn.XLOOKUP($G726,'.Auxiliar'!$G:$G,'.Auxiliar'!C:C,"-",0)</f>
        <v>Decrescente</v>
      </c>
      <c r="D726" s="55">
        <f>_xlfn.XLOOKUP($G726,'.Auxiliar'!$G:$G,'.Auxiliar'!D:D,"-",0)</f>
        <v>804.4</v>
      </c>
      <c r="E726" s="55">
        <f>_xlfn.XLOOKUP($G726,'.Auxiliar'!$G:$G,'.Auxiliar'!E:E,"-",0)</f>
        <v>803.2</v>
      </c>
      <c r="F726" s="55">
        <f>_xlfn.XLOOKUP($G726,'.Auxiliar'!$G:$G,'.Auxiliar'!F:F,"-",0)</f>
        <v>1.1999999999999318</v>
      </c>
      <c r="G726" s="59" t="s">
        <v>1713</v>
      </c>
      <c r="H726" s="108" t="s">
        <v>0</v>
      </c>
      <c r="I726" s="109" t="s">
        <v>0</v>
      </c>
      <c r="J726" s="109" t="s">
        <v>0</v>
      </c>
      <c r="K726" s="109" t="s">
        <v>0</v>
      </c>
      <c r="L726" s="109" t="s">
        <v>0</v>
      </c>
      <c r="M726" s="109" t="s">
        <v>0</v>
      </c>
      <c r="N726" s="110" t="s">
        <v>363</v>
      </c>
      <c r="O726" s="111"/>
      <c r="P726" s="112"/>
      <c r="Q726" s="112"/>
      <c r="R726" s="112"/>
      <c r="S726" s="112"/>
      <c r="T726" s="112"/>
      <c r="U726" s="95" t="str">
        <f t="shared" si="36"/>
        <v/>
      </c>
      <c r="V726" s="112"/>
      <c r="W726" s="112"/>
      <c r="X726" s="107">
        <v>100</v>
      </c>
      <c r="Y726" s="107">
        <f t="shared" si="37"/>
        <v>100</v>
      </c>
      <c r="Z726" s="107">
        <f t="shared" si="38"/>
        <v>0</v>
      </c>
    </row>
    <row r="727" spans="1:26" x14ac:dyDescent="0.25">
      <c r="A727" s="55" t="str">
        <f>_xlfn.XLOOKUP($G727,'.Auxiliar'!$G:$G,'.Auxiliar'!A:A,"-",0)</f>
        <v>RIO/MINAS</v>
      </c>
      <c r="B727" s="55" t="str">
        <f>_xlfn.XLOOKUP($G727,'.Auxiliar'!$G:$G,'.Auxiliar'!B:B,"-",0)</f>
        <v>FX ADICIONAL</v>
      </c>
      <c r="C727" s="55" t="str">
        <f>_xlfn.XLOOKUP($G727,'.Auxiliar'!$G:$G,'.Auxiliar'!C:C,"-",0)</f>
        <v>Decrescente</v>
      </c>
      <c r="D727" s="55">
        <f>_xlfn.XLOOKUP($G727,'.Auxiliar'!$G:$G,'.Auxiliar'!D:D,"-",0)</f>
        <v>806.6</v>
      </c>
      <c r="E727" s="55">
        <f>_xlfn.XLOOKUP($G727,'.Auxiliar'!$G:$G,'.Auxiliar'!E:E,"-",0)</f>
        <v>805.4</v>
      </c>
      <c r="F727" s="55">
        <f>_xlfn.XLOOKUP($G727,'.Auxiliar'!$G:$G,'.Auxiliar'!F:F,"-",0)</f>
        <v>1.2000000000000455</v>
      </c>
      <c r="G727" s="59" t="s">
        <v>1716</v>
      </c>
      <c r="H727" s="108" t="s">
        <v>0</v>
      </c>
      <c r="I727" s="109" t="s">
        <v>0</v>
      </c>
      <c r="J727" s="109" t="s">
        <v>0</v>
      </c>
      <c r="K727" s="109" t="s">
        <v>0</v>
      </c>
      <c r="L727" s="109" t="s">
        <v>0</v>
      </c>
      <c r="M727" s="109" t="s">
        <v>0</v>
      </c>
      <c r="N727" s="110" t="s">
        <v>363</v>
      </c>
      <c r="O727" s="111"/>
      <c r="P727" s="112"/>
      <c r="Q727" s="112"/>
      <c r="R727" s="112"/>
      <c r="S727" s="112"/>
      <c r="T727" s="112"/>
      <c r="U727" s="95" t="str">
        <f t="shared" si="36"/>
        <v/>
      </c>
      <c r="V727" s="112"/>
      <c r="W727" s="112"/>
      <c r="X727" s="107">
        <v>100</v>
      </c>
      <c r="Y727" s="107">
        <f t="shared" si="37"/>
        <v>100</v>
      </c>
      <c r="Z727" s="107">
        <f t="shared" si="38"/>
        <v>0</v>
      </c>
    </row>
    <row r="728" spans="1:26" x14ac:dyDescent="0.25">
      <c r="A728" s="55" t="str">
        <f>_xlfn.XLOOKUP($G728,'.Auxiliar'!$G:$G,'.Auxiliar'!A:A,"-",0)</f>
        <v>RIO/MINAS</v>
      </c>
      <c r="B728" s="55" t="str">
        <f>_xlfn.XLOOKUP($G728,'.Auxiliar'!$G:$G,'.Auxiliar'!B:B,"-",0)</f>
        <v>FX ADICIONAL</v>
      </c>
      <c r="C728" s="55" t="str">
        <f>_xlfn.XLOOKUP($G728,'.Auxiliar'!$G:$G,'.Auxiliar'!C:C,"-",0)</f>
        <v>Decrescente</v>
      </c>
      <c r="D728" s="55">
        <f>_xlfn.XLOOKUP($G728,'.Auxiliar'!$G:$G,'.Auxiliar'!D:D,"-",0)</f>
        <v>808.8</v>
      </c>
      <c r="E728" s="55">
        <f>_xlfn.XLOOKUP($G728,'.Auxiliar'!$G:$G,'.Auxiliar'!E:E,"-",0)</f>
        <v>807.6</v>
      </c>
      <c r="F728" s="55">
        <f>_xlfn.XLOOKUP($G728,'.Auxiliar'!$G:$G,'.Auxiliar'!F:F,"-",0)</f>
        <v>1.1999999999999318</v>
      </c>
      <c r="G728" s="59" t="s">
        <v>1717</v>
      </c>
      <c r="H728" s="108" t="s">
        <v>0</v>
      </c>
      <c r="I728" s="109" t="s">
        <v>0</v>
      </c>
      <c r="J728" s="109" t="s">
        <v>0</v>
      </c>
      <c r="K728" s="109" t="s">
        <v>0</v>
      </c>
      <c r="L728" s="109" t="s">
        <v>0</v>
      </c>
      <c r="M728" s="109" t="s">
        <v>0</v>
      </c>
      <c r="N728" s="110" t="s">
        <v>363</v>
      </c>
      <c r="O728" s="111"/>
      <c r="P728" s="112"/>
      <c r="Q728" s="112"/>
      <c r="R728" s="112"/>
      <c r="S728" s="112"/>
      <c r="T728" s="112"/>
      <c r="U728" s="95" t="str">
        <f t="shared" si="36"/>
        <v/>
      </c>
      <c r="V728" s="112"/>
      <c r="W728" s="112"/>
      <c r="X728" s="107">
        <v>100</v>
      </c>
      <c r="Y728" s="107">
        <f t="shared" si="37"/>
        <v>100</v>
      </c>
      <c r="Z728" s="107">
        <f t="shared" si="38"/>
        <v>0</v>
      </c>
    </row>
    <row r="729" spans="1:26" x14ac:dyDescent="0.25">
      <c r="A729" s="55" t="str">
        <f>_xlfn.XLOOKUP($G729,'.Auxiliar'!$G:$G,'.Auxiliar'!A:A,"-",0)</f>
        <v>RIO/MINAS</v>
      </c>
      <c r="B729" s="55" t="str">
        <f>_xlfn.XLOOKUP($G729,'.Auxiliar'!$G:$G,'.Auxiliar'!B:B,"-",0)</f>
        <v>FX ADICIONAL</v>
      </c>
      <c r="C729" s="55" t="str">
        <f>_xlfn.XLOOKUP($G729,'.Auxiliar'!$G:$G,'.Auxiliar'!C:C,"-",0)</f>
        <v>Decrescente</v>
      </c>
      <c r="D729" s="55">
        <f>_xlfn.XLOOKUP($G729,'.Auxiliar'!$G:$G,'.Auxiliar'!D:D,"-",0)</f>
        <v>811</v>
      </c>
      <c r="E729" s="55">
        <f>_xlfn.XLOOKUP($G729,'.Auxiliar'!$G:$G,'.Auxiliar'!E:E,"-",0)</f>
        <v>809.80499999999995</v>
      </c>
      <c r="F729" s="55">
        <f>_xlfn.XLOOKUP($G729,'.Auxiliar'!$G:$G,'.Auxiliar'!F:F,"-",0)</f>
        <v>1.19500000000005</v>
      </c>
      <c r="G729" s="59" t="s">
        <v>1719</v>
      </c>
      <c r="H729" s="108" t="s">
        <v>0</v>
      </c>
      <c r="I729" s="109" t="s">
        <v>0</v>
      </c>
      <c r="J729" s="109" t="s">
        <v>0</v>
      </c>
      <c r="K729" s="109" t="s">
        <v>0</v>
      </c>
      <c r="L729" s="109" t="s">
        <v>0</v>
      </c>
      <c r="M729" s="109" t="s">
        <v>0</v>
      </c>
      <c r="N729" s="110" t="s">
        <v>363</v>
      </c>
      <c r="O729" s="111"/>
      <c r="P729" s="112"/>
      <c r="Q729" s="112"/>
      <c r="R729" s="112"/>
      <c r="S729" s="112"/>
      <c r="T729" s="112"/>
      <c r="U729" s="95" t="str">
        <f t="shared" si="36"/>
        <v/>
      </c>
      <c r="V729" s="112"/>
      <c r="W729" s="112"/>
      <c r="X729" s="107">
        <v>100</v>
      </c>
      <c r="Y729" s="107">
        <f t="shared" si="37"/>
        <v>100</v>
      </c>
      <c r="Z729" s="107">
        <f t="shared" si="38"/>
        <v>0</v>
      </c>
    </row>
    <row r="730" spans="1:26" x14ac:dyDescent="0.25">
      <c r="A730" s="55" t="str">
        <f>_xlfn.XLOOKUP($G730,'.Auxiliar'!$G:$G,'.Auxiliar'!A:A,"-",0)</f>
        <v>RIO/MINAS</v>
      </c>
      <c r="B730" s="55" t="str">
        <f>_xlfn.XLOOKUP($G730,'.Auxiliar'!$G:$G,'.Auxiliar'!B:B,"-",0)</f>
        <v>FX ADICIONAL</v>
      </c>
      <c r="C730" s="55" t="str">
        <f>_xlfn.XLOOKUP($G730,'.Auxiliar'!$G:$G,'.Auxiliar'!C:C,"-",0)</f>
        <v>Decrescente</v>
      </c>
      <c r="D730" s="55">
        <f>_xlfn.XLOOKUP($G730,'.Auxiliar'!$G:$G,'.Auxiliar'!D:D,"-",0)</f>
        <v>814.36400000000003</v>
      </c>
      <c r="E730" s="55">
        <f>_xlfn.XLOOKUP($G730,'.Auxiliar'!$G:$G,'.Auxiliar'!E:E,"-",0)</f>
        <v>813.8</v>
      </c>
      <c r="F730" s="55">
        <f>_xlfn.XLOOKUP($G730,'.Auxiliar'!$G:$G,'.Auxiliar'!F:F,"-",0)</f>
        <v>0.56400000000007822</v>
      </c>
      <c r="G730" s="59" t="s">
        <v>1721</v>
      </c>
      <c r="H730" s="108" t="s">
        <v>0</v>
      </c>
      <c r="I730" s="109" t="s">
        <v>0</v>
      </c>
      <c r="J730" s="109" t="s">
        <v>0</v>
      </c>
      <c r="K730" s="109" t="s">
        <v>0</v>
      </c>
      <c r="L730" s="109" t="s">
        <v>0</v>
      </c>
      <c r="M730" s="109" t="s">
        <v>0</v>
      </c>
      <c r="N730" s="110" t="s">
        <v>363</v>
      </c>
      <c r="O730" s="111"/>
      <c r="P730" s="112"/>
      <c r="Q730" s="112"/>
      <c r="R730" s="112"/>
      <c r="S730" s="112"/>
      <c r="T730" s="112"/>
      <c r="U730" s="95" t="str">
        <f t="shared" si="36"/>
        <v/>
      </c>
      <c r="V730" s="112"/>
      <c r="W730" s="112"/>
      <c r="X730" s="107">
        <v>100</v>
      </c>
      <c r="Y730" s="107">
        <f t="shared" si="37"/>
        <v>100</v>
      </c>
      <c r="Z730" s="107">
        <f t="shared" si="38"/>
        <v>0</v>
      </c>
    </row>
    <row r="731" spans="1:26" x14ac:dyDescent="0.25">
      <c r="A731" s="55" t="str">
        <f>_xlfn.XLOOKUP($G731,'.Auxiliar'!$G:$G,'.Auxiliar'!A:A,"-",0)</f>
        <v>RIO/MINAS</v>
      </c>
      <c r="B731" s="55" t="str">
        <f>_xlfn.XLOOKUP($G731,'.Auxiliar'!$G:$G,'.Auxiliar'!B:B,"-",0)</f>
        <v>FX ADICIONAL</v>
      </c>
      <c r="C731" s="55" t="str">
        <f>_xlfn.XLOOKUP($G731,'.Auxiliar'!$G:$G,'.Auxiliar'!C:C,"-",0)</f>
        <v>Decrescente</v>
      </c>
      <c r="D731" s="55">
        <f>_xlfn.XLOOKUP($G731,'.Auxiliar'!$G:$G,'.Auxiliar'!D:D,"-",0)</f>
        <v>90.5</v>
      </c>
      <c r="E731" s="55">
        <f>_xlfn.XLOOKUP($G731,'.Auxiliar'!$G:$G,'.Auxiliar'!E:E,"-",0)</f>
        <v>94.962999999999994</v>
      </c>
      <c r="F731" s="55">
        <f>_xlfn.XLOOKUP($G731,'.Auxiliar'!$G:$G,'.Auxiliar'!F:F,"-",0)</f>
        <v>4.4629999999999939</v>
      </c>
      <c r="G731" s="59" t="s">
        <v>1602</v>
      </c>
      <c r="H731" s="108" t="s">
        <v>0</v>
      </c>
      <c r="I731" s="109" t="s">
        <v>0</v>
      </c>
      <c r="J731" s="109" t="s">
        <v>0</v>
      </c>
      <c r="K731" s="109" t="s">
        <v>0</v>
      </c>
      <c r="L731" s="109" t="s">
        <v>0</v>
      </c>
      <c r="M731" s="109" t="s">
        <v>0</v>
      </c>
      <c r="N731" s="110" t="s">
        <v>363</v>
      </c>
      <c r="O731" s="111"/>
      <c r="P731" s="112"/>
      <c r="Q731" s="112"/>
      <c r="R731" s="112"/>
      <c r="S731" s="112"/>
      <c r="T731" s="112"/>
      <c r="U731" s="95" t="str">
        <f t="shared" si="36"/>
        <v/>
      </c>
      <c r="V731" s="112"/>
      <c r="W731" s="112"/>
      <c r="X731" s="107">
        <v>100</v>
      </c>
      <c r="Y731" s="107">
        <f t="shared" si="37"/>
        <v>100</v>
      </c>
      <c r="Z731" s="107">
        <f t="shared" si="38"/>
        <v>0</v>
      </c>
    </row>
    <row r="732" spans="1:26" x14ac:dyDescent="0.25">
      <c r="A732" s="55" t="str">
        <f>_xlfn.XLOOKUP($G732,'.Auxiliar'!$G:$G,'.Auxiliar'!A:A,"-",0)</f>
        <v>RIO/MINAS</v>
      </c>
      <c r="B732" s="55" t="str">
        <f>_xlfn.XLOOKUP($G732,'.Auxiliar'!$G:$G,'.Auxiliar'!B:B,"-",0)</f>
        <v>FX ADICIONAL</v>
      </c>
      <c r="C732" s="55" t="str">
        <f>_xlfn.XLOOKUP($G732,'.Auxiliar'!$G:$G,'.Auxiliar'!C:C,"-",0)</f>
        <v>Decrescente</v>
      </c>
      <c r="D732" s="55">
        <f>_xlfn.XLOOKUP($G732,'.Auxiliar'!$G:$G,'.Auxiliar'!D:D,"-",0)</f>
        <v>98.063999999999993</v>
      </c>
      <c r="E732" s="55">
        <f>_xlfn.XLOOKUP($G732,'.Auxiliar'!$G:$G,'.Auxiliar'!E:E,"-",0)</f>
        <v>98.516000000000005</v>
      </c>
      <c r="F732" s="55">
        <f>_xlfn.XLOOKUP($G732,'.Auxiliar'!$G:$G,'.Auxiliar'!F:F,"-",0)</f>
        <v>0.45200000000001239</v>
      </c>
      <c r="G732" s="59" t="s">
        <v>1605</v>
      </c>
      <c r="H732" s="108" t="s">
        <v>0</v>
      </c>
      <c r="I732" s="109" t="s">
        <v>0</v>
      </c>
      <c r="J732" s="109" t="s">
        <v>0</v>
      </c>
      <c r="K732" s="109" t="s">
        <v>0</v>
      </c>
      <c r="L732" s="109" t="s">
        <v>0</v>
      </c>
      <c r="M732" s="109" t="s">
        <v>0</v>
      </c>
      <c r="N732" s="110" t="s">
        <v>363</v>
      </c>
      <c r="O732" s="111"/>
      <c r="P732" s="112"/>
      <c r="Q732" s="112"/>
      <c r="R732" s="112"/>
      <c r="S732" s="112"/>
      <c r="T732" s="112"/>
      <c r="U732" s="95" t="str">
        <f t="shared" si="36"/>
        <v/>
      </c>
      <c r="V732" s="112"/>
      <c r="W732" s="112"/>
      <c r="X732" s="107">
        <v>100</v>
      </c>
      <c r="Y732" s="107">
        <f t="shared" si="37"/>
        <v>100</v>
      </c>
      <c r="Z732" s="107">
        <f t="shared" si="38"/>
        <v>0</v>
      </c>
    </row>
    <row r="733" spans="1:26" x14ac:dyDescent="0.25">
      <c r="A733" s="55" t="str">
        <f>_xlfn.XLOOKUP($G733,'.Auxiliar'!$G:$G,'.Auxiliar'!A:A,"-",0)</f>
        <v>RIO/MINAS</v>
      </c>
      <c r="B733" s="55" t="str">
        <f>_xlfn.XLOOKUP($G733,'.Auxiliar'!$G:$G,'.Auxiliar'!B:B,"-",0)</f>
        <v>OAE</v>
      </c>
      <c r="C733" s="55" t="str">
        <f>_xlfn.XLOOKUP($G733,'.Auxiliar'!$G:$G,'.Auxiliar'!C:C,"-",0)</f>
        <v>Intersecção Diamante</v>
      </c>
      <c r="D733" s="55">
        <f>_xlfn.XLOOKUP($G733,'.Auxiliar'!$G:$G,'.Auxiliar'!D:D,"-",0)</f>
        <v>113.265</v>
      </c>
      <c r="E733" s="55">
        <f>_xlfn.XLOOKUP($G733,'.Auxiliar'!$G:$G,'.Auxiliar'!E:E,"-",0)</f>
        <v>113.265</v>
      </c>
      <c r="F733" s="55">
        <f>_xlfn.XLOOKUP($G733,'.Auxiliar'!$G:$G,'.Auxiliar'!F:F,"-",0)</f>
        <v>1</v>
      </c>
      <c r="G733" s="59" t="s">
        <v>1343</v>
      </c>
      <c r="H733" s="108" t="s">
        <v>0</v>
      </c>
      <c r="I733" s="109" t="s">
        <v>0</v>
      </c>
      <c r="J733" s="109" t="s">
        <v>0</v>
      </c>
      <c r="K733" s="109" t="s">
        <v>0</v>
      </c>
      <c r="L733" s="109" t="s">
        <v>0</v>
      </c>
      <c r="M733" s="109" t="s">
        <v>0</v>
      </c>
      <c r="N733" s="110" t="s">
        <v>363</v>
      </c>
      <c r="O733" s="111"/>
      <c r="P733" s="112"/>
      <c r="Q733" s="112"/>
      <c r="R733" s="112"/>
      <c r="S733" s="112"/>
      <c r="T733" s="112"/>
      <c r="U733" s="95" t="str">
        <f t="shared" si="36"/>
        <v/>
      </c>
      <c r="V733" s="112"/>
      <c r="W733" s="112"/>
      <c r="X733" s="107">
        <v>100</v>
      </c>
      <c r="Y733" s="107">
        <f t="shared" si="37"/>
        <v>100</v>
      </c>
      <c r="Z733" s="107">
        <f t="shared" si="38"/>
        <v>0</v>
      </c>
    </row>
    <row r="734" spans="1:26" x14ac:dyDescent="0.25">
      <c r="A734" s="55" t="str">
        <f>_xlfn.XLOOKUP($G734,'.Auxiliar'!$G:$G,'.Auxiliar'!A:A,"-",0)</f>
        <v>RIO/MINAS</v>
      </c>
      <c r="B734" s="55" t="str">
        <f>_xlfn.XLOOKUP($G734,'.Auxiliar'!$G:$G,'.Auxiliar'!B:B,"-",0)</f>
        <v>OAE</v>
      </c>
      <c r="C734" s="55" t="str">
        <f>_xlfn.XLOOKUP($G734,'.Auxiliar'!$G:$G,'.Auxiliar'!C:C,"-",0)</f>
        <v>Intersecção Diamante</v>
      </c>
      <c r="D734" s="55">
        <f>_xlfn.XLOOKUP($G734,'.Auxiliar'!$G:$G,'.Auxiliar'!D:D,"-",0)</f>
        <v>195.5</v>
      </c>
      <c r="E734" s="55">
        <f>_xlfn.XLOOKUP($G734,'.Auxiliar'!$G:$G,'.Auxiliar'!E:E,"-",0)</f>
        <v>195.5</v>
      </c>
      <c r="F734" s="55">
        <f>_xlfn.XLOOKUP($G734,'.Auxiliar'!$G:$G,'.Auxiliar'!F:F,"-",0)</f>
        <v>1</v>
      </c>
      <c r="G734" s="59" t="s">
        <v>1286</v>
      </c>
      <c r="H734" s="108" t="s">
        <v>0</v>
      </c>
      <c r="I734" s="109" t="s">
        <v>0</v>
      </c>
      <c r="J734" s="109" t="s">
        <v>0</v>
      </c>
      <c r="K734" s="109" t="s">
        <v>0</v>
      </c>
      <c r="L734" s="109" t="s">
        <v>0</v>
      </c>
      <c r="M734" s="109" t="s">
        <v>363</v>
      </c>
      <c r="N734" s="110" t="s">
        <v>0</v>
      </c>
      <c r="O734" s="111"/>
      <c r="P734" s="112"/>
      <c r="Q734" s="112"/>
      <c r="R734" s="112"/>
      <c r="S734" s="112"/>
      <c r="T734" s="112"/>
      <c r="U734" s="95" t="str">
        <f t="shared" si="36"/>
        <v/>
      </c>
      <c r="V734" s="112"/>
      <c r="W734" s="112">
        <v>100</v>
      </c>
      <c r="X734" s="107"/>
      <c r="Y734" s="107">
        <f t="shared" si="37"/>
        <v>100</v>
      </c>
      <c r="Z734" s="107">
        <f t="shared" si="38"/>
        <v>0</v>
      </c>
    </row>
    <row r="735" spans="1:26" x14ac:dyDescent="0.25">
      <c r="A735" s="55" t="str">
        <f>_xlfn.XLOOKUP($G735,'.Auxiliar'!$G:$G,'.Auxiliar'!A:A,"-",0)</f>
        <v>RIO/MINAS</v>
      </c>
      <c r="B735" s="55" t="str">
        <f>_xlfn.XLOOKUP($G735,'.Auxiliar'!$G:$G,'.Auxiliar'!B:B,"-",0)</f>
        <v>OAE</v>
      </c>
      <c r="C735" s="55" t="str">
        <f>_xlfn.XLOOKUP($G735,'.Auxiliar'!$G:$G,'.Auxiliar'!C:C,"-",0)</f>
        <v>Intersecção Diamante</v>
      </c>
      <c r="D735" s="55">
        <f>_xlfn.XLOOKUP($G735,'.Auxiliar'!$G:$G,'.Auxiliar'!D:D,"-",0)</f>
        <v>422.41</v>
      </c>
      <c r="E735" s="55">
        <f>_xlfn.XLOOKUP($G735,'.Auxiliar'!$G:$G,'.Auxiliar'!E:E,"-",0)</f>
        <v>195.5</v>
      </c>
      <c r="F735" s="55">
        <f>_xlfn.XLOOKUP($G735,'.Auxiliar'!$G:$G,'.Auxiliar'!F:F,"-",0)</f>
        <v>1</v>
      </c>
      <c r="G735" s="59" t="s">
        <v>1349</v>
      </c>
      <c r="H735" s="108" t="s">
        <v>0</v>
      </c>
      <c r="I735" s="109" t="s">
        <v>0</v>
      </c>
      <c r="J735" s="109" t="s">
        <v>0</v>
      </c>
      <c r="K735" s="109" t="s">
        <v>0</v>
      </c>
      <c r="L735" s="109" t="s">
        <v>0</v>
      </c>
      <c r="M735" s="109" t="s">
        <v>0</v>
      </c>
      <c r="N735" s="110" t="s">
        <v>363</v>
      </c>
      <c r="O735" s="111"/>
      <c r="P735" s="112"/>
      <c r="Q735" s="112"/>
      <c r="R735" s="112"/>
      <c r="S735" s="112"/>
      <c r="T735" s="112"/>
      <c r="U735" s="95" t="str">
        <f t="shared" si="36"/>
        <v/>
      </c>
      <c r="V735" s="112"/>
      <c r="W735" s="112"/>
      <c r="X735" s="107">
        <v>100</v>
      </c>
      <c r="Y735" s="107">
        <f t="shared" si="37"/>
        <v>100</v>
      </c>
      <c r="Z735" s="107">
        <f t="shared" si="38"/>
        <v>0</v>
      </c>
    </row>
    <row r="736" spans="1:26" x14ac:dyDescent="0.25">
      <c r="A736" s="55" t="str">
        <f>_xlfn.XLOOKUP($G736,'.Auxiliar'!$G:$G,'.Auxiliar'!A:A,"-",0)</f>
        <v>RIO/MINAS</v>
      </c>
      <c r="B736" s="55" t="str">
        <f>_xlfn.XLOOKUP($G736,'.Auxiliar'!$G:$G,'.Auxiliar'!B:B,"-",0)</f>
        <v>OAE</v>
      </c>
      <c r="C736" s="55" t="str">
        <f>_xlfn.XLOOKUP($G736,'.Auxiliar'!$G:$G,'.Auxiliar'!C:C,"-",0)</f>
        <v>Intersecção Diamante</v>
      </c>
      <c r="D736" s="55">
        <f>_xlfn.XLOOKUP($G736,'.Auxiliar'!$G:$G,'.Auxiliar'!D:D,"-",0)</f>
        <v>47.45</v>
      </c>
      <c r="E736" s="55">
        <f>_xlfn.XLOOKUP($G736,'.Auxiliar'!$G:$G,'.Auxiliar'!E:E,"-",0)</f>
        <v>47.45</v>
      </c>
      <c r="F736" s="55">
        <f>_xlfn.XLOOKUP($G736,'.Auxiliar'!$G:$G,'.Auxiliar'!F:F,"-",0)</f>
        <v>1</v>
      </c>
      <c r="G736" s="59" t="s">
        <v>1340</v>
      </c>
      <c r="H736" s="108" t="s">
        <v>0</v>
      </c>
      <c r="I736" s="109" t="s">
        <v>0</v>
      </c>
      <c r="J736" s="109" t="s">
        <v>0</v>
      </c>
      <c r="K736" s="109" t="s">
        <v>0</v>
      </c>
      <c r="L736" s="109" t="s">
        <v>0</v>
      </c>
      <c r="M736" s="109" t="s">
        <v>0</v>
      </c>
      <c r="N736" s="110" t="s">
        <v>363</v>
      </c>
      <c r="O736" s="111"/>
      <c r="P736" s="112"/>
      <c r="Q736" s="112"/>
      <c r="R736" s="112"/>
      <c r="S736" s="112"/>
      <c r="T736" s="112"/>
      <c r="U736" s="95" t="str">
        <f t="shared" si="36"/>
        <v/>
      </c>
      <c r="V736" s="112"/>
      <c r="W736" s="112"/>
      <c r="X736" s="107">
        <v>100</v>
      </c>
      <c r="Y736" s="107">
        <f t="shared" si="37"/>
        <v>100</v>
      </c>
      <c r="Z736" s="107">
        <f t="shared" si="38"/>
        <v>0</v>
      </c>
    </row>
    <row r="737" spans="1:26" x14ac:dyDescent="0.25">
      <c r="A737" s="55" t="str">
        <f>_xlfn.XLOOKUP($G737,'.Auxiliar'!$G:$G,'.Auxiliar'!A:A,"-",0)</f>
        <v>RIO/MINAS</v>
      </c>
      <c r="B737" s="55" t="str">
        <f>_xlfn.XLOOKUP($G737,'.Auxiliar'!$G:$G,'.Auxiliar'!B:B,"-",0)</f>
        <v>OAE</v>
      </c>
      <c r="C737" s="55" t="str">
        <f>_xlfn.XLOOKUP($G737,'.Auxiliar'!$G:$G,'.Auxiliar'!C:C,"-",0)</f>
        <v>Intersecção Diamante</v>
      </c>
      <c r="D737" s="55">
        <f>_xlfn.XLOOKUP($G737,'.Auxiliar'!$G:$G,'.Auxiliar'!D:D,"-",0)</f>
        <v>523.53800000000001</v>
      </c>
      <c r="E737" s="55">
        <f>_xlfn.XLOOKUP($G737,'.Auxiliar'!$G:$G,'.Auxiliar'!E:E,"-",0)</f>
        <v>523.53800000000001</v>
      </c>
      <c r="F737" s="55">
        <f>_xlfn.XLOOKUP($G737,'.Auxiliar'!$G:$G,'.Auxiliar'!F:F,"-",0)</f>
        <v>1</v>
      </c>
      <c r="G737" s="59" t="s">
        <v>1350</v>
      </c>
      <c r="H737" s="108" t="s">
        <v>0</v>
      </c>
      <c r="I737" s="109" t="s">
        <v>0</v>
      </c>
      <c r="J737" s="109" t="s">
        <v>0</v>
      </c>
      <c r="K737" s="109" t="s">
        <v>0</v>
      </c>
      <c r="L737" s="109" t="s">
        <v>0</v>
      </c>
      <c r="M737" s="109" t="s">
        <v>0</v>
      </c>
      <c r="N737" s="110" t="s">
        <v>363</v>
      </c>
      <c r="O737" s="111"/>
      <c r="P737" s="112"/>
      <c r="Q737" s="112"/>
      <c r="R737" s="112"/>
      <c r="S737" s="112"/>
      <c r="T737" s="112"/>
      <c r="U737" s="95" t="str">
        <f t="shared" si="36"/>
        <v/>
      </c>
      <c r="V737" s="112"/>
      <c r="W737" s="112"/>
      <c r="X737" s="107">
        <v>100</v>
      </c>
      <c r="Y737" s="107">
        <f t="shared" si="37"/>
        <v>100</v>
      </c>
      <c r="Z737" s="107">
        <f t="shared" si="38"/>
        <v>0</v>
      </c>
    </row>
    <row r="738" spans="1:26" x14ac:dyDescent="0.25">
      <c r="A738" s="55" t="str">
        <f>_xlfn.XLOOKUP($G738,'.Auxiliar'!$G:$G,'.Auxiliar'!A:A,"-",0)</f>
        <v>RIO/MINAS</v>
      </c>
      <c r="B738" s="55" t="str">
        <f>_xlfn.XLOOKUP($G738,'.Auxiliar'!$G:$G,'.Auxiliar'!B:B,"-",0)</f>
        <v>OAE</v>
      </c>
      <c r="C738" s="55" t="str">
        <f>_xlfn.XLOOKUP($G738,'.Auxiliar'!$G:$G,'.Auxiliar'!C:C,"-",0)</f>
        <v>Intersecção Diamante</v>
      </c>
      <c r="D738" s="55">
        <f>_xlfn.XLOOKUP($G738,'.Auxiliar'!$G:$G,'.Auxiliar'!D:D,"-",0)</f>
        <v>54.164999999999999</v>
      </c>
      <c r="E738" s="55">
        <f>_xlfn.XLOOKUP($G738,'.Auxiliar'!$G:$G,'.Auxiliar'!E:E,"-",0)</f>
        <v>54.164999999999999</v>
      </c>
      <c r="F738" s="55">
        <f>_xlfn.XLOOKUP($G738,'.Auxiliar'!$G:$G,'.Auxiliar'!F:F,"-",0)</f>
        <v>1</v>
      </c>
      <c r="G738" s="59" t="s">
        <v>1341</v>
      </c>
      <c r="H738" s="108" t="s">
        <v>0</v>
      </c>
      <c r="I738" s="109" t="s">
        <v>0</v>
      </c>
      <c r="J738" s="109" t="s">
        <v>0</v>
      </c>
      <c r="K738" s="109" t="s">
        <v>0</v>
      </c>
      <c r="L738" s="109" t="s">
        <v>0</v>
      </c>
      <c r="M738" s="109" t="s">
        <v>0</v>
      </c>
      <c r="N738" s="110" t="s">
        <v>363</v>
      </c>
      <c r="O738" s="111"/>
      <c r="P738" s="112"/>
      <c r="Q738" s="112"/>
      <c r="R738" s="112"/>
      <c r="S738" s="112"/>
      <c r="T738" s="112"/>
      <c r="U738" s="95" t="str">
        <f t="shared" si="36"/>
        <v/>
      </c>
      <c r="V738" s="112"/>
      <c r="W738" s="112"/>
      <c r="X738" s="107">
        <v>100</v>
      </c>
      <c r="Y738" s="107">
        <f t="shared" si="37"/>
        <v>100</v>
      </c>
      <c r="Z738" s="107">
        <f t="shared" si="38"/>
        <v>0</v>
      </c>
    </row>
    <row r="739" spans="1:26" x14ac:dyDescent="0.25">
      <c r="A739" s="55" t="str">
        <f>_xlfn.XLOOKUP($G739,'.Auxiliar'!$G:$G,'.Auxiliar'!A:A,"-",0)</f>
        <v>RIO/MINAS</v>
      </c>
      <c r="B739" s="55" t="str">
        <f>_xlfn.XLOOKUP($G739,'.Auxiliar'!$G:$G,'.Auxiliar'!B:B,"-",0)</f>
        <v>OAE</v>
      </c>
      <c r="C739" s="55" t="str">
        <f>_xlfn.XLOOKUP($G739,'.Auxiliar'!$G:$G,'.Auxiliar'!C:C,"-",0)</f>
        <v>Intersecção Diamante</v>
      </c>
      <c r="D739" s="55">
        <f>_xlfn.XLOOKUP($G739,'.Auxiliar'!$G:$G,'.Auxiliar'!D:D,"-",0)</f>
        <v>703.32</v>
      </c>
      <c r="E739" s="55">
        <f>_xlfn.XLOOKUP($G739,'.Auxiliar'!$G:$G,'.Auxiliar'!E:E,"-",0)</f>
        <v>703.32</v>
      </c>
      <c r="F739" s="55">
        <f>_xlfn.XLOOKUP($G739,'.Auxiliar'!$G:$G,'.Auxiliar'!F:F,"-",0)</f>
        <v>1</v>
      </c>
      <c r="G739" s="59" t="s">
        <v>1351</v>
      </c>
      <c r="H739" s="108" t="s">
        <v>0</v>
      </c>
      <c r="I739" s="109" t="s">
        <v>0</v>
      </c>
      <c r="J739" s="109" t="s">
        <v>0</v>
      </c>
      <c r="K739" s="109" t="s">
        <v>0</v>
      </c>
      <c r="L739" s="109" t="s">
        <v>0</v>
      </c>
      <c r="M739" s="109" t="s">
        <v>0</v>
      </c>
      <c r="N739" s="110" t="s">
        <v>363</v>
      </c>
      <c r="O739" s="111"/>
      <c r="P739" s="112"/>
      <c r="Q739" s="112"/>
      <c r="R739" s="112"/>
      <c r="S739" s="112"/>
      <c r="T739" s="112"/>
      <c r="U739" s="95" t="str">
        <f t="shared" si="36"/>
        <v/>
      </c>
      <c r="V739" s="112"/>
      <c r="W739" s="112"/>
      <c r="X739" s="107">
        <v>100</v>
      </c>
      <c r="Y739" s="107">
        <f t="shared" si="37"/>
        <v>100</v>
      </c>
      <c r="Z739" s="107">
        <f t="shared" si="38"/>
        <v>0</v>
      </c>
    </row>
    <row r="740" spans="1:26" x14ac:dyDescent="0.25">
      <c r="A740" s="55" t="str">
        <f>_xlfn.XLOOKUP($G740,'.Auxiliar'!$G:$G,'.Auxiliar'!A:A,"-",0)</f>
        <v>RIO/MINAS</v>
      </c>
      <c r="B740" s="55" t="str">
        <f>_xlfn.XLOOKUP($G740,'.Auxiliar'!$G:$G,'.Auxiliar'!B:B,"-",0)</f>
        <v>OAE</v>
      </c>
      <c r="C740" s="55" t="str">
        <f>_xlfn.XLOOKUP($G740,'.Auxiliar'!$G:$G,'.Auxiliar'!C:C,"-",0)</f>
        <v>Intersecção Diamante</v>
      </c>
      <c r="D740" s="55">
        <f>_xlfn.XLOOKUP($G740,'.Auxiliar'!$G:$G,'.Auxiliar'!D:D,"-",0)</f>
        <v>763.58</v>
      </c>
      <c r="E740" s="55">
        <f>_xlfn.XLOOKUP($G740,'.Auxiliar'!$G:$G,'.Auxiliar'!E:E,"-",0)</f>
        <v>763.58</v>
      </c>
      <c r="F740" s="55">
        <f>_xlfn.XLOOKUP($G740,'.Auxiliar'!$G:$G,'.Auxiliar'!F:F,"-",0)</f>
        <v>1</v>
      </c>
      <c r="G740" s="59" t="s">
        <v>1352</v>
      </c>
      <c r="H740" s="108" t="s">
        <v>0</v>
      </c>
      <c r="I740" s="109" t="s">
        <v>0</v>
      </c>
      <c r="J740" s="109" t="s">
        <v>0</v>
      </c>
      <c r="K740" s="109" t="s">
        <v>0</v>
      </c>
      <c r="L740" s="109" t="s">
        <v>0</v>
      </c>
      <c r="M740" s="109" t="s">
        <v>0</v>
      </c>
      <c r="N740" s="110" t="s">
        <v>363</v>
      </c>
      <c r="O740" s="111"/>
      <c r="P740" s="112"/>
      <c r="Q740" s="112"/>
      <c r="R740" s="112"/>
      <c r="S740" s="112"/>
      <c r="T740" s="112"/>
      <c r="U740" s="95" t="str">
        <f t="shared" si="36"/>
        <v/>
      </c>
      <c r="V740" s="112"/>
      <c r="W740" s="112"/>
      <c r="X740" s="107">
        <v>100</v>
      </c>
      <c r="Y740" s="107">
        <f t="shared" si="37"/>
        <v>100</v>
      </c>
      <c r="Z740" s="107">
        <f t="shared" si="38"/>
        <v>0</v>
      </c>
    </row>
    <row r="741" spans="1:26" x14ac:dyDescent="0.25">
      <c r="A741" s="55" t="str">
        <f>_xlfn.XLOOKUP($G741,'.Auxiliar'!$G:$G,'.Auxiliar'!A:A,"-",0)</f>
        <v>RIO/MINAS</v>
      </c>
      <c r="B741" s="55" t="str">
        <f>_xlfn.XLOOKUP($G741,'.Auxiliar'!$G:$G,'.Auxiliar'!B:B,"-",0)</f>
        <v>OAE</v>
      </c>
      <c r="C741" s="55" t="str">
        <f>_xlfn.XLOOKUP($G741,'.Auxiliar'!$G:$G,'.Auxiliar'!C:C,"-",0)</f>
        <v>Intersecção Diamante</v>
      </c>
      <c r="D741" s="55">
        <f>_xlfn.XLOOKUP($G741,'.Auxiliar'!$G:$G,'.Auxiliar'!D:D,"-",0)</f>
        <v>765.75</v>
      </c>
      <c r="E741" s="55">
        <f>_xlfn.XLOOKUP($G741,'.Auxiliar'!$G:$G,'.Auxiliar'!E:E,"-",0)</f>
        <v>765.75</v>
      </c>
      <c r="F741" s="55">
        <f>_xlfn.XLOOKUP($G741,'.Auxiliar'!$G:$G,'.Auxiliar'!F:F,"-",0)</f>
        <v>1</v>
      </c>
      <c r="G741" s="59" t="s">
        <v>1353</v>
      </c>
      <c r="H741" s="108" t="s">
        <v>0</v>
      </c>
      <c r="I741" s="109" t="s">
        <v>0</v>
      </c>
      <c r="J741" s="109" t="s">
        <v>0</v>
      </c>
      <c r="K741" s="109" t="s">
        <v>0</v>
      </c>
      <c r="L741" s="109" t="s">
        <v>0</v>
      </c>
      <c r="M741" s="109" t="s">
        <v>0</v>
      </c>
      <c r="N741" s="110" t="s">
        <v>363</v>
      </c>
      <c r="O741" s="111"/>
      <c r="P741" s="112"/>
      <c r="Q741" s="112"/>
      <c r="R741" s="112"/>
      <c r="S741" s="112"/>
      <c r="T741" s="112"/>
      <c r="U741" s="95" t="str">
        <f t="shared" si="36"/>
        <v/>
      </c>
      <c r="V741" s="112"/>
      <c r="W741" s="112"/>
      <c r="X741" s="107">
        <v>100</v>
      </c>
      <c r="Y741" s="107">
        <f t="shared" si="37"/>
        <v>100</v>
      </c>
      <c r="Z741" s="107">
        <f t="shared" si="38"/>
        <v>0</v>
      </c>
    </row>
    <row r="742" spans="1:26" x14ac:dyDescent="0.25">
      <c r="A742" s="55" t="str">
        <f>_xlfn.XLOOKUP($G742,'.Auxiliar'!$G:$G,'.Auxiliar'!A:A,"-",0)</f>
        <v>RIO/MINAS</v>
      </c>
      <c r="B742" s="55" t="str">
        <f>_xlfn.XLOOKUP($G742,'.Auxiliar'!$G:$G,'.Auxiliar'!B:B,"-",0)</f>
        <v>OAE</v>
      </c>
      <c r="C742" s="55" t="str">
        <f>_xlfn.XLOOKUP($G742,'.Auxiliar'!$G:$G,'.Auxiliar'!C:C,"-",0)</f>
        <v>Intersecção Diamante</v>
      </c>
      <c r="D742" s="55">
        <f>_xlfn.XLOOKUP($G742,'.Auxiliar'!$G:$G,'.Auxiliar'!D:D,"-",0)</f>
        <v>80.900000000000006</v>
      </c>
      <c r="E742" s="55">
        <f>_xlfn.XLOOKUP($G742,'.Auxiliar'!$G:$G,'.Auxiliar'!E:E,"-",0)</f>
        <v>80.900000000000006</v>
      </c>
      <c r="F742" s="55">
        <f>_xlfn.XLOOKUP($G742,'.Auxiliar'!$G:$G,'.Auxiliar'!F:F,"-",0)</f>
        <v>1</v>
      </c>
      <c r="G742" s="59" t="s">
        <v>1342</v>
      </c>
      <c r="H742" s="108" t="s">
        <v>0</v>
      </c>
      <c r="I742" s="109" t="s">
        <v>0</v>
      </c>
      <c r="J742" s="109" t="s">
        <v>0</v>
      </c>
      <c r="K742" s="109" t="s">
        <v>0</v>
      </c>
      <c r="L742" s="109" t="s">
        <v>0</v>
      </c>
      <c r="M742" s="109" t="s">
        <v>0</v>
      </c>
      <c r="N742" s="110" t="s">
        <v>363</v>
      </c>
      <c r="O742" s="111"/>
      <c r="P742" s="112"/>
      <c r="Q742" s="112"/>
      <c r="R742" s="112"/>
      <c r="S742" s="112"/>
      <c r="T742" s="112"/>
      <c r="U742" s="95" t="str">
        <f t="shared" si="36"/>
        <v/>
      </c>
      <c r="V742" s="112"/>
      <c r="W742" s="112"/>
      <c r="X742" s="107">
        <v>100</v>
      </c>
      <c r="Y742" s="107">
        <f t="shared" si="37"/>
        <v>100</v>
      </c>
      <c r="Z742" s="107">
        <f t="shared" si="38"/>
        <v>0</v>
      </c>
    </row>
    <row r="743" spans="1:26" x14ac:dyDescent="0.25">
      <c r="A743" s="55" t="str">
        <f>_xlfn.XLOOKUP($G743,'.Auxiliar'!$G:$G,'.Auxiliar'!A:A,"-",0)</f>
        <v>RIO/MINAS</v>
      </c>
      <c r="B743" s="55" t="str">
        <f>_xlfn.XLOOKUP($G743,'.Auxiliar'!$G:$G,'.Auxiliar'!B:B,"-",0)</f>
        <v>OAE</v>
      </c>
      <c r="C743" s="55" t="str">
        <f>_xlfn.XLOOKUP($G743,'.Auxiliar'!$G:$G,'.Auxiliar'!C:C,"-",0)</f>
        <v>Intersecção Trombeta</v>
      </c>
      <c r="D743" s="55">
        <f>_xlfn.XLOOKUP($G743,'.Auxiliar'!$G:$G,'.Auxiliar'!D:D,"-",0)</f>
        <v>470.375</v>
      </c>
      <c r="E743" s="55">
        <f>_xlfn.XLOOKUP($G743,'.Auxiliar'!$G:$G,'.Auxiliar'!E:E,"-",0)</f>
        <v>470.375</v>
      </c>
      <c r="F743" s="55">
        <f>_xlfn.XLOOKUP($G743,'.Auxiliar'!$G:$G,'.Auxiliar'!F:F,"-",0)</f>
        <v>1</v>
      </c>
      <c r="G743" s="59" t="s">
        <v>1357</v>
      </c>
      <c r="H743" s="108" t="s">
        <v>0</v>
      </c>
      <c r="I743" s="109" t="s">
        <v>0</v>
      </c>
      <c r="J743" s="109" t="s">
        <v>0</v>
      </c>
      <c r="K743" s="109" t="s">
        <v>0</v>
      </c>
      <c r="L743" s="109" t="s">
        <v>0</v>
      </c>
      <c r="M743" s="109" t="s">
        <v>0</v>
      </c>
      <c r="N743" s="110" t="s">
        <v>363</v>
      </c>
      <c r="O743" s="111"/>
      <c r="P743" s="112"/>
      <c r="Q743" s="112"/>
      <c r="R743" s="112"/>
      <c r="S743" s="112"/>
      <c r="T743" s="112"/>
      <c r="U743" s="95" t="str">
        <f t="shared" si="36"/>
        <v/>
      </c>
      <c r="V743" s="112"/>
      <c r="W743" s="112"/>
      <c r="X743" s="107">
        <v>100</v>
      </c>
      <c r="Y743" s="107">
        <f t="shared" si="37"/>
        <v>100</v>
      </c>
      <c r="Z743" s="107">
        <f t="shared" si="38"/>
        <v>0</v>
      </c>
    </row>
    <row r="744" spans="1:26" x14ac:dyDescent="0.25">
      <c r="A744" s="55" t="str">
        <f>_xlfn.XLOOKUP($G744,'.Auxiliar'!$G:$G,'.Auxiliar'!A:A,"-",0)</f>
        <v>RIO/MINAS</v>
      </c>
      <c r="B744" s="55" t="str">
        <f>_xlfn.XLOOKUP($G744,'.Auxiliar'!$G:$G,'.Auxiliar'!B:B,"-",0)</f>
        <v>OAE</v>
      </c>
      <c r="C744" s="55" t="str">
        <f>_xlfn.XLOOKUP($G744,'.Auxiliar'!$G:$G,'.Auxiliar'!C:C,"-",0)</f>
        <v>Intersecção Trombeta</v>
      </c>
      <c r="D744" s="55">
        <f>_xlfn.XLOOKUP($G744,'.Auxiliar'!$G:$G,'.Auxiliar'!D:D,"-",0)</f>
        <v>607.44399999999996</v>
      </c>
      <c r="E744" s="55">
        <f>_xlfn.XLOOKUP($G744,'.Auxiliar'!$G:$G,'.Auxiliar'!E:E,"-",0)</f>
        <v>607.44399999999996</v>
      </c>
      <c r="F744" s="55">
        <f>_xlfn.XLOOKUP($G744,'.Auxiliar'!$G:$G,'.Auxiliar'!F:F,"-",0)</f>
        <v>1</v>
      </c>
      <c r="G744" s="59" t="s">
        <v>1358</v>
      </c>
      <c r="H744" s="108" t="s">
        <v>0</v>
      </c>
      <c r="I744" s="109" t="s">
        <v>0</v>
      </c>
      <c r="J744" s="109" t="s">
        <v>0</v>
      </c>
      <c r="K744" s="109" t="s">
        <v>0</v>
      </c>
      <c r="L744" s="109" t="s">
        <v>0</v>
      </c>
      <c r="M744" s="109" t="s">
        <v>0</v>
      </c>
      <c r="N744" s="110" t="s">
        <v>363</v>
      </c>
      <c r="O744" s="111"/>
      <c r="P744" s="112"/>
      <c r="Q744" s="112"/>
      <c r="R744" s="112"/>
      <c r="S744" s="112"/>
      <c r="T744" s="112"/>
      <c r="U744" s="95" t="str">
        <f t="shared" si="36"/>
        <v/>
      </c>
      <c r="V744" s="112"/>
      <c r="W744" s="112"/>
      <c r="X744" s="107">
        <v>100</v>
      </c>
      <c r="Y744" s="107">
        <f t="shared" si="37"/>
        <v>100</v>
      </c>
      <c r="Z744" s="107">
        <f t="shared" si="38"/>
        <v>0</v>
      </c>
    </row>
    <row r="745" spans="1:26" x14ac:dyDescent="0.25">
      <c r="A745" s="55" t="str">
        <f>_xlfn.XLOOKUP($G745,'.Auxiliar'!$G:$G,'.Auxiliar'!A:A,"-",0)</f>
        <v>RIO/MINAS</v>
      </c>
      <c r="B745" s="55" t="str">
        <f>_xlfn.XLOOKUP($G745,'.Auxiliar'!$G:$G,'.Auxiliar'!B:B,"-",0)</f>
        <v>OAE</v>
      </c>
      <c r="C745" s="55" t="str">
        <f>_xlfn.XLOOKUP($G745,'.Auxiliar'!$G:$G,'.Auxiliar'!C:C,"-",0)</f>
        <v>Intersecção Trombeta</v>
      </c>
      <c r="D745" s="55">
        <f>_xlfn.XLOOKUP($G745,'.Auxiliar'!$G:$G,'.Auxiliar'!D:D,"-",0)</f>
        <v>77.984999999999999</v>
      </c>
      <c r="E745" s="55">
        <f>_xlfn.XLOOKUP($G745,'.Auxiliar'!$G:$G,'.Auxiliar'!E:E,"-",0)</f>
        <v>77.984999999999999</v>
      </c>
      <c r="F745" s="55">
        <f>_xlfn.XLOOKUP($G745,'.Auxiliar'!$G:$G,'.Auxiliar'!F:F,"-",0)</f>
        <v>1</v>
      </c>
      <c r="G745" s="59" t="s">
        <v>1348</v>
      </c>
      <c r="H745" s="108" t="s">
        <v>0</v>
      </c>
      <c r="I745" s="109" t="s">
        <v>0</v>
      </c>
      <c r="J745" s="109" t="s">
        <v>0</v>
      </c>
      <c r="K745" s="109" t="s">
        <v>0</v>
      </c>
      <c r="L745" s="109" t="s">
        <v>0</v>
      </c>
      <c r="M745" s="109" t="s">
        <v>0</v>
      </c>
      <c r="N745" s="110" t="s">
        <v>363</v>
      </c>
      <c r="O745" s="111"/>
      <c r="P745" s="112"/>
      <c r="Q745" s="112"/>
      <c r="R745" s="112"/>
      <c r="S745" s="112"/>
      <c r="T745" s="112"/>
      <c r="U745" s="95" t="str">
        <f t="shared" si="36"/>
        <v/>
      </c>
      <c r="V745" s="112"/>
      <c r="W745" s="112"/>
      <c r="X745" s="107">
        <v>100</v>
      </c>
      <c r="Y745" s="107">
        <f t="shared" si="37"/>
        <v>100</v>
      </c>
      <c r="Z745" s="107">
        <f t="shared" si="38"/>
        <v>0</v>
      </c>
    </row>
    <row r="746" spans="1:26" x14ac:dyDescent="0.25">
      <c r="A746" s="55" t="str">
        <f>_xlfn.XLOOKUP($G746,'.Auxiliar'!$G:$G,'.Auxiliar'!A:A,"-",0)</f>
        <v>RIO/MINAS</v>
      </c>
      <c r="B746" s="55" t="str">
        <f>_xlfn.XLOOKUP($G746,'.Auxiliar'!$G:$G,'.Auxiliar'!B:B,"-",0)</f>
        <v>OAE</v>
      </c>
      <c r="C746" s="55" t="str">
        <f>_xlfn.XLOOKUP($G746,'.Auxiliar'!$G:$G,'.Auxiliar'!C:C,"-",0)</f>
        <v>Intersecção Trombeta</v>
      </c>
      <c r="D746" s="55">
        <f>_xlfn.XLOOKUP($G746,'.Auxiliar'!$G:$G,'.Auxiliar'!D:D,"-",0)</f>
        <v>815</v>
      </c>
      <c r="E746" s="55">
        <f>_xlfn.XLOOKUP($G746,'.Auxiliar'!$G:$G,'.Auxiliar'!E:E,"-",0)</f>
        <v>815</v>
      </c>
      <c r="F746" s="55">
        <f>_xlfn.XLOOKUP($G746,'.Auxiliar'!$G:$G,'.Auxiliar'!F:F,"-",0)</f>
        <v>1</v>
      </c>
      <c r="G746" s="59" t="s">
        <v>1359</v>
      </c>
      <c r="H746" s="108" t="s">
        <v>0</v>
      </c>
      <c r="I746" s="109" t="s">
        <v>0</v>
      </c>
      <c r="J746" s="109" t="s">
        <v>0</v>
      </c>
      <c r="K746" s="109" t="s">
        <v>0</v>
      </c>
      <c r="L746" s="109" t="s">
        <v>0</v>
      </c>
      <c r="M746" s="109" t="s">
        <v>0</v>
      </c>
      <c r="N746" s="110" t="s">
        <v>363</v>
      </c>
      <c r="O746" s="111"/>
      <c r="P746" s="112"/>
      <c r="Q746" s="112"/>
      <c r="R746" s="112"/>
      <c r="S746" s="112"/>
      <c r="T746" s="112"/>
      <c r="U746" s="95" t="str">
        <f t="shared" si="36"/>
        <v/>
      </c>
      <c r="V746" s="112"/>
      <c r="W746" s="112"/>
      <c r="X746" s="107">
        <v>100</v>
      </c>
      <c r="Y746" s="107">
        <f t="shared" si="37"/>
        <v>100</v>
      </c>
      <c r="Z746" s="107">
        <f t="shared" si="38"/>
        <v>0</v>
      </c>
    </row>
    <row r="747" spans="1:26" x14ac:dyDescent="0.25">
      <c r="A747" s="55" t="str">
        <f>_xlfn.XLOOKUP($G747,'.Auxiliar'!$G:$G,'.Auxiliar'!A:A,"-",0)</f>
        <v>RIO/MINAS</v>
      </c>
      <c r="B747" s="55" t="str">
        <f>_xlfn.XLOOKUP($G747,'.Auxiliar'!$G:$G,'.Auxiliar'!B:B,"-",0)</f>
        <v>OAE</v>
      </c>
      <c r="C747" s="55" t="str">
        <f>_xlfn.XLOOKUP($G747,'.Auxiliar'!$G:$G,'.Auxiliar'!C:C,"-",0)</f>
        <v>Passagem Inferior</v>
      </c>
      <c r="D747" s="55">
        <f>_xlfn.XLOOKUP($G747,'.Auxiliar'!$G:$G,'.Auxiliar'!D:D,"-",0)</f>
        <v>105.65</v>
      </c>
      <c r="E747" s="55">
        <f>_xlfn.XLOOKUP($G747,'.Auxiliar'!$G:$G,'.Auxiliar'!E:E,"-",0)</f>
        <v>105.65</v>
      </c>
      <c r="F747" s="55">
        <f>_xlfn.XLOOKUP($G747,'.Auxiliar'!$G:$G,'.Auxiliar'!F:F,"-",0)</f>
        <v>1</v>
      </c>
      <c r="G747" s="59" t="s">
        <v>1346</v>
      </c>
      <c r="H747" s="108" t="s">
        <v>0</v>
      </c>
      <c r="I747" s="109" t="s">
        <v>0</v>
      </c>
      <c r="J747" s="109" t="s">
        <v>0</v>
      </c>
      <c r="K747" s="109" t="s">
        <v>0</v>
      </c>
      <c r="L747" s="109" t="s">
        <v>0</v>
      </c>
      <c r="M747" s="109" t="s">
        <v>0</v>
      </c>
      <c r="N747" s="110" t="s">
        <v>363</v>
      </c>
      <c r="O747" s="111"/>
      <c r="P747" s="112"/>
      <c r="Q747" s="112"/>
      <c r="R747" s="112"/>
      <c r="S747" s="112"/>
      <c r="T747" s="112"/>
      <c r="U747" s="95" t="str">
        <f t="shared" si="36"/>
        <v/>
      </c>
      <c r="V747" s="112"/>
      <c r="W747" s="112"/>
      <c r="X747" s="107">
        <v>100</v>
      </c>
      <c r="Y747" s="107">
        <f t="shared" si="37"/>
        <v>100</v>
      </c>
      <c r="Z747" s="107">
        <f t="shared" si="38"/>
        <v>0</v>
      </c>
    </row>
    <row r="748" spans="1:26" x14ac:dyDescent="0.25">
      <c r="A748" s="55" t="str">
        <f>_xlfn.XLOOKUP($G748,'.Auxiliar'!$G:$G,'.Auxiliar'!A:A,"-",0)</f>
        <v>RIO/MINAS</v>
      </c>
      <c r="B748" s="55" t="str">
        <f>_xlfn.XLOOKUP($G748,'.Auxiliar'!$G:$G,'.Auxiliar'!B:B,"-",0)</f>
        <v>OAE</v>
      </c>
      <c r="C748" s="55" t="str">
        <f>_xlfn.XLOOKUP($G748,'.Auxiliar'!$G:$G,'.Auxiliar'!C:C,"-",0)</f>
        <v>Passagem Inferior</v>
      </c>
      <c r="D748" s="55">
        <f>_xlfn.XLOOKUP($G748,'.Auxiliar'!$G:$G,'.Auxiliar'!D:D,"-",0)</f>
        <v>142.65</v>
      </c>
      <c r="E748" s="55">
        <f>_xlfn.XLOOKUP($G748,'.Auxiliar'!$G:$G,'.Auxiliar'!E:E,"-",0)</f>
        <v>142.65</v>
      </c>
      <c r="F748" s="55">
        <f>_xlfn.XLOOKUP($G748,'.Auxiliar'!$G:$G,'.Auxiliar'!F:F,"-",0)</f>
        <v>1</v>
      </c>
      <c r="G748" s="59" t="s">
        <v>1347</v>
      </c>
      <c r="H748" s="108" t="s">
        <v>0</v>
      </c>
      <c r="I748" s="109" t="s">
        <v>0</v>
      </c>
      <c r="J748" s="109" t="s">
        <v>0</v>
      </c>
      <c r="K748" s="109" t="s">
        <v>0</v>
      </c>
      <c r="L748" s="109" t="s">
        <v>0</v>
      </c>
      <c r="M748" s="109" t="s">
        <v>0</v>
      </c>
      <c r="N748" s="110" t="s">
        <v>363</v>
      </c>
      <c r="O748" s="111"/>
      <c r="P748" s="112"/>
      <c r="Q748" s="112"/>
      <c r="R748" s="112"/>
      <c r="S748" s="112"/>
      <c r="T748" s="112"/>
      <c r="U748" s="95" t="str">
        <f t="shared" si="36"/>
        <v/>
      </c>
      <c r="V748" s="112"/>
      <c r="W748" s="112"/>
      <c r="X748" s="107">
        <v>100</v>
      </c>
      <c r="Y748" s="107">
        <f t="shared" si="37"/>
        <v>100</v>
      </c>
      <c r="Z748" s="107">
        <f t="shared" si="38"/>
        <v>0</v>
      </c>
    </row>
    <row r="749" spans="1:26" x14ac:dyDescent="0.25">
      <c r="A749" s="55" t="str">
        <f>_xlfn.XLOOKUP($G749,'.Auxiliar'!$G:$G,'.Auxiliar'!A:A,"-",0)</f>
        <v>RIO/MINAS</v>
      </c>
      <c r="B749" s="55" t="str">
        <f>_xlfn.XLOOKUP($G749,'.Auxiliar'!$G:$G,'.Auxiliar'!B:B,"-",0)</f>
        <v>OAE</v>
      </c>
      <c r="C749" s="55" t="str">
        <f>_xlfn.XLOOKUP($G749,'.Auxiliar'!$G:$G,'.Auxiliar'!C:C,"-",0)</f>
        <v>Passagem Inferior</v>
      </c>
      <c r="D749" s="55">
        <f>_xlfn.XLOOKUP($G749,'.Auxiliar'!$G:$G,'.Auxiliar'!D:D,"-",0)</f>
        <v>15.585000000000001</v>
      </c>
      <c r="E749" s="55">
        <f>_xlfn.XLOOKUP($G749,'.Auxiliar'!$G:$G,'.Auxiliar'!E:E,"-",0)</f>
        <v>15.585000000000001</v>
      </c>
      <c r="F749" s="55">
        <f>_xlfn.XLOOKUP($G749,'.Auxiliar'!$G:$G,'.Auxiliar'!F:F,"-",0)</f>
        <v>1</v>
      </c>
      <c r="G749" s="59" t="s">
        <v>1289</v>
      </c>
      <c r="H749" s="108" t="s">
        <v>0</v>
      </c>
      <c r="I749" s="109" t="s">
        <v>0</v>
      </c>
      <c r="J749" s="109" t="s">
        <v>0</v>
      </c>
      <c r="K749" s="109" t="s">
        <v>0</v>
      </c>
      <c r="L749" s="109" t="s">
        <v>0</v>
      </c>
      <c r="M749" s="109" t="s">
        <v>363</v>
      </c>
      <c r="N749" s="110" t="s">
        <v>0</v>
      </c>
      <c r="O749" s="111"/>
      <c r="P749" s="112"/>
      <c r="Q749" s="112"/>
      <c r="R749" s="112"/>
      <c r="S749" s="112"/>
      <c r="T749" s="112"/>
      <c r="U749" s="95" t="str">
        <f t="shared" si="36"/>
        <v/>
      </c>
      <c r="V749" s="112"/>
      <c r="W749" s="112">
        <v>100</v>
      </c>
      <c r="X749" s="107"/>
      <c r="Y749" s="107">
        <f t="shared" si="37"/>
        <v>100</v>
      </c>
      <c r="Z749" s="107">
        <f t="shared" si="38"/>
        <v>0</v>
      </c>
    </row>
    <row r="750" spans="1:26" x14ac:dyDescent="0.25">
      <c r="A750" s="55" t="str">
        <f>_xlfn.XLOOKUP($G750,'.Auxiliar'!$G:$G,'.Auxiliar'!A:A,"-",0)</f>
        <v>RIO/MINAS</v>
      </c>
      <c r="B750" s="55" t="str">
        <f>_xlfn.XLOOKUP($G750,'.Auxiliar'!$G:$G,'.Auxiliar'!B:B,"-",0)</f>
        <v>OAE</v>
      </c>
      <c r="C750" s="55" t="str">
        <f>_xlfn.XLOOKUP($G750,'.Auxiliar'!$G:$G,'.Auxiliar'!C:C,"-",0)</f>
        <v>Passagem Inferior</v>
      </c>
      <c r="D750" s="55">
        <f>_xlfn.XLOOKUP($G750,'.Auxiliar'!$G:$G,'.Auxiliar'!D:D,"-",0)</f>
        <v>19.757000000000001</v>
      </c>
      <c r="E750" s="55">
        <f>_xlfn.XLOOKUP($G750,'.Auxiliar'!$G:$G,'.Auxiliar'!E:E,"-",0)</f>
        <v>19.757000000000001</v>
      </c>
      <c r="F750" s="55">
        <f>_xlfn.XLOOKUP($G750,'.Auxiliar'!$G:$G,'.Auxiliar'!F:F,"-",0)</f>
        <v>1</v>
      </c>
      <c r="G750" s="59" t="s">
        <v>1290</v>
      </c>
      <c r="H750" s="108" t="s">
        <v>0</v>
      </c>
      <c r="I750" s="109" t="s">
        <v>0</v>
      </c>
      <c r="J750" s="109" t="s">
        <v>0</v>
      </c>
      <c r="K750" s="109" t="s">
        <v>0</v>
      </c>
      <c r="L750" s="109" t="s">
        <v>0</v>
      </c>
      <c r="M750" s="109" t="s">
        <v>363</v>
      </c>
      <c r="N750" s="110" t="s">
        <v>0</v>
      </c>
      <c r="O750" s="111"/>
      <c r="P750" s="112"/>
      <c r="Q750" s="112"/>
      <c r="R750" s="112"/>
      <c r="S750" s="112"/>
      <c r="T750" s="112"/>
      <c r="U750" s="95" t="str">
        <f t="shared" si="36"/>
        <v/>
      </c>
      <c r="V750" s="112"/>
      <c r="W750" s="112">
        <v>100</v>
      </c>
      <c r="X750" s="107"/>
      <c r="Y750" s="107">
        <f t="shared" si="37"/>
        <v>100</v>
      </c>
      <c r="Z750" s="107">
        <f t="shared" si="38"/>
        <v>0</v>
      </c>
    </row>
    <row r="751" spans="1:26" x14ac:dyDescent="0.25">
      <c r="A751" s="55" t="str">
        <f>_xlfn.XLOOKUP($G751,'.Auxiliar'!$G:$G,'.Auxiliar'!A:A,"-",0)</f>
        <v>RIO/MINAS</v>
      </c>
      <c r="B751" s="55" t="str">
        <f>_xlfn.XLOOKUP($G751,'.Auxiliar'!$G:$G,'.Auxiliar'!B:B,"-",0)</f>
        <v>OAE</v>
      </c>
      <c r="C751" s="55" t="str">
        <f>_xlfn.XLOOKUP($G751,'.Auxiliar'!$G:$G,'.Auxiliar'!C:C,"-",0)</f>
        <v>Passagem Inferior</v>
      </c>
      <c r="D751" s="55">
        <f>_xlfn.XLOOKUP($G751,'.Auxiliar'!$G:$G,'.Auxiliar'!D:D,"-",0)</f>
        <v>21.276</v>
      </c>
      <c r="E751" s="55">
        <f>_xlfn.XLOOKUP($G751,'.Auxiliar'!$G:$G,'.Auxiliar'!E:E,"-",0)</f>
        <v>21.276</v>
      </c>
      <c r="F751" s="55">
        <f>_xlfn.XLOOKUP($G751,'.Auxiliar'!$G:$G,'.Auxiliar'!F:F,"-",0)</f>
        <v>1</v>
      </c>
      <c r="G751" s="59" t="s">
        <v>1291</v>
      </c>
      <c r="H751" s="108" t="s">
        <v>0</v>
      </c>
      <c r="I751" s="109" t="s">
        <v>0</v>
      </c>
      <c r="J751" s="109" t="s">
        <v>0</v>
      </c>
      <c r="K751" s="109" t="s">
        <v>0</v>
      </c>
      <c r="L751" s="109" t="s">
        <v>0</v>
      </c>
      <c r="M751" s="109" t="s">
        <v>363</v>
      </c>
      <c r="N751" s="110" t="s">
        <v>0</v>
      </c>
      <c r="O751" s="111"/>
      <c r="P751" s="112"/>
      <c r="Q751" s="112"/>
      <c r="R751" s="112"/>
      <c r="S751" s="112"/>
      <c r="T751" s="112"/>
      <c r="U751" s="95" t="str">
        <f t="shared" si="36"/>
        <v/>
      </c>
      <c r="V751" s="112"/>
      <c r="W751" s="112">
        <v>100</v>
      </c>
      <c r="X751" s="107"/>
      <c r="Y751" s="107">
        <f t="shared" si="37"/>
        <v>100</v>
      </c>
      <c r="Z751" s="107">
        <f t="shared" si="38"/>
        <v>0</v>
      </c>
    </row>
    <row r="752" spans="1:26" x14ac:dyDescent="0.25">
      <c r="A752" s="55" t="str">
        <f>_xlfn.XLOOKUP($G752,'.Auxiliar'!$G:$G,'.Auxiliar'!A:A,"-",0)</f>
        <v>RIO/MINAS</v>
      </c>
      <c r="B752" s="55" t="str">
        <f>_xlfn.XLOOKUP($G752,'.Auxiliar'!$G:$G,'.Auxiliar'!B:B,"-",0)</f>
        <v>OAE</v>
      </c>
      <c r="C752" s="55" t="str">
        <f>_xlfn.XLOOKUP($G752,'.Auxiliar'!$G:$G,'.Auxiliar'!C:C,"-",0)</f>
        <v>Passagem Inferior</v>
      </c>
      <c r="D752" s="55">
        <f>_xlfn.XLOOKUP($G752,'.Auxiliar'!$G:$G,'.Auxiliar'!D:D,"-",0)</f>
        <v>23.39</v>
      </c>
      <c r="E752" s="55">
        <f>_xlfn.XLOOKUP($G752,'.Auxiliar'!$G:$G,'.Auxiliar'!E:E,"-",0)</f>
        <v>23.39</v>
      </c>
      <c r="F752" s="55">
        <f>_xlfn.XLOOKUP($G752,'.Auxiliar'!$G:$G,'.Auxiliar'!F:F,"-",0)</f>
        <v>1</v>
      </c>
      <c r="G752" s="59" t="s">
        <v>1292</v>
      </c>
      <c r="H752" s="108" t="s">
        <v>0</v>
      </c>
      <c r="I752" s="109" t="s">
        <v>0</v>
      </c>
      <c r="J752" s="109" t="s">
        <v>0</v>
      </c>
      <c r="K752" s="109" t="s">
        <v>0</v>
      </c>
      <c r="L752" s="109" t="s">
        <v>0</v>
      </c>
      <c r="M752" s="109" t="s">
        <v>363</v>
      </c>
      <c r="N752" s="110" t="s">
        <v>0</v>
      </c>
      <c r="O752" s="111"/>
      <c r="P752" s="112"/>
      <c r="Q752" s="112"/>
      <c r="R752" s="112"/>
      <c r="S752" s="112"/>
      <c r="T752" s="112"/>
      <c r="U752" s="95" t="str">
        <f t="shared" si="36"/>
        <v/>
      </c>
      <c r="V752" s="112"/>
      <c r="W752" s="112">
        <v>100</v>
      </c>
      <c r="X752" s="107"/>
      <c r="Y752" s="107">
        <f t="shared" si="37"/>
        <v>100</v>
      </c>
      <c r="Z752" s="107">
        <f t="shared" si="38"/>
        <v>0</v>
      </c>
    </row>
    <row r="753" spans="1:26" x14ac:dyDescent="0.25">
      <c r="A753" s="55" t="str">
        <f>_xlfn.XLOOKUP($G753,'.Auxiliar'!$G:$G,'.Auxiliar'!A:A,"-",0)</f>
        <v>RIO/MINAS</v>
      </c>
      <c r="B753" s="55" t="str">
        <f>_xlfn.XLOOKUP($G753,'.Auxiliar'!$G:$G,'.Auxiliar'!B:B,"-",0)</f>
        <v>OAE</v>
      </c>
      <c r="C753" s="55" t="str">
        <f>_xlfn.XLOOKUP($G753,'.Auxiliar'!$G:$G,'.Auxiliar'!C:C,"-",0)</f>
        <v>Passagem Inferior</v>
      </c>
      <c r="D753" s="55">
        <f>_xlfn.XLOOKUP($G753,'.Auxiliar'!$G:$G,'.Auxiliar'!D:D,"-",0)</f>
        <v>6.1</v>
      </c>
      <c r="E753" s="55">
        <f>_xlfn.XLOOKUP($G753,'.Auxiliar'!$G:$G,'.Auxiliar'!E:E,"-",0)</f>
        <v>673.26599999999996</v>
      </c>
      <c r="F753" s="55">
        <f>_xlfn.XLOOKUP($G753,'.Auxiliar'!$G:$G,'.Auxiliar'!F:F,"-",0)</f>
        <v>1</v>
      </c>
      <c r="G753" s="59" t="s">
        <v>1287</v>
      </c>
      <c r="H753" s="108" t="s">
        <v>0</v>
      </c>
      <c r="I753" s="109" t="s">
        <v>0</v>
      </c>
      <c r="J753" s="109" t="s">
        <v>0</v>
      </c>
      <c r="K753" s="109" t="s">
        <v>0</v>
      </c>
      <c r="L753" s="109" t="s">
        <v>0</v>
      </c>
      <c r="M753" s="109" t="s">
        <v>363</v>
      </c>
      <c r="N753" s="110" t="s">
        <v>0</v>
      </c>
      <c r="O753" s="111"/>
      <c r="P753" s="112"/>
      <c r="Q753" s="112"/>
      <c r="R753" s="112"/>
      <c r="S753" s="112"/>
      <c r="T753" s="112"/>
      <c r="U753" s="95" t="str">
        <f t="shared" si="36"/>
        <v/>
      </c>
      <c r="V753" s="112"/>
      <c r="W753" s="112">
        <v>100</v>
      </c>
      <c r="X753" s="107"/>
      <c r="Y753" s="107">
        <f t="shared" si="37"/>
        <v>100</v>
      </c>
      <c r="Z753" s="107">
        <f t="shared" si="38"/>
        <v>0</v>
      </c>
    </row>
    <row r="754" spans="1:26" x14ac:dyDescent="0.25">
      <c r="A754" s="55" t="str">
        <f>_xlfn.XLOOKUP($G754,'.Auxiliar'!$G:$G,'.Auxiliar'!A:A,"-",0)</f>
        <v>RIO/MINAS</v>
      </c>
      <c r="B754" s="55" t="str">
        <f>_xlfn.XLOOKUP($G754,'.Auxiliar'!$G:$G,'.Auxiliar'!B:B,"-",0)</f>
        <v>OAE</v>
      </c>
      <c r="C754" s="55" t="str">
        <f>_xlfn.XLOOKUP($G754,'.Auxiliar'!$G:$G,'.Auxiliar'!C:C,"-",0)</f>
        <v>Passagem Inferior</v>
      </c>
      <c r="D754" s="55">
        <f>_xlfn.XLOOKUP($G754,'.Auxiliar'!$G:$G,'.Auxiliar'!D:D,"-",0)</f>
        <v>6.7</v>
      </c>
      <c r="E754" s="55">
        <f>_xlfn.XLOOKUP($G754,'.Auxiliar'!$G:$G,'.Auxiliar'!E:E,"-",0)</f>
        <v>6.7</v>
      </c>
      <c r="F754" s="55">
        <f>_xlfn.XLOOKUP($G754,'.Auxiliar'!$G:$G,'.Auxiliar'!F:F,"-",0)</f>
        <v>1</v>
      </c>
      <c r="G754" s="59" t="s">
        <v>1288</v>
      </c>
      <c r="H754" s="108" t="s">
        <v>0</v>
      </c>
      <c r="I754" s="109" t="s">
        <v>0</v>
      </c>
      <c r="J754" s="109" t="s">
        <v>0</v>
      </c>
      <c r="K754" s="109" t="s">
        <v>0</v>
      </c>
      <c r="L754" s="109" t="s">
        <v>0</v>
      </c>
      <c r="M754" s="109" t="s">
        <v>363</v>
      </c>
      <c r="N754" s="110" t="s">
        <v>0</v>
      </c>
      <c r="O754" s="111"/>
      <c r="P754" s="112"/>
      <c r="Q754" s="112"/>
      <c r="R754" s="112"/>
      <c r="S754" s="112"/>
      <c r="T754" s="112"/>
      <c r="U754" s="95" t="str">
        <f t="shared" si="36"/>
        <v/>
      </c>
      <c r="V754" s="112"/>
      <c r="W754" s="112">
        <v>100</v>
      </c>
      <c r="X754" s="107"/>
      <c r="Y754" s="107">
        <f t="shared" si="37"/>
        <v>100</v>
      </c>
      <c r="Z754" s="107">
        <f t="shared" si="38"/>
        <v>0</v>
      </c>
    </row>
    <row r="755" spans="1:26" x14ac:dyDescent="0.25">
      <c r="A755" s="55" t="str">
        <f>_xlfn.XLOOKUP($G755,'.Auxiliar'!$G:$G,'.Auxiliar'!A:A,"-",0)</f>
        <v>RIO/MINAS</v>
      </c>
      <c r="B755" s="55" t="str">
        <f>_xlfn.XLOOKUP($G755,'.Auxiliar'!$G:$G,'.Auxiliar'!B:B,"-",0)</f>
        <v>OAE</v>
      </c>
      <c r="C755" s="55" t="str">
        <f>_xlfn.XLOOKUP($G755,'.Auxiliar'!$G:$G,'.Auxiliar'!C:C,"-",0)</f>
        <v>Passagem Inferior</v>
      </c>
      <c r="D755" s="55">
        <f>_xlfn.XLOOKUP($G755,'.Auxiliar'!$G:$G,'.Auxiliar'!D:D,"-",0)</f>
        <v>673.26599999999996</v>
      </c>
      <c r="E755" s="55">
        <f>_xlfn.XLOOKUP($G755,'.Auxiliar'!$G:$G,'.Auxiliar'!E:E,"-",0)</f>
        <v>673.26599999999996</v>
      </c>
      <c r="F755" s="55">
        <f>_xlfn.XLOOKUP($G755,'.Auxiliar'!$G:$G,'.Auxiliar'!F:F,"-",0)</f>
        <v>1</v>
      </c>
      <c r="G755" s="59" t="s">
        <v>1354</v>
      </c>
      <c r="H755" s="108" t="s">
        <v>0</v>
      </c>
      <c r="I755" s="109" t="s">
        <v>0</v>
      </c>
      <c r="J755" s="109" t="s">
        <v>0</v>
      </c>
      <c r="K755" s="109" t="s">
        <v>0</v>
      </c>
      <c r="L755" s="109" t="s">
        <v>0</v>
      </c>
      <c r="M755" s="109" t="s">
        <v>0</v>
      </c>
      <c r="N755" s="110" t="s">
        <v>363</v>
      </c>
      <c r="O755" s="111"/>
      <c r="P755" s="112"/>
      <c r="Q755" s="112"/>
      <c r="R755" s="112"/>
      <c r="S755" s="112"/>
      <c r="T755" s="112"/>
      <c r="U755" s="95" t="str">
        <f t="shared" si="36"/>
        <v/>
      </c>
      <c r="V755" s="112"/>
      <c r="W755" s="112"/>
      <c r="X755" s="107">
        <v>100</v>
      </c>
      <c r="Y755" s="107">
        <f t="shared" si="37"/>
        <v>100</v>
      </c>
      <c r="Z755" s="107">
        <f t="shared" si="38"/>
        <v>0</v>
      </c>
    </row>
    <row r="756" spans="1:26" x14ac:dyDescent="0.25">
      <c r="A756" s="55" t="str">
        <f>_xlfn.XLOOKUP($G756,'.Auxiliar'!$G:$G,'.Auxiliar'!A:A,"-",0)</f>
        <v>RIO/MINAS</v>
      </c>
      <c r="B756" s="55" t="str">
        <f>_xlfn.XLOOKUP($G756,'.Auxiliar'!$G:$G,'.Auxiliar'!B:B,"-",0)</f>
        <v>OAE</v>
      </c>
      <c r="C756" s="55" t="str">
        <f>_xlfn.XLOOKUP($G756,'.Auxiliar'!$G:$G,'.Auxiliar'!C:C,"-",0)</f>
        <v>Passagem Inferior</v>
      </c>
      <c r="D756" s="55">
        <f>_xlfn.XLOOKUP($G756,'.Auxiliar'!$G:$G,'.Auxiliar'!D:D,"-",0)</f>
        <v>704.08399999999995</v>
      </c>
      <c r="E756" s="55">
        <f>_xlfn.XLOOKUP($G756,'.Auxiliar'!$G:$G,'.Auxiliar'!E:E,"-",0)</f>
        <v>704.08399999999995</v>
      </c>
      <c r="F756" s="55">
        <f>_xlfn.XLOOKUP($G756,'.Auxiliar'!$G:$G,'.Auxiliar'!F:F,"-",0)</f>
        <v>1</v>
      </c>
      <c r="G756" s="59" t="s">
        <v>1355</v>
      </c>
      <c r="H756" s="108" t="s">
        <v>0</v>
      </c>
      <c r="I756" s="109" t="s">
        <v>0</v>
      </c>
      <c r="J756" s="109" t="s">
        <v>0</v>
      </c>
      <c r="K756" s="109" t="s">
        <v>0</v>
      </c>
      <c r="L756" s="109" t="s">
        <v>0</v>
      </c>
      <c r="M756" s="109" t="s">
        <v>0</v>
      </c>
      <c r="N756" s="110" t="s">
        <v>363</v>
      </c>
      <c r="O756" s="111"/>
      <c r="P756" s="112"/>
      <c r="Q756" s="112"/>
      <c r="R756" s="112"/>
      <c r="S756" s="112"/>
      <c r="T756" s="112"/>
      <c r="U756" s="95" t="str">
        <f t="shared" si="36"/>
        <v/>
      </c>
      <c r="V756" s="112"/>
      <c r="W756" s="112"/>
      <c r="X756" s="107">
        <v>100</v>
      </c>
      <c r="Y756" s="107">
        <f t="shared" si="37"/>
        <v>100</v>
      </c>
      <c r="Z756" s="107">
        <f t="shared" si="38"/>
        <v>0</v>
      </c>
    </row>
    <row r="757" spans="1:26" x14ac:dyDescent="0.25">
      <c r="A757" s="55" t="str">
        <f>_xlfn.XLOOKUP($G757,'.Auxiliar'!$G:$G,'.Auxiliar'!A:A,"-",0)</f>
        <v>RIO/MINAS</v>
      </c>
      <c r="B757" s="55" t="str">
        <f>_xlfn.XLOOKUP($G757,'.Auxiliar'!$G:$G,'.Auxiliar'!B:B,"-",0)</f>
        <v>OAE</v>
      </c>
      <c r="C757" s="55" t="str">
        <f>_xlfn.XLOOKUP($G757,'.Auxiliar'!$G:$G,'.Auxiliar'!C:C,"-",0)</f>
        <v>Passagem Inferior</v>
      </c>
      <c r="D757" s="55">
        <f>_xlfn.XLOOKUP($G757,'.Auxiliar'!$G:$G,'.Auxiliar'!D:D,"-",0)</f>
        <v>737.1</v>
      </c>
      <c r="E757" s="55">
        <f>_xlfn.XLOOKUP($G757,'.Auxiliar'!$G:$G,'.Auxiliar'!E:E,"-",0)</f>
        <v>737.1</v>
      </c>
      <c r="F757" s="55">
        <f>_xlfn.XLOOKUP($G757,'.Auxiliar'!$G:$G,'.Auxiliar'!F:F,"-",0)</f>
        <v>1</v>
      </c>
      <c r="G757" s="59" t="s">
        <v>1356</v>
      </c>
      <c r="H757" s="108" t="s">
        <v>0</v>
      </c>
      <c r="I757" s="109" t="s">
        <v>0</v>
      </c>
      <c r="J757" s="109" t="s">
        <v>0</v>
      </c>
      <c r="K757" s="109" t="s">
        <v>0</v>
      </c>
      <c r="L757" s="109" t="s">
        <v>0</v>
      </c>
      <c r="M757" s="109" t="s">
        <v>0</v>
      </c>
      <c r="N757" s="110" t="s">
        <v>363</v>
      </c>
      <c r="O757" s="111"/>
      <c r="P757" s="112"/>
      <c r="Q757" s="112"/>
      <c r="R757" s="112"/>
      <c r="S757" s="112"/>
      <c r="T757" s="112"/>
      <c r="U757" s="95" t="str">
        <f t="shared" si="36"/>
        <v/>
      </c>
      <c r="V757" s="112"/>
      <c r="W757" s="112"/>
      <c r="X757" s="107">
        <v>100</v>
      </c>
      <c r="Y757" s="107">
        <f t="shared" si="37"/>
        <v>100</v>
      </c>
      <c r="Z757" s="107">
        <f t="shared" si="38"/>
        <v>0</v>
      </c>
    </row>
    <row r="758" spans="1:26" x14ac:dyDescent="0.25">
      <c r="A758" s="55" t="str">
        <f>_xlfn.XLOOKUP($G758,'.Auxiliar'!$G:$G,'.Auxiliar'!A:A,"-",0)</f>
        <v>RIO/MINAS</v>
      </c>
      <c r="B758" s="55" t="str">
        <f>_xlfn.XLOOKUP($G758,'.Auxiliar'!$G:$G,'.Auxiliar'!B:B,"-",0)</f>
        <v>OAE</v>
      </c>
      <c r="C758" s="55" t="str">
        <f>_xlfn.XLOOKUP($G758,'.Auxiliar'!$G:$G,'.Auxiliar'!C:C,"-",0)</f>
        <v>Passagem Inferior</v>
      </c>
      <c r="D758" s="55">
        <f>_xlfn.XLOOKUP($G758,'.Auxiliar'!$G:$G,'.Auxiliar'!D:D,"-",0)</f>
        <v>83.44</v>
      </c>
      <c r="E758" s="55">
        <f>_xlfn.XLOOKUP($G758,'.Auxiliar'!$G:$G,'.Auxiliar'!E:E,"-",0)</f>
        <v>83.44</v>
      </c>
      <c r="F758" s="55">
        <f>_xlfn.XLOOKUP($G758,'.Auxiliar'!$G:$G,'.Auxiliar'!F:F,"-",0)</f>
        <v>1</v>
      </c>
      <c r="G758" s="59" t="s">
        <v>1344</v>
      </c>
      <c r="H758" s="108" t="s">
        <v>0</v>
      </c>
      <c r="I758" s="109" t="s">
        <v>0</v>
      </c>
      <c r="J758" s="109" t="s">
        <v>0</v>
      </c>
      <c r="K758" s="109" t="s">
        <v>0</v>
      </c>
      <c r="L758" s="109" t="s">
        <v>0</v>
      </c>
      <c r="M758" s="109" t="s">
        <v>0</v>
      </c>
      <c r="N758" s="110" t="s">
        <v>363</v>
      </c>
      <c r="O758" s="111"/>
      <c r="P758" s="112"/>
      <c r="Q758" s="112"/>
      <c r="R758" s="112"/>
      <c r="S758" s="112"/>
      <c r="T758" s="112"/>
      <c r="U758" s="95" t="str">
        <f t="shared" si="36"/>
        <v/>
      </c>
      <c r="V758" s="112"/>
      <c r="W758" s="112"/>
      <c r="X758" s="107">
        <v>100</v>
      </c>
      <c r="Y758" s="107">
        <f t="shared" si="37"/>
        <v>100</v>
      </c>
      <c r="Z758" s="107">
        <f t="shared" si="38"/>
        <v>0</v>
      </c>
    </row>
    <row r="759" spans="1:26" x14ac:dyDescent="0.25">
      <c r="A759" s="55" t="str">
        <f>_xlfn.XLOOKUP($G759,'.Auxiliar'!$G:$G,'.Auxiliar'!A:A,"-",0)</f>
        <v>RIO/MINAS</v>
      </c>
      <c r="B759" s="55" t="str">
        <f>_xlfn.XLOOKUP($G759,'.Auxiliar'!$G:$G,'.Auxiliar'!B:B,"-",0)</f>
        <v>OAE</v>
      </c>
      <c r="C759" s="55" t="str">
        <f>_xlfn.XLOOKUP($G759,'.Auxiliar'!$G:$G,'.Auxiliar'!C:C,"-",0)</f>
        <v>Passagem Inferior</v>
      </c>
      <c r="D759" s="55">
        <f>_xlfn.XLOOKUP($G759,'.Auxiliar'!$G:$G,'.Auxiliar'!D:D,"-",0)</f>
        <v>90.4</v>
      </c>
      <c r="E759" s="55">
        <f>_xlfn.XLOOKUP($G759,'.Auxiliar'!$G:$G,'.Auxiliar'!E:E,"-",0)</f>
        <v>90.4</v>
      </c>
      <c r="F759" s="55">
        <f>_xlfn.XLOOKUP($G759,'.Auxiliar'!$G:$G,'.Auxiliar'!F:F,"-",0)</f>
        <v>1</v>
      </c>
      <c r="G759" s="59" t="s">
        <v>1345</v>
      </c>
      <c r="H759" s="108" t="s">
        <v>0</v>
      </c>
      <c r="I759" s="109" t="s">
        <v>0</v>
      </c>
      <c r="J759" s="109" t="s">
        <v>0</v>
      </c>
      <c r="K759" s="109" t="s">
        <v>0</v>
      </c>
      <c r="L759" s="109" t="s">
        <v>0</v>
      </c>
      <c r="M759" s="109" t="s">
        <v>0</v>
      </c>
      <c r="N759" s="110" t="s">
        <v>363</v>
      </c>
      <c r="O759" s="111"/>
      <c r="P759" s="112"/>
      <c r="Q759" s="112"/>
      <c r="R759" s="112"/>
      <c r="S759" s="112"/>
      <c r="T759" s="112"/>
      <c r="U759" s="95" t="str">
        <f t="shared" si="36"/>
        <v/>
      </c>
      <c r="V759" s="112"/>
      <c r="W759" s="112"/>
      <c r="X759" s="107">
        <v>100</v>
      </c>
      <c r="Y759" s="107">
        <f t="shared" si="37"/>
        <v>100</v>
      </c>
      <c r="Z759" s="107">
        <f t="shared" si="38"/>
        <v>0</v>
      </c>
    </row>
    <row r="760" spans="1:26" x14ac:dyDescent="0.25">
      <c r="A760" s="55" t="str">
        <f>_xlfn.XLOOKUP($G760,'.Auxiliar'!$G:$G,'.Auxiliar'!A:A,"-",0)</f>
        <v>RIO/MINAS</v>
      </c>
      <c r="B760" s="55" t="str">
        <f>_xlfn.XLOOKUP($G760,'.Auxiliar'!$G:$G,'.Auxiliar'!B:B,"-",0)</f>
        <v>OAE</v>
      </c>
      <c r="C760" s="55" t="str">
        <f>_xlfn.XLOOKUP($G760,'.Auxiliar'!$G:$G,'.Auxiliar'!C:C,"-",0)</f>
        <v>Trevo Completo</v>
      </c>
      <c r="D760" s="55">
        <f>_xlfn.XLOOKUP($G760,'.Auxiliar'!$G:$G,'.Auxiliar'!D:D,"-",0)</f>
        <v>7.4</v>
      </c>
      <c r="E760" s="55">
        <f>_xlfn.XLOOKUP($G760,'.Auxiliar'!$G:$G,'.Auxiliar'!E:E,"-",0)</f>
        <v>7.4</v>
      </c>
      <c r="F760" s="55">
        <f>_xlfn.XLOOKUP($G760,'.Auxiliar'!$G:$G,'.Auxiliar'!F:F,"-",0)</f>
        <v>1</v>
      </c>
      <c r="G760" s="59" t="s">
        <v>1293</v>
      </c>
      <c r="H760" s="108" t="s">
        <v>0</v>
      </c>
      <c r="I760" s="109" t="s">
        <v>0</v>
      </c>
      <c r="J760" s="109" t="s">
        <v>0</v>
      </c>
      <c r="K760" s="109" t="s">
        <v>0</v>
      </c>
      <c r="L760" s="109" t="s">
        <v>0</v>
      </c>
      <c r="M760" s="109" t="s">
        <v>363</v>
      </c>
      <c r="N760" s="110" t="s">
        <v>0</v>
      </c>
      <c r="O760" s="111"/>
      <c r="P760" s="112"/>
      <c r="Q760" s="112"/>
      <c r="R760" s="112"/>
      <c r="S760" s="112"/>
      <c r="T760" s="112"/>
      <c r="U760" s="95" t="str">
        <f t="shared" si="36"/>
        <v/>
      </c>
      <c r="V760" s="112"/>
      <c r="W760" s="112">
        <v>100</v>
      </c>
      <c r="X760" s="107"/>
      <c r="Y760" s="107">
        <f t="shared" si="37"/>
        <v>100</v>
      </c>
      <c r="Z760" s="107">
        <f t="shared" si="38"/>
        <v>0</v>
      </c>
    </row>
    <row r="761" spans="1:26" x14ac:dyDescent="0.25">
      <c r="A761" s="55" t="str">
        <f>_xlfn.XLOOKUP($G761,'.Auxiliar'!$G:$G,'.Auxiliar'!A:A,"-",0)</f>
        <v>RIO/MINAS</v>
      </c>
      <c r="B761" s="55" t="str">
        <f>_xlfn.XLOOKUP($G761,'.Auxiliar'!$G:$G,'.Auxiliar'!B:B,"-",0)</f>
        <v>PAVIMENTAÇÃO</v>
      </c>
      <c r="C761" s="55" t="str">
        <f>_xlfn.XLOOKUP($G761,'.Auxiliar'!$G:$G,'.Auxiliar'!C:C,"-",0)</f>
        <v>Crescente</v>
      </c>
      <c r="D761" s="55">
        <f>_xlfn.XLOOKUP($G761,'.Auxiliar'!$G:$G,'.Auxiliar'!D:D,"-",0)</f>
        <v>0.60299999999999998</v>
      </c>
      <c r="E761" s="55">
        <f>_xlfn.XLOOKUP($G761,'.Auxiliar'!$G:$G,'.Auxiliar'!E:E,"-",0)</f>
        <v>5.2229999999999999</v>
      </c>
      <c r="F761" s="55">
        <f>_xlfn.XLOOKUP($G761,'.Auxiliar'!$G:$G,'.Auxiliar'!F:F,"-",0)</f>
        <v>4.62</v>
      </c>
      <c r="G761" s="59" t="s">
        <v>1044</v>
      </c>
      <c r="H761" s="108" t="s">
        <v>0</v>
      </c>
      <c r="I761" s="109" t="s">
        <v>0</v>
      </c>
      <c r="J761" s="109" t="s">
        <v>0</v>
      </c>
      <c r="K761" s="109" t="s">
        <v>0</v>
      </c>
      <c r="L761" s="109" t="s">
        <v>0</v>
      </c>
      <c r="M761" s="109" t="s">
        <v>363</v>
      </c>
      <c r="N761" s="110" t="s">
        <v>0</v>
      </c>
      <c r="O761" s="111"/>
      <c r="P761" s="112"/>
      <c r="Q761" s="112"/>
      <c r="R761" s="112"/>
      <c r="S761" s="112"/>
      <c r="T761" s="112"/>
      <c r="U761" s="95" t="str">
        <f t="shared" si="36"/>
        <v/>
      </c>
      <c r="V761" s="112"/>
      <c r="W761" s="112">
        <v>100</v>
      </c>
      <c r="X761" s="107"/>
      <c r="Y761" s="107">
        <f t="shared" si="37"/>
        <v>100</v>
      </c>
      <c r="Z761" s="107">
        <f t="shared" si="38"/>
        <v>0</v>
      </c>
    </row>
    <row r="762" spans="1:26" x14ac:dyDescent="0.25">
      <c r="A762" s="55" t="str">
        <f>_xlfn.XLOOKUP($G762,'.Auxiliar'!$G:$G,'.Auxiliar'!A:A,"-",0)</f>
        <v>RIO/MINAS</v>
      </c>
      <c r="B762" s="55" t="str">
        <f>_xlfn.XLOOKUP($G762,'.Auxiliar'!$G:$G,'.Auxiliar'!B:B,"-",0)</f>
        <v>PAVIMENTAÇÃO</v>
      </c>
      <c r="C762" s="55" t="str">
        <f>_xlfn.XLOOKUP($G762,'.Auxiliar'!$G:$G,'.Auxiliar'!C:C,"-",0)</f>
        <v>Crescente</v>
      </c>
      <c r="D762" s="55">
        <f>_xlfn.XLOOKUP($G762,'.Auxiliar'!$G:$G,'.Auxiliar'!D:D,"-",0)</f>
        <v>105.5</v>
      </c>
      <c r="E762" s="55">
        <f>_xlfn.XLOOKUP($G762,'.Auxiliar'!$G:$G,'.Auxiliar'!E:E,"-",0)</f>
        <v>105.9</v>
      </c>
      <c r="F762" s="55">
        <f>_xlfn.XLOOKUP($G762,'.Auxiliar'!$G:$G,'.Auxiliar'!F:F,"-",0)</f>
        <v>0.40000000000000568</v>
      </c>
      <c r="G762" s="59" t="s">
        <v>1123</v>
      </c>
      <c r="H762" s="108" t="s">
        <v>0</v>
      </c>
      <c r="I762" s="109" t="s">
        <v>0</v>
      </c>
      <c r="J762" s="109" t="s">
        <v>0</v>
      </c>
      <c r="K762" s="109" t="s">
        <v>0</v>
      </c>
      <c r="L762" s="109" t="s">
        <v>0</v>
      </c>
      <c r="M762" s="109" t="s">
        <v>0</v>
      </c>
      <c r="N762" s="110" t="s">
        <v>363</v>
      </c>
      <c r="O762" s="111"/>
      <c r="P762" s="112"/>
      <c r="Q762" s="112"/>
      <c r="R762" s="112"/>
      <c r="S762" s="112"/>
      <c r="T762" s="112"/>
      <c r="U762" s="95" t="str">
        <f t="shared" si="36"/>
        <v/>
      </c>
      <c r="V762" s="112"/>
      <c r="W762" s="112"/>
      <c r="X762" s="107">
        <v>100</v>
      </c>
      <c r="Y762" s="107">
        <f t="shared" si="37"/>
        <v>100</v>
      </c>
      <c r="Z762" s="107">
        <f t="shared" si="38"/>
        <v>0</v>
      </c>
    </row>
    <row r="763" spans="1:26" x14ac:dyDescent="0.25">
      <c r="A763" s="55" t="str">
        <f>_xlfn.XLOOKUP($G763,'.Auxiliar'!$G:$G,'.Auxiliar'!A:A,"-",0)</f>
        <v>RIO/MINAS</v>
      </c>
      <c r="B763" s="55" t="str">
        <f>_xlfn.XLOOKUP($G763,'.Auxiliar'!$G:$G,'.Auxiliar'!B:B,"-",0)</f>
        <v>PAVIMENTAÇÃO</v>
      </c>
      <c r="C763" s="55" t="str">
        <f>_xlfn.XLOOKUP($G763,'.Auxiliar'!$G:$G,'.Auxiliar'!C:C,"-",0)</f>
        <v>Crescente</v>
      </c>
      <c r="D763" s="55">
        <f>_xlfn.XLOOKUP($G763,'.Auxiliar'!$G:$G,'.Auxiliar'!D:D,"-",0)</f>
        <v>12.15</v>
      </c>
      <c r="E763" s="55">
        <f>_xlfn.XLOOKUP($G763,'.Auxiliar'!$G:$G,'.Auxiliar'!E:E,"-",0)</f>
        <v>12.525</v>
      </c>
      <c r="F763" s="55">
        <f>_xlfn.XLOOKUP($G763,'.Auxiliar'!$G:$G,'.Auxiliar'!F:F,"-",0)</f>
        <v>0.375</v>
      </c>
      <c r="G763" s="59" t="s">
        <v>1126</v>
      </c>
      <c r="H763" s="108" t="s">
        <v>0</v>
      </c>
      <c r="I763" s="109" t="s">
        <v>0</v>
      </c>
      <c r="J763" s="109" t="s">
        <v>0</v>
      </c>
      <c r="K763" s="109" t="s">
        <v>0</v>
      </c>
      <c r="L763" s="109" t="s">
        <v>0</v>
      </c>
      <c r="M763" s="109" t="s">
        <v>0</v>
      </c>
      <c r="N763" s="110" t="s">
        <v>363</v>
      </c>
      <c r="O763" s="111"/>
      <c r="P763" s="112"/>
      <c r="Q763" s="112"/>
      <c r="R763" s="112"/>
      <c r="S763" s="112"/>
      <c r="T763" s="112"/>
      <c r="U763" s="95" t="str">
        <f t="shared" si="36"/>
        <v/>
      </c>
      <c r="V763" s="112"/>
      <c r="W763" s="112"/>
      <c r="X763" s="107">
        <v>100</v>
      </c>
      <c r="Y763" s="107">
        <f t="shared" si="37"/>
        <v>100</v>
      </c>
      <c r="Z763" s="107">
        <f t="shared" si="38"/>
        <v>0</v>
      </c>
    </row>
    <row r="764" spans="1:26" x14ac:dyDescent="0.25">
      <c r="A764" s="55" t="str">
        <f>_xlfn.XLOOKUP($G764,'.Auxiliar'!$G:$G,'.Auxiliar'!A:A,"-",0)</f>
        <v>RIO/MINAS</v>
      </c>
      <c r="B764" s="55" t="str">
        <f>_xlfn.XLOOKUP($G764,'.Auxiliar'!$G:$G,'.Auxiliar'!B:B,"-",0)</f>
        <v>PAVIMENTAÇÃO</v>
      </c>
      <c r="C764" s="55" t="str">
        <f>_xlfn.XLOOKUP($G764,'.Auxiliar'!$G:$G,'.Auxiliar'!C:C,"-",0)</f>
        <v>Crescente</v>
      </c>
      <c r="D764" s="55">
        <f>_xlfn.XLOOKUP($G764,'.Auxiliar'!$G:$G,'.Auxiliar'!D:D,"-",0)</f>
        <v>12.7</v>
      </c>
      <c r="E764" s="55">
        <f>_xlfn.XLOOKUP($G764,'.Auxiliar'!$G:$G,'.Auxiliar'!E:E,"-",0)</f>
        <v>14.58</v>
      </c>
      <c r="F764" s="55">
        <f>_xlfn.XLOOKUP($G764,'.Auxiliar'!$G:$G,'.Auxiliar'!F:F,"-",0)</f>
        <v>1.8800000000000008</v>
      </c>
      <c r="G764" s="59" t="s">
        <v>1127</v>
      </c>
      <c r="H764" s="108" t="s">
        <v>0</v>
      </c>
      <c r="I764" s="109" t="s">
        <v>0</v>
      </c>
      <c r="J764" s="109" t="s">
        <v>0</v>
      </c>
      <c r="K764" s="109" t="s">
        <v>0</v>
      </c>
      <c r="L764" s="109" t="s">
        <v>0</v>
      </c>
      <c r="M764" s="109" t="s">
        <v>0</v>
      </c>
      <c r="N764" s="110" t="s">
        <v>363</v>
      </c>
      <c r="O764" s="111"/>
      <c r="P764" s="112"/>
      <c r="Q764" s="112"/>
      <c r="R764" s="112"/>
      <c r="S764" s="112"/>
      <c r="T764" s="112"/>
      <c r="U764" s="95" t="str">
        <f t="shared" si="36"/>
        <v/>
      </c>
      <c r="V764" s="112"/>
      <c r="W764" s="112"/>
      <c r="X764" s="107">
        <v>100</v>
      </c>
      <c r="Y764" s="107">
        <f t="shared" si="37"/>
        <v>100</v>
      </c>
      <c r="Z764" s="107">
        <f t="shared" si="38"/>
        <v>0</v>
      </c>
    </row>
    <row r="765" spans="1:26" x14ac:dyDescent="0.25">
      <c r="A765" s="55" t="str">
        <f>_xlfn.XLOOKUP($G765,'.Auxiliar'!$G:$G,'.Auxiliar'!A:A,"-",0)</f>
        <v>RIO/MINAS</v>
      </c>
      <c r="B765" s="55" t="str">
        <f>_xlfn.XLOOKUP($G765,'.Auxiliar'!$G:$G,'.Auxiliar'!B:B,"-",0)</f>
        <v>PAVIMENTAÇÃO</v>
      </c>
      <c r="C765" s="55" t="str">
        <f>_xlfn.XLOOKUP($G765,'.Auxiliar'!$G:$G,'.Auxiliar'!C:C,"-",0)</f>
        <v>Crescente</v>
      </c>
      <c r="D765" s="55">
        <f>_xlfn.XLOOKUP($G765,'.Auxiliar'!$G:$G,'.Auxiliar'!D:D,"-",0)</f>
        <v>16.832000000000001</v>
      </c>
      <c r="E765" s="55">
        <f>_xlfn.XLOOKUP($G765,'.Auxiliar'!$G:$G,'.Auxiliar'!E:E,"-",0)</f>
        <v>17.062999999999999</v>
      </c>
      <c r="F765" s="55">
        <f>_xlfn.XLOOKUP($G765,'.Auxiliar'!$G:$G,'.Auxiliar'!F:F,"-",0)</f>
        <v>0.2309999999999981</v>
      </c>
      <c r="G765" s="59" t="s">
        <v>1129</v>
      </c>
      <c r="H765" s="108" t="s">
        <v>0</v>
      </c>
      <c r="I765" s="109" t="s">
        <v>0</v>
      </c>
      <c r="J765" s="109" t="s">
        <v>0</v>
      </c>
      <c r="K765" s="109" t="s">
        <v>0</v>
      </c>
      <c r="L765" s="109" t="s">
        <v>0</v>
      </c>
      <c r="M765" s="109" t="s">
        <v>0</v>
      </c>
      <c r="N765" s="110" t="s">
        <v>363</v>
      </c>
      <c r="O765" s="111"/>
      <c r="P765" s="112"/>
      <c r="Q765" s="112"/>
      <c r="R765" s="112"/>
      <c r="S765" s="112"/>
      <c r="T765" s="112"/>
      <c r="U765" s="95" t="str">
        <f t="shared" si="36"/>
        <v/>
      </c>
      <c r="V765" s="112"/>
      <c r="W765" s="112"/>
      <c r="X765" s="107">
        <v>100</v>
      </c>
      <c r="Y765" s="107">
        <f t="shared" si="37"/>
        <v>100</v>
      </c>
      <c r="Z765" s="107">
        <f t="shared" si="38"/>
        <v>0</v>
      </c>
    </row>
    <row r="766" spans="1:26" x14ac:dyDescent="0.25">
      <c r="A766" s="55" t="str">
        <f>_xlfn.XLOOKUP($G766,'.Auxiliar'!$G:$G,'.Auxiliar'!A:A,"-",0)</f>
        <v>RIO/MINAS</v>
      </c>
      <c r="B766" s="55" t="str">
        <f>_xlfn.XLOOKUP($G766,'.Auxiliar'!$G:$G,'.Auxiliar'!B:B,"-",0)</f>
        <v>PAVIMENTAÇÃO</v>
      </c>
      <c r="C766" s="55" t="str">
        <f>_xlfn.XLOOKUP($G766,'.Auxiliar'!$G:$G,'.Auxiliar'!C:C,"-",0)</f>
        <v>Crescente</v>
      </c>
      <c r="D766" s="55">
        <f>_xlfn.XLOOKUP($G766,'.Auxiliar'!$G:$G,'.Auxiliar'!D:D,"-",0)</f>
        <v>17.25</v>
      </c>
      <c r="E766" s="55">
        <f>_xlfn.XLOOKUP($G766,'.Auxiliar'!$G:$G,'.Auxiliar'!E:E,"-",0)</f>
        <v>18.123999999999999</v>
      </c>
      <c r="F766" s="55">
        <f>_xlfn.XLOOKUP($G766,'.Auxiliar'!$G:$G,'.Auxiliar'!F:F,"-",0)</f>
        <v>0.87399999999999878</v>
      </c>
      <c r="G766" s="59" t="s">
        <v>1130</v>
      </c>
      <c r="H766" s="108" t="s">
        <v>0</v>
      </c>
      <c r="I766" s="109" t="s">
        <v>0</v>
      </c>
      <c r="J766" s="109" t="s">
        <v>0</v>
      </c>
      <c r="K766" s="109" t="s">
        <v>0</v>
      </c>
      <c r="L766" s="109" t="s">
        <v>0</v>
      </c>
      <c r="M766" s="109" t="s">
        <v>0</v>
      </c>
      <c r="N766" s="110" t="s">
        <v>363</v>
      </c>
      <c r="O766" s="111"/>
      <c r="P766" s="112"/>
      <c r="Q766" s="112"/>
      <c r="R766" s="112"/>
      <c r="S766" s="112"/>
      <c r="T766" s="112"/>
      <c r="U766" s="95" t="str">
        <f t="shared" si="36"/>
        <v/>
      </c>
      <c r="V766" s="112"/>
      <c r="W766" s="112"/>
      <c r="X766" s="107">
        <v>100</v>
      </c>
      <c r="Y766" s="107">
        <f t="shared" si="37"/>
        <v>100</v>
      </c>
      <c r="Z766" s="107">
        <f t="shared" si="38"/>
        <v>0</v>
      </c>
    </row>
    <row r="767" spans="1:26" x14ac:dyDescent="0.25">
      <c r="A767" s="55" t="str">
        <f>_xlfn.XLOOKUP($G767,'.Auxiliar'!$G:$G,'.Auxiliar'!A:A,"-",0)</f>
        <v>RIO/MINAS</v>
      </c>
      <c r="B767" s="55" t="str">
        <f>_xlfn.XLOOKUP($G767,'.Auxiliar'!$G:$G,'.Auxiliar'!B:B,"-",0)</f>
        <v>PAVIMENTAÇÃO</v>
      </c>
      <c r="C767" s="55" t="str">
        <f>_xlfn.XLOOKUP($G767,'.Auxiliar'!$G:$G,'.Auxiliar'!C:C,"-",0)</f>
        <v>Crescente</v>
      </c>
      <c r="D767" s="55">
        <f>_xlfn.XLOOKUP($G767,'.Auxiliar'!$G:$G,'.Auxiliar'!D:D,"-",0)</f>
        <v>17.667999999999999</v>
      </c>
      <c r="E767" s="55">
        <f>_xlfn.XLOOKUP($G767,'.Auxiliar'!$G:$G,'.Auxiliar'!E:E,"-",0)</f>
        <v>19.209</v>
      </c>
      <c r="F767" s="55">
        <f>_xlfn.XLOOKUP($G767,'.Auxiliar'!$G:$G,'.Auxiliar'!F:F,"-",0)</f>
        <v>1.5410000000000004</v>
      </c>
      <c r="G767" s="59" t="s">
        <v>1049</v>
      </c>
      <c r="H767" s="108" t="s">
        <v>0</v>
      </c>
      <c r="I767" s="109" t="s">
        <v>0</v>
      </c>
      <c r="J767" s="109" t="s">
        <v>0</v>
      </c>
      <c r="K767" s="109" t="s">
        <v>0</v>
      </c>
      <c r="L767" s="109" t="s">
        <v>0</v>
      </c>
      <c r="M767" s="109" t="s">
        <v>363</v>
      </c>
      <c r="N767" s="110" t="s">
        <v>0</v>
      </c>
      <c r="O767" s="111"/>
      <c r="P767" s="112"/>
      <c r="Q767" s="112"/>
      <c r="R767" s="112"/>
      <c r="S767" s="112"/>
      <c r="T767" s="112"/>
      <c r="U767" s="95" t="str">
        <f t="shared" si="36"/>
        <v/>
      </c>
      <c r="V767" s="112"/>
      <c r="W767" s="112">
        <v>100</v>
      </c>
      <c r="X767" s="107"/>
      <c r="Y767" s="107">
        <f t="shared" si="37"/>
        <v>100</v>
      </c>
      <c r="Z767" s="107">
        <f t="shared" si="38"/>
        <v>0</v>
      </c>
    </row>
    <row r="768" spans="1:26" x14ac:dyDescent="0.25">
      <c r="A768" s="55" t="str">
        <f>_xlfn.XLOOKUP($G768,'.Auxiliar'!$G:$G,'.Auxiliar'!A:A,"-",0)</f>
        <v>RIO/MINAS</v>
      </c>
      <c r="B768" s="55" t="str">
        <f>_xlfn.XLOOKUP($G768,'.Auxiliar'!$G:$G,'.Auxiliar'!B:B,"-",0)</f>
        <v>PAVIMENTAÇÃO</v>
      </c>
      <c r="C768" s="55" t="str">
        <f>_xlfn.XLOOKUP($G768,'.Auxiliar'!$G:$G,'.Auxiliar'!C:C,"-",0)</f>
        <v>Crescente</v>
      </c>
      <c r="D768" s="55">
        <f>_xlfn.XLOOKUP($G768,'.Auxiliar'!$G:$G,'.Auxiliar'!D:D,"-",0)</f>
        <v>175</v>
      </c>
      <c r="E768" s="55">
        <f>_xlfn.XLOOKUP($G768,'.Auxiliar'!$G:$G,'.Auxiliar'!E:E,"-",0)</f>
        <v>177</v>
      </c>
      <c r="F768" s="55">
        <f>_xlfn.XLOOKUP($G768,'.Auxiliar'!$G:$G,'.Auxiliar'!F:F,"-",0)</f>
        <v>2</v>
      </c>
      <c r="G768" s="59" t="s">
        <v>1032</v>
      </c>
      <c r="H768" s="108" t="s">
        <v>0</v>
      </c>
      <c r="I768" s="109" t="s">
        <v>0</v>
      </c>
      <c r="J768" s="109" t="s">
        <v>0</v>
      </c>
      <c r="K768" s="109" t="s">
        <v>0</v>
      </c>
      <c r="L768" s="109" t="s">
        <v>0</v>
      </c>
      <c r="M768" s="109" t="s">
        <v>363</v>
      </c>
      <c r="N768" s="110" t="s">
        <v>0</v>
      </c>
      <c r="O768" s="111"/>
      <c r="P768" s="112"/>
      <c r="Q768" s="112"/>
      <c r="R768" s="112"/>
      <c r="S768" s="112"/>
      <c r="T768" s="112"/>
      <c r="U768" s="95" t="str">
        <f t="shared" si="36"/>
        <v/>
      </c>
      <c r="V768" s="112"/>
      <c r="W768" s="112">
        <v>100</v>
      </c>
      <c r="X768" s="107"/>
      <c r="Y768" s="107">
        <f t="shared" si="37"/>
        <v>100</v>
      </c>
      <c r="Z768" s="107">
        <f t="shared" si="38"/>
        <v>0</v>
      </c>
    </row>
    <row r="769" spans="1:26" x14ac:dyDescent="0.25">
      <c r="A769" s="55" t="str">
        <f>_xlfn.XLOOKUP($G769,'.Auxiliar'!$G:$G,'.Auxiliar'!A:A,"-",0)</f>
        <v>RIO/MINAS</v>
      </c>
      <c r="B769" s="55" t="str">
        <f>_xlfn.XLOOKUP($G769,'.Auxiliar'!$G:$G,'.Auxiliar'!B:B,"-",0)</f>
        <v>PAVIMENTAÇÃO</v>
      </c>
      <c r="C769" s="55" t="str">
        <f>_xlfn.XLOOKUP($G769,'.Auxiliar'!$G:$G,'.Auxiliar'!C:C,"-",0)</f>
        <v>Crescente</v>
      </c>
      <c r="D769" s="55">
        <f>_xlfn.XLOOKUP($G769,'.Auxiliar'!$G:$G,'.Auxiliar'!D:D,"-",0)</f>
        <v>177.4</v>
      </c>
      <c r="E769" s="55">
        <f>_xlfn.XLOOKUP($G769,'.Auxiliar'!$G:$G,'.Auxiliar'!E:E,"-",0)</f>
        <v>179.25</v>
      </c>
      <c r="F769" s="55">
        <f>_xlfn.XLOOKUP($G769,'.Auxiliar'!$G:$G,'.Auxiliar'!F:F,"-",0)</f>
        <v>1.8499999999999943</v>
      </c>
      <c r="G769" s="59" t="s">
        <v>1034</v>
      </c>
      <c r="H769" s="108" t="s">
        <v>0</v>
      </c>
      <c r="I769" s="109" t="s">
        <v>0</v>
      </c>
      <c r="J769" s="109" t="s">
        <v>0</v>
      </c>
      <c r="K769" s="109" t="s">
        <v>0</v>
      </c>
      <c r="L769" s="109" t="s">
        <v>0</v>
      </c>
      <c r="M769" s="109" t="s">
        <v>363</v>
      </c>
      <c r="N769" s="110" t="s">
        <v>0</v>
      </c>
      <c r="O769" s="111"/>
      <c r="P769" s="112"/>
      <c r="Q769" s="112"/>
      <c r="R769" s="112"/>
      <c r="S769" s="112"/>
      <c r="T769" s="112"/>
      <c r="U769" s="95" t="str">
        <f t="shared" si="36"/>
        <v/>
      </c>
      <c r="V769" s="112"/>
      <c r="W769" s="112">
        <v>100</v>
      </c>
      <c r="X769" s="107"/>
      <c r="Y769" s="107">
        <f t="shared" si="37"/>
        <v>100</v>
      </c>
      <c r="Z769" s="107">
        <f t="shared" si="38"/>
        <v>0</v>
      </c>
    </row>
    <row r="770" spans="1:26" x14ac:dyDescent="0.25">
      <c r="A770" s="55" t="str">
        <f>_xlfn.XLOOKUP($G770,'.Auxiliar'!$G:$G,'.Auxiliar'!A:A,"-",0)</f>
        <v>RIO/MINAS</v>
      </c>
      <c r="B770" s="55" t="str">
        <f>_xlfn.XLOOKUP($G770,'.Auxiliar'!$G:$G,'.Auxiliar'!B:B,"-",0)</f>
        <v>PAVIMENTAÇÃO</v>
      </c>
      <c r="C770" s="55" t="str">
        <f>_xlfn.XLOOKUP($G770,'.Auxiliar'!$G:$G,'.Auxiliar'!C:C,"-",0)</f>
        <v>Crescente</v>
      </c>
      <c r="D770" s="55">
        <f>_xlfn.XLOOKUP($G770,'.Auxiliar'!$G:$G,'.Auxiliar'!D:D,"-",0)</f>
        <v>179.84</v>
      </c>
      <c r="E770" s="55">
        <f>_xlfn.XLOOKUP($G770,'.Auxiliar'!$G:$G,'.Auxiliar'!E:E,"-",0)</f>
        <v>180.36</v>
      </c>
      <c r="F770" s="55">
        <f>_xlfn.XLOOKUP($G770,'.Auxiliar'!$G:$G,'.Auxiliar'!F:F,"-",0)</f>
        <v>0.52000000000001023</v>
      </c>
      <c r="G770" s="59" t="s">
        <v>1035</v>
      </c>
      <c r="H770" s="108" t="s">
        <v>0</v>
      </c>
      <c r="I770" s="109" t="s">
        <v>0</v>
      </c>
      <c r="J770" s="109" t="s">
        <v>0</v>
      </c>
      <c r="K770" s="109" t="s">
        <v>0</v>
      </c>
      <c r="L770" s="109" t="s">
        <v>0</v>
      </c>
      <c r="M770" s="109" t="s">
        <v>363</v>
      </c>
      <c r="N770" s="110" t="s">
        <v>0</v>
      </c>
      <c r="O770" s="111"/>
      <c r="P770" s="112"/>
      <c r="Q770" s="112"/>
      <c r="R770" s="112"/>
      <c r="S770" s="112"/>
      <c r="T770" s="112"/>
      <c r="U770" s="95" t="str">
        <f t="shared" si="36"/>
        <v/>
      </c>
      <c r="V770" s="112"/>
      <c r="W770" s="112">
        <v>100</v>
      </c>
      <c r="X770" s="107"/>
      <c r="Y770" s="107">
        <f t="shared" si="37"/>
        <v>100</v>
      </c>
      <c r="Z770" s="107">
        <f t="shared" si="38"/>
        <v>0</v>
      </c>
    </row>
    <row r="771" spans="1:26" x14ac:dyDescent="0.25">
      <c r="A771" s="55" t="str">
        <f>_xlfn.XLOOKUP($G771,'.Auxiliar'!$G:$G,'.Auxiliar'!A:A,"-",0)</f>
        <v>RIO/MINAS</v>
      </c>
      <c r="B771" s="55" t="str">
        <f>_xlfn.XLOOKUP($G771,'.Auxiliar'!$G:$G,'.Auxiliar'!B:B,"-",0)</f>
        <v>PAVIMENTAÇÃO</v>
      </c>
      <c r="C771" s="55" t="str">
        <f>_xlfn.XLOOKUP($G771,'.Auxiliar'!$G:$G,'.Auxiliar'!C:C,"-",0)</f>
        <v>Crescente</v>
      </c>
      <c r="D771" s="55">
        <f>_xlfn.XLOOKUP($G771,'.Auxiliar'!$G:$G,'.Auxiliar'!D:D,"-",0)</f>
        <v>18.440000000000001</v>
      </c>
      <c r="E771" s="55">
        <f>_xlfn.XLOOKUP($G771,'.Auxiliar'!$G:$G,'.Auxiliar'!E:E,"-",0)</f>
        <v>19</v>
      </c>
      <c r="F771" s="55">
        <f>_xlfn.XLOOKUP($G771,'.Auxiliar'!$G:$G,'.Auxiliar'!F:F,"-",0)</f>
        <v>0.55999999999999872</v>
      </c>
      <c r="G771" s="59" t="s">
        <v>1132</v>
      </c>
      <c r="H771" s="108" t="s">
        <v>0</v>
      </c>
      <c r="I771" s="109" t="s">
        <v>0</v>
      </c>
      <c r="J771" s="109" t="s">
        <v>0</v>
      </c>
      <c r="K771" s="109" t="s">
        <v>0</v>
      </c>
      <c r="L771" s="109" t="s">
        <v>0</v>
      </c>
      <c r="M771" s="109" t="s">
        <v>0</v>
      </c>
      <c r="N771" s="110" t="s">
        <v>363</v>
      </c>
      <c r="O771" s="111"/>
      <c r="P771" s="112"/>
      <c r="Q771" s="112"/>
      <c r="R771" s="112"/>
      <c r="S771" s="112"/>
      <c r="T771" s="112"/>
      <c r="U771" s="95" t="str">
        <f t="shared" ref="U771:U834" si="39">IF(SUM(V771:X771)=100,"",100-(P771+R771))</f>
        <v/>
      </c>
      <c r="V771" s="112"/>
      <c r="W771" s="112"/>
      <c r="X771" s="107">
        <v>100</v>
      </c>
      <c r="Y771" s="107">
        <f t="shared" ref="Y771:Y834" si="40">SUM(P771,R771,S771,V771,W771,X771)</f>
        <v>100</v>
      </c>
      <c r="Z771" s="107">
        <f t="shared" ref="Z771:Z834" si="41">SUM(P771,R771,T771)</f>
        <v>0</v>
      </c>
    </row>
    <row r="772" spans="1:26" x14ac:dyDescent="0.25">
      <c r="A772" s="55" t="str">
        <f>_xlfn.XLOOKUP($G772,'.Auxiliar'!$G:$G,'.Auxiliar'!A:A,"-",0)</f>
        <v>RIO/MINAS</v>
      </c>
      <c r="B772" s="55" t="str">
        <f>_xlfn.XLOOKUP($G772,'.Auxiliar'!$G:$G,'.Auxiliar'!B:B,"-",0)</f>
        <v>PAVIMENTAÇÃO</v>
      </c>
      <c r="C772" s="55" t="str">
        <f>_xlfn.XLOOKUP($G772,'.Auxiliar'!$G:$G,'.Auxiliar'!C:C,"-",0)</f>
        <v>Crescente</v>
      </c>
      <c r="D772" s="55">
        <f>_xlfn.XLOOKUP($G772,'.Auxiliar'!$G:$G,'.Auxiliar'!D:D,"-",0)</f>
        <v>180.95</v>
      </c>
      <c r="E772" s="55">
        <f>_xlfn.XLOOKUP($G772,'.Auxiliar'!$G:$G,'.Auxiliar'!E:E,"-",0)</f>
        <v>182.55199999999999</v>
      </c>
      <c r="F772" s="55">
        <f>_xlfn.XLOOKUP($G772,'.Auxiliar'!$G:$G,'.Auxiliar'!F:F,"-",0)</f>
        <v>1.6020000000000039</v>
      </c>
      <c r="G772" s="59" t="s">
        <v>1037</v>
      </c>
      <c r="H772" s="108" t="s">
        <v>0</v>
      </c>
      <c r="I772" s="109" t="s">
        <v>0</v>
      </c>
      <c r="J772" s="109" t="s">
        <v>0</v>
      </c>
      <c r="K772" s="109" t="s">
        <v>0</v>
      </c>
      <c r="L772" s="109" t="s">
        <v>0</v>
      </c>
      <c r="M772" s="109" t="s">
        <v>363</v>
      </c>
      <c r="N772" s="110" t="s">
        <v>0</v>
      </c>
      <c r="O772" s="111"/>
      <c r="P772" s="112"/>
      <c r="Q772" s="112"/>
      <c r="R772" s="112"/>
      <c r="S772" s="112"/>
      <c r="T772" s="112"/>
      <c r="U772" s="95" t="str">
        <f t="shared" si="39"/>
        <v/>
      </c>
      <c r="V772" s="112"/>
      <c r="W772" s="112">
        <v>100</v>
      </c>
      <c r="X772" s="107"/>
      <c r="Y772" s="107">
        <f t="shared" si="40"/>
        <v>100</v>
      </c>
      <c r="Z772" s="107">
        <f t="shared" si="41"/>
        <v>0</v>
      </c>
    </row>
    <row r="773" spans="1:26" x14ac:dyDescent="0.25">
      <c r="A773" s="55" t="str">
        <f>_xlfn.XLOOKUP($G773,'.Auxiliar'!$G:$G,'.Auxiliar'!A:A,"-",0)</f>
        <v>RIO/MINAS</v>
      </c>
      <c r="B773" s="55" t="str">
        <f>_xlfn.XLOOKUP($G773,'.Auxiliar'!$G:$G,'.Auxiliar'!B:B,"-",0)</f>
        <v>PAVIMENTAÇÃO</v>
      </c>
      <c r="C773" s="55" t="str">
        <f>_xlfn.XLOOKUP($G773,'.Auxiliar'!$G:$G,'.Auxiliar'!C:C,"-",0)</f>
        <v>Crescente</v>
      </c>
      <c r="D773" s="55">
        <f>_xlfn.XLOOKUP($G773,'.Auxiliar'!$G:$G,'.Auxiliar'!D:D,"-",0)</f>
        <v>182.69300000000001</v>
      </c>
      <c r="E773" s="55">
        <f>_xlfn.XLOOKUP($G773,'.Auxiliar'!$G:$G,'.Auxiliar'!E:E,"-",0)</f>
        <v>183.32</v>
      </c>
      <c r="F773" s="55">
        <f>_xlfn.XLOOKUP($G773,'.Auxiliar'!$G:$G,'.Auxiliar'!F:F,"-",0)</f>
        <v>0.62699999999998113</v>
      </c>
      <c r="G773" s="59" t="s">
        <v>1039</v>
      </c>
      <c r="H773" s="108" t="s">
        <v>0</v>
      </c>
      <c r="I773" s="109" t="s">
        <v>0</v>
      </c>
      <c r="J773" s="109" t="s">
        <v>0</v>
      </c>
      <c r="K773" s="109" t="s">
        <v>0</v>
      </c>
      <c r="L773" s="109" t="s">
        <v>0</v>
      </c>
      <c r="M773" s="109" t="s">
        <v>363</v>
      </c>
      <c r="N773" s="110" t="s">
        <v>0</v>
      </c>
      <c r="O773" s="111"/>
      <c r="P773" s="112"/>
      <c r="Q773" s="112"/>
      <c r="R773" s="112"/>
      <c r="S773" s="112"/>
      <c r="T773" s="112"/>
      <c r="U773" s="95" t="str">
        <f t="shared" si="39"/>
        <v/>
      </c>
      <c r="V773" s="112"/>
      <c r="W773" s="112">
        <v>100</v>
      </c>
      <c r="X773" s="107"/>
      <c r="Y773" s="107">
        <f t="shared" si="40"/>
        <v>100</v>
      </c>
      <c r="Z773" s="107">
        <f t="shared" si="41"/>
        <v>0</v>
      </c>
    </row>
    <row r="774" spans="1:26" x14ac:dyDescent="0.25">
      <c r="A774" s="55" t="str">
        <f>_xlfn.XLOOKUP($G774,'.Auxiliar'!$G:$G,'.Auxiliar'!A:A,"-",0)</f>
        <v>RIO/MINAS</v>
      </c>
      <c r="B774" s="55" t="str">
        <f>_xlfn.XLOOKUP($G774,'.Auxiliar'!$G:$G,'.Auxiliar'!B:B,"-",0)</f>
        <v>PAVIMENTAÇÃO</v>
      </c>
      <c r="C774" s="55" t="str">
        <f>_xlfn.XLOOKUP($G774,'.Auxiliar'!$G:$G,'.Auxiliar'!C:C,"-",0)</f>
        <v>Crescente</v>
      </c>
      <c r="D774" s="55">
        <f>_xlfn.XLOOKUP($G774,'.Auxiliar'!$G:$G,'.Auxiliar'!D:D,"-",0)</f>
        <v>183.66</v>
      </c>
      <c r="E774" s="55">
        <f>_xlfn.XLOOKUP($G774,'.Auxiliar'!$G:$G,'.Auxiliar'!E:E,"-",0)</f>
        <v>186.33</v>
      </c>
      <c r="F774" s="55">
        <f>_xlfn.XLOOKUP($G774,'.Auxiliar'!$G:$G,'.Auxiliar'!F:F,"-",0)</f>
        <v>2.6700000000000159</v>
      </c>
      <c r="G774" s="59" t="s">
        <v>1041</v>
      </c>
      <c r="H774" s="108" t="s">
        <v>0</v>
      </c>
      <c r="I774" s="109" t="s">
        <v>0</v>
      </c>
      <c r="J774" s="109" t="s">
        <v>0</v>
      </c>
      <c r="K774" s="109" t="s">
        <v>0</v>
      </c>
      <c r="L774" s="109" t="s">
        <v>0</v>
      </c>
      <c r="M774" s="109" t="s">
        <v>363</v>
      </c>
      <c r="N774" s="110" t="s">
        <v>0</v>
      </c>
      <c r="O774" s="111"/>
      <c r="P774" s="112"/>
      <c r="Q774" s="112"/>
      <c r="R774" s="112"/>
      <c r="S774" s="112"/>
      <c r="T774" s="112"/>
      <c r="U774" s="95" t="str">
        <f t="shared" si="39"/>
        <v/>
      </c>
      <c r="V774" s="112"/>
      <c r="W774" s="112">
        <v>100</v>
      </c>
      <c r="X774" s="107"/>
      <c r="Y774" s="107">
        <f t="shared" si="40"/>
        <v>100</v>
      </c>
      <c r="Z774" s="107">
        <f t="shared" si="41"/>
        <v>0</v>
      </c>
    </row>
    <row r="775" spans="1:26" x14ac:dyDescent="0.25">
      <c r="A775" s="55" t="str">
        <f>_xlfn.XLOOKUP($G775,'.Auxiliar'!$G:$G,'.Auxiliar'!A:A,"-",0)</f>
        <v>RIO/MINAS</v>
      </c>
      <c r="B775" s="55" t="str">
        <f>_xlfn.XLOOKUP($G775,'.Auxiliar'!$G:$G,'.Auxiliar'!B:B,"-",0)</f>
        <v>PAVIMENTAÇÃO</v>
      </c>
      <c r="C775" s="55" t="str">
        <f>_xlfn.XLOOKUP($G775,'.Auxiliar'!$G:$G,'.Auxiliar'!C:C,"-",0)</f>
        <v>Crescente</v>
      </c>
      <c r="D775" s="55">
        <f>_xlfn.XLOOKUP($G775,'.Auxiliar'!$G:$G,'.Auxiliar'!D:D,"-",0)</f>
        <v>186.75</v>
      </c>
      <c r="E775" s="55">
        <f>_xlfn.XLOOKUP($G775,'.Auxiliar'!$G:$G,'.Auxiliar'!E:E,"-",0)</f>
        <v>195.4</v>
      </c>
      <c r="F775" s="55">
        <f>_xlfn.XLOOKUP($G775,'.Auxiliar'!$G:$G,'.Auxiliar'!F:F,"-",0)</f>
        <v>8.6500000000000057</v>
      </c>
      <c r="G775" s="59" t="s">
        <v>1043</v>
      </c>
      <c r="H775" s="108" t="s">
        <v>0</v>
      </c>
      <c r="I775" s="109" t="s">
        <v>0</v>
      </c>
      <c r="J775" s="109" t="s">
        <v>0</v>
      </c>
      <c r="K775" s="109" t="s">
        <v>0</v>
      </c>
      <c r="L775" s="109" t="s">
        <v>0</v>
      </c>
      <c r="M775" s="109" t="s">
        <v>363</v>
      </c>
      <c r="N775" s="110" t="s">
        <v>0</v>
      </c>
      <c r="O775" s="111"/>
      <c r="P775" s="112"/>
      <c r="Q775" s="112"/>
      <c r="R775" s="112"/>
      <c r="S775" s="112"/>
      <c r="T775" s="112"/>
      <c r="U775" s="95" t="str">
        <f t="shared" si="39"/>
        <v/>
      </c>
      <c r="V775" s="112"/>
      <c r="W775" s="112">
        <v>100</v>
      </c>
      <c r="X775" s="107"/>
      <c r="Y775" s="107">
        <f t="shared" si="40"/>
        <v>100</v>
      </c>
      <c r="Z775" s="107">
        <f t="shared" si="41"/>
        <v>0</v>
      </c>
    </row>
    <row r="776" spans="1:26" x14ac:dyDescent="0.25">
      <c r="A776" s="55" t="str">
        <f>_xlfn.XLOOKUP($G776,'.Auxiliar'!$G:$G,'.Auxiliar'!A:A,"-",0)</f>
        <v>RIO/MINAS</v>
      </c>
      <c r="B776" s="55" t="str">
        <f>_xlfn.XLOOKUP($G776,'.Auxiliar'!$G:$G,'.Auxiliar'!B:B,"-",0)</f>
        <v>PAVIMENTAÇÃO</v>
      </c>
      <c r="C776" s="55" t="str">
        <f>_xlfn.XLOOKUP($G776,'.Auxiliar'!$G:$G,'.Auxiliar'!C:C,"-",0)</f>
        <v>Crescente</v>
      </c>
      <c r="D776" s="55">
        <f>_xlfn.XLOOKUP($G776,'.Auxiliar'!$G:$G,'.Auxiliar'!D:D,"-",0)</f>
        <v>19.681000000000001</v>
      </c>
      <c r="E776" s="55">
        <f>_xlfn.XLOOKUP($G776,'.Auxiliar'!$G:$G,'.Auxiliar'!E:E,"-",0)</f>
        <v>21.588000000000001</v>
      </c>
      <c r="F776" s="55">
        <f>_xlfn.XLOOKUP($G776,'.Auxiliar'!$G:$G,'.Auxiliar'!F:F,"-",0)</f>
        <v>1.907</v>
      </c>
      <c r="G776" s="59" t="s">
        <v>1052</v>
      </c>
      <c r="H776" s="108" t="s">
        <v>0</v>
      </c>
      <c r="I776" s="109" t="s">
        <v>0</v>
      </c>
      <c r="J776" s="109" t="s">
        <v>0</v>
      </c>
      <c r="K776" s="109" t="s">
        <v>0</v>
      </c>
      <c r="L776" s="109" t="s">
        <v>0</v>
      </c>
      <c r="M776" s="109" t="s">
        <v>363</v>
      </c>
      <c r="N776" s="110" t="s">
        <v>0</v>
      </c>
      <c r="O776" s="111"/>
      <c r="P776" s="112"/>
      <c r="Q776" s="112"/>
      <c r="R776" s="112"/>
      <c r="S776" s="112"/>
      <c r="T776" s="112"/>
      <c r="U776" s="95" t="str">
        <f t="shared" si="39"/>
        <v/>
      </c>
      <c r="V776" s="112"/>
      <c r="W776" s="112">
        <v>100</v>
      </c>
      <c r="X776" s="107"/>
      <c r="Y776" s="107">
        <f t="shared" si="40"/>
        <v>100</v>
      </c>
      <c r="Z776" s="107">
        <f t="shared" si="41"/>
        <v>0</v>
      </c>
    </row>
    <row r="777" spans="1:26" x14ac:dyDescent="0.25">
      <c r="A777" s="55" t="str">
        <f>_xlfn.XLOOKUP($G777,'.Auxiliar'!$G:$G,'.Auxiliar'!A:A,"-",0)</f>
        <v>RIO/MINAS</v>
      </c>
      <c r="B777" s="55" t="str">
        <f>_xlfn.XLOOKUP($G777,'.Auxiliar'!$G:$G,'.Auxiliar'!B:B,"-",0)</f>
        <v>PAVIMENTAÇÃO</v>
      </c>
      <c r="C777" s="55" t="str">
        <f>_xlfn.XLOOKUP($G777,'.Auxiliar'!$G:$G,'.Auxiliar'!C:C,"-",0)</f>
        <v>Crescente</v>
      </c>
      <c r="D777" s="55">
        <f>_xlfn.XLOOKUP($G777,'.Auxiliar'!$G:$G,'.Auxiliar'!D:D,"-",0)</f>
        <v>3.774</v>
      </c>
      <c r="E777" s="55">
        <f>_xlfn.XLOOKUP($G777,'.Auxiliar'!$G:$G,'.Auxiliar'!E:E,"-",0)</f>
        <v>4.96</v>
      </c>
      <c r="F777" s="55">
        <f>_xlfn.XLOOKUP($G777,'.Auxiliar'!$G:$G,'.Auxiliar'!F:F,"-",0)</f>
        <v>1.1859999999999999</v>
      </c>
      <c r="G777" s="59" t="s">
        <v>1125</v>
      </c>
      <c r="H777" s="108" t="s">
        <v>0</v>
      </c>
      <c r="I777" s="109" t="s">
        <v>0</v>
      </c>
      <c r="J777" s="109" t="s">
        <v>0</v>
      </c>
      <c r="K777" s="109" t="s">
        <v>0</v>
      </c>
      <c r="L777" s="109" t="s">
        <v>0</v>
      </c>
      <c r="M777" s="109" t="s">
        <v>0</v>
      </c>
      <c r="N777" s="110" t="s">
        <v>363</v>
      </c>
      <c r="O777" s="111"/>
      <c r="P777" s="112"/>
      <c r="Q777" s="112"/>
      <c r="R777" s="112"/>
      <c r="S777" s="112"/>
      <c r="T777" s="112"/>
      <c r="U777" s="95" t="str">
        <f t="shared" si="39"/>
        <v/>
      </c>
      <c r="V777" s="112"/>
      <c r="W777" s="112"/>
      <c r="X777" s="107">
        <v>100</v>
      </c>
      <c r="Y777" s="107">
        <f t="shared" si="40"/>
        <v>100</v>
      </c>
      <c r="Z777" s="107">
        <f t="shared" si="41"/>
        <v>0</v>
      </c>
    </row>
    <row r="778" spans="1:26" x14ac:dyDescent="0.25">
      <c r="A778" s="55" t="str">
        <f>_xlfn.XLOOKUP($G778,'.Auxiliar'!$G:$G,'.Auxiliar'!A:A,"-",0)</f>
        <v>RIO/MINAS</v>
      </c>
      <c r="B778" s="55" t="str">
        <f>_xlfn.XLOOKUP($G778,'.Auxiliar'!$G:$G,'.Auxiliar'!B:B,"-",0)</f>
        <v>PAVIMENTAÇÃO</v>
      </c>
      <c r="C778" s="55" t="str">
        <f>_xlfn.XLOOKUP($G778,'.Auxiliar'!$G:$G,'.Auxiliar'!C:C,"-",0)</f>
        <v>Crescente</v>
      </c>
      <c r="D778" s="55">
        <f>_xlfn.XLOOKUP($G778,'.Auxiliar'!$G:$G,'.Auxiliar'!D:D,"-",0)</f>
        <v>409.935</v>
      </c>
      <c r="E778" s="55">
        <f>_xlfn.XLOOKUP($G778,'.Auxiliar'!$G:$G,'.Auxiliar'!E:E,"-",0)</f>
        <v>411.31</v>
      </c>
      <c r="F778" s="55">
        <f>_xlfn.XLOOKUP($G778,'.Auxiliar'!$G:$G,'.Auxiliar'!F:F,"-",0)</f>
        <v>1.375</v>
      </c>
      <c r="G778" s="59" t="s">
        <v>1054</v>
      </c>
      <c r="H778" s="108" t="s">
        <v>0</v>
      </c>
      <c r="I778" s="109" t="s">
        <v>0</v>
      </c>
      <c r="J778" s="109" t="s">
        <v>0</v>
      </c>
      <c r="K778" s="109" t="s">
        <v>0</v>
      </c>
      <c r="L778" s="109" t="s">
        <v>0</v>
      </c>
      <c r="M778" s="109" t="s">
        <v>363</v>
      </c>
      <c r="N778" s="110" t="s">
        <v>0</v>
      </c>
      <c r="O778" s="111"/>
      <c r="P778" s="112"/>
      <c r="Q778" s="112"/>
      <c r="R778" s="112"/>
      <c r="S778" s="112"/>
      <c r="T778" s="112"/>
      <c r="U778" s="95" t="str">
        <f t="shared" si="39"/>
        <v/>
      </c>
      <c r="V778" s="112"/>
      <c r="W778" s="112">
        <v>100</v>
      </c>
      <c r="X778" s="107"/>
      <c r="Y778" s="107">
        <f t="shared" si="40"/>
        <v>100</v>
      </c>
      <c r="Z778" s="107">
        <f t="shared" si="41"/>
        <v>0</v>
      </c>
    </row>
    <row r="779" spans="1:26" x14ac:dyDescent="0.25">
      <c r="A779" s="55" t="str">
        <f>_xlfn.XLOOKUP($G779,'.Auxiliar'!$G:$G,'.Auxiliar'!A:A,"-",0)</f>
        <v>RIO/MINAS</v>
      </c>
      <c r="B779" s="55" t="str">
        <f>_xlfn.XLOOKUP($G779,'.Auxiliar'!$G:$G,'.Auxiliar'!B:B,"-",0)</f>
        <v>PAVIMENTAÇÃO</v>
      </c>
      <c r="C779" s="55" t="str">
        <f>_xlfn.XLOOKUP($G779,'.Auxiliar'!$G:$G,'.Auxiliar'!C:C,"-",0)</f>
        <v>Crescente</v>
      </c>
      <c r="D779" s="55">
        <f>_xlfn.XLOOKUP($G779,'.Auxiliar'!$G:$G,'.Auxiliar'!D:D,"-",0)</f>
        <v>416.34</v>
      </c>
      <c r="E779" s="55">
        <f>_xlfn.XLOOKUP($G779,'.Auxiliar'!$G:$G,'.Auxiliar'!E:E,"-",0)</f>
        <v>417.56</v>
      </c>
      <c r="F779" s="55">
        <f>_xlfn.XLOOKUP($G779,'.Auxiliar'!$G:$G,'.Auxiliar'!F:F,"-",0)</f>
        <v>1.2200000000000273</v>
      </c>
      <c r="G779" s="59" t="s">
        <v>1058</v>
      </c>
      <c r="H779" s="108" t="s">
        <v>0</v>
      </c>
      <c r="I779" s="109" t="s">
        <v>0</v>
      </c>
      <c r="J779" s="109" t="s">
        <v>0</v>
      </c>
      <c r="K779" s="109" t="s">
        <v>0</v>
      </c>
      <c r="L779" s="109" t="s">
        <v>0</v>
      </c>
      <c r="M779" s="109" t="s">
        <v>363</v>
      </c>
      <c r="N779" s="110" t="s">
        <v>0</v>
      </c>
      <c r="O779" s="111"/>
      <c r="P779" s="112"/>
      <c r="Q779" s="112"/>
      <c r="R779" s="112"/>
      <c r="S779" s="112"/>
      <c r="T779" s="112"/>
      <c r="U779" s="95" t="str">
        <f t="shared" si="39"/>
        <v/>
      </c>
      <c r="V779" s="112"/>
      <c r="W779" s="112">
        <v>100</v>
      </c>
      <c r="X779" s="107"/>
      <c r="Y779" s="107">
        <f t="shared" si="40"/>
        <v>100</v>
      </c>
      <c r="Z779" s="107">
        <f t="shared" si="41"/>
        <v>0</v>
      </c>
    </row>
    <row r="780" spans="1:26" x14ac:dyDescent="0.25">
      <c r="A780" s="55" t="str">
        <f>_xlfn.XLOOKUP($G780,'.Auxiliar'!$G:$G,'.Auxiliar'!A:A,"-",0)</f>
        <v>RIO/MINAS</v>
      </c>
      <c r="B780" s="55" t="str">
        <f>_xlfn.XLOOKUP($G780,'.Auxiliar'!$G:$G,'.Auxiliar'!B:B,"-",0)</f>
        <v>PAVIMENTAÇÃO</v>
      </c>
      <c r="C780" s="55" t="str">
        <f>_xlfn.XLOOKUP($G780,'.Auxiliar'!$G:$G,'.Auxiliar'!C:C,"-",0)</f>
        <v>Crescente</v>
      </c>
      <c r="D780" s="55">
        <f>_xlfn.XLOOKUP($G780,'.Auxiliar'!$G:$G,'.Auxiliar'!D:D,"-",0)</f>
        <v>5.7889999999999997</v>
      </c>
      <c r="E780" s="55">
        <f>_xlfn.XLOOKUP($G780,'.Auxiliar'!$G:$G,'.Auxiliar'!E:E,"-",0)</f>
        <v>6.641</v>
      </c>
      <c r="F780" s="55">
        <f>_xlfn.XLOOKUP($G780,'.Auxiliar'!$G:$G,'.Auxiliar'!F:F,"-",0)</f>
        <v>0.85200000000000031</v>
      </c>
      <c r="G780" s="59" t="s">
        <v>1047</v>
      </c>
      <c r="H780" s="108" t="s">
        <v>0</v>
      </c>
      <c r="I780" s="109" t="s">
        <v>0</v>
      </c>
      <c r="J780" s="109" t="s">
        <v>0</v>
      </c>
      <c r="K780" s="109" t="s">
        <v>0</v>
      </c>
      <c r="L780" s="109" t="s">
        <v>0</v>
      </c>
      <c r="M780" s="109" t="s">
        <v>363</v>
      </c>
      <c r="N780" s="110" t="s">
        <v>0</v>
      </c>
      <c r="O780" s="111"/>
      <c r="P780" s="112"/>
      <c r="Q780" s="112"/>
      <c r="R780" s="112"/>
      <c r="S780" s="112"/>
      <c r="T780" s="112"/>
      <c r="U780" s="95" t="str">
        <f t="shared" si="39"/>
        <v/>
      </c>
      <c r="V780" s="112"/>
      <c r="W780" s="112">
        <v>100</v>
      </c>
      <c r="X780" s="107"/>
      <c r="Y780" s="107">
        <f t="shared" si="40"/>
        <v>100</v>
      </c>
      <c r="Z780" s="107">
        <f t="shared" si="41"/>
        <v>0</v>
      </c>
    </row>
    <row r="781" spans="1:26" x14ac:dyDescent="0.25">
      <c r="A781" s="55" t="str">
        <f>_xlfn.XLOOKUP($G781,'.Auxiliar'!$G:$G,'.Auxiliar'!A:A,"-",0)</f>
        <v>RIO/MINAS</v>
      </c>
      <c r="B781" s="55" t="str">
        <f>_xlfn.XLOOKUP($G781,'.Auxiliar'!$G:$G,'.Auxiliar'!B:B,"-",0)</f>
        <v>PAVIMENTAÇÃO</v>
      </c>
      <c r="C781" s="55" t="str">
        <f>_xlfn.XLOOKUP($G781,'.Auxiliar'!$G:$G,'.Auxiliar'!C:C,"-",0)</f>
        <v>Crescente</v>
      </c>
      <c r="D781" s="55">
        <f>_xlfn.XLOOKUP($G781,'.Auxiliar'!$G:$G,'.Auxiliar'!D:D,"-",0)</f>
        <v>524.34500000000003</v>
      </c>
      <c r="E781" s="55">
        <f>_xlfn.XLOOKUP($G781,'.Auxiliar'!$G:$G,'.Auxiliar'!E:E,"-",0)</f>
        <v>526.4</v>
      </c>
      <c r="F781" s="55">
        <f>_xlfn.XLOOKUP($G781,'.Auxiliar'!$G:$G,'.Auxiliar'!F:F,"-",0)</f>
        <v>2.05499999999995</v>
      </c>
      <c r="G781" s="59" t="s">
        <v>1136</v>
      </c>
      <c r="H781" s="108" t="s">
        <v>0</v>
      </c>
      <c r="I781" s="109" t="s">
        <v>0</v>
      </c>
      <c r="J781" s="109" t="s">
        <v>0</v>
      </c>
      <c r="K781" s="109" t="s">
        <v>0</v>
      </c>
      <c r="L781" s="109" t="s">
        <v>0</v>
      </c>
      <c r="M781" s="109" t="s">
        <v>0</v>
      </c>
      <c r="N781" s="110" t="s">
        <v>363</v>
      </c>
      <c r="O781" s="111"/>
      <c r="P781" s="112"/>
      <c r="Q781" s="112"/>
      <c r="R781" s="112"/>
      <c r="S781" s="112"/>
      <c r="T781" s="112"/>
      <c r="U781" s="95" t="str">
        <f t="shared" si="39"/>
        <v/>
      </c>
      <c r="V781" s="112"/>
      <c r="W781" s="112"/>
      <c r="X781" s="107">
        <v>100</v>
      </c>
      <c r="Y781" s="107">
        <f t="shared" si="40"/>
        <v>100</v>
      </c>
      <c r="Z781" s="107">
        <f t="shared" si="41"/>
        <v>0</v>
      </c>
    </row>
    <row r="782" spans="1:26" x14ac:dyDescent="0.25">
      <c r="A782" s="55" t="str">
        <f>_xlfn.XLOOKUP($G782,'.Auxiliar'!$G:$G,'.Auxiliar'!A:A,"-",0)</f>
        <v>RIO/MINAS</v>
      </c>
      <c r="B782" s="55" t="str">
        <f>_xlfn.XLOOKUP($G782,'.Auxiliar'!$G:$G,'.Auxiliar'!B:B,"-",0)</f>
        <v>PAVIMENTAÇÃO</v>
      </c>
      <c r="C782" s="55" t="str">
        <f>_xlfn.XLOOKUP($G782,'.Auxiliar'!$G:$G,'.Auxiliar'!C:C,"-",0)</f>
        <v>Crescente</v>
      </c>
      <c r="D782" s="55">
        <f>_xlfn.XLOOKUP($G782,'.Auxiliar'!$G:$G,'.Auxiliar'!D:D,"-",0)</f>
        <v>528.23500000000001</v>
      </c>
      <c r="E782" s="55">
        <f>_xlfn.XLOOKUP($G782,'.Auxiliar'!$G:$G,'.Auxiliar'!E:E,"-",0)</f>
        <v>529.5</v>
      </c>
      <c r="F782" s="55">
        <f>_xlfn.XLOOKUP($G782,'.Auxiliar'!$G:$G,'.Auxiliar'!F:F,"-",0)</f>
        <v>1.2649999999999864</v>
      </c>
      <c r="G782" s="59" t="s">
        <v>1138</v>
      </c>
      <c r="H782" s="108" t="s">
        <v>0</v>
      </c>
      <c r="I782" s="109" t="s">
        <v>0</v>
      </c>
      <c r="J782" s="109" t="s">
        <v>0</v>
      </c>
      <c r="K782" s="109" t="s">
        <v>0</v>
      </c>
      <c r="L782" s="109" t="s">
        <v>0</v>
      </c>
      <c r="M782" s="109" t="s">
        <v>0</v>
      </c>
      <c r="N782" s="110" t="s">
        <v>363</v>
      </c>
      <c r="O782" s="111"/>
      <c r="P782" s="112"/>
      <c r="Q782" s="112"/>
      <c r="R782" s="112"/>
      <c r="S782" s="112"/>
      <c r="T782" s="112"/>
      <c r="U782" s="95" t="str">
        <f t="shared" si="39"/>
        <v/>
      </c>
      <c r="V782" s="112"/>
      <c r="W782" s="112"/>
      <c r="X782" s="107">
        <v>100</v>
      </c>
      <c r="Y782" s="107">
        <f t="shared" si="40"/>
        <v>100</v>
      </c>
      <c r="Z782" s="107">
        <f t="shared" si="41"/>
        <v>0</v>
      </c>
    </row>
    <row r="783" spans="1:26" x14ac:dyDescent="0.25">
      <c r="A783" s="55" t="str">
        <f>_xlfn.XLOOKUP($G783,'.Auxiliar'!$G:$G,'.Auxiliar'!A:A,"-",0)</f>
        <v>RIO/MINAS</v>
      </c>
      <c r="B783" s="55" t="str">
        <f>_xlfn.XLOOKUP($G783,'.Auxiliar'!$G:$G,'.Auxiliar'!B:B,"-",0)</f>
        <v>PAVIMENTAÇÃO</v>
      </c>
      <c r="C783" s="55" t="str">
        <f>_xlfn.XLOOKUP($G783,'.Auxiliar'!$G:$G,'.Auxiliar'!C:C,"-",0)</f>
        <v>Crescente</v>
      </c>
      <c r="D783" s="55">
        <f>_xlfn.XLOOKUP($G783,'.Auxiliar'!$G:$G,'.Auxiliar'!D:D,"-",0)</f>
        <v>529.5</v>
      </c>
      <c r="E783" s="55">
        <f>_xlfn.XLOOKUP($G783,'.Auxiliar'!$G:$G,'.Auxiliar'!E:E,"-",0)</f>
        <v>530.15</v>
      </c>
      <c r="F783" s="55">
        <f>_xlfn.XLOOKUP($G783,'.Auxiliar'!$G:$G,'.Auxiliar'!F:F,"-",0)</f>
        <v>0.64999999999997726</v>
      </c>
      <c r="G783" s="59" t="s">
        <v>1141</v>
      </c>
      <c r="H783" s="108" t="s">
        <v>0</v>
      </c>
      <c r="I783" s="109" t="s">
        <v>0</v>
      </c>
      <c r="J783" s="109" t="s">
        <v>0</v>
      </c>
      <c r="K783" s="109" t="s">
        <v>0</v>
      </c>
      <c r="L783" s="109" t="s">
        <v>0</v>
      </c>
      <c r="M783" s="109" t="s">
        <v>0</v>
      </c>
      <c r="N783" s="110" t="s">
        <v>363</v>
      </c>
      <c r="O783" s="111"/>
      <c r="P783" s="112"/>
      <c r="Q783" s="112"/>
      <c r="R783" s="112"/>
      <c r="S783" s="112"/>
      <c r="T783" s="112"/>
      <c r="U783" s="95" t="str">
        <f t="shared" si="39"/>
        <v/>
      </c>
      <c r="V783" s="112"/>
      <c r="W783" s="112"/>
      <c r="X783" s="107">
        <v>100</v>
      </c>
      <c r="Y783" s="107">
        <f t="shared" si="40"/>
        <v>100</v>
      </c>
      <c r="Z783" s="107">
        <f t="shared" si="41"/>
        <v>0</v>
      </c>
    </row>
    <row r="784" spans="1:26" x14ac:dyDescent="0.25">
      <c r="A784" s="55" t="str">
        <f>_xlfn.XLOOKUP($G784,'.Auxiliar'!$G:$G,'.Auxiliar'!A:A,"-",0)</f>
        <v>RIO/MINAS</v>
      </c>
      <c r="B784" s="55" t="str">
        <f>_xlfn.XLOOKUP($G784,'.Auxiliar'!$G:$G,'.Auxiliar'!B:B,"-",0)</f>
        <v>PAVIMENTAÇÃO</v>
      </c>
      <c r="C784" s="55" t="str">
        <f>_xlfn.XLOOKUP($G784,'.Auxiliar'!$G:$G,'.Auxiliar'!C:C,"-",0)</f>
        <v>Crescente</v>
      </c>
      <c r="D784" s="55">
        <f>_xlfn.XLOOKUP($G784,'.Auxiliar'!$G:$G,'.Auxiliar'!D:D,"-",0)</f>
        <v>537</v>
      </c>
      <c r="E784" s="55">
        <f>_xlfn.XLOOKUP($G784,'.Auxiliar'!$G:$G,'.Auxiliar'!E:E,"-",0)</f>
        <v>538.61500000000001</v>
      </c>
      <c r="F784" s="55">
        <f>_xlfn.XLOOKUP($G784,'.Auxiliar'!$G:$G,'.Auxiliar'!F:F,"-",0)</f>
        <v>1.6150000000000091</v>
      </c>
      <c r="G784" s="59" t="s">
        <v>1142</v>
      </c>
      <c r="H784" s="108" t="s">
        <v>0</v>
      </c>
      <c r="I784" s="109" t="s">
        <v>0</v>
      </c>
      <c r="J784" s="109" t="s">
        <v>0</v>
      </c>
      <c r="K784" s="109" t="s">
        <v>0</v>
      </c>
      <c r="L784" s="109" t="s">
        <v>0</v>
      </c>
      <c r="M784" s="109" t="s">
        <v>0</v>
      </c>
      <c r="N784" s="110" t="s">
        <v>363</v>
      </c>
      <c r="O784" s="111"/>
      <c r="P784" s="112"/>
      <c r="Q784" s="112"/>
      <c r="R784" s="112"/>
      <c r="S784" s="112"/>
      <c r="T784" s="112"/>
      <c r="U784" s="95" t="str">
        <f t="shared" si="39"/>
        <v/>
      </c>
      <c r="V784" s="112"/>
      <c r="W784" s="112"/>
      <c r="X784" s="107">
        <v>100</v>
      </c>
      <c r="Y784" s="107">
        <f t="shared" si="40"/>
        <v>100</v>
      </c>
      <c r="Z784" s="107">
        <f t="shared" si="41"/>
        <v>0</v>
      </c>
    </row>
    <row r="785" spans="1:26" x14ac:dyDescent="0.25">
      <c r="A785" s="55" t="str">
        <f>_xlfn.XLOOKUP($G785,'.Auxiliar'!$G:$G,'.Auxiliar'!A:A,"-",0)</f>
        <v>RIO/MINAS</v>
      </c>
      <c r="B785" s="55" t="str">
        <f>_xlfn.XLOOKUP($G785,'.Auxiliar'!$G:$G,'.Auxiliar'!B:B,"-",0)</f>
        <v>PAVIMENTAÇÃO</v>
      </c>
      <c r="C785" s="55" t="str">
        <f>_xlfn.XLOOKUP($G785,'.Auxiliar'!$G:$G,'.Auxiliar'!C:C,"-",0)</f>
        <v>Crescente</v>
      </c>
      <c r="D785" s="55">
        <f>_xlfn.XLOOKUP($G785,'.Auxiliar'!$G:$G,'.Auxiliar'!D:D,"-",0)</f>
        <v>650.96</v>
      </c>
      <c r="E785" s="55">
        <f>_xlfn.XLOOKUP($G785,'.Auxiliar'!$G:$G,'.Auxiliar'!E:E,"-",0)</f>
        <v>652.20500000000004</v>
      </c>
      <c r="F785" s="55">
        <f>_xlfn.XLOOKUP($G785,'.Auxiliar'!$G:$G,'.Auxiliar'!F:F,"-",0)</f>
        <v>1.2450000000000045</v>
      </c>
      <c r="G785" s="59" t="s">
        <v>1145</v>
      </c>
      <c r="H785" s="108" t="s">
        <v>0</v>
      </c>
      <c r="I785" s="109" t="s">
        <v>0</v>
      </c>
      <c r="J785" s="109" t="s">
        <v>0</v>
      </c>
      <c r="K785" s="109" t="s">
        <v>0</v>
      </c>
      <c r="L785" s="109" t="s">
        <v>0</v>
      </c>
      <c r="M785" s="109" t="s">
        <v>0</v>
      </c>
      <c r="N785" s="110" t="s">
        <v>363</v>
      </c>
      <c r="O785" s="111"/>
      <c r="P785" s="112"/>
      <c r="Q785" s="112"/>
      <c r="R785" s="112"/>
      <c r="S785" s="112"/>
      <c r="T785" s="112"/>
      <c r="U785" s="95" t="str">
        <f t="shared" si="39"/>
        <v/>
      </c>
      <c r="V785" s="112"/>
      <c r="W785" s="112"/>
      <c r="X785" s="107">
        <v>100</v>
      </c>
      <c r="Y785" s="107">
        <f t="shared" si="40"/>
        <v>100</v>
      </c>
      <c r="Z785" s="107">
        <f t="shared" si="41"/>
        <v>0</v>
      </c>
    </row>
    <row r="786" spans="1:26" x14ac:dyDescent="0.25">
      <c r="A786" s="55" t="str">
        <f>_xlfn.XLOOKUP($G786,'.Auxiliar'!$G:$G,'.Auxiliar'!A:A,"-",0)</f>
        <v>RIO/MINAS</v>
      </c>
      <c r="B786" s="55" t="str">
        <f>_xlfn.XLOOKUP($G786,'.Auxiliar'!$G:$G,'.Auxiliar'!B:B,"-",0)</f>
        <v>PAVIMENTAÇÃO</v>
      </c>
      <c r="C786" s="55" t="str">
        <f>_xlfn.XLOOKUP($G786,'.Auxiliar'!$G:$G,'.Auxiliar'!C:C,"-",0)</f>
        <v>Crescente</v>
      </c>
      <c r="D786" s="55">
        <f>_xlfn.XLOOKUP($G786,'.Auxiliar'!$G:$G,'.Auxiliar'!D:D,"-",0)</f>
        <v>67.5</v>
      </c>
      <c r="E786" s="55">
        <f>_xlfn.XLOOKUP($G786,'.Auxiliar'!$G:$G,'.Auxiliar'!E:E,"-",0)</f>
        <v>68</v>
      </c>
      <c r="F786" s="55">
        <f>_xlfn.XLOOKUP($G786,'.Auxiliar'!$G:$G,'.Auxiliar'!F:F,"-",0)</f>
        <v>0.5</v>
      </c>
      <c r="G786" s="59" t="s">
        <v>1121</v>
      </c>
      <c r="H786" s="108" t="s">
        <v>0</v>
      </c>
      <c r="I786" s="109" t="s">
        <v>0</v>
      </c>
      <c r="J786" s="109" t="s">
        <v>0</v>
      </c>
      <c r="K786" s="109" t="s">
        <v>0</v>
      </c>
      <c r="L786" s="109" t="s">
        <v>0</v>
      </c>
      <c r="M786" s="109" t="s">
        <v>0</v>
      </c>
      <c r="N786" s="110" t="s">
        <v>363</v>
      </c>
      <c r="O786" s="111"/>
      <c r="P786" s="112"/>
      <c r="Q786" s="112"/>
      <c r="R786" s="112"/>
      <c r="S786" s="112"/>
      <c r="T786" s="112"/>
      <c r="U786" s="95" t="str">
        <f t="shared" si="39"/>
        <v/>
      </c>
      <c r="V786" s="112"/>
      <c r="W786" s="112"/>
      <c r="X786" s="107">
        <v>100</v>
      </c>
      <c r="Y786" s="107">
        <f t="shared" si="40"/>
        <v>100</v>
      </c>
      <c r="Z786" s="107">
        <f t="shared" si="41"/>
        <v>0</v>
      </c>
    </row>
    <row r="787" spans="1:26" x14ac:dyDescent="0.25">
      <c r="A787" s="55" t="str">
        <f>_xlfn.XLOOKUP($G787,'.Auxiliar'!$G:$G,'.Auxiliar'!A:A,"-",0)</f>
        <v>RIO/MINAS</v>
      </c>
      <c r="B787" s="55" t="str">
        <f>_xlfn.XLOOKUP($G787,'.Auxiliar'!$G:$G,'.Auxiliar'!B:B,"-",0)</f>
        <v>PAVIMENTAÇÃO</v>
      </c>
      <c r="C787" s="55" t="str">
        <f>_xlfn.XLOOKUP($G787,'.Auxiliar'!$G:$G,'.Auxiliar'!C:C,"-",0)</f>
        <v>Crescente</v>
      </c>
      <c r="D787" s="55">
        <f>_xlfn.XLOOKUP($G787,'.Auxiliar'!$G:$G,'.Auxiliar'!D:D,"-",0)</f>
        <v>672.95500000000004</v>
      </c>
      <c r="E787" s="55">
        <f>_xlfn.XLOOKUP($G787,'.Auxiliar'!$G:$G,'.Auxiliar'!E:E,"-",0)</f>
        <v>673.29</v>
      </c>
      <c r="F787" s="55">
        <f>_xlfn.XLOOKUP($G787,'.Auxiliar'!$G:$G,'.Auxiliar'!F:F,"-",0)</f>
        <v>0.33499999999992269</v>
      </c>
      <c r="G787" s="59" t="s">
        <v>1146</v>
      </c>
      <c r="H787" s="108" t="s">
        <v>0</v>
      </c>
      <c r="I787" s="109" t="s">
        <v>0</v>
      </c>
      <c r="J787" s="109" t="s">
        <v>0</v>
      </c>
      <c r="K787" s="109" t="s">
        <v>0</v>
      </c>
      <c r="L787" s="109" t="s">
        <v>0</v>
      </c>
      <c r="M787" s="109" t="s">
        <v>0</v>
      </c>
      <c r="N787" s="110" t="s">
        <v>363</v>
      </c>
      <c r="O787" s="111"/>
      <c r="P787" s="112"/>
      <c r="Q787" s="112"/>
      <c r="R787" s="112"/>
      <c r="S787" s="112"/>
      <c r="T787" s="112"/>
      <c r="U787" s="95" t="str">
        <f t="shared" si="39"/>
        <v/>
      </c>
      <c r="V787" s="112"/>
      <c r="W787" s="112"/>
      <c r="X787" s="107">
        <v>100</v>
      </c>
      <c r="Y787" s="107">
        <f t="shared" si="40"/>
        <v>100</v>
      </c>
      <c r="Z787" s="107">
        <f t="shared" si="41"/>
        <v>0</v>
      </c>
    </row>
    <row r="788" spans="1:26" x14ac:dyDescent="0.25">
      <c r="A788" s="55" t="str">
        <f>_xlfn.XLOOKUP($G788,'.Auxiliar'!$G:$G,'.Auxiliar'!A:A,"-",0)</f>
        <v>RIO/MINAS</v>
      </c>
      <c r="B788" s="55" t="str">
        <f>_xlfn.XLOOKUP($G788,'.Auxiliar'!$G:$G,'.Auxiliar'!B:B,"-",0)</f>
        <v>PAVIMENTAÇÃO</v>
      </c>
      <c r="C788" s="55" t="str">
        <f>_xlfn.XLOOKUP($G788,'.Auxiliar'!$G:$G,'.Auxiliar'!C:C,"-",0)</f>
        <v>Crescente</v>
      </c>
      <c r="D788" s="55">
        <f>_xlfn.XLOOKUP($G788,'.Auxiliar'!$G:$G,'.Auxiliar'!D:D,"-",0)</f>
        <v>766.4</v>
      </c>
      <c r="E788" s="55">
        <f>_xlfn.XLOOKUP($G788,'.Auxiliar'!$G:$G,'.Auxiliar'!E:E,"-",0)</f>
        <v>767</v>
      </c>
      <c r="F788" s="55">
        <f>_xlfn.XLOOKUP($G788,'.Auxiliar'!$G:$G,'.Auxiliar'!F:F,"-",0)</f>
        <v>0.60000000000002274</v>
      </c>
      <c r="G788" s="59" t="s">
        <v>1147</v>
      </c>
      <c r="H788" s="108" t="s">
        <v>0</v>
      </c>
      <c r="I788" s="109" t="s">
        <v>0</v>
      </c>
      <c r="J788" s="109" t="s">
        <v>0</v>
      </c>
      <c r="K788" s="109" t="s">
        <v>0</v>
      </c>
      <c r="L788" s="109" t="s">
        <v>0</v>
      </c>
      <c r="M788" s="109" t="s">
        <v>0</v>
      </c>
      <c r="N788" s="110" t="s">
        <v>363</v>
      </c>
      <c r="O788" s="111"/>
      <c r="P788" s="112"/>
      <c r="Q788" s="112"/>
      <c r="R788" s="112"/>
      <c r="S788" s="112"/>
      <c r="T788" s="112"/>
      <c r="U788" s="95" t="str">
        <f t="shared" si="39"/>
        <v/>
      </c>
      <c r="V788" s="112"/>
      <c r="W788" s="112"/>
      <c r="X788" s="107">
        <v>100</v>
      </c>
      <c r="Y788" s="107">
        <f t="shared" si="40"/>
        <v>100</v>
      </c>
      <c r="Z788" s="107">
        <f t="shared" si="41"/>
        <v>0</v>
      </c>
    </row>
    <row r="789" spans="1:26" x14ac:dyDescent="0.25">
      <c r="A789" s="55" t="str">
        <f>_xlfn.XLOOKUP($G789,'.Auxiliar'!$G:$G,'.Auxiliar'!A:A,"-",0)</f>
        <v>RIO/MINAS</v>
      </c>
      <c r="B789" s="55" t="str">
        <f>_xlfn.XLOOKUP($G789,'.Auxiliar'!$G:$G,'.Auxiliar'!B:B,"-",0)</f>
        <v>PAVIMENTAÇÃO</v>
      </c>
      <c r="C789" s="55" t="str">
        <f>_xlfn.XLOOKUP($G789,'.Auxiliar'!$G:$G,'.Auxiliar'!C:C,"-",0)</f>
        <v>Crescente</v>
      </c>
      <c r="D789" s="55">
        <f>_xlfn.XLOOKUP($G789,'.Auxiliar'!$G:$G,'.Auxiliar'!D:D,"-",0)</f>
        <v>768.54</v>
      </c>
      <c r="E789" s="55">
        <f>_xlfn.XLOOKUP($G789,'.Auxiliar'!$G:$G,'.Auxiliar'!E:E,"-",0)</f>
        <v>770.75</v>
      </c>
      <c r="F789" s="55">
        <f>_xlfn.XLOOKUP($G789,'.Auxiliar'!$G:$G,'.Auxiliar'!F:F,"-",0)</f>
        <v>2.2100000000000364</v>
      </c>
      <c r="G789" s="59" t="s">
        <v>1149</v>
      </c>
      <c r="H789" s="108" t="s">
        <v>0</v>
      </c>
      <c r="I789" s="109" t="s">
        <v>0</v>
      </c>
      <c r="J789" s="109" t="s">
        <v>0</v>
      </c>
      <c r="K789" s="109" t="s">
        <v>0</v>
      </c>
      <c r="L789" s="109" t="s">
        <v>0</v>
      </c>
      <c r="M789" s="109" t="s">
        <v>0</v>
      </c>
      <c r="N789" s="110" t="s">
        <v>363</v>
      </c>
      <c r="O789" s="111"/>
      <c r="P789" s="112"/>
      <c r="Q789" s="112"/>
      <c r="R789" s="112"/>
      <c r="S789" s="112"/>
      <c r="T789" s="112"/>
      <c r="U789" s="95" t="str">
        <f t="shared" si="39"/>
        <v/>
      </c>
      <c r="V789" s="112"/>
      <c r="W789" s="112"/>
      <c r="X789" s="107">
        <v>100</v>
      </c>
      <c r="Y789" s="107">
        <f t="shared" si="40"/>
        <v>100</v>
      </c>
      <c r="Z789" s="107">
        <f t="shared" si="41"/>
        <v>0</v>
      </c>
    </row>
    <row r="790" spans="1:26" x14ac:dyDescent="0.25">
      <c r="A790" s="55" t="str">
        <f>_xlfn.XLOOKUP($G790,'.Auxiliar'!$G:$G,'.Auxiliar'!A:A,"-",0)</f>
        <v>RIO/MINAS</v>
      </c>
      <c r="B790" s="55" t="str">
        <f>_xlfn.XLOOKUP($G790,'.Auxiliar'!$G:$G,'.Auxiliar'!B:B,"-",0)</f>
        <v>PAVIMENTAÇÃO</v>
      </c>
      <c r="C790" s="55" t="str">
        <f>_xlfn.XLOOKUP($G790,'.Auxiliar'!$G:$G,'.Auxiliar'!C:C,"-",0)</f>
        <v>Decrescente</v>
      </c>
      <c r="D790" s="55">
        <f>_xlfn.XLOOKUP($G790,'.Auxiliar'!$G:$G,'.Auxiliar'!D:D,"-",0)</f>
        <v>0.75800000000000001</v>
      </c>
      <c r="E790" s="55">
        <f>_xlfn.XLOOKUP($G790,'.Auxiliar'!$G:$G,'.Auxiliar'!E:E,"-",0)</f>
        <v>3.028</v>
      </c>
      <c r="F790" s="55">
        <f>_xlfn.XLOOKUP($G790,'.Auxiliar'!$G:$G,'.Auxiliar'!F:F,"-",0)</f>
        <v>2.27</v>
      </c>
      <c r="G790" s="59" t="s">
        <v>1045</v>
      </c>
      <c r="H790" s="108" t="s">
        <v>0</v>
      </c>
      <c r="I790" s="109" t="s">
        <v>0</v>
      </c>
      <c r="J790" s="109" t="s">
        <v>0</v>
      </c>
      <c r="K790" s="109" t="s">
        <v>0</v>
      </c>
      <c r="L790" s="109" t="s">
        <v>0</v>
      </c>
      <c r="M790" s="109" t="s">
        <v>363</v>
      </c>
      <c r="N790" s="110" t="s">
        <v>0</v>
      </c>
      <c r="O790" s="111"/>
      <c r="P790" s="112"/>
      <c r="Q790" s="112"/>
      <c r="R790" s="112"/>
      <c r="S790" s="112"/>
      <c r="T790" s="112"/>
      <c r="U790" s="95" t="str">
        <f t="shared" si="39"/>
        <v/>
      </c>
      <c r="V790" s="112"/>
      <c r="W790" s="112">
        <v>100</v>
      </c>
      <c r="X790" s="107"/>
      <c r="Y790" s="107">
        <f t="shared" si="40"/>
        <v>100</v>
      </c>
      <c r="Z790" s="107">
        <f t="shared" si="41"/>
        <v>0</v>
      </c>
    </row>
    <row r="791" spans="1:26" x14ac:dyDescent="0.25">
      <c r="A791" s="55" t="str">
        <f>_xlfn.XLOOKUP($G791,'.Auxiliar'!$G:$G,'.Auxiliar'!A:A,"-",0)</f>
        <v>RIO/MINAS</v>
      </c>
      <c r="B791" s="55" t="str">
        <f>_xlfn.XLOOKUP($G791,'.Auxiliar'!$G:$G,'.Auxiliar'!B:B,"-",0)</f>
        <v>PAVIMENTAÇÃO</v>
      </c>
      <c r="C791" s="55" t="str">
        <f>_xlfn.XLOOKUP($G791,'.Auxiliar'!$G:$G,'.Auxiliar'!C:C,"-",0)</f>
        <v>Decrescente</v>
      </c>
      <c r="D791" s="55">
        <f>_xlfn.XLOOKUP($G791,'.Auxiliar'!$G:$G,'.Auxiliar'!D:D,"-",0)</f>
        <v>105.5</v>
      </c>
      <c r="E791" s="55">
        <f>_xlfn.XLOOKUP($G791,'.Auxiliar'!$G:$G,'.Auxiliar'!E:E,"-",0)</f>
        <v>105.9</v>
      </c>
      <c r="F791" s="55">
        <f>_xlfn.XLOOKUP($G791,'.Auxiliar'!$G:$G,'.Auxiliar'!F:F,"-",0)</f>
        <v>0.40000000000000568</v>
      </c>
      <c r="G791" s="59" t="s">
        <v>1124</v>
      </c>
      <c r="H791" s="108" t="s">
        <v>0</v>
      </c>
      <c r="I791" s="109" t="s">
        <v>0</v>
      </c>
      <c r="J791" s="109" t="s">
        <v>0</v>
      </c>
      <c r="K791" s="109" t="s">
        <v>0</v>
      </c>
      <c r="L791" s="109" t="s">
        <v>0</v>
      </c>
      <c r="M791" s="109" t="s">
        <v>0</v>
      </c>
      <c r="N791" s="110" t="s">
        <v>363</v>
      </c>
      <c r="O791" s="111"/>
      <c r="P791" s="112"/>
      <c r="Q791" s="112"/>
      <c r="R791" s="112"/>
      <c r="S791" s="112"/>
      <c r="T791" s="112"/>
      <c r="U791" s="95" t="str">
        <f t="shared" si="39"/>
        <v/>
      </c>
      <c r="V791" s="112"/>
      <c r="W791" s="112"/>
      <c r="X791" s="107">
        <v>100</v>
      </c>
      <c r="Y791" s="107">
        <f t="shared" si="40"/>
        <v>100</v>
      </c>
      <c r="Z791" s="107">
        <f t="shared" si="41"/>
        <v>0</v>
      </c>
    </row>
    <row r="792" spans="1:26" x14ac:dyDescent="0.25">
      <c r="A792" s="55" t="str">
        <f>_xlfn.XLOOKUP($G792,'.Auxiliar'!$G:$G,'.Auxiliar'!A:A,"-",0)</f>
        <v>RIO/MINAS</v>
      </c>
      <c r="B792" s="55" t="str">
        <f>_xlfn.XLOOKUP($G792,'.Auxiliar'!$G:$G,'.Auxiliar'!B:B,"-",0)</f>
        <v>PAVIMENTAÇÃO</v>
      </c>
      <c r="C792" s="55" t="str">
        <f>_xlfn.XLOOKUP($G792,'.Auxiliar'!$G:$G,'.Auxiliar'!C:C,"-",0)</f>
        <v>Decrescente</v>
      </c>
      <c r="D792" s="55">
        <f>_xlfn.XLOOKUP($G792,'.Auxiliar'!$G:$G,'.Auxiliar'!D:D,"-",0)</f>
        <v>12.8</v>
      </c>
      <c r="E792" s="55">
        <f>_xlfn.XLOOKUP($G792,'.Auxiliar'!$G:$G,'.Auxiliar'!E:E,"-",0)</f>
        <v>14.18</v>
      </c>
      <c r="F792" s="55">
        <f>_xlfn.XLOOKUP($G792,'.Auxiliar'!$G:$G,'.Auxiliar'!F:F,"-",0)</f>
        <v>1.379999999999999</v>
      </c>
      <c r="G792" s="59" t="s">
        <v>1128</v>
      </c>
      <c r="H792" s="108" t="s">
        <v>0</v>
      </c>
      <c r="I792" s="109" t="s">
        <v>0</v>
      </c>
      <c r="J792" s="109" t="s">
        <v>0</v>
      </c>
      <c r="K792" s="109" t="s">
        <v>0</v>
      </c>
      <c r="L792" s="109" t="s">
        <v>0</v>
      </c>
      <c r="M792" s="109" t="s">
        <v>0</v>
      </c>
      <c r="N792" s="110" t="s">
        <v>363</v>
      </c>
      <c r="O792" s="111"/>
      <c r="P792" s="112"/>
      <c r="Q792" s="112"/>
      <c r="R792" s="112"/>
      <c r="S792" s="112"/>
      <c r="T792" s="112"/>
      <c r="U792" s="95" t="str">
        <f t="shared" si="39"/>
        <v/>
      </c>
      <c r="V792" s="112"/>
      <c r="W792" s="112"/>
      <c r="X792" s="107">
        <v>100</v>
      </c>
      <c r="Y792" s="107">
        <f t="shared" si="40"/>
        <v>100</v>
      </c>
      <c r="Z792" s="107">
        <f t="shared" si="41"/>
        <v>0</v>
      </c>
    </row>
    <row r="793" spans="1:26" x14ac:dyDescent="0.25">
      <c r="A793" s="55" t="str">
        <f>_xlfn.XLOOKUP($G793,'.Auxiliar'!$G:$G,'.Auxiliar'!A:A,"-",0)</f>
        <v>RIO/MINAS</v>
      </c>
      <c r="B793" s="55" t="str">
        <f>_xlfn.XLOOKUP($G793,'.Auxiliar'!$G:$G,'.Auxiliar'!B:B,"-",0)</f>
        <v>PAVIMENTAÇÃO</v>
      </c>
      <c r="C793" s="55" t="str">
        <f>_xlfn.XLOOKUP($G793,'.Auxiliar'!$G:$G,'.Auxiliar'!C:C,"-",0)</f>
        <v>Decrescente</v>
      </c>
      <c r="D793" s="55">
        <f>_xlfn.XLOOKUP($G793,'.Auxiliar'!$G:$G,'.Auxiliar'!D:D,"-",0)</f>
        <v>162.19800000000001</v>
      </c>
      <c r="E793" s="55">
        <f>_xlfn.XLOOKUP($G793,'.Auxiliar'!$G:$G,'.Auxiliar'!E:E,"-",0)</f>
        <v>162.75</v>
      </c>
      <c r="F793" s="55">
        <f>_xlfn.XLOOKUP($G793,'.Auxiliar'!$G:$G,'.Auxiliar'!F:F,"-",0)</f>
        <v>0.5519999999999925</v>
      </c>
      <c r="G793" s="59" t="s">
        <v>1030</v>
      </c>
      <c r="H793" s="108" t="s">
        <v>0</v>
      </c>
      <c r="I793" s="109" t="s">
        <v>0</v>
      </c>
      <c r="J793" s="109" t="s">
        <v>0</v>
      </c>
      <c r="K793" s="109" t="s">
        <v>0</v>
      </c>
      <c r="L793" s="109" t="s">
        <v>0</v>
      </c>
      <c r="M793" s="109" t="s">
        <v>363</v>
      </c>
      <c r="N793" s="110" t="s">
        <v>0</v>
      </c>
      <c r="O793" s="111"/>
      <c r="P793" s="112"/>
      <c r="Q793" s="112"/>
      <c r="R793" s="112"/>
      <c r="S793" s="112"/>
      <c r="T793" s="112"/>
      <c r="U793" s="95" t="str">
        <f t="shared" si="39"/>
        <v/>
      </c>
      <c r="V793" s="112"/>
      <c r="W793" s="112">
        <v>100</v>
      </c>
      <c r="X793" s="107"/>
      <c r="Y793" s="107">
        <f t="shared" si="40"/>
        <v>100</v>
      </c>
      <c r="Z793" s="107">
        <f t="shared" si="41"/>
        <v>0</v>
      </c>
    </row>
    <row r="794" spans="1:26" x14ac:dyDescent="0.25">
      <c r="A794" s="55" t="str">
        <f>_xlfn.XLOOKUP($G794,'.Auxiliar'!$G:$G,'.Auxiliar'!A:A,"-",0)</f>
        <v>RIO/MINAS</v>
      </c>
      <c r="B794" s="55" t="str">
        <f>_xlfn.XLOOKUP($G794,'.Auxiliar'!$G:$G,'.Auxiliar'!B:B,"-",0)</f>
        <v>PAVIMENTAÇÃO</v>
      </c>
      <c r="C794" s="55" t="str">
        <f>_xlfn.XLOOKUP($G794,'.Auxiliar'!$G:$G,'.Auxiliar'!C:C,"-",0)</f>
        <v>Decrescente</v>
      </c>
      <c r="D794" s="55">
        <f>_xlfn.XLOOKUP($G794,'.Auxiliar'!$G:$G,'.Auxiliar'!D:D,"-",0)</f>
        <v>163.25</v>
      </c>
      <c r="E794" s="55">
        <f>_xlfn.XLOOKUP($G794,'.Auxiliar'!$G:$G,'.Auxiliar'!E:E,"-",0)</f>
        <v>163.5</v>
      </c>
      <c r="F794" s="55">
        <f>_xlfn.XLOOKUP($G794,'.Auxiliar'!$G:$G,'.Auxiliar'!F:F,"-",0)</f>
        <v>0.25</v>
      </c>
      <c r="G794" s="59" t="s">
        <v>1031</v>
      </c>
      <c r="H794" s="108" t="s">
        <v>0</v>
      </c>
      <c r="I794" s="109" t="s">
        <v>0</v>
      </c>
      <c r="J794" s="109" t="s">
        <v>0</v>
      </c>
      <c r="K794" s="109" t="s">
        <v>0</v>
      </c>
      <c r="L794" s="109" t="s">
        <v>0</v>
      </c>
      <c r="M794" s="109" t="s">
        <v>363</v>
      </c>
      <c r="N794" s="110" t="s">
        <v>0</v>
      </c>
      <c r="O794" s="111"/>
      <c r="P794" s="112"/>
      <c r="Q794" s="112"/>
      <c r="R794" s="112"/>
      <c r="S794" s="112"/>
      <c r="T794" s="112"/>
      <c r="U794" s="95" t="str">
        <f t="shared" si="39"/>
        <v/>
      </c>
      <c r="V794" s="112"/>
      <c r="W794" s="112">
        <v>100</v>
      </c>
      <c r="X794" s="107"/>
      <c r="Y794" s="107">
        <f t="shared" si="40"/>
        <v>100</v>
      </c>
      <c r="Z794" s="107">
        <f t="shared" si="41"/>
        <v>0</v>
      </c>
    </row>
    <row r="795" spans="1:26" x14ac:dyDescent="0.25">
      <c r="A795" s="55" t="str">
        <f>_xlfn.XLOOKUP($G795,'.Auxiliar'!$G:$G,'.Auxiliar'!A:A,"-",0)</f>
        <v>RIO/MINAS</v>
      </c>
      <c r="B795" s="55" t="str">
        <f>_xlfn.XLOOKUP($G795,'.Auxiliar'!$G:$G,'.Auxiliar'!B:B,"-",0)</f>
        <v>PAVIMENTAÇÃO</v>
      </c>
      <c r="C795" s="55" t="str">
        <f>_xlfn.XLOOKUP($G795,'.Auxiliar'!$G:$G,'.Auxiliar'!C:C,"-",0)</f>
        <v>Decrescente</v>
      </c>
      <c r="D795" s="55">
        <f>_xlfn.XLOOKUP($G795,'.Auxiliar'!$G:$G,'.Auxiliar'!D:D,"-",0)</f>
        <v>17.25</v>
      </c>
      <c r="E795" s="55">
        <f>_xlfn.XLOOKUP($G795,'.Auxiliar'!$G:$G,'.Auxiliar'!E:E,"-",0)</f>
        <v>18.123999999999999</v>
      </c>
      <c r="F795" s="55">
        <f>_xlfn.XLOOKUP($G795,'.Auxiliar'!$G:$G,'.Auxiliar'!F:F,"-",0)</f>
        <v>0.87399999999999878</v>
      </c>
      <c r="G795" s="59" t="s">
        <v>1131</v>
      </c>
      <c r="H795" s="108" t="s">
        <v>0</v>
      </c>
      <c r="I795" s="109" t="s">
        <v>0</v>
      </c>
      <c r="J795" s="109" t="s">
        <v>0</v>
      </c>
      <c r="K795" s="109" t="s">
        <v>0</v>
      </c>
      <c r="L795" s="109" t="s">
        <v>0</v>
      </c>
      <c r="M795" s="109" t="s">
        <v>0</v>
      </c>
      <c r="N795" s="110" t="s">
        <v>363</v>
      </c>
      <c r="O795" s="111"/>
      <c r="P795" s="112"/>
      <c r="Q795" s="112"/>
      <c r="R795" s="112"/>
      <c r="S795" s="112"/>
      <c r="T795" s="112"/>
      <c r="U795" s="95" t="str">
        <f t="shared" si="39"/>
        <v/>
      </c>
      <c r="V795" s="112"/>
      <c r="W795" s="112"/>
      <c r="X795" s="107">
        <v>100</v>
      </c>
      <c r="Y795" s="107">
        <f t="shared" si="40"/>
        <v>100</v>
      </c>
      <c r="Z795" s="107">
        <f t="shared" si="41"/>
        <v>0</v>
      </c>
    </row>
    <row r="796" spans="1:26" x14ac:dyDescent="0.25">
      <c r="A796" s="55" t="str">
        <f>_xlfn.XLOOKUP($G796,'.Auxiliar'!$G:$G,'.Auxiliar'!A:A,"-",0)</f>
        <v>RIO/MINAS</v>
      </c>
      <c r="B796" s="55" t="str">
        <f>_xlfn.XLOOKUP($G796,'.Auxiliar'!$G:$G,'.Auxiliar'!B:B,"-",0)</f>
        <v>PAVIMENTAÇÃO</v>
      </c>
      <c r="C796" s="55" t="str">
        <f>_xlfn.XLOOKUP($G796,'.Auxiliar'!$G:$G,'.Auxiliar'!C:C,"-",0)</f>
        <v>Decrescente</v>
      </c>
      <c r="D796" s="55">
        <f>_xlfn.XLOOKUP($G796,'.Auxiliar'!$G:$G,'.Auxiliar'!D:D,"-",0)</f>
        <v>17.841000000000001</v>
      </c>
      <c r="E796" s="55">
        <f>_xlfn.XLOOKUP($G796,'.Auxiliar'!$G:$G,'.Auxiliar'!E:E,"-",0)</f>
        <v>18.8</v>
      </c>
      <c r="F796" s="55">
        <f>_xlfn.XLOOKUP($G796,'.Auxiliar'!$G:$G,'.Auxiliar'!F:F,"-",0)</f>
        <v>0.95899999999999963</v>
      </c>
      <c r="G796" s="59" t="s">
        <v>1050</v>
      </c>
      <c r="H796" s="108" t="s">
        <v>0</v>
      </c>
      <c r="I796" s="109" t="s">
        <v>0</v>
      </c>
      <c r="J796" s="109" t="s">
        <v>0</v>
      </c>
      <c r="K796" s="109" t="s">
        <v>0</v>
      </c>
      <c r="L796" s="109" t="s">
        <v>0</v>
      </c>
      <c r="M796" s="109" t="s">
        <v>363</v>
      </c>
      <c r="N796" s="110" t="s">
        <v>0</v>
      </c>
      <c r="O796" s="111"/>
      <c r="P796" s="112"/>
      <c r="Q796" s="112"/>
      <c r="R796" s="112"/>
      <c r="S796" s="112"/>
      <c r="T796" s="112"/>
      <c r="U796" s="95" t="str">
        <f t="shared" si="39"/>
        <v/>
      </c>
      <c r="V796" s="112"/>
      <c r="W796" s="112">
        <v>100</v>
      </c>
      <c r="X796" s="107"/>
      <c r="Y796" s="107">
        <f t="shared" si="40"/>
        <v>100</v>
      </c>
      <c r="Z796" s="107">
        <f t="shared" si="41"/>
        <v>0</v>
      </c>
    </row>
    <row r="797" spans="1:26" x14ac:dyDescent="0.25">
      <c r="A797" s="55" t="str">
        <f>_xlfn.XLOOKUP($G797,'.Auxiliar'!$G:$G,'.Auxiliar'!A:A,"-",0)</f>
        <v>RIO/MINAS</v>
      </c>
      <c r="B797" s="55" t="str">
        <f>_xlfn.XLOOKUP($G797,'.Auxiliar'!$G:$G,'.Auxiliar'!B:B,"-",0)</f>
        <v>PAVIMENTAÇÃO</v>
      </c>
      <c r="C797" s="55" t="str">
        <f>_xlfn.XLOOKUP($G797,'.Auxiliar'!$G:$G,'.Auxiliar'!C:C,"-",0)</f>
        <v>Decrescente</v>
      </c>
      <c r="D797" s="55">
        <f>_xlfn.XLOOKUP($G797,'.Auxiliar'!$G:$G,'.Auxiliar'!D:D,"-",0)</f>
        <v>176.71</v>
      </c>
      <c r="E797" s="55">
        <f>_xlfn.XLOOKUP($G797,'.Auxiliar'!$G:$G,'.Auxiliar'!E:E,"-",0)</f>
        <v>179.35</v>
      </c>
      <c r="F797" s="55">
        <f>_xlfn.XLOOKUP($G797,'.Auxiliar'!$G:$G,'.Auxiliar'!F:F,"-",0)</f>
        <v>2.6399999999999864</v>
      </c>
      <c r="G797" s="59" t="s">
        <v>1033</v>
      </c>
      <c r="H797" s="108" t="s">
        <v>0</v>
      </c>
      <c r="I797" s="109" t="s">
        <v>0</v>
      </c>
      <c r="J797" s="109" t="s">
        <v>0</v>
      </c>
      <c r="K797" s="109" t="s">
        <v>0</v>
      </c>
      <c r="L797" s="109" t="s">
        <v>0</v>
      </c>
      <c r="M797" s="109" t="s">
        <v>363</v>
      </c>
      <c r="N797" s="110" t="s">
        <v>0</v>
      </c>
      <c r="O797" s="111"/>
      <c r="P797" s="112"/>
      <c r="Q797" s="112"/>
      <c r="R797" s="112"/>
      <c r="S797" s="112"/>
      <c r="T797" s="112"/>
      <c r="U797" s="95" t="str">
        <f t="shared" si="39"/>
        <v/>
      </c>
      <c r="V797" s="112"/>
      <c r="W797" s="112">
        <v>100</v>
      </c>
      <c r="X797" s="107"/>
      <c r="Y797" s="107">
        <f t="shared" si="40"/>
        <v>100</v>
      </c>
      <c r="Z797" s="107">
        <f t="shared" si="41"/>
        <v>0</v>
      </c>
    </row>
    <row r="798" spans="1:26" x14ac:dyDescent="0.25">
      <c r="A798" s="55" t="str">
        <f>_xlfn.XLOOKUP($G798,'.Auxiliar'!$G:$G,'.Auxiliar'!A:A,"-",0)</f>
        <v>RIO/MINAS</v>
      </c>
      <c r="B798" s="55" t="str">
        <f>_xlfn.XLOOKUP($G798,'.Auxiliar'!$G:$G,'.Auxiliar'!B:B,"-",0)</f>
        <v>PAVIMENTAÇÃO</v>
      </c>
      <c r="C798" s="55" t="str">
        <f>_xlfn.XLOOKUP($G798,'.Auxiliar'!$G:$G,'.Auxiliar'!C:C,"-",0)</f>
        <v>Decrescente</v>
      </c>
      <c r="D798" s="55">
        <f>_xlfn.XLOOKUP($G798,'.Auxiliar'!$G:$G,'.Auxiliar'!D:D,"-",0)</f>
        <v>18.440000000000001</v>
      </c>
      <c r="E798" s="55">
        <f>_xlfn.XLOOKUP($G798,'.Auxiliar'!$G:$G,'.Auxiliar'!E:E,"-",0)</f>
        <v>19</v>
      </c>
      <c r="F798" s="55">
        <f>_xlfn.XLOOKUP($G798,'.Auxiliar'!$G:$G,'.Auxiliar'!F:F,"-",0)</f>
        <v>0.55999999999999872</v>
      </c>
      <c r="G798" s="59" t="s">
        <v>1133</v>
      </c>
      <c r="H798" s="108" t="s">
        <v>0</v>
      </c>
      <c r="I798" s="109" t="s">
        <v>0</v>
      </c>
      <c r="J798" s="109" t="s">
        <v>0</v>
      </c>
      <c r="K798" s="109" t="s">
        <v>0</v>
      </c>
      <c r="L798" s="109" t="s">
        <v>0</v>
      </c>
      <c r="M798" s="109" t="s">
        <v>0</v>
      </c>
      <c r="N798" s="110" t="s">
        <v>363</v>
      </c>
      <c r="O798" s="111"/>
      <c r="P798" s="112"/>
      <c r="Q798" s="112"/>
      <c r="R798" s="112"/>
      <c r="S798" s="112"/>
      <c r="T798" s="112"/>
      <c r="U798" s="95" t="str">
        <f t="shared" si="39"/>
        <v/>
      </c>
      <c r="V798" s="112"/>
      <c r="W798" s="112"/>
      <c r="X798" s="107">
        <v>100</v>
      </c>
      <c r="Y798" s="107">
        <f t="shared" si="40"/>
        <v>100</v>
      </c>
      <c r="Z798" s="107">
        <f t="shared" si="41"/>
        <v>0</v>
      </c>
    </row>
    <row r="799" spans="1:26" x14ac:dyDescent="0.25">
      <c r="A799" s="55" t="str">
        <f>_xlfn.XLOOKUP($G799,'.Auxiliar'!$G:$G,'.Auxiliar'!A:A,"-",0)</f>
        <v>RIO/MINAS</v>
      </c>
      <c r="B799" s="55" t="str">
        <f>_xlfn.XLOOKUP($G799,'.Auxiliar'!$G:$G,'.Auxiliar'!B:B,"-",0)</f>
        <v>PAVIMENTAÇÃO</v>
      </c>
      <c r="C799" s="55" t="str">
        <f>_xlfn.XLOOKUP($G799,'.Auxiliar'!$G:$G,'.Auxiliar'!C:C,"-",0)</f>
        <v>Decrescente</v>
      </c>
      <c r="D799" s="55">
        <f>_xlfn.XLOOKUP($G799,'.Auxiliar'!$G:$G,'.Auxiliar'!D:D,"-",0)</f>
        <v>180.75</v>
      </c>
      <c r="E799" s="55">
        <f>_xlfn.XLOOKUP($G799,'.Auxiliar'!$G:$G,'.Auxiliar'!E:E,"-",0)</f>
        <v>181.1</v>
      </c>
      <c r="F799" s="55">
        <f>_xlfn.XLOOKUP($G799,'.Auxiliar'!$G:$G,'.Auxiliar'!F:F,"-",0)</f>
        <v>0.34999999999999432</v>
      </c>
      <c r="G799" s="59" t="s">
        <v>1036</v>
      </c>
      <c r="H799" s="108" t="s">
        <v>0</v>
      </c>
      <c r="I799" s="109" t="s">
        <v>0</v>
      </c>
      <c r="J799" s="109" t="s">
        <v>0</v>
      </c>
      <c r="K799" s="109" t="s">
        <v>0</v>
      </c>
      <c r="L799" s="109" t="s">
        <v>0</v>
      </c>
      <c r="M799" s="109" t="s">
        <v>363</v>
      </c>
      <c r="N799" s="110" t="s">
        <v>0</v>
      </c>
      <c r="O799" s="111"/>
      <c r="P799" s="112"/>
      <c r="Q799" s="112"/>
      <c r="R799" s="112"/>
      <c r="S799" s="112"/>
      <c r="T799" s="112"/>
      <c r="U799" s="95" t="str">
        <f t="shared" si="39"/>
        <v/>
      </c>
      <c r="V799" s="112"/>
      <c r="W799" s="112">
        <v>100</v>
      </c>
      <c r="X799" s="107"/>
      <c r="Y799" s="107">
        <f t="shared" si="40"/>
        <v>100</v>
      </c>
      <c r="Z799" s="107">
        <f t="shared" si="41"/>
        <v>0</v>
      </c>
    </row>
    <row r="800" spans="1:26" x14ac:dyDescent="0.25">
      <c r="A800" s="55" t="str">
        <f>_xlfn.XLOOKUP($G800,'.Auxiliar'!$G:$G,'.Auxiliar'!A:A,"-",0)</f>
        <v>RIO/MINAS</v>
      </c>
      <c r="B800" s="55" t="str">
        <f>_xlfn.XLOOKUP($G800,'.Auxiliar'!$G:$G,'.Auxiliar'!B:B,"-",0)</f>
        <v>PAVIMENTAÇÃO</v>
      </c>
      <c r="C800" s="55" t="str">
        <f>_xlfn.XLOOKUP($G800,'.Auxiliar'!$G:$G,'.Auxiliar'!C:C,"-",0)</f>
        <v>Decrescente</v>
      </c>
      <c r="D800" s="55">
        <f>_xlfn.XLOOKUP($G800,'.Auxiliar'!$G:$G,'.Auxiliar'!D:D,"-",0)</f>
        <v>181.34</v>
      </c>
      <c r="E800" s="55">
        <f>_xlfn.XLOOKUP($G800,'.Auxiliar'!$G:$G,'.Auxiliar'!E:E,"-",0)</f>
        <v>182.482</v>
      </c>
      <c r="F800" s="55">
        <f>_xlfn.XLOOKUP($G800,'.Auxiliar'!$G:$G,'.Auxiliar'!F:F,"-",0)</f>
        <v>1.1419999999999959</v>
      </c>
      <c r="G800" s="59" t="s">
        <v>1038</v>
      </c>
      <c r="H800" s="108" t="s">
        <v>0</v>
      </c>
      <c r="I800" s="109" t="s">
        <v>0</v>
      </c>
      <c r="J800" s="109" t="s">
        <v>0</v>
      </c>
      <c r="K800" s="109" t="s">
        <v>0</v>
      </c>
      <c r="L800" s="109" t="s">
        <v>0</v>
      </c>
      <c r="M800" s="109" t="s">
        <v>363</v>
      </c>
      <c r="N800" s="110" t="s">
        <v>0</v>
      </c>
      <c r="O800" s="111"/>
      <c r="P800" s="112"/>
      <c r="Q800" s="112"/>
      <c r="R800" s="112"/>
      <c r="S800" s="112"/>
      <c r="T800" s="112"/>
      <c r="U800" s="95" t="str">
        <f t="shared" si="39"/>
        <v/>
      </c>
      <c r="V800" s="112"/>
      <c r="W800" s="112">
        <v>100</v>
      </c>
      <c r="X800" s="107"/>
      <c r="Y800" s="107">
        <f t="shared" si="40"/>
        <v>100</v>
      </c>
      <c r="Z800" s="107">
        <f t="shared" si="41"/>
        <v>0</v>
      </c>
    </row>
    <row r="801" spans="1:26" x14ac:dyDescent="0.25">
      <c r="A801" s="55" t="str">
        <f>_xlfn.XLOOKUP($G801,'.Auxiliar'!$G:$G,'.Auxiliar'!A:A,"-",0)</f>
        <v>RIO/MINAS</v>
      </c>
      <c r="B801" s="55" t="str">
        <f>_xlfn.XLOOKUP($G801,'.Auxiliar'!$G:$G,'.Auxiliar'!B:B,"-",0)</f>
        <v>PAVIMENTAÇÃO</v>
      </c>
      <c r="C801" s="55" t="str">
        <f>_xlfn.XLOOKUP($G801,'.Auxiliar'!$G:$G,'.Auxiliar'!C:C,"-",0)</f>
        <v>Decrescente</v>
      </c>
      <c r="D801" s="55">
        <f>_xlfn.XLOOKUP($G801,'.Auxiliar'!$G:$G,'.Auxiliar'!D:D,"-",0)</f>
        <v>182.81200000000001</v>
      </c>
      <c r="E801" s="55">
        <f>_xlfn.XLOOKUP($G801,'.Auxiliar'!$G:$G,'.Auxiliar'!E:E,"-",0)</f>
        <v>185.3</v>
      </c>
      <c r="F801" s="55">
        <f>_xlfn.XLOOKUP($G801,'.Auxiliar'!$G:$G,'.Auxiliar'!F:F,"-",0)</f>
        <v>2.4879999999999995</v>
      </c>
      <c r="G801" s="59" t="s">
        <v>1040</v>
      </c>
      <c r="H801" s="108" t="s">
        <v>0</v>
      </c>
      <c r="I801" s="109" t="s">
        <v>0</v>
      </c>
      <c r="J801" s="109" t="s">
        <v>0</v>
      </c>
      <c r="K801" s="109" t="s">
        <v>0</v>
      </c>
      <c r="L801" s="109" t="s">
        <v>0</v>
      </c>
      <c r="M801" s="109" t="s">
        <v>363</v>
      </c>
      <c r="N801" s="110" t="s">
        <v>0</v>
      </c>
      <c r="O801" s="111"/>
      <c r="P801" s="112"/>
      <c r="Q801" s="112"/>
      <c r="R801" s="112"/>
      <c r="S801" s="112"/>
      <c r="T801" s="112"/>
      <c r="U801" s="95" t="str">
        <f t="shared" si="39"/>
        <v/>
      </c>
      <c r="V801" s="112"/>
      <c r="W801" s="112">
        <v>100</v>
      </c>
      <c r="X801" s="107"/>
      <c r="Y801" s="107">
        <f t="shared" si="40"/>
        <v>100</v>
      </c>
      <c r="Z801" s="107">
        <f t="shared" si="41"/>
        <v>0</v>
      </c>
    </row>
    <row r="802" spans="1:26" x14ac:dyDescent="0.25">
      <c r="A802" s="55" t="str">
        <f>_xlfn.XLOOKUP($G802,'.Auxiliar'!$G:$G,'.Auxiliar'!A:A,"-",0)</f>
        <v>RIO/MINAS</v>
      </c>
      <c r="B802" s="55" t="str">
        <f>_xlfn.XLOOKUP($G802,'.Auxiliar'!$G:$G,'.Auxiliar'!B:B,"-",0)</f>
        <v>PAVIMENTAÇÃO</v>
      </c>
      <c r="C802" s="55" t="str">
        <f>_xlfn.XLOOKUP($G802,'.Auxiliar'!$G:$G,'.Auxiliar'!C:C,"-",0)</f>
        <v>Decrescente</v>
      </c>
      <c r="D802" s="55">
        <f>_xlfn.XLOOKUP($G802,'.Auxiliar'!$G:$G,'.Auxiliar'!D:D,"-",0)</f>
        <v>185.5</v>
      </c>
      <c r="E802" s="55">
        <f>_xlfn.XLOOKUP($G802,'.Auxiliar'!$G:$G,'.Auxiliar'!E:E,"-",0)</f>
        <v>195.4</v>
      </c>
      <c r="F802" s="55">
        <f>_xlfn.XLOOKUP($G802,'.Auxiliar'!$G:$G,'.Auxiliar'!F:F,"-",0)</f>
        <v>9.9000000000000057</v>
      </c>
      <c r="G802" s="59" t="s">
        <v>1042</v>
      </c>
      <c r="H802" s="108" t="s">
        <v>0</v>
      </c>
      <c r="I802" s="109" t="s">
        <v>0</v>
      </c>
      <c r="J802" s="109" t="s">
        <v>0</v>
      </c>
      <c r="K802" s="109" t="s">
        <v>0</v>
      </c>
      <c r="L802" s="109" t="s">
        <v>0</v>
      </c>
      <c r="M802" s="109" t="s">
        <v>363</v>
      </c>
      <c r="N802" s="110" t="s">
        <v>0</v>
      </c>
      <c r="O802" s="111"/>
      <c r="P802" s="112"/>
      <c r="Q802" s="112"/>
      <c r="R802" s="112"/>
      <c r="S802" s="112"/>
      <c r="T802" s="112"/>
      <c r="U802" s="95" t="str">
        <f t="shared" si="39"/>
        <v/>
      </c>
      <c r="V802" s="112"/>
      <c r="W802" s="112">
        <v>100</v>
      </c>
      <c r="X802" s="107"/>
      <c r="Y802" s="107">
        <f t="shared" si="40"/>
        <v>100</v>
      </c>
      <c r="Z802" s="107">
        <f t="shared" si="41"/>
        <v>0</v>
      </c>
    </row>
    <row r="803" spans="1:26" x14ac:dyDescent="0.25">
      <c r="A803" s="55" t="str">
        <f>_xlfn.XLOOKUP($G803,'.Auxiliar'!$G:$G,'.Auxiliar'!A:A,"-",0)</f>
        <v>RIO/MINAS</v>
      </c>
      <c r="B803" s="55" t="str">
        <f>_xlfn.XLOOKUP($G803,'.Auxiliar'!$G:$G,'.Auxiliar'!B:B,"-",0)</f>
        <v>PAVIMENTAÇÃO</v>
      </c>
      <c r="C803" s="55" t="str">
        <f>_xlfn.XLOOKUP($G803,'.Auxiliar'!$G:$G,'.Auxiliar'!C:C,"-",0)</f>
        <v>Decrescente</v>
      </c>
      <c r="D803" s="55">
        <f>_xlfn.XLOOKUP($G803,'.Auxiliar'!$G:$G,'.Auxiliar'!D:D,"-",0)</f>
        <v>19.675999999999998</v>
      </c>
      <c r="E803" s="55">
        <f>_xlfn.XLOOKUP($G803,'.Auxiliar'!$G:$G,'.Auxiliar'!E:E,"-",0)</f>
        <v>21.478000000000002</v>
      </c>
      <c r="F803" s="55">
        <f>_xlfn.XLOOKUP($G803,'.Auxiliar'!$G:$G,'.Auxiliar'!F:F,"-",0)</f>
        <v>1.8020000000000032</v>
      </c>
      <c r="G803" s="59" t="s">
        <v>1051</v>
      </c>
      <c r="H803" s="108" t="s">
        <v>0</v>
      </c>
      <c r="I803" s="109" t="s">
        <v>0</v>
      </c>
      <c r="J803" s="109" t="s">
        <v>0</v>
      </c>
      <c r="K803" s="109" t="s">
        <v>0</v>
      </c>
      <c r="L803" s="109" t="s">
        <v>0</v>
      </c>
      <c r="M803" s="109" t="s">
        <v>363</v>
      </c>
      <c r="N803" s="110" t="s">
        <v>0</v>
      </c>
      <c r="O803" s="111"/>
      <c r="P803" s="112"/>
      <c r="Q803" s="112"/>
      <c r="R803" s="112"/>
      <c r="S803" s="112"/>
      <c r="T803" s="112"/>
      <c r="U803" s="95" t="str">
        <f t="shared" si="39"/>
        <v/>
      </c>
      <c r="V803" s="112"/>
      <c r="W803" s="112">
        <v>100</v>
      </c>
      <c r="X803" s="107"/>
      <c r="Y803" s="107">
        <f t="shared" si="40"/>
        <v>100</v>
      </c>
      <c r="Z803" s="107">
        <f t="shared" si="41"/>
        <v>0</v>
      </c>
    </row>
    <row r="804" spans="1:26" x14ac:dyDescent="0.25">
      <c r="A804" s="55" t="str">
        <f>_xlfn.XLOOKUP($G804,'.Auxiliar'!$G:$G,'.Auxiliar'!A:A,"-",0)</f>
        <v>RIO/MINAS</v>
      </c>
      <c r="B804" s="55" t="str">
        <f>_xlfn.XLOOKUP($G804,'.Auxiliar'!$G:$G,'.Auxiliar'!B:B,"-",0)</f>
        <v>PAVIMENTAÇÃO</v>
      </c>
      <c r="C804" s="55" t="str">
        <f>_xlfn.XLOOKUP($G804,'.Auxiliar'!$G:$G,'.Auxiliar'!C:C,"-",0)</f>
        <v>Decrescente</v>
      </c>
      <c r="D804" s="55">
        <f>_xlfn.XLOOKUP($G804,'.Auxiliar'!$G:$G,'.Auxiliar'!D:D,"-",0)</f>
        <v>3.3090000000000002</v>
      </c>
      <c r="E804" s="55">
        <f>_xlfn.XLOOKUP($G804,'.Auxiliar'!$G:$G,'.Auxiliar'!E:E,"-",0)</f>
        <v>5.2329999999999997</v>
      </c>
      <c r="F804" s="55">
        <f>_xlfn.XLOOKUP($G804,'.Auxiliar'!$G:$G,'.Auxiliar'!F:F,"-",0)</f>
        <v>1.9239999999999995</v>
      </c>
      <c r="G804" s="59" t="s">
        <v>1046</v>
      </c>
      <c r="H804" s="108" t="s">
        <v>0</v>
      </c>
      <c r="I804" s="109" t="s">
        <v>0</v>
      </c>
      <c r="J804" s="109" t="s">
        <v>0</v>
      </c>
      <c r="K804" s="109" t="s">
        <v>0</v>
      </c>
      <c r="L804" s="109" t="s">
        <v>0</v>
      </c>
      <c r="M804" s="109" t="s">
        <v>363</v>
      </c>
      <c r="N804" s="110" t="s">
        <v>0</v>
      </c>
      <c r="O804" s="111"/>
      <c r="P804" s="112"/>
      <c r="Q804" s="112"/>
      <c r="R804" s="112"/>
      <c r="S804" s="112"/>
      <c r="T804" s="112"/>
      <c r="U804" s="95" t="str">
        <f t="shared" si="39"/>
        <v/>
      </c>
      <c r="V804" s="112"/>
      <c r="W804" s="112">
        <v>100</v>
      </c>
      <c r="X804" s="107"/>
      <c r="Y804" s="107">
        <f t="shared" si="40"/>
        <v>100</v>
      </c>
      <c r="Z804" s="107">
        <f t="shared" si="41"/>
        <v>0</v>
      </c>
    </row>
    <row r="805" spans="1:26" x14ac:dyDescent="0.25">
      <c r="A805" s="55" t="str">
        <f>_xlfn.XLOOKUP($G805,'.Auxiliar'!$G:$G,'.Auxiliar'!A:A,"-",0)</f>
        <v>RIO/MINAS</v>
      </c>
      <c r="B805" s="55" t="str">
        <f>_xlfn.XLOOKUP($G805,'.Auxiliar'!$G:$G,'.Auxiliar'!B:B,"-",0)</f>
        <v>PAVIMENTAÇÃO</v>
      </c>
      <c r="C805" s="55" t="str">
        <f>_xlfn.XLOOKUP($G805,'.Auxiliar'!$G:$G,'.Auxiliar'!C:C,"-",0)</f>
        <v>Decrescente</v>
      </c>
      <c r="D805" s="55">
        <f>_xlfn.XLOOKUP($G805,'.Auxiliar'!$G:$G,'.Auxiliar'!D:D,"-",0)</f>
        <v>409.91500000000002</v>
      </c>
      <c r="E805" s="55">
        <f>_xlfn.XLOOKUP($G805,'.Auxiliar'!$G:$G,'.Auxiliar'!E:E,"-",0)</f>
        <v>410.65499999999997</v>
      </c>
      <c r="F805" s="55">
        <f>_xlfn.XLOOKUP($G805,'.Auxiliar'!$G:$G,'.Auxiliar'!F:F,"-",0)</f>
        <v>0.73999999999995225</v>
      </c>
      <c r="G805" s="59" t="s">
        <v>1053</v>
      </c>
      <c r="H805" s="108" t="s">
        <v>0</v>
      </c>
      <c r="I805" s="109" t="s">
        <v>0</v>
      </c>
      <c r="J805" s="109" t="s">
        <v>0</v>
      </c>
      <c r="K805" s="109" t="s">
        <v>0</v>
      </c>
      <c r="L805" s="109" t="s">
        <v>0</v>
      </c>
      <c r="M805" s="109" t="s">
        <v>363</v>
      </c>
      <c r="N805" s="110" t="s">
        <v>0</v>
      </c>
      <c r="O805" s="111"/>
      <c r="P805" s="112"/>
      <c r="Q805" s="112"/>
      <c r="R805" s="112"/>
      <c r="S805" s="112"/>
      <c r="T805" s="112"/>
      <c r="U805" s="95" t="str">
        <f t="shared" si="39"/>
        <v/>
      </c>
      <c r="V805" s="112"/>
      <c r="W805" s="112">
        <v>100</v>
      </c>
      <c r="X805" s="107"/>
      <c r="Y805" s="107">
        <f t="shared" si="40"/>
        <v>100</v>
      </c>
      <c r="Z805" s="107">
        <f t="shared" si="41"/>
        <v>0</v>
      </c>
    </row>
    <row r="806" spans="1:26" x14ac:dyDescent="0.25">
      <c r="A806" s="55" t="str">
        <f>_xlfn.XLOOKUP($G806,'.Auxiliar'!$G:$G,'.Auxiliar'!A:A,"-",0)</f>
        <v>RIO/MINAS</v>
      </c>
      <c r="B806" s="55" t="str">
        <f>_xlfn.XLOOKUP($G806,'.Auxiliar'!$G:$G,'.Auxiliar'!B:B,"-",0)</f>
        <v>PAVIMENTAÇÃO</v>
      </c>
      <c r="C806" s="55" t="str">
        <f>_xlfn.XLOOKUP($G806,'.Auxiliar'!$G:$G,'.Auxiliar'!C:C,"-",0)</f>
        <v>Decrescente</v>
      </c>
      <c r="D806" s="55">
        <f>_xlfn.XLOOKUP($G806,'.Auxiliar'!$G:$G,'.Auxiliar'!D:D,"-",0)</f>
        <v>411.34500000000003</v>
      </c>
      <c r="E806" s="55">
        <f>_xlfn.XLOOKUP($G806,'.Auxiliar'!$G:$G,'.Auxiliar'!E:E,"-",0)</f>
        <v>411.85500000000002</v>
      </c>
      <c r="F806" s="55">
        <f>_xlfn.XLOOKUP($G806,'.Auxiliar'!$G:$G,'.Auxiliar'!F:F,"-",0)</f>
        <v>0.50999999999999091</v>
      </c>
      <c r="G806" s="59" t="s">
        <v>1055</v>
      </c>
      <c r="H806" s="108" t="s">
        <v>0</v>
      </c>
      <c r="I806" s="109" t="s">
        <v>0</v>
      </c>
      <c r="J806" s="109" t="s">
        <v>0</v>
      </c>
      <c r="K806" s="109" t="s">
        <v>0</v>
      </c>
      <c r="L806" s="109" t="s">
        <v>0</v>
      </c>
      <c r="M806" s="109" t="s">
        <v>363</v>
      </c>
      <c r="N806" s="110" t="s">
        <v>0</v>
      </c>
      <c r="O806" s="111"/>
      <c r="P806" s="112"/>
      <c r="Q806" s="112"/>
      <c r="R806" s="112"/>
      <c r="S806" s="112"/>
      <c r="T806" s="112"/>
      <c r="U806" s="95" t="str">
        <f t="shared" si="39"/>
        <v/>
      </c>
      <c r="V806" s="112"/>
      <c r="W806" s="112">
        <v>100</v>
      </c>
      <c r="X806" s="107"/>
      <c r="Y806" s="107">
        <f t="shared" si="40"/>
        <v>100</v>
      </c>
      <c r="Z806" s="107">
        <f t="shared" si="41"/>
        <v>0</v>
      </c>
    </row>
    <row r="807" spans="1:26" x14ac:dyDescent="0.25">
      <c r="A807" s="55" t="str">
        <f>_xlfn.XLOOKUP($G807,'.Auxiliar'!$G:$G,'.Auxiliar'!A:A,"-",0)</f>
        <v>RIO/MINAS</v>
      </c>
      <c r="B807" s="55" t="str">
        <f>_xlfn.XLOOKUP($G807,'.Auxiliar'!$G:$G,'.Auxiliar'!B:B,"-",0)</f>
        <v>PAVIMENTAÇÃO</v>
      </c>
      <c r="C807" s="55" t="str">
        <f>_xlfn.XLOOKUP($G807,'.Auxiliar'!$G:$G,'.Auxiliar'!C:C,"-",0)</f>
        <v>Decrescente</v>
      </c>
      <c r="D807" s="55">
        <f>_xlfn.XLOOKUP($G807,'.Auxiliar'!$G:$G,'.Auxiliar'!D:D,"-",0)</f>
        <v>412.01499999999999</v>
      </c>
      <c r="E807" s="55">
        <f>_xlfn.XLOOKUP($G807,'.Auxiliar'!$G:$G,'.Auxiliar'!E:E,"-",0)</f>
        <v>412.49</v>
      </c>
      <c r="F807" s="55">
        <f>_xlfn.XLOOKUP($G807,'.Auxiliar'!$G:$G,'.Auxiliar'!F:F,"-",0)</f>
        <v>0.47500000000002274</v>
      </c>
      <c r="G807" s="59" t="s">
        <v>1056</v>
      </c>
      <c r="H807" s="108" t="s">
        <v>0</v>
      </c>
      <c r="I807" s="109" t="s">
        <v>0</v>
      </c>
      <c r="J807" s="109" t="s">
        <v>0</v>
      </c>
      <c r="K807" s="109" t="s">
        <v>0</v>
      </c>
      <c r="L807" s="109" t="s">
        <v>0</v>
      </c>
      <c r="M807" s="109" t="s">
        <v>363</v>
      </c>
      <c r="N807" s="110" t="s">
        <v>0</v>
      </c>
      <c r="O807" s="111"/>
      <c r="P807" s="112"/>
      <c r="Q807" s="112"/>
      <c r="R807" s="112"/>
      <c r="S807" s="112"/>
      <c r="T807" s="112"/>
      <c r="U807" s="95" t="str">
        <f t="shared" si="39"/>
        <v/>
      </c>
      <c r="V807" s="112"/>
      <c r="W807" s="112">
        <v>100</v>
      </c>
      <c r="X807" s="107"/>
      <c r="Y807" s="107">
        <f t="shared" si="40"/>
        <v>100</v>
      </c>
      <c r="Z807" s="107">
        <f t="shared" si="41"/>
        <v>0</v>
      </c>
    </row>
    <row r="808" spans="1:26" x14ac:dyDescent="0.25">
      <c r="A808" s="55" t="str">
        <f>_xlfn.XLOOKUP($G808,'.Auxiliar'!$G:$G,'.Auxiliar'!A:A,"-",0)</f>
        <v>RIO/MINAS</v>
      </c>
      <c r="B808" s="55" t="str">
        <f>_xlfn.XLOOKUP($G808,'.Auxiliar'!$G:$G,'.Auxiliar'!B:B,"-",0)</f>
        <v>PAVIMENTAÇÃO</v>
      </c>
      <c r="C808" s="55" t="str">
        <f>_xlfn.XLOOKUP($G808,'.Auxiliar'!$G:$G,'.Auxiliar'!C:C,"-",0)</f>
        <v>Decrescente</v>
      </c>
      <c r="D808" s="55">
        <f>_xlfn.XLOOKUP($G808,'.Auxiliar'!$G:$G,'.Auxiliar'!D:D,"-",0)</f>
        <v>416.24</v>
      </c>
      <c r="E808" s="55">
        <f>_xlfn.XLOOKUP($G808,'.Auxiliar'!$G:$G,'.Auxiliar'!E:E,"-",0)</f>
        <v>417.10500000000002</v>
      </c>
      <c r="F808" s="55">
        <f>_xlfn.XLOOKUP($G808,'.Auxiliar'!$G:$G,'.Auxiliar'!F:F,"-",0)</f>
        <v>0.86500000000000909</v>
      </c>
      <c r="G808" s="59" t="s">
        <v>1057</v>
      </c>
      <c r="H808" s="108" t="s">
        <v>0</v>
      </c>
      <c r="I808" s="109" t="s">
        <v>0</v>
      </c>
      <c r="J808" s="109" t="s">
        <v>0</v>
      </c>
      <c r="K808" s="109" t="s">
        <v>0</v>
      </c>
      <c r="L808" s="109" t="s">
        <v>0</v>
      </c>
      <c r="M808" s="109" t="s">
        <v>363</v>
      </c>
      <c r="N808" s="110" t="s">
        <v>0</v>
      </c>
      <c r="O808" s="111"/>
      <c r="P808" s="112"/>
      <c r="Q808" s="112"/>
      <c r="R808" s="112"/>
      <c r="S808" s="112"/>
      <c r="T808" s="112"/>
      <c r="U808" s="95" t="str">
        <f t="shared" si="39"/>
        <v/>
      </c>
      <c r="V808" s="112"/>
      <c r="W808" s="112">
        <v>100</v>
      </c>
      <c r="X808" s="107"/>
      <c r="Y808" s="107">
        <f t="shared" si="40"/>
        <v>100</v>
      </c>
      <c r="Z808" s="107">
        <f t="shared" si="41"/>
        <v>0</v>
      </c>
    </row>
    <row r="809" spans="1:26" x14ac:dyDescent="0.25">
      <c r="A809" s="55" t="str">
        <f>_xlfn.XLOOKUP($G809,'.Auxiliar'!$G:$G,'.Auxiliar'!A:A,"-",0)</f>
        <v>RIO/MINAS</v>
      </c>
      <c r="B809" s="55" t="str">
        <f>_xlfn.XLOOKUP($G809,'.Auxiliar'!$G:$G,'.Auxiliar'!B:B,"-",0)</f>
        <v>PAVIMENTAÇÃO</v>
      </c>
      <c r="C809" s="55" t="str">
        <f>_xlfn.XLOOKUP($G809,'.Auxiliar'!$G:$G,'.Auxiliar'!C:C,"-",0)</f>
        <v>Decrescente</v>
      </c>
      <c r="D809" s="55">
        <f>_xlfn.XLOOKUP($G809,'.Auxiliar'!$G:$G,'.Auxiliar'!D:D,"-",0)</f>
        <v>497.435</v>
      </c>
      <c r="E809" s="55">
        <f>_xlfn.XLOOKUP($G809,'.Auxiliar'!$G:$G,'.Auxiliar'!E:E,"-",0)</f>
        <v>498.34</v>
      </c>
      <c r="F809" s="55">
        <f>_xlfn.XLOOKUP($G809,'.Auxiliar'!$G:$G,'.Auxiliar'!F:F,"-",0)</f>
        <v>0.90499999999997272</v>
      </c>
      <c r="G809" s="59" t="s">
        <v>1135</v>
      </c>
      <c r="H809" s="108" t="s">
        <v>0</v>
      </c>
      <c r="I809" s="109" t="s">
        <v>0</v>
      </c>
      <c r="J809" s="109" t="s">
        <v>0</v>
      </c>
      <c r="K809" s="109" t="s">
        <v>0</v>
      </c>
      <c r="L809" s="109" t="s">
        <v>0</v>
      </c>
      <c r="M809" s="109" t="s">
        <v>0</v>
      </c>
      <c r="N809" s="110" t="s">
        <v>363</v>
      </c>
      <c r="O809" s="111"/>
      <c r="P809" s="112"/>
      <c r="Q809" s="112"/>
      <c r="R809" s="112"/>
      <c r="S809" s="112"/>
      <c r="T809" s="112"/>
      <c r="U809" s="95" t="str">
        <f t="shared" si="39"/>
        <v/>
      </c>
      <c r="V809" s="112"/>
      <c r="W809" s="112"/>
      <c r="X809" s="107">
        <v>100</v>
      </c>
      <c r="Y809" s="107">
        <f t="shared" si="40"/>
        <v>100</v>
      </c>
      <c r="Z809" s="107">
        <f t="shared" si="41"/>
        <v>0</v>
      </c>
    </row>
    <row r="810" spans="1:26" x14ac:dyDescent="0.25">
      <c r="A810" s="55" t="str">
        <f>_xlfn.XLOOKUP($G810,'.Auxiliar'!$G:$G,'.Auxiliar'!A:A,"-",0)</f>
        <v>RIO/MINAS</v>
      </c>
      <c r="B810" s="55" t="str">
        <f>_xlfn.XLOOKUP($G810,'.Auxiliar'!$G:$G,'.Auxiliar'!B:B,"-",0)</f>
        <v>PAVIMENTAÇÃO</v>
      </c>
      <c r="C810" s="55" t="str">
        <f>_xlfn.XLOOKUP($G810,'.Auxiliar'!$G:$G,'.Auxiliar'!C:C,"-",0)</f>
        <v>Decrescente</v>
      </c>
      <c r="D810" s="55">
        <f>_xlfn.XLOOKUP($G810,'.Auxiliar'!$G:$G,'.Auxiliar'!D:D,"-",0)</f>
        <v>5.7889999999999997</v>
      </c>
      <c r="E810" s="55">
        <f>_xlfn.XLOOKUP($G810,'.Auxiliar'!$G:$G,'.Auxiliar'!E:E,"-",0)</f>
        <v>6.6420000000000003</v>
      </c>
      <c r="F810" s="55">
        <f>_xlfn.XLOOKUP($G810,'.Auxiliar'!$G:$G,'.Auxiliar'!F:F,"-",0)</f>
        <v>0.85300000000000065</v>
      </c>
      <c r="G810" s="59" t="s">
        <v>1048</v>
      </c>
      <c r="H810" s="108" t="s">
        <v>0</v>
      </c>
      <c r="I810" s="109" t="s">
        <v>0</v>
      </c>
      <c r="J810" s="109" t="s">
        <v>0</v>
      </c>
      <c r="K810" s="109" t="s">
        <v>0</v>
      </c>
      <c r="L810" s="109" t="s">
        <v>0</v>
      </c>
      <c r="M810" s="109" t="s">
        <v>363</v>
      </c>
      <c r="N810" s="110" t="s">
        <v>0</v>
      </c>
      <c r="O810" s="111"/>
      <c r="P810" s="112"/>
      <c r="Q810" s="112"/>
      <c r="R810" s="112"/>
      <c r="S810" s="112"/>
      <c r="T810" s="112"/>
      <c r="U810" s="95" t="str">
        <f t="shared" si="39"/>
        <v/>
      </c>
      <c r="V810" s="112"/>
      <c r="W810" s="112">
        <v>100</v>
      </c>
      <c r="X810" s="107"/>
      <c r="Y810" s="107">
        <f t="shared" si="40"/>
        <v>100</v>
      </c>
      <c r="Z810" s="107">
        <f t="shared" si="41"/>
        <v>0</v>
      </c>
    </row>
    <row r="811" spans="1:26" x14ac:dyDescent="0.25">
      <c r="A811" s="55" t="str">
        <f>_xlfn.XLOOKUP($G811,'.Auxiliar'!$G:$G,'.Auxiliar'!A:A,"-",0)</f>
        <v>RIO/MINAS</v>
      </c>
      <c r="B811" s="55" t="str">
        <f>_xlfn.XLOOKUP($G811,'.Auxiliar'!$G:$G,'.Auxiliar'!B:B,"-",0)</f>
        <v>PAVIMENTAÇÃO</v>
      </c>
      <c r="C811" s="55" t="str">
        <f>_xlfn.XLOOKUP($G811,'.Auxiliar'!$G:$G,'.Auxiliar'!C:C,"-",0)</f>
        <v>Decrescente</v>
      </c>
      <c r="D811" s="55">
        <f>_xlfn.XLOOKUP($G811,'.Auxiliar'!$G:$G,'.Auxiliar'!D:D,"-",0)</f>
        <v>524.86500000000001</v>
      </c>
      <c r="E811" s="55">
        <f>_xlfn.XLOOKUP($G811,'.Auxiliar'!$G:$G,'.Auxiliar'!E:E,"-",0)</f>
        <v>525.81500000000005</v>
      </c>
      <c r="F811" s="55">
        <f>_xlfn.XLOOKUP($G811,'.Auxiliar'!$G:$G,'.Auxiliar'!F:F,"-",0)</f>
        <v>0.95000000000004547</v>
      </c>
      <c r="G811" s="59" t="s">
        <v>1137</v>
      </c>
      <c r="H811" s="108" t="s">
        <v>0</v>
      </c>
      <c r="I811" s="109" t="s">
        <v>0</v>
      </c>
      <c r="J811" s="109" t="s">
        <v>0</v>
      </c>
      <c r="K811" s="109" t="s">
        <v>0</v>
      </c>
      <c r="L811" s="109" t="s">
        <v>0</v>
      </c>
      <c r="M811" s="109" t="s">
        <v>0</v>
      </c>
      <c r="N811" s="110" t="s">
        <v>363</v>
      </c>
      <c r="O811" s="111"/>
      <c r="P811" s="112"/>
      <c r="Q811" s="112"/>
      <c r="R811" s="112"/>
      <c r="S811" s="112"/>
      <c r="T811" s="112"/>
      <c r="U811" s="95" t="str">
        <f t="shared" si="39"/>
        <v/>
      </c>
      <c r="V811" s="112"/>
      <c r="W811" s="112"/>
      <c r="X811" s="107">
        <v>100</v>
      </c>
      <c r="Y811" s="107">
        <f t="shared" si="40"/>
        <v>100</v>
      </c>
      <c r="Z811" s="107">
        <f t="shared" si="41"/>
        <v>0</v>
      </c>
    </row>
    <row r="812" spans="1:26" x14ac:dyDescent="0.25">
      <c r="A812" s="55" t="str">
        <f>_xlfn.XLOOKUP($G812,'.Auxiliar'!$G:$G,'.Auxiliar'!A:A,"-",0)</f>
        <v>RIO/MINAS</v>
      </c>
      <c r="B812" s="55" t="str">
        <f>_xlfn.XLOOKUP($G812,'.Auxiliar'!$G:$G,'.Auxiliar'!B:B,"-",0)</f>
        <v>PAVIMENTAÇÃO</v>
      </c>
      <c r="C812" s="55" t="str">
        <f>_xlfn.XLOOKUP($G812,'.Auxiliar'!$G:$G,'.Auxiliar'!C:C,"-",0)</f>
        <v>Decrescente</v>
      </c>
      <c r="D812" s="55">
        <f>_xlfn.XLOOKUP($G812,'.Auxiliar'!$G:$G,'.Auxiliar'!D:D,"-",0)</f>
        <v>528.23500000000001</v>
      </c>
      <c r="E812" s="55">
        <f>_xlfn.XLOOKUP($G812,'.Auxiliar'!$G:$G,'.Auxiliar'!E:E,"-",0)</f>
        <v>529.5</v>
      </c>
      <c r="F812" s="55">
        <f>_xlfn.XLOOKUP($G812,'.Auxiliar'!$G:$G,'.Auxiliar'!F:F,"-",0)</f>
        <v>1.2649999999999864</v>
      </c>
      <c r="G812" s="59" t="s">
        <v>1139</v>
      </c>
      <c r="H812" s="108" t="s">
        <v>0</v>
      </c>
      <c r="I812" s="109" t="s">
        <v>0</v>
      </c>
      <c r="J812" s="109" t="s">
        <v>0</v>
      </c>
      <c r="K812" s="109" t="s">
        <v>0</v>
      </c>
      <c r="L812" s="109" t="s">
        <v>0</v>
      </c>
      <c r="M812" s="109" t="s">
        <v>0</v>
      </c>
      <c r="N812" s="110" t="s">
        <v>363</v>
      </c>
      <c r="O812" s="111"/>
      <c r="P812" s="112"/>
      <c r="Q812" s="112"/>
      <c r="R812" s="112"/>
      <c r="S812" s="112"/>
      <c r="T812" s="112"/>
      <c r="U812" s="95" t="str">
        <f t="shared" si="39"/>
        <v/>
      </c>
      <c r="V812" s="112"/>
      <c r="W812" s="112"/>
      <c r="X812" s="107">
        <v>100</v>
      </c>
      <c r="Y812" s="107">
        <f t="shared" si="40"/>
        <v>100</v>
      </c>
      <c r="Z812" s="107">
        <f t="shared" si="41"/>
        <v>0</v>
      </c>
    </row>
    <row r="813" spans="1:26" x14ac:dyDescent="0.25">
      <c r="A813" s="55" t="str">
        <f>_xlfn.XLOOKUP($G813,'.Auxiliar'!$G:$G,'.Auxiliar'!A:A,"-",0)</f>
        <v>RIO/MINAS</v>
      </c>
      <c r="B813" s="55" t="str">
        <f>_xlfn.XLOOKUP($G813,'.Auxiliar'!$G:$G,'.Auxiliar'!B:B,"-",0)</f>
        <v>PAVIMENTAÇÃO</v>
      </c>
      <c r="C813" s="55" t="str">
        <f>_xlfn.XLOOKUP($G813,'.Auxiliar'!$G:$G,'.Auxiliar'!C:C,"-",0)</f>
        <v>Decrescente</v>
      </c>
      <c r="D813" s="55">
        <f>_xlfn.XLOOKUP($G813,'.Auxiliar'!$G:$G,'.Auxiliar'!D:D,"-",0)</f>
        <v>529.5</v>
      </c>
      <c r="E813" s="55">
        <f>_xlfn.XLOOKUP($G813,'.Auxiliar'!$G:$G,'.Auxiliar'!E:E,"-",0)</f>
        <v>530.04999999999995</v>
      </c>
      <c r="F813" s="55">
        <f>_xlfn.XLOOKUP($G813,'.Auxiliar'!$G:$G,'.Auxiliar'!F:F,"-",0)</f>
        <v>0.54999999999995453</v>
      </c>
      <c r="G813" s="59" t="s">
        <v>1140</v>
      </c>
      <c r="H813" s="108" t="s">
        <v>0</v>
      </c>
      <c r="I813" s="109" t="s">
        <v>0</v>
      </c>
      <c r="J813" s="109" t="s">
        <v>0</v>
      </c>
      <c r="K813" s="109" t="s">
        <v>0</v>
      </c>
      <c r="L813" s="109" t="s">
        <v>0</v>
      </c>
      <c r="M813" s="109" t="s">
        <v>0</v>
      </c>
      <c r="N813" s="110" t="s">
        <v>363</v>
      </c>
      <c r="O813" s="111"/>
      <c r="P813" s="112"/>
      <c r="Q813" s="112"/>
      <c r="R813" s="112"/>
      <c r="S813" s="112"/>
      <c r="T813" s="112"/>
      <c r="U813" s="95" t="str">
        <f t="shared" si="39"/>
        <v/>
      </c>
      <c r="V813" s="112"/>
      <c r="W813" s="112"/>
      <c r="X813" s="107">
        <v>100</v>
      </c>
      <c r="Y813" s="107">
        <f t="shared" si="40"/>
        <v>100</v>
      </c>
      <c r="Z813" s="107">
        <f t="shared" si="41"/>
        <v>0</v>
      </c>
    </row>
    <row r="814" spans="1:26" x14ac:dyDescent="0.25">
      <c r="A814" s="55" t="str">
        <f>_xlfn.XLOOKUP($G814,'.Auxiliar'!$G:$G,'.Auxiliar'!A:A,"-",0)</f>
        <v>RIO/MINAS</v>
      </c>
      <c r="B814" s="55" t="str">
        <f>_xlfn.XLOOKUP($G814,'.Auxiliar'!$G:$G,'.Auxiliar'!B:B,"-",0)</f>
        <v>PAVIMENTAÇÃO</v>
      </c>
      <c r="C814" s="55" t="str">
        <f>_xlfn.XLOOKUP($G814,'.Auxiliar'!$G:$G,'.Auxiliar'!C:C,"-",0)</f>
        <v>Decrescente</v>
      </c>
      <c r="D814" s="55">
        <f>_xlfn.XLOOKUP($G814,'.Auxiliar'!$G:$G,'.Auxiliar'!D:D,"-",0)</f>
        <v>537.46</v>
      </c>
      <c r="E814" s="55">
        <f>_xlfn.XLOOKUP($G814,'.Auxiliar'!$G:$G,'.Auxiliar'!E:E,"-",0)</f>
        <v>538.61500000000001</v>
      </c>
      <c r="F814" s="55">
        <f>_xlfn.XLOOKUP($G814,'.Auxiliar'!$G:$G,'.Auxiliar'!F:F,"-",0)</f>
        <v>1.1549999999999727</v>
      </c>
      <c r="G814" s="59" t="s">
        <v>1143</v>
      </c>
      <c r="H814" s="108" t="s">
        <v>0</v>
      </c>
      <c r="I814" s="109" t="s">
        <v>0</v>
      </c>
      <c r="J814" s="109" t="s">
        <v>0</v>
      </c>
      <c r="K814" s="109" t="s">
        <v>0</v>
      </c>
      <c r="L814" s="109" t="s">
        <v>0</v>
      </c>
      <c r="M814" s="109" t="s">
        <v>0</v>
      </c>
      <c r="N814" s="110" t="s">
        <v>363</v>
      </c>
      <c r="O814" s="111"/>
      <c r="P814" s="112"/>
      <c r="Q814" s="112"/>
      <c r="R814" s="112"/>
      <c r="S814" s="112"/>
      <c r="T814" s="112"/>
      <c r="U814" s="95" t="str">
        <f t="shared" si="39"/>
        <v/>
      </c>
      <c r="V814" s="112"/>
      <c r="W814" s="112"/>
      <c r="X814" s="107">
        <v>100</v>
      </c>
      <c r="Y814" s="107">
        <f t="shared" si="40"/>
        <v>100</v>
      </c>
      <c r="Z814" s="107">
        <f t="shared" si="41"/>
        <v>0</v>
      </c>
    </row>
    <row r="815" spans="1:26" x14ac:dyDescent="0.25">
      <c r="A815" s="55" t="str">
        <f>_xlfn.XLOOKUP($G815,'.Auxiliar'!$G:$G,'.Auxiliar'!A:A,"-",0)</f>
        <v>RIO/MINAS</v>
      </c>
      <c r="B815" s="55" t="str">
        <f>_xlfn.XLOOKUP($G815,'.Auxiliar'!$G:$G,'.Auxiliar'!B:B,"-",0)</f>
        <v>PAVIMENTAÇÃO</v>
      </c>
      <c r="C815" s="55" t="str">
        <f>_xlfn.XLOOKUP($G815,'.Auxiliar'!$G:$G,'.Auxiliar'!C:C,"-",0)</f>
        <v>Decrescente</v>
      </c>
      <c r="D815" s="55">
        <f>_xlfn.XLOOKUP($G815,'.Auxiliar'!$G:$G,'.Auxiliar'!D:D,"-",0)</f>
        <v>650.64499999999998</v>
      </c>
      <c r="E815" s="55">
        <f>_xlfn.XLOOKUP($G815,'.Auxiliar'!$G:$G,'.Auxiliar'!E:E,"-",0)</f>
        <v>652.5</v>
      </c>
      <c r="F815" s="55">
        <f>_xlfn.XLOOKUP($G815,'.Auxiliar'!$G:$G,'.Auxiliar'!F:F,"-",0)</f>
        <v>1.8550000000000182</v>
      </c>
      <c r="G815" s="59" t="s">
        <v>1144</v>
      </c>
      <c r="H815" s="108" t="s">
        <v>0</v>
      </c>
      <c r="I815" s="109" t="s">
        <v>0</v>
      </c>
      <c r="J815" s="109" t="s">
        <v>0</v>
      </c>
      <c r="K815" s="109" t="s">
        <v>0</v>
      </c>
      <c r="L815" s="109" t="s">
        <v>0</v>
      </c>
      <c r="M815" s="109" t="s">
        <v>0</v>
      </c>
      <c r="N815" s="110" t="s">
        <v>363</v>
      </c>
      <c r="O815" s="111"/>
      <c r="P815" s="112"/>
      <c r="Q815" s="112"/>
      <c r="R815" s="112"/>
      <c r="S815" s="112"/>
      <c r="T815" s="112"/>
      <c r="U815" s="95" t="str">
        <f t="shared" si="39"/>
        <v/>
      </c>
      <c r="V815" s="112"/>
      <c r="W815" s="112"/>
      <c r="X815" s="107">
        <v>100</v>
      </c>
      <c r="Y815" s="107">
        <f t="shared" si="40"/>
        <v>100</v>
      </c>
      <c r="Z815" s="107">
        <f t="shared" si="41"/>
        <v>0</v>
      </c>
    </row>
    <row r="816" spans="1:26" x14ac:dyDescent="0.25">
      <c r="A816" s="55" t="str">
        <f>_xlfn.XLOOKUP($G816,'.Auxiliar'!$G:$G,'.Auxiliar'!A:A,"-",0)</f>
        <v>RIO/MINAS</v>
      </c>
      <c r="B816" s="55" t="str">
        <f>_xlfn.XLOOKUP($G816,'.Auxiliar'!$G:$G,'.Auxiliar'!B:B,"-",0)</f>
        <v>PAVIMENTAÇÃO</v>
      </c>
      <c r="C816" s="55" t="str">
        <f>_xlfn.XLOOKUP($G816,'.Auxiliar'!$G:$G,'.Auxiliar'!C:C,"-",0)</f>
        <v>Decrescente</v>
      </c>
      <c r="D816" s="55">
        <f>_xlfn.XLOOKUP($G816,'.Auxiliar'!$G:$G,'.Auxiliar'!D:D,"-",0)</f>
        <v>67.5</v>
      </c>
      <c r="E816" s="55">
        <f>_xlfn.XLOOKUP($G816,'.Auxiliar'!$G:$G,'.Auxiliar'!E:E,"-",0)</f>
        <v>68</v>
      </c>
      <c r="F816" s="55">
        <f>_xlfn.XLOOKUP($G816,'.Auxiliar'!$G:$G,'.Auxiliar'!F:F,"-",0)</f>
        <v>0.5</v>
      </c>
      <c r="G816" s="59" t="s">
        <v>1122</v>
      </c>
      <c r="H816" s="108" t="s">
        <v>0</v>
      </c>
      <c r="I816" s="109" t="s">
        <v>0</v>
      </c>
      <c r="J816" s="109" t="s">
        <v>0</v>
      </c>
      <c r="K816" s="109" t="s">
        <v>0</v>
      </c>
      <c r="L816" s="109" t="s">
        <v>0</v>
      </c>
      <c r="M816" s="109" t="s">
        <v>0</v>
      </c>
      <c r="N816" s="110" t="s">
        <v>363</v>
      </c>
      <c r="O816" s="111"/>
      <c r="P816" s="112"/>
      <c r="Q816" s="112"/>
      <c r="R816" s="112"/>
      <c r="S816" s="112"/>
      <c r="T816" s="112"/>
      <c r="U816" s="95" t="str">
        <f t="shared" si="39"/>
        <v/>
      </c>
      <c r="V816" s="112"/>
      <c r="W816" s="112"/>
      <c r="X816" s="107">
        <v>100</v>
      </c>
      <c r="Y816" s="107">
        <f t="shared" si="40"/>
        <v>100</v>
      </c>
      <c r="Z816" s="107">
        <f t="shared" si="41"/>
        <v>0</v>
      </c>
    </row>
    <row r="817" spans="1:26" x14ac:dyDescent="0.25">
      <c r="A817" s="55" t="str">
        <f>_xlfn.XLOOKUP($G817,'.Auxiliar'!$G:$G,'.Auxiliar'!A:A,"-",0)</f>
        <v>RIO/MINAS</v>
      </c>
      <c r="B817" s="55" t="str">
        <f>_xlfn.XLOOKUP($G817,'.Auxiliar'!$G:$G,'.Auxiliar'!B:B,"-",0)</f>
        <v>PAVIMENTAÇÃO</v>
      </c>
      <c r="C817" s="55" t="str">
        <f>_xlfn.XLOOKUP($G817,'.Auxiliar'!$G:$G,'.Auxiliar'!C:C,"-",0)</f>
        <v>Decrescente</v>
      </c>
      <c r="D817" s="55">
        <f>_xlfn.XLOOKUP($G817,'.Auxiliar'!$G:$G,'.Auxiliar'!D:D,"-",0)</f>
        <v>767.91</v>
      </c>
      <c r="E817" s="55">
        <f>_xlfn.XLOOKUP($G817,'.Auxiliar'!$G:$G,'.Auxiliar'!E:E,"-",0)</f>
        <v>769.46500000000003</v>
      </c>
      <c r="F817" s="55">
        <f>_xlfn.XLOOKUP($G817,'.Auxiliar'!$G:$G,'.Auxiliar'!F:F,"-",0)</f>
        <v>1.5550000000000637</v>
      </c>
      <c r="G817" s="59" t="s">
        <v>1148</v>
      </c>
      <c r="H817" s="108" t="s">
        <v>0</v>
      </c>
      <c r="I817" s="109" t="s">
        <v>0</v>
      </c>
      <c r="J817" s="109" t="s">
        <v>0</v>
      </c>
      <c r="K817" s="109" t="s">
        <v>0</v>
      </c>
      <c r="L817" s="109" t="s">
        <v>0</v>
      </c>
      <c r="M817" s="109" t="s">
        <v>0</v>
      </c>
      <c r="N817" s="110" t="s">
        <v>363</v>
      </c>
      <c r="O817" s="111"/>
      <c r="P817" s="112"/>
      <c r="Q817" s="112"/>
      <c r="R817" s="112"/>
      <c r="S817" s="112"/>
      <c r="T817" s="112"/>
      <c r="U817" s="95" t="str">
        <f t="shared" si="39"/>
        <v/>
      </c>
      <c r="V817" s="112"/>
      <c r="W817" s="112"/>
      <c r="X817" s="107">
        <v>100</v>
      </c>
      <c r="Y817" s="107">
        <f t="shared" si="40"/>
        <v>100</v>
      </c>
      <c r="Z817" s="107">
        <f t="shared" si="41"/>
        <v>0</v>
      </c>
    </row>
    <row r="818" spans="1:26" x14ac:dyDescent="0.25">
      <c r="A818" s="55" t="str">
        <f>_xlfn.XLOOKUP($G818,'.Auxiliar'!$G:$G,'.Auxiliar'!A:A,"-",0)</f>
        <v>RIO/MINAS</v>
      </c>
      <c r="B818" s="55" t="str">
        <f>_xlfn.XLOOKUP($G818,'.Auxiliar'!$G:$G,'.Auxiliar'!B:B,"-",0)</f>
        <v>PAVIMENTAÇÃO</v>
      </c>
      <c r="C818" s="55" t="str">
        <f>_xlfn.XLOOKUP($G818,'.Auxiliar'!$G:$G,'.Auxiliar'!C:C,"-",0)</f>
        <v>Decrescente</v>
      </c>
      <c r="D818" s="55">
        <f>_xlfn.XLOOKUP($G818,'.Auxiliar'!$G:$G,'.Auxiliar'!D:D,"-",0)</f>
        <v>77.531999999999996</v>
      </c>
      <c r="E818" s="55">
        <f>_xlfn.XLOOKUP($G818,'.Auxiliar'!$G:$G,'.Auxiliar'!E:E,"-",0)</f>
        <v>77.965000000000003</v>
      </c>
      <c r="F818" s="55">
        <f>_xlfn.XLOOKUP($G818,'.Auxiliar'!$G:$G,'.Auxiliar'!F:F,"-",0)</f>
        <v>0.43300000000000693</v>
      </c>
      <c r="G818" s="59" t="s">
        <v>1134</v>
      </c>
      <c r="H818" s="108" t="s">
        <v>0</v>
      </c>
      <c r="I818" s="109" t="s">
        <v>0</v>
      </c>
      <c r="J818" s="109" t="s">
        <v>0</v>
      </c>
      <c r="K818" s="109" t="s">
        <v>0</v>
      </c>
      <c r="L818" s="109" t="s">
        <v>0</v>
      </c>
      <c r="M818" s="109" t="s">
        <v>0</v>
      </c>
      <c r="N818" s="110" t="s">
        <v>363</v>
      </c>
      <c r="O818" s="111"/>
      <c r="P818" s="112"/>
      <c r="Q818" s="112"/>
      <c r="R818" s="112"/>
      <c r="S818" s="112"/>
      <c r="T818" s="112"/>
      <c r="U818" s="95" t="str">
        <f t="shared" si="39"/>
        <v/>
      </c>
      <c r="V818" s="112"/>
      <c r="W818" s="112"/>
      <c r="X818" s="107">
        <v>100</v>
      </c>
      <c r="Y818" s="107">
        <f t="shared" si="40"/>
        <v>100</v>
      </c>
      <c r="Z818" s="107">
        <f t="shared" si="41"/>
        <v>0</v>
      </c>
    </row>
    <row r="819" spans="1:26" x14ac:dyDescent="0.25">
      <c r="A819" s="55" t="str">
        <f>_xlfn.XLOOKUP($G819,'.Auxiliar'!$G:$G,'.Auxiliar'!A:A,"-",0)</f>
        <v>RIO/SP</v>
      </c>
      <c r="B819" s="55" t="str">
        <f>_xlfn.XLOOKUP($G819,'.Auxiliar'!$G:$G,'.Auxiliar'!B:B,"-",0)</f>
        <v>DUPLICAÇÃO</v>
      </c>
      <c r="C819" s="55" t="str">
        <f>_xlfn.XLOOKUP($G819,'.Auxiliar'!$G:$G,'.Auxiliar'!C:C,"-",0)</f>
        <v>Nada Consta</v>
      </c>
      <c r="D819" s="55">
        <f>_xlfn.XLOOKUP($G819,'.Auxiliar'!$G:$G,'.Auxiliar'!D:D,"-",0)</f>
        <v>416</v>
      </c>
      <c r="E819" s="55">
        <f>_xlfn.XLOOKUP($G819,'.Auxiliar'!$G:$G,'.Auxiliar'!E:E,"-",0)</f>
        <v>428.3</v>
      </c>
      <c r="F819" s="55">
        <f>_xlfn.XLOOKUP($G819,'.Auxiliar'!$G:$G,'.Auxiliar'!F:F,"-",0)</f>
        <v>12.300000000000011</v>
      </c>
      <c r="G819" s="59" t="s">
        <v>1249</v>
      </c>
      <c r="H819" s="108" t="s">
        <v>0</v>
      </c>
      <c r="I819" s="109" t="s">
        <v>0</v>
      </c>
      <c r="J819" s="109" t="s">
        <v>0</v>
      </c>
      <c r="K819" s="109" t="s">
        <v>0</v>
      </c>
      <c r="L819" s="109" t="s">
        <v>0</v>
      </c>
      <c r="M819" s="109" t="s">
        <v>0</v>
      </c>
      <c r="N819" s="110" t="s">
        <v>363</v>
      </c>
      <c r="O819" s="111"/>
      <c r="P819" s="112"/>
      <c r="Q819" s="112"/>
      <c r="R819" s="112"/>
      <c r="S819" s="112"/>
      <c r="T819" s="112"/>
      <c r="U819" s="95" t="str">
        <f t="shared" si="39"/>
        <v/>
      </c>
      <c r="V819" s="112"/>
      <c r="W819" s="112"/>
      <c r="X819" s="107">
        <v>100</v>
      </c>
      <c r="Y819" s="107">
        <f t="shared" si="40"/>
        <v>100</v>
      </c>
      <c r="Z819" s="107">
        <f t="shared" si="41"/>
        <v>0</v>
      </c>
    </row>
    <row r="820" spans="1:26" x14ac:dyDescent="0.25">
      <c r="A820" s="55" t="str">
        <f>_xlfn.XLOOKUP($G820,'.Auxiliar'!$G:$G,'.Auxiliar'!A:A,"-",0)</f>
        <v>RIO/SP</v>
      </c>
      <c r="B820" s="55" t="str">
        <f>_xlfn.XLOOKUP($G820,'.Auxiliar'!$G:$G,'.Auxiliar'!B:B,"-",0)</f>
        <v>DUPLICAÇÃO</v>
      </c>
      <c r="C820" s="55" t="str">
        <f>_xlfn.XLOOKUP($G820,'.Auxiliar'!$G:$G,'.Auxiliar'!C:C,"-",0)</f>
        <v>Nada Consta</v>
      </c>
      <c r="D820" s="55">
        <f>_xlfn.XLOOKUP($G820,'.Auxiliar'!$G:$G,'.Auxiliar'!D:D,"-",0)</f>
        <v>428.3</v>
      </c>
      <c r="E820" s="55">
        <f>_xlfn.XLOOKUP($G820,'.Auxiliar'!$G:$G,'.Auxiliar'!E:E,"-",0)</f>
        <v>433.1</v>
      </c>
      <c r="F820" s="55">
        <f>_xlfn.XLOOKUP($G820,'.Auxiliar'!$G:$G,'.Auxiliar'!F:F,"-",0)</f>
        <v>4.8000000000000114</v>
      </c>
      <c r="G820" s="59" t="s">
        <v>1250</v>
      </c>
      <c r="H820" s="108" t="s">
        <v>0</v>
      </c>
      <c r="I820" s="109" t="s">
        <v>0</v>
      </c>
      <c r="J820" s="109" t="s">
        <v>0</v>
      </c>
      <c r="K820" s="109" t="s">
        <v>0</v>
      </c>
      <c r="L820" s="109" t="s">
        <v>0</v>
      </c>
      <c r="M820" s="109" t="s">
        <v>0</v>
      </c>
      <c r="N820" s="110" t="s">
        <v>363</v>
      </c>
      <c r="O820" s="111"/>
      <c r="P820" s="112"/>
      <c r="Q820" s="112"/>
      <c r="R820" s="112"/>
      <c r="S820" s="112"/>
      <c r="T820" s="112"/>
      <c r="U820" s="95" t="str">
        <f t="shared" si="39"/>
        <v/>
      </c>
      <c r="V820" s="112"/>
      <c r="W820" s="112"/>
      <c r="X820" s="107">
        <v>100</v>
      </c>
      <c r="Y820" s="107">
        <f t="shared" si="40"/>
        <v>100</v>
      </c>
      <c r="Z820" s="107">
        <f t="shared" si="41"/>
        <v>0</v>
      </c>
    </row>
    <row r="821" spans="1:26" x14ac:dyDescent="0.25">
      <c r="A821" s="55" t="str">
        <f>_xlfn.XLOOKUP($G821,'.Auxiliar'!$G:$G,'.Auxiliar'!A:A,"-",0)</f>
        <v>RIO/SP</v>
      </c>
      <c r="B821" s="55" t="str">
        <f>_xlfn.XLOOKUP($G821,'.Auxiliar'!$G:$G,'.Auxiliar'!B:B,"-",0)</f>
        <v>DUPLICAÇÃO</v>
      </c>
      <c r="C821" s="55" t="str">
        <f>_xlfn.XLOOKUP($G821,'.Auxiliar'!$G:$G,'.Auxiliar'!C:C,"-",0)</f>
        <v>Nada Consta</v>
      </c>
      <c r="D821" s="55">
        <f>_xlfn.XLOOKUP($G821,'.Auxiliar'!$G:$G,'.Auxiliar'!D:D,"-",0)</f>
        <v>433.1</v>
      </c>
      <c r="E821" s="55">
        <f>_xlfn.XLOOKUP($G821,'.Auxiliar'!$G:$G,'.Auxiliar'!E:E,"-",0)</f>
        <v>481.8</v>
      </c>
      <c r="F821" s="55">
        <f>_xlfn.XLOOKUP($G821,'.Auxiliar'!$G:$G,'.Auxiliar'!F:F,"-",0)</f>
        <v>48.699999999999989</v>
      </c>
      <c r="G821" s="59" t="s">
        <v>1251</v>
      </c>
      <c r="H821" s="108" t="s">
        <v>0</v>
      </c>
      <c r="I821" s="109" t="s">
        <v>0</v>
      </c>
      <c r="J821" s="109" t="s">
        <v>0</v>
      </c>
      <c r="K821" s="109" t="s">
        <v>0</v>
      </c>
      <c r="L821" s="109" t="s">
        <v>0</v>
      </c>
      <c r="M821" s="109" t="s">
        <v>0</v>
      </c>
      <c r="N821" s="110" t="s">
        <v>363</v>
      </c>
      <c r="O821" s="111"/>
      <c r="P821" s="112"/>
      <c r="Q821" s="112"/>
      <c r="R821" s="112"/>
      <c r="S821" s="112"/>
      <c r="T821" s="112"/>
      <c r="U821" s="95" t="str">
        <f t="shared" si="39"/>
        <v/>
      </c>
      <c r="V821" s="112"/>
      <c r="W821" s="112"/>
      <c r="X821" s="107">
        <v>100</v>
      </c>
      <c r="Y821" s="107">
        <f t="shared" si="40"/>
        <v>100</v>
      </c>
      <c r="Z821" s="107">
        <f t="shared" si="41"/>
        <v>0</v>
      </c>
    </row>
    <row r="822" spans="1:26" x14ac:dyDescent="0.25">
      <c r="A822" s="55" t="str">
        <f>_xlfn.XLOOKUP($G822,'.Auxiliar'!$G:$G,'.Auxiliar'!A:A,"-",0)</f>
        <v>RIO/SP</v>
      </c>
      <c r="B822" s="55" t="str">
        <f>_xlfn.XLOOKUP($G822,'.Auxiliar'!$G:$G,'.Auxiliar'!B:B,"-",0)</f>
        <v>DUPLICAÇÃO</v>
      </c>
      <c r="C822" s="55" t="str">
        <f>_xlfn.XLOOKUP($G822,'.Auxiliar'!$G:$G,'.Auxiliar'!C:C,"-",0)</f>
        <v>Nada Consta</v>
      </c>
      <c r="D822" s="55">
        <f>_xlfn.XLOOKUP($G822,'.Auxiliar'!$G:$G,'.Auxiliar'!D:D,"-",0)</f>
        <v>481.8</v>
      </c>
      <c r="E822" s="55">
        <f>_xlfn.XLOOKUP($G822,'.Auxiliar'!$G:$G,'.Auxiliar'!E:E,"-",0)</f>
        <v>496.1</v>
      </c>
      <c r="F822" s="55">
        <f>_xlfn.XLOOKUP($G822,'.Auxiliar'!$G:$G,'.Auxiliar'!F:F,"-",0)</f>
        <v>14.300000000000011</v>
      </c>
      <c r="G822" s="59" t="s">
        <v>1252</v>
      </c>
      <c r="H822" s="108" t="s">
        <v>0</v>
      </c>
      <c r="I822" s="109" t="s">
        <v>0</v>
      </c>
      <c r="J822" s="109" t="s">
        <v>0</v>
      </c>
      <c r="K822" s="109" t="s">
        <v>0</v>
      </c>
      <c r="L822" s="109" t="s">
        <v>0</v>
      </c>
      <c r="M822" s="109" t="s">
        <v>0</v>
      </c>
      <c r="N822" s="110" t="s">
        <v>363</v>
      </c>
      <c r="O822" s="111"/>
      <c r="P822" s="112"/>
      <c r="Q822" s="112"/>
      <c r="R822" s="112"/>
      <c r="S822" s="112"/>
      <c r="T822" s="112"/>
      <c r="U822" s="95" t="str">
        <f t="shared" si="39"/>
        <v/>
      </c>
      <c r="V822" s="112"/>
      <c r="W822" s="112"/>
      <c r="X822" s="107">
        <v>100</v>
      </c>
      <c r="Y822" s="107">
        <f t="shared" si="40"/>
        <v>100</v>
      </c>
      <c r="Z822" s="107">
        <f t="shared" si="41"/>
        <v>0</v>
      </c>
    </row>
    <row r="823" spans="1:26" x14ac:dyDescent="0.25">
      <c r="A823" s="55" t="str">
        <f>_xlfn.XLOOKUP($G823,'.Auxiliar'!$G:$G,'.Auxiliar'!A:A,"-",0)</f>
        <v>RIO/SP</v>
      </c>
      <c r="B823" s="55" t="str">
        <f>_xlfn.XLOOKUP($G823,'.Auxiliar'!$G:$G,'.Auxiliar'!B:B,"-",0)</f>
        <v>FX ADICIONAL</v>
      </c>
      <c r="C823" s="55" t="str">
        <f>_xlfn.XLOOKUP($G823,'.Auxiliar'!$G:$G,'.Auxiliar'!C:C,"-",0)</f>
        <v>3ª e 4ª faixa (LD e LE)</v>
      </c>
      <c r="D823" s="55">
        <f>_xlfn.XLOOKUP($G823,'.Auxiliar'!$G:$G,'.Auxiliar'!D:D,"-",0)</f>
        <v>110.7</v>
      </c>
      <c r="E823" s="55">
        <f>_xlfn.XLOOKUP($G823,'.Auxiliar'!$G:$G,'.Auxiliar'!E:E,"-",0)</f>
        <v>117.4</v>
      </c>
      <c r="F823" s="55">
        <f>_xlfn.XLOOKUP($G823,'.Auxiliar'!$G:$G,'.Auxiliar'!F:F,"-",0)</f>
        <v>13.400000000000006</v>
      </c>
      <c r="G823" s="59" t="s">
        <v>1575</v>
      </c>
      <c r="H823" s="108" t="s">
        <v>0</v>
      </c>
      <c r="I823" s="109" t="s">
        <v>0</v>
      </c>
      <c r="J823" s="109" t="s">
        <v>0</v>
      </c>
      <c r="K823" s="109" t="s">
        <v>0</v>
      </c>
      <c r="L823" s="109" t="s">
        <v>0</v>
      </c>
      <c r="M823" s="109" t="s">
        <v>363</v>
      </c>
      <c r="N823" s="110" t="s">
        <v>0</v>
      </c>
      <c r="O823" s="111"/>
      <c r="P823" s="112"/>
      <c r="Q823" s="112"/>
      <c r="R823" s="112"/>
      <c r="S823" s="112"/>
      <c r="T823" s="112"/>
      <c r="U823" s="95" t="str">
        <f t="shared" si="39"/>
        <v/>
      </c>
      <c r="V823" s="112"/>
      <c r="W823" s="112">
        <v>100</v>
      </c>
      <c r="X823" s="107"/>
      <c r="Y823" s="107">
        <f t="shared" si="40"/>
        <v>100</v>
      </c>
      <c r="Z823" s="107">
        <f t="shared" si="41"/>
        <v>0</v>
      </c>
    </row>
    <row r="824" spans="1:26" x14ac:dyDescent="0.25">
      <c r="A824" s="55" t="str">
        <f>_xlfn.XLOOKUP($G824,'.Auxiliar'!$G:$G,'.Auxiliar'!A:A,"-",0)</f>
        <v>RIO/SP</v>
      </c>
      <c r="B824" s="55" t="str">
        <f>_xlfn.XLOOKUP($G824,'.Auxiliar'!$G:$G,'.Auxiliar'!B:B,"-",0)</f>
        <v>FX ADICIONAL</v>
      </c>
      <c r="C824" s="55" t="str">
        <f>_xlfn.XLOOKUP($G824,'.Auxiliar'!$G:$G,'.Auxiliar'!C:C,"-",0)</f>
        <v>3ª e 4ª faixa (LD e LE)</v>
      </c>
      <c r="D824" s="55">
        <f>_xlfn.XLOOKUP($G824,'.Auxiliar'!$G:$G,'.Auxiliar'!D:D,"-",0)</f>
        <v>117.4</v>
      </c>
      <c r="E824" s="55">
        <f>_xlfn.XLOOKUP($G824,'.Auxiliar'!$G:$G,'.Auxiliar'!E:E,"-",0)</f>
        <v>124.9</v>
      </c>
      <c r="F824" s="55">
        <f>_xlfn.XLOOKUP($G824,'.Auxiliar'!$G:$G,'.Auxiliar'!F:F,"-",0)</f>
        <v>15</v>
      </c>
      <c r="G824" s="59" t="s">
        <v>1576</v>
      </c>
      <c r="H824" s="108" t="s">
        <v>0</v>
      </c>
      <c r="I824" s="109" t="s">
        <v>0</v>
      </c>
      <c r="J824" s="109" t="s">
        <v>0</v>
      </c>
      <c r="K824" s="109" t="s">
        <v>0</v>
      </c>
      <c r="L824" s="109" t="s">
        <v>0</v>
      </c>
      <c r="M824" s="109" t="s">
        <v>363</v>
      </c>
      <c r="N824" s="110" t="s">
        <v>0</v>
      </c>
      <c r="O824" s="111"/>
      <c r="P824" s="112"/>
      <c r="Q824" s="112"/>
      <c r="R824" s="112"/>
      <c r="S824" s="112"/>
      <c r="T824" s="112"/>
      <c r="U824" s="95" t="str">
        <f t="shared" si="39"/>
        <v/>
      </c>
      <c r="V824" s="112"/>
      <c r="W824" s="112">
        <v>100</v>
      </c>
      <c r="X824" s="107"/>
      <c r="Y824" s="107">
        <f t="shared" si="40"/>
        <v>100</v>
      </c>
      <c r="Z824" s="107">
        <f t="shared" si="41"/>
        <v>0</v>
      </c>
    </row>
    <row r="825" spans="1:26" x14ac:dyDescent="0.25">
      <c r="A825" s="55" t="str">
        <f>_xlfn.XLOOKUP($G825,'.Auxiliar'!$G:$G,'.Auxiliar'!A:A,"-",0)</f>
        <v>RIO/SP</v>
      </c>
      <c r="B825" s="55" t="str">
        <f>_xlfn.XLOOKUP($G825,'.Auxiliar'!$G:$G,'.Auxiliar'!B:B,"-",0)</f>
        <v>FX ADICIONAL</v>
      </c>
      <c r="C825" s="55" t="str">
        <f>_xlfn.XLOOKUP($G825,'.Auxiliar'!$G:$G,'.Auxiliar'!C:C,"-",0)</f>
        <v>3ª e 4ª faixa (LD e LE)</v>
      </c>
      <c r="D825" s="55">
        <f>_xlfn.XLOOKUP($G825,'.Auxiliar'!$G:$G,'.Auxiliar'!D:D,"-",0)</f>
        <v>124.9</v>
      </c>
      <c r="E825" s="55">
        <f>_xlfn.XLOOKUP($G825,'.Auxiliar'!$G:$G,'.Auxiliar'!E:E,"-",0)</f>
        <v>128</v>
      </c>
      <c r="F825" s="55">
        <f>_xlfn.XLOOKUP($G825,'.Auxiliar'!$G:$G,'.Auxiliar'!F:F,"-",0)</f>
        <v>6.1999999999999886</v>
      </c>
      <c r="G825" s="59" t="s">
        <v>1543</v>
      </c>
      <c r="H825" s="108" t="s">
        <v>0</v>
      </c>
      <c r="I825" s="109" t="s">
        <v>0</v>
      </c>
      <c r="J825" s="109" t="s">
        <v>0</v>
      </c>
      <c r="K825" s="109" t="s">
        <v>0</v>
      </c>
      <c r="L825" s="109" t="s">
        <v>363</v>
      </c>
      <c r="M825" s="109" t="s">
        <v>0</v>
      </c>
      <c r="N825" s="110" t="s">
        <v>0</v>
      </c>
      <c r="O825" s="111"/>
      <c r="P825" s="112"/>
      <c r="Q825" s="112"/>
      <c r="R825" s="112"/>
      <c r="S825" s="112"/>
      <c r="T825" s="112"/>
      <c r="U825" s="95" t="str">
        <f t="shared" si="39"/>
        <v/>
      </c>
      <c r="V825" s="112">
        <v>100</v>
      </c>
      <c r="W825" s="112"/>
      <c r="X825" s="107"/>
      <c r="Y825" s="107">
        <f t="shared" si="40"/>
        <v>100</v>
      </c>
      <c r="Z825" s="107">
        <f t="shared" si="41"/>
        <v>0</v>
      </c>
    </row>
    <row r="826" spans="1:26" x14ac:dyDescent="0.25">
      <c r="A826" s="55" t="str">
        <f>_xlfn.XLOOKUP($G826,'.Auxiliar'!$G:$G,'.Auxiliar'!A:A,"-",0)</f>
        <v>RIO/SP</v>
      </c>
      <c r="B826" s="55" t="str">
        <f>_xlfn.XLOOKUP($G826,'.Auxiliar'!$G:$G,'.Auxiliar'!B:B,"-",0)</f>
        <v>FX ADICIONAL</v>
      </c>
      <c r="C826" s="55" t="str">
        <f>_xlfn.XLOOKUP($G826,'.Auxiliar'!$G:$G,'.Auxiliar'!C:C,"-",0)</f>
        <v>3ª e 4ª faixa (LD e LE)</v>
      </c>
      <c r="D826" s="55">
        <f>_xlfn.XLOOKUP($G826,'.Auxiliar'!$G:$G,'.Auxiliar'!D:D,"-",0)</f>
        <v>128</v>
      </c>
      <c r="E826" s="55">
        <f>_xlfn.XLOOKUP($G826,'.Auxiliar'!$G:$G,'.Auxiliar'!E:E,"-",0)</f>
        <v>143.4</v>
      </c>
      <c r="F826" s="55">
        <f>_xlfn.XLOOKUP($G826,'.Auxiliar'!$G:$G,'.Auxiliar'!F:F,"-",0)</f>
        <v>30.800000000000011</v>
      </c>
      <c r="G826" s="59" t="s">
        <v>1544</v>
      </c>
      <c r="H826" s="108" t="s">
        <v>0</v>
      </c>
      <c r="I826" s="109" t="s">
        <v>0</v>
      </c>
      <c r="J826" s="109" t="s">
        <v>0</v>
      </c>
      <c r="K826" s="109" t="s">
        <v>0</v>
      </c>
      <c r="L826" s="109" t="s">
        <v>363</v>
      </c>
      <c r="M826" s="109" t="s">
        <v>0</v>
      </c>
      <c r="N826" s="110" t="s">
        <v>0</v>
      </c>
      <c r="O826" s="111"/>
      <c r="P826" s="112"/>
      <c r="Q826" s="112"/>
      <c r="R826" s="112"/>
      <c r="S826" s="112"/>
      <c r="T826" s="112"/>
      <c r="U826" s="95" t="str">
        <f t="shared" si="39"/>
        <v/>
      </c>
      <c r="V826" s="112">
        <v>100</v>
      </c>
      <c r="W826" s="112"/>
      <c r="X826" s="107"/>
      <c r="Y826" s="107">
        <f t="shared" si="40"/>
        <v>100</v>
      </c>
      <c r="Z826" s="107">
        <f t="shared" si="41"/>
        <v>0</v>
      </c>
    </row>
    <row r="827" spans="1:26" x14ac:dyDescent="0.25">
      <c r="A827" s="55" t="str">
        <f>_xlfn.XLOOKUP($G827,'.Auxiliar'!$G:$G,'.Auxiliar'!A:A,"-",0)</f>
        <v>RIO/SP</v>
      </c>
      <c r="B827" s="55" t="str">
        <f>_xlfn.XLOOKUP($G827,'.Auxiliar'!$G:$G,'.Auxiliar'!B:B,"-",0)</f>
        <v>FX ADICIONAL</v>
      </c>
      <c r="C827" s="55" t="str">
        <f>_xlfn.XLOOKUP($G827,'.Auxiliar'!$G:$G,'.Auxiliar'!C:C,"-",0)</f>
        <v>3ª e 4ª faixa (LD e LE)</v>
      </c>
      <c r="D827" s="55">
        <f>_xlfn.XLOOKUP($G827,'.Auxiliar'!$G:$G,'.Auxiliar'!D:D,"-",0)</f>
        <v>143.4</v>
      </c>
      <c r="E827" s="55">
        <f>_xlfn.XLOOKUP($G827,'.Auxiliar'!$G:$G,'.Auxiliar'!E:E,"-",0)</f>
        <v>146.69999999999999</v>
      </c>
      <c r="F827" s="55">
        <f>_xlfn.XLOOKUP($G827,'.Auxiliar'!$G:$G,'.Auxiliar'!F:F,"-",0)</f>
        <v>6.5999999999999659</v>
      </c>
      <c r="G827" s="59" t="s">
        <v>1545</v>
      </c>
      <c r="H827" s="108" t="s">
        <v>0</v>
      </c>
      <c r="I827" s="109" t="s">
        <v>0</v>
      </c>
      <c r="J827" s="109" t="s">
        <v>0</v>
      </c>
      <c r="K827" s="109" t="s">
        <v>0</v>
      </c>
      <c r="L827" s="109" t="s">
        <v>363</v>
      </c>
      <c r="M827" s="109" t="s">
        <v>0</v>
      </c>
      <c r="N827" s="110" t="s">
        <v>0</v>
      </c>
      <c r="O827" s="111"/>
      <c r="P827" s="112"/>
      <c r="Q827" s="112"/>
      <c r="R827" s="112"/>
      <c r="S827" s="112"/>
      <c r="T827" s="112"/>
      <c r="U827" s="95" t="str">
        <f t="shared" si="39"/>
        <v/>
      </c>
      <c r="V827" s="112">
        <v>100</v>
      </c>
      <c r="W827" s="112"/>
      <c r="X827" s="107"/>
      <c r="Y827" s="107">
        <f t="shared" si="40"/>
        <v>100</v>
      </c>
      <c r="Z827" s="107">
        <f t="shared" si="41"/>
        <v>0</v>
      </c>
    </row>
    <row r="828" spans="1:26" x14ac:dyDescent="0.25">
      <c r="A828" s="55" t="str">
        <f>_xlfn.XLOOKUP($G828,'.Auxiliar'!$G:$G,'.Auxiliar'!A:A,"-",0)</f>
        <v>RIO/SP</v>
      </c>
      <c r="B828" s="55" t="str">
        <f>_xlfn.XLOOKUP($G828,'.Auxiliar'!$G:$G,'.Auxiliar'!B:B,"-",0)</f>
        <v>FX ADICIONAL</v>
      </c>
      <c r="C828" s="55" t="str">
        <f>_xlfn.XLOOKUP($G828,'.Auxiliar'!$G:$G,'.Auxiliar'!C:C,"-",0)</f>
        <v>3ª e 4ª faixa (LD e LE)</v>
      </c>
      <c r="D828" s="55">
        <f>_xlfn.XLOOKUP($G828,'.Auxiliar'!$G:$G,'.Auxiliar'!D:D,"-",0)</f>
        <v>146.69999999999999</v>
      </c>
      <c r="E828" s="55">
        <f>_xlfn.XLOOKUP($G828,'.Auxiliar'!$G:$G,'.Auxiliar'!E:E,"-",0)</f>
        <v>149.9</v>
      </c>
      <c r="F828" s="55">
        <f>_xlfn.XLOOKUP($G828,'.Auxiliar'!$G:$G,'.Auxiliar'!F:F,"-",0)</f>
        <v>6.4000000000000341</v>
      </c>
      <c r="G828" s="59" t="s">
        <v>1546</v>
      </c>
      <c r="H828" s="108" t="s">
        <v>0</v>
      </c>
      <c r="I828" s="109" t="s">
        <v>0</v>
      </c>
      <c r="J828" s="109" t="s">
        <v>0</v>
      </c>
      <c r="K828" s="109" t="s">
        <v>0</v>
      </c>
      <c r="L828" s="109" t="s">
        <v>363</v>
      </c>
      <c r="M828" s="109" t="s">
        <v>0</v>
      </c>
      <c r="N828" s="110" t="s">
        <v>0</v>
      </c>
      <c r="O828" s="111"/>
      <c r="P828" s="112"/>
      <c r="Q828" s="112"/>
      <c r="R828" s="112"/>
      <c r="S828" s="112"/>
      <c r="T828" s="112"/>
      <c r="U828" s="95" t="str">
        <f t="shared" si="39"/>
        <v/>
      </c>
      <c r="V828" s="112">
        <v>100</v>
      </c>
      <c r="W828" s="112"/>
      <c r="X828" s="107"/>
      <c r="Y828" s="107">
        <f t="shared" si="40"/>
        <v>100</v>
      </c>
      <c r="Z828" s="107">
        <f t="shared" si="41"/>
        <v>0</v>
      </c>
    </row>
    <row r="829" spans="1:26" x14ac:dyDescent="0.25">
      <c r="A829" s="55" t="str">
        <f>_xlfn.XLOOKUP($G829,'.Auxiliar'!$G:$G,'.Auxiliar'!A:A,"-",0)</f>
        <v>RIO/SP</v>
      </c>
      <c r="B829" s="55" t="str">
        <f>_xlfn.XLOOKUP($G829,'.Auxiliar'!$G:$G,'.Auxiliar'!B:B,"-",0)</f>
        <v>FX ADICIONAL</v>
      </c>
      <c r="C829" s="55" t="str">
        <f>_xlfn.XLOOKUP($G829,'.Auxiliar'!$G:$G,'.Auxiliar'!C:C,"-",0)</f>
        <v>3ª e 4ª faixa (LD e LE)</v>
      </c>
      <c r="D829" s="55">
        <f>_xlfn.XLOOKUP($G829,'.Auxiliar'!$G:$G,'.Auxiliar'!D:D,"-",0)</f>
        <v>149.9</v>
      </c>
      <c r="E829" s="55">
        <f>_xlfn.XLOOKUP($G829,'.Auxiliar'!$G:$G,'.Auxiliar'!E:E,"-",0)</f>
        <v>151.30000000000001</v>
      </c>
      <c r="F829" s="55">
        <f>_xlfn.XLOOKUP($G829,'.Auxiliar'!$G:$G,'.Auxiliar'!F:F,"-",0)</f>
        <v>2.8000000000000114</v>
      </c>
      <c r="G829" s="59" t="s">
        <v>1547</v>
      </c>
      <c r="H829" s="108" t="s">
        <v>0</v>
      </c>
      <c r="I829" s="109" t="s">
        <v>0</v>
      </c>
      <c r="J829" s="109" t="s">
        <v>0</v>
      </c>
      <c r="K829" s="109" t="s">
        <v>0</v>
      </c>
      <c r="L829" s="109" t="s">
        <v>363</v>
      </c>
      <c r="M829" s="109" t="s">
        <v>0</v>
      </c>
      <c r="N829" s="110" t="s">
        <v>0</v>
      </c>
      <c r="O829" s="111"/>
      <c r="P829" s="112"/>
      <c r="Q829" s="112"/>
      <c r="R829" s="112"/>
      <c r="S829" s="112"/>
      <c r="T829" s="112"/>
      <c r="U829" s="95" t="str">
        <f t="shared" si="39"/>
        <v/>
      </c>
      <c r="V829" s="112">
        <v>100</v>
      </c>
      <c r="W829" s="112"/>
      <c r="X829" s="107"/>
      <c r="Y829" s="107">
        <f t="shared" si="40"/>
        <v>100</v>
      </c>
      <c r="Z829" s="107">
        <f t="shared" si="41"/>
        <v>0</v>
      </c>
    </row>
    <row r="830" spans="1:26" x14ac:dyDescent="0.25">
      <c r="A830" s="55" t="str">
        <f>_xlfn.XLOOKUP($G830,'.Auxiliar'!$G:$G,'.Auxiliar'!A:A,"-",0)</f>
        <v>RIO/SP</v>
      </c>
      <c r="B830" s="55" t="str">
        <f>_xlfn.XLOOKUP($G830,'.Auxiliar'!$G:$G,'.Auxiliar'!B:B,"-",0)</f>
        <v>FX ADICIONAL</v>
      </c>
      <c r="C830" s="55" t="str">
        <f>_xlfn.XLOOKUP($G830,'.Auxiliar'!$G:$G,'.Auxiliar'!C:C,"-",0)</f>
        <v>3ª e 4ª faixa (LD e LE)</v>
      </c>
      <c r="D830" s="55">
        <f>_xlfn.XLOOKUP($G830,'.Auxiliar'!$G:$G,'.Auxiliar'!D:D,"-",0)</f>
        <v>151.30000000000001</v>
      </c>
      <c r="E830" s="55">
        <f>_xlfn.XLOOKUP($G830,'.Auxiliar'!$G:$G,'.Auxiliar'!E:E,"-",0)</f>
        <v>157.80000000000001</v>
      </c>
      <c r="F830" s="55">
        <f>_xlfn.XLOOKUP($G830,'.Auxiliar'!$G:$G,'.Auxiliar'!F:F,"-",0)</f>
        <v>13</v>
      </c>
      <c r="G830" s="59" t="s">
        <v>860</v>
      </c>
      <c r="H830" s="108" t="s">
        <v>0</v>
      </c>
      <c r="I830" s="109" t="s">
        <v>368</v>
      </c>
      <c r="J830" s="109" t="s">
        <v>0</v>
      </c>
      <c r="K830" s="109" t="s">
        <v>363</v>
      </c>
      <c r="L830" s="109" t="s">
        <v>0</v>
      </c>
      <c r="M830" s="109" t="s">
        <v>0</v>
      </c>
      <c r="N830" s="110" t="s">
        <v>0</v>
      </c>
      <c r="O830" s="111"/>
      <c r="P830" s="112"/>
      <c r="Q830" s="112">
        <v>49.97</v>
      </c>
      <c r="R830" s="112">
        <v>26.2</v>
      </c>
      <c r="S830" s="112">
        <v>47.12</v>
      </c>
      <c r="T830" s="112">
        <v>25.55</v>
      </c>
      <c r="U830" s="95">
        <f t="shared" si="39"/>
        <v>73.8</v>
      </c>
      <c r="V830" s="112">
        <f>100-(S830+R830)</f>
        <v>26.680000000000007</v>
      </c>
      <c r="W830" s="112"/>
      <c r="X830" s="107"/>
      <c r="Y830" s="107">
        <f t="shared" si="40"/>
        <v>100</v>
      </c>
      <c r="Z830" s="107">
        <f t="shared" si="41"/>
        <v>51.75</v>
      </c>
    </row>
    <row r="831" spans="1:26" x14ac:dyDescent="0.25">
      <c r="A831" s="55" t="str">
        <f>_xlfn.XLOOKUP($G831,'.Auxiliar'!$G:$G,'.Auxiliar'!A:A,"-",0)</f>
        <v>RIO/SP</v>
      </c>
      <c r="B831" s="55" t="str">
        <f>_xlfn.XLOOKUP($G831,'.Auxiliar'!$G:$G,'.Auxiliar'!B:B,"-",0)</f>
        <v>FX ADICIONAL</v>
      </c>
      <c r="C831" s="55" t="str">
        <f>_xlfn.XLOOKUP($G831,'.Auxiliar'!$G:$G,'.Auxiliar'!C:C,"-",0)</f>
        <v>3ª e 4ª faixa (LD e LE)</v>
      </c>
      <c r="D831" s="55">
        <f>_xlfn.XLOOKUP($G831,'.Auxiliar'!$G:$G,'.Auxiliar'!D:D,"-",0)</f>
        <v>157.80000000000001</v>
      </c>
      <c r="E831" s="55">
        <f>_xlfn.XLOOKUP($G831,'.Auxiliar'!$G:$G,'.Auxiliar'!E:E,"-",0)</f>
        <v>166.8</v>
      </c>
      <c r="F831" s="55">
        <f>_xlfn.XLOOKUP($G831,'.Auxiliar'!$G:$G,'.Auxiliar'!F:F,"-",0)</f>
        <v>18</v>
      </c>
      <c r="G831" s="59" t="s">
        <v>1577</v>
      </c>
      <c r="H831" s="108" t="s">
        <v>0</v>
      </c>
      <c r="I831" s="109" t="s">
        <v>0</v>
      </c>
      <c r="J831" s="109" t="s">
        <v>0</v>
      </c>
      <c r="K831" s="109" t="s">
        <v>0</v>
      </c>
      <c r="L831" s="109" t="s">
        <v>0</v>
      </c>
      <c r="M831" s="109" t="s">
        <v>363</v>
      </c>
      <c r="N831" s="110" t="s">
        <v>0</v>
      </c>
      <c r="O831" s="111"/>
      <c r="P831" s="112"/>
      <c r="Q831" s="112"/>
      <c r="R831" s="112"/>
      <c r="S831" s="112"/>
      <c r="T831" s="112"/>
      <c r="U831" s="95" t="str">
        <f t="shared" si="39"/>
        <v/>
      </c>
      <c r="V831" s="112"/>
      <c r="W831" s="112">
        <v>100</v>
      </c>
      <c r="X831" s="107"/>
      <c r="Y831" s="107">
        <f t="shared" si="40"/>
        <v>100</v>
      </c>
      <c r="Z831" s="107">
        <f t="shared" si="41"/>
        <v>0</v>
      </c>
    </row>
    <row r="832" spans="1:26" x14ac:dyDescent="0.25">
      <c r="A832" s="55" t="str">
        <f>_xlfn.XLOOKUP($G832,'.Auxiliar'!$G:$G,'.Auxiliar'!A:A,"-",0)</f>
        <v>RIO/SP</v>
      </c>
      <c r="B832" s="55" t="str">
        <f>_xlfn.XLOOKUP($G832,'.Auxiliar'!$G:$G,'.Auxiliar'!B:B,"-",0)</f>
        <v>FX ADICIONAL</v>
      </c>
      <c r="C832" s="55" t="str">
        <f>_xlfn.XLOOKUP($G832,'.Auxiliar'!$G:$G,'.Auxiliar'!C:C,"-",0)</f>
        <v>3ª e 4ª faixa (LD e LE)</v>
      </c>
      <c r="D832" s="55">
        <f>_xlfn.XLOOKUP($G832,'.Auxiliar'!$G:$G,'.Auxiliar'!D:D,"-",0)</f>
        <v>166.8</v>
      </c>
      <c r="E832" s="55">
        <f>_xlfn.XLOOKUP($G832,'.Auxiliar'!$G:$G,'.Auxiliar'!E:E,"-",0)</f>
        <v>169.1</v>
      </c>
      <c r="F832" s="55">
        <f>_xlfn.XLOOKUP($G832,'.Auxiliar'!$G:$G,'.Auxiliar'!F:F,"-",0)</f>
        <v>4.5999999999999659</v>
      </c>
      <c r="G832" s="59" t="s">
        <v>1727</v>
      </c>
      <c r="H832" s="108" t="s">
        <v>0</v>
      </c>
      <c r="I832" s="109" t="s">
        <v>0</v>
      </c>
      <c r="J832" s="109" t="s">
        <v>0</v>
      </c>
      <c r="K832" s="109" t="s">
        <v>0</v>
      </c>
      <c r="L832" s="109" t="s">
        <v>0</v>
      </c>
      <c r="M832" s="109" t="s">
        <v>0</v>
      </c>
      <c r="N832" s="110" t="s">
        <v>363</v>
      </c>
      <c r="O832" s="111"/>
      <c r="P832" s="112"/>
      <c r="Q832" s="112"/>
      <c r="R832" s="112"/>
      <c r="S832" s="112"/>
      <c r="T832" s="112"/>
      <c r="U832" s="95" t="str">
        <f t="shared" si="39"/>
        <v/>
      </c>
      <c r="V832" s="112"/>
      <c r="W832" s="112"/>
      <c r="X832" s="107">
        <v>100</v>
      </c>
      <c r="Y832" s="107">
        <f t="shared" si="40"/>
        <v>100</v>
      </c>
      <c r="Z832" s="107">
        <f t="shared" si="41"/>
        <v>0</v>
      </c>
    </row>
    <row r="833" spans="1:26" x14ac:dyDescent="0.25">
      <c r="A833" s="55" t="str">
        <f>_xlfn.XLOOKUP($G833,'.Auxiliar'!$G:$G,'.Auxiliar'!A:A,"-",0)</f>
        <v>RIO/SP</v>
      </c>
      <c r="B833" s="55" t="str">
        <f>_xlfn.XLOOKUP($G833,'.Auxiliar'!$G:$G,'.Auxiliar'!B:B,"-",0)</f>
        <v>FX ADICIONAL</v>
      </c>
      <c r="C833" s="55" t="str">
        <f>_xlfn.XLOOKUP($G833,'.Auxiliar'!$G:$G,'.Auxiliar'!C:C,"-",0)</f>
        <v>3ª e 4ª faixa (LD e LE)</v>
      </c>
      <c r="D833" s="55">
        <f>_xlfn.XLOOKUP($G833,'.Auxiliar'!$G:$G,'.Auxiliar'!D:D,"-",0)</f>
        <v>169.1</v>
      </c>
      <c r="E833" s="55">
        <f>_xlfn.XLOOKUP($G833,'.Auxiliar'!$G:$G,'.Auxiliar'!E:E,"-",0)</f>
        <v>178.8</v>
      </c>
      <c r="F833" s="55">
        <f>_xlfn.XLOOKUP($G833,'.Auxiliar'!$G:$G,'.Auxiliar'!F:F,"-",0)</f>
        <v>19.400000000000034</v>
      </c>
      <c r="G833" s="59" t="s">
        <v>1728</v>
      </c>
      <c r="H833" s="108" t="s">
        <v>0</v>
      </c>
      <c r="I833" s="109" t="s">
        <v>0</v>
      </c>
      <c r="J833" s="109" t="s">
        <v>0</v>
      </c>
      <c r="K833" s="109" t="s">
        <v>0</v>
      </c>
      <c r="L833" s="109" t="s">
        <v>0</v>
      </c>
      <c r="M833" s="109" t="s">
        <v>0</v>
      </c>
      <c r="N833" s="110" t="s">
        <v>363</v>
      </c>
      <c r="O833" s="111"/>
      <c r="P833" s="112"/>
      <c r="Q833" s="112"/>
      <c r="R833" s="112"/>
      <c r="S833" s="112"/>
      <c r="T833" s="112"/>
      <c r="U833" s="95" t="str">
        <f t="shared" si="39"/>
        <v/>
      </c>
      <c r="V833" s="112"/>
      <c r="W833" s="112"/>
      <c r="X833" s="107">
        <v>100</v>
      </c>
      <c r="Y833" s="107">
        <f t="shared" si="40"/>
        <v>100</v>
      </c>
      <c r="Z833" s="107">
        <f t="shared" si="41"/>
        <v>0</v>
      </c>
    </row>
    <row r="834" spans="1:26" x14ac:dyDescent="0.25">
      <c r="A834" s="55" t="str">
        <f>_xlfn.XLOOKUP($G834,'.Auxiliar'!$G:$G,'.Auxiliar'!A:A,"-",0)</f>
        <v>RIO/SP</v>
      </c>
      <c r="B834" s="55" t="str">
        <f>_xlfn.XLOOKUP($G834,'.Auxiliar'!$G:$G,'.Auxiliar'!B:B,"-",0)</f>
        <v>FX ADICIONAL</v>
      </c>
      <c r="C834" s="55" t="str">
        <f>_xlfn.XLOOKUP($G834,'.Auxiliar'!$G:$G,'.Auxiliar'!C:C,"-",0)</f>
        <v>3ª e 4ª faixa (LD e LE)</v>
      </c>
      <c r="D834" s="55">
        <f>_xlfn.XLOOKUP($G834,'.Auxiliar'!$G:$G,'.Auxiliar'!D:D,"-",0)</f>
        <v>178.8</v>
      </c>
      <c r="E834" s="55">
        <f>_xlfn.XLOOKUP($G834,'.Auxiliar'!$G:$G,'.Auxiliar'!E:E,"-",0)</f>
        <v>186.1</v>
      </c>
      <c r="F834" s="55">
        <f>_xlfn.XLOOKUP($G834,'.Auxiliar'!$G:$G,'.Auxiliar'!F:F,"-",0)</f>
        <v>14.599999999999966</v>
      </c>
      <c r="G834" s="59" t="s">
        <v>1736</v>
      </c>
      <c r="H834" s="108" t="s">
        <v>0</v>
      </c>
      <c r="I834" s="109" t="s">
        <v>0</v>
      </c>
      <c r="J834" s="109" t="s">
        <v>0</v>
      </c>
      <c r="K834" s="109" t="s">
        <v>0</v>
      </c>
      <c r="L834" s="109" t="s">
        <v>0</v>
      </c>
      <c r="M834" s="109" t="s">
        <v>0</v>
      </c>
      <c r="N834" s="110" t="s">
        <v>363</v>
      </c>
      <c r="O834" s="111"/>
      <c r="P834" s="112"/>
      <c r="Q834" s="112"/>
      <c r="R834" s="112"/>
      <c r="S834" s="112"/>
      <c r="T834" s="112"/>
      <c r="U834" s="95" t="str">
        <f t="shared" si="39"/>
        <v/>
      </c>
      <c r="V834" s="112"/>
      <c r="W834" s="112"/>
      <c r="X834" s="107">
        <v>100</v>
      </c>
      <c r="Y834" s="107">
        <f t="shared" si="40"/>
        <v>100</v>
      </c>
      <c r="Z834" s="107">
        <f t="shared" si="41"/>
        <v>0</v>
      </c>
    </row>
    <row r="835" spans="1:26" x14ac:dyDescent="0.25">
      <c r="A835" s="55" t="str">
        <f>_xlfn.XLOOKUP($G835,'.Auxiliar'!$G:$G,'.Auxiliar'!A:A,"-",0)</f>
        <v>RIO/SP</v>
      </c>
      <c r="B835" s="55" t="str">
        <f>_xlfn.XLOOKUP($G835,'.Auxiliar'!$G:$G,'.Auxiliar'!B:B,"-",0)</f>
        <v>FX ADICIONAL</v>
      </c>
      <c r="C835" s="55" t="str">
        <f>_xlfn.XLOOKUP($G835,'.Auxiliar'!$G:$G,'.Auxiliar'!C:C,"-",0)</f>
        <v>3ª e 4ª faixa (LD e LE)</v>
      </c>
      <c r="D835" s="55">
        <f>_xlfn.XLOOKUP($G835,'.Auxiliar'!$G:$G,'.Auxiliar'!D:D,"-",0)</f>
        <v>186.1</v>
      </c>
      <c r="E835" s="55">
        <f>_xlfn.XLOOKUP($G835,'.Auxiliar'!$G:$G,'.Auxiliar'!E:E,"-",0)</f>
        <v>199.6</v>
      </c>
      <c r="F835" s="55">
        <f>_xlfn.XLOOKUP($G835,'.Auxiliar'!$G:$G,'.Auxiliar'!F:F,"-",0)</f>
        <v>27</v>
      </c>
      <c r="G835" s="59" t="s">
        <v>1737</v>
      </c>
      <c r="H835" s="108" t="s">
        <v>0</v>
      </c>
      <c r="I835" s="109" t="s">
        <v>0</v>
      </c>
      <c r="J835" s="109" t="s">
        <v>0</v>
      </c>
      <c r="K835" s="109" t="s">
        <v>0</v>
      </c>
      <c r="L835" s="109" t="s">
        <v>0</v>
      </c>
      <c r="M835" s="109" t="s">
        <v>0</v>
      </c>
      <c r="N835" s="110" t="s">
        <v>363</v>
      </c>
      <c r="O835" s="111"/>
      <c r="P835" s="112"/>
      <c r="Q835" s="112"/>
      <c r="R835" s="112"/>
      <c r="S835" s="112"/>
      <c r="T835" s="112"/>
      <c r="U835" s="95" t="str">
        <f t="shared" ref="U835:U898" si="42">IF(SUM(V835:X835)=100,"",100-(P835+R835))</f>
        <v/>
      </c>
      <c r="V835" s="112"/>
      <c r="W835" s="112"/>
      <c r="X835" s="107">
        <v>100</v>
      </c>
      <c r="Y835" s="107">
        <f t="shared" ref="Y835:Y898" si="43">SUM(P835,R835,S835,V835,W835,X835)</f>
        <v>100</v>
      </c>
      <c r="Z835" s="107">
        <f t="shared" ref="Z835:Z898" si="44">SUM(P835,R835,T835)</f>
        <v>0</v>
      </c>
    </row>
    <row r="836" spans="1:26" x14ac:dyDescent="0.25">
      <c r="A836" s="55" t="str">
        <f>_xlfn.XLOOKUP($G836,'.Auxiliar'!$G:$G,'.Auxiliar'!A:A,"-",0)</f>
        <v>RIO/SP</v>
      </c>
      <c r="B836" s="55" t="str">
        <f>_xlfn.XLOOKUP($G836,'.Auxiliar'!$G:$G,'.Auxiliar'!B:B,"-",0)</f>
        <v>FX ADICIONAL</v>
      </c>
      <c r="C836" s="55" t="str">
        <f>_xlfn.XLOOKUP($G836,'.Auxiliar'!$G:$G,'.Auxiliar'!C:C,"-",0)</f>
        <v>3ª e 4ª faixa (LD e LE)</v>
      </c>
      <c r="D836" s="55">
        <f>_xlfn.XLOOKUP($G836,'.Auxiliar'!$G:$G,'.Auxiliar'!D:D,"-",0)</f>
        <v>199.6</v>
      </c>
      <c r="E836" s="55">
        <f>_xlfn.XLOOKUP($G836,'.Auxiliar'!$G:$G,'.Auxiliar'!E:E,"-",0)</f>
        <v>204.7</v>
      </c>
      <c r="F836" s="55">
        <f>_xlfn.XLOOKUP($G836,'.Auxiliar'!$G:$G,'.Auxiliar'!F:F,"-",0)</f>
        <v>10.199999999999989</v>
      </c>
      <c r="G836" s="59" t="s">
        <v>1735</v>
      </c>
      <c r="H836" s="108" t="s">
        <v>0</v>
      </c>
      <c r="I836" s="109" t="s">
        <v>0</v>
      </c>
      <c r="J836" s="109" t="s">
        <v>0</v>
      </c>
      <c r="K836" s="109" t="s">
        <v>0</v>
      </c>
      <c r="L836" s="109" t="s">
        <v>0</v>
      </c>
      <c r="M836" s="109" t="s">
        <v>0</v>
      </c>
      <c r="N836" s="110" t="s">
        <v>363</v>
      </c>
      <c r="O836" s="111"/>
      <c r="P836" s="112"/>
      <c r="Q836" s="112"/>
      <c r="R836" s="112"/>
      <c r="S836" s="112"/>
      <c r="T836" s="112"/>
      <c r="U836" s="95" t="str">
        <f t="shared" si="42"/>
        <v/>
      </c>
      <c r="V836" s="112"/>
      <c r="W836" s="112"/>
      <c r="X836" s="107">
        <v>100</v>
      </c>
      <c r="Y836" s="107">
        <f t="shared" si="43"/>
        <v>100</v>
      </c>
      <c r="Z836" s="107">
        <f t="shared" si="44"/>
        <v>0</v>
      </c>
    </row>
    <row r="837" spans="1:26" x14ac:dyDescent="0.25">
      <c r="A837" s="55" t="str">
        <f>_xlfn.XLOOKUP($G837,'.Auxiliar'!$G:$G,'.Auxiliar'!A:A,"-",0)</f>
        <v>RIO/SP</v>
      </c>
      <c r="B837" s="55" t="str">
        <f>_xlfn.XLOOKUP($G837,'.Auxiliar'!$G:$G,'.Auxiliar'!B:B,"-",0)</f>
        <v>FX ADICIONAL</v>
      </c>
      <c r="C837" s="55" t="str">
        <f>_xlfn.XLOOKUP($G837,'.Auxiliar'!$G:$G,'.Auxiliar'!C:C,"-",0)</f>
        <v>3ª e 4ª faixa (LD e LE)</v>
      </c>
      <c r="D837" s="55">
        <f>_xlfn.XLOOKUP($G837,'.Auxiliar'!$G:$G,'.Auxiliar'!D:D,"-",0)</f>
        <v>21.8</v>
      </c>
      <c r="E837" s="55">
        <f>_xlfn.XLOOKUP($G837,'.Auxiliar'!$G:$G,'.Auxiliar'!E:E,"-",0)</f>
        <v>33.700000000000003</v>
      </c>
      <c r="F837" s="55">
        <f>_xlfn.XLOOKUP($G837,'.Auxiliar'!$G:$G,'.Auxiliar'!F:F,"-",0)</f>
        <v>23.800000000000004</v>
      </c>
      <c r="G837" s="59" t="s">
        <v>1722</v>
      </c>
      <c r="H837" s="108" t="s">
        <v>0</v>
      </c>
      <c r="I837" s="109" t="s">
        <v>0</v>
      </c>
      <c r="J837" s="109" t="s">
        <v>0</v>
      </c>
      <c r="K837" s="109" t="s">
        <v>0</v>
      </c>
      <c r="L837" s="109" t="s">
        <v>0</v>
      </c>
      <c r="M837" s="109" t="s">
        <v>0</v>
      </c>
      <c r="N837" s="110" t="s">
        <v>363</v>
      </c>
      <c r="O837" s="111"/>
      <c r="P837" s="112"/>
      <c r="Q837" s="112"/>
      <c r="R837" s="112"/>
      <c r="S837" s="112"/>
      <c r="T837" s="112"/>
      <c r="U837" s="95" t="str">
        <f t="shared" si="42"/>
        <v/>
      </c>
      <c r="V837" s="112"/>
      <c r="W837" s="112"/>
      <c r="X837" s="107">
        <v>100</v>
      </c>
      <c r="Y837" s="107">
        <f t="shared" si="43"/>
        <v>100</v>
      </c>
      <c r="Z837" s="107">
        <f t="shared" si="44"/>
        <v>0</v>
      </c>
    </row>
    <row r="838" spans="1:26" x14ac:dyDescent="0.25">
      <c r="A838" s="55" t="str">
        <f>_xlfn.XLOOKUP($G838,'.Auxiliar'!$G:$G,'.Auxiliar'!A:A,"-",0)</f>
        <v>RIO/SP</v>
      </c>
      <c r="B838" s="55" t="str">
        <f>_xlfn.XLOOKUP($G838,'.Auxiliar'!$G:$G,'.Auxiliar'!B:B,"-",0)</f>
        <v>FX ADICIONAL</v>
      </c>
      <c r="C838" s="55" t="str">
        <f>_xlfn.XLOOKUP($G838,'.Auxiliar'!$G:$G,'.Auxiliar'!C:C,"-",0)</f>
        <v>3ª e 4ª faixa (LD e LE)</v>
      </c>
      <c r="D838" s="55">
        <f>_xlfn.XLOOKUP($G838,'.Auxiliar'!$G:$G,'.Auxiliar'!D:D,"-",0)</f>
        <v>257.2</v>
      </c>
      <c r="E838" s="55">
        <f>_xlfn.XLOOKUP($G838,'.Auxiliar'!$G:$G,'.Auxiliar'!E:E,"-",0)</f>
        <v>263.60000000000002</v>
      </c>
      <c r="F838" s="55">
        <f>_xlfn.XLOOKUP($G838,'.Auxiliar'!$G:$G,'.Auxiliar'!F:F,"-",0)</f>
        <v>12.800000000000068</v>
      </c>
      <c r="G838" s="59" t="s">
        <v>1749</v>
      </c>
      <c r="H838" s="108" t="s">
        <v>0</v>
      </c>
      <c r="I838" s="109" t="s">
        <v>0</v>
      </c>
      <c r="J838" s="109" t="s">
        <v>0</v>
      </c>
      <c r="K838" s="109" t="s">
        <v>0</v>
      </c>
      <c r="L838" s="109" t="s">
        <v>0</v>
      </c>
      <c r="M838" s="109" t="s">
        <v>0</v>
      </c>
      <c r="N838" s="110" t="s">
        <v>363</v>
      </c>
      <c r="O838" s="111"/>
      <c r="P838" s="112"/>
      <c r="Q838" s="112"/>
      <c r="R838" s="112"/>
      <c r="S838" s="112"/>
      <c r="T838" s="112"/>
      <c r="U838" s="95" t="str">
        <f t="shared" si="42"/>
        <v/>
      </c>
      <c r="V838" s="112"/>
      <c r="W838" s="112"/>
      <c r="X838" s="107">
        <v>100</v>
      </c>
      <c r="Y838" s="107">
        <f t="shared" si="43"/>
        <v>100</v>
      </c>
      <c r="Z838" s="107">
        <f t="shared" si="44"/>
        <v>0</v>
      </c>
    </row>
    <row r="839" spans="1:26" x14ac:dyDescent="0.25">
      <c r="A839" s="55" t="str">
        <f>_xlfn.XLOOKUP($G839,'.Auxiliar'!$G:$G,'.Auxiliar'!A:A,"-",0)</f>
        <v>RIO/SP</v>
      </c>
      <c r="B839" s="55" t="str">
        <f>_xlfn.XLOOKUP($G839,'.Auxiliar'!$G:$G,'.Auxiliar'!B:B,"-",0)</f>
        <v>FX ADICIONAL</v>
      </c>
      <c r="C839" s="55" t="str">
        <f>_xlfn.XLOOKUP($G839,'.Auxiliar'!$G:$G,'.Auxiliar'!C:C,"-",0)</f>
        <v>3ª e 4ª faixa (LD e LE)</v>
      </c>
      <c r="D839" s="55">
        <f>_xlfn.XLOOKUP($G839,'.Auxiliar'!$G:$G,'.Auxiliar'!D:D,"-",0)</f>
        <v>263.60000000000002</v>
      </c>
      <c r="E839" s="55">
        <f>_xlfn.XLOOKUP($G839,'.Auxiliar'!$G:$G,'.Auxiliar'!E:E,"-",0)</f>
        <v>269</v>
      </c>
      <c r="F839" s="55">
        <f>_xlfn.XLOOKUP($G839,'.Auxiliar'!$G:$G,'.Auxiliar'!F:F,"-",0)</f>
        <v>10.799999999999955</v>
      </c>
      <c r="G839" s="59" t="s">
        <v>1750</v>
      </c>
      <c r="H839" s="108" t="s">
        <v>0</v>
      </c>
      <c r="I839" s="109" t="s">
        <v>0</v>
      </c>
      <c r="J839" s="109" t="s">
        <v>0</v>
      </c>
      <c r="K839" s="109" t="s">
        <v>0</v>
      </c>
      <c r="L839" s="109" t="s">
        <v>0</v>
      </c>
      <c r="M839" s="109" t="s">
        <v>0</v>
      </c>
      <c r="N839" s="110" t="s">
        <v>363</v>
      </c>
      <c r="O839" s="111"/>
      <c r="P839" s="112"/>
      <c r="Q839" s="112"/>
      <c r="R839" s="112"/>
      <c r="S839" s="112"/>
      <c r="T839" s="112"/>
      <c r="U839" s="95" t="str">
        <f t="shared" si="42"/>
        <v/>
      </c>
      <c r="V839" s="112"/>
      <c r="W839" s="112"/>
      <c r="X839" s="107">
        <v>100</v>
      </c>
      <c r="Y839" s="107">
        <f t="shared" si="43"/>
        <v>100</v>
      </c>
      <c r="Z839" s="107">
        <f t="shared" si="44"/>
        <v>0</v>
      </c>
    </row>
    <row r="840" spans="1:26" x14ac:dyDescent="0.25">
      <c r="A840" s="55" t="str">
        <f>_xlfn.XLOOKUP($G840,'.Auxiliar'!$G:$G,'.Auxiliar'!A:A,"-",0)</f>
        <v>RIO/SP</v>
      </c>
      <c r="B840" s="55" t="str">
        <f>_xlfn.XLOOKUP($G840,'.Auxiliar'!$G:$G,'.Auxiliar'!B:B,"-",0)</f>
        <v>FX ADICIONAL</v>
      </c>
      <c r="C840" s="55" t="str">
        <f>_xlfn.XLOOKUP($G840,'.Auxiliar'!$G:$G,'.Auxiliar'!C:C,"-",0)</f>
        <v>3ª e 4ª faixa (LD e LE)</v>
      </c>
      <c r="D840" s="55">
        <f>_xlfn.XLOOKUP($G840,'.Auxiliar'!$G:$G,'.Auxiliar'!D:D,"-",0)</f>
        <v>269</v>
      </c>
      <c r="E840" s="55">
        <f>_xlfn.XLOOKUP($G840,'.Auxiliar'!$G:$G,'.Auxiliar'!E:E,"-",0)</f>
        <v>271.5</v>
      </c>
      <c r="F840" s="55">
        <f>_xlfn.XLOOKUP($G840,'.Auxiliar'!$G:$G,'.Auxiliar'!F:F,"-",0)</f>
        <v>5</v>
      </c>
      <c r="G840" s="59" t="s">
        <v>1751</v>
      </c>
      <c r="H840" s="108" t="s">
        <v>0</v>
      </c>
      <c r="I840" s="109" t="s">
        <v>0</v>
      </c>
      <c r="J840" s="109" t="s">
        <v>0</v>
      </c>
      <c r="K840" s="109" t="s">
        <v>0</v>
      </c>
      <c r="L840" s="109" t="s">
        <v>0</v>
      </c>
      <c r="M840" s="109" t="s">
        <v>0</v>
      </c>
      <c r="N840" s="110" t="s">
        <v>363</v>
      </c>
      <c r="O840" s="111"/>
      <c r="P840" s="112"/>
      <c r="Q840" s="112"/>
      <c r="R840" s="112"/>
      <c r="S840" s="112"/>
      <c r="T840" s="112"/>
      <c r="U840" s="95" t="str">
        <f t="shared" si="42"/>
        <v/>
      </c>
      <c r="V840" s="112"/>
      <c r="W840" s="112"/>
      <c r="X840" s="107">
        <v>100</v>
      </c>
      <c r="Y840" s="107">
        <f t="shared" si="43"/>
        <v>100</v>
      </c>
      <c r="Z840" s="107">
        <f t="shared" si="44"/>
        <v>0</v>
      </c>
    </row>
    <row r="841" spans="1:26" x14ac:dyDescent="0.25">
      <c r="A841" s="55" t="str">
        <f>_xlfn.XLOOKUP($G841,'.Auxiliar'!$G:$G,'.Auxiliar'!A:A,"-",0)</f>
        <v>RIO/SP</v>
      </c>
      <c r="B841" s="55" t="str">
        <f>_xlfn.XLOOKUP($G841,'.Auxiliar'!$G:$G,'.Auxiliar'!B:B,"-",0)</f>
        <v>FX ADICIONAL</v>
      </c>
      <c r="C841" s="55" t="str">
        <f>_xlfn.XLOOKUP($G841,'.Auxiliar'!$G:$G,'.Auxiliar'!C:C,"-",0)</f>
        <v>3ª e 4ª faixa (LD e LE)</v>
      </c>
      <c r="D841" s="55">
        <f>_xlfn.XLOOKUP($G841,'.Auxiliar'!$G:$G,'.Auxiliar'!D:D,"-",0)</f>
        <v>290.8</v>
      </c>
      <c r="E841" s="55">
        <f>_xlfn.XLOOKUP($G841,'.Auxiliar'!$G:$G,'.Auxiliar'!E:E,"-",0)</f>
        <v>303.39999999999998</v>
      </c>
      <c r="F841" s="55">
        <f>_xlfn.XLOOKUP($G841,'.Auxiliar'!$G:$G,'.Auxiliar'!F:F,"-",0)</f>
        <v>25.199999999999932</v>
      </c>
      <c r="G841" s="59" t="s">
        <v>1578</v>
      </c>
      <c r="H841" s="108" t="s">
        <v>0</v>
      </c>
      <c r="I841" s="109" t="s">
        <v>0</v>
      </c>
      <c r="J841" s="109" t="s">
        <v>0</v>
      </c>
      <c r="K841" s="109" t="s">
        <v>0</v>
      </c>
      <c r="L841" s="109" t="s">
        <v>0</v>
      </c>
      <c r="M841" s="109" t="s">
        <v>363</v>
      </c>
      <c r="N841" s="110" t="s">
        <v>0</v>
      </c>
      <c r="O841" s="111"/>
      <c r="P841" s="112"/>
      <c r="Q841" s="112"/>
      <c r="R841" s="112"/>
      <c r="S841" s="112"/>
      <c r="T841" s="112"/>
      <c r="U841" s="95" t="str">
        <f t="shared" si="42"/>
        <v/>
      </c>
      <c r="V841" s="112"/>
      <c r="W841" s="112">
        <v>100</v>
      </c>
      <c r="X841" s="107"/>
      <c r="Y841" s="107">
        <f t="shared" si="43"/>
        <v>100</v>
      </c>
      <c r="Z841" s="107">
        <f t="shared" si="44"/>
        <v>0</v>
      </c>
    </row>
    <row r="842" spans="1:26" x14ac:dyDescent="0.25">
      <c r="A842" s="55" t="str">
        <f>_xlfn.XLOOKUP($G842,'.Auxiliar'!$G:$G,'.Auxiliar'!A:A,"-",0)</f>
        <v>RIO/SP</v>
      </c>
      <c r="B842" s="55" t="str">
        <f>_xlfn.XLOOKUP($G842,'.Auxiliar'!$G:$G,'.Auxiliar'!B:B,"-",0)</f>
        <v>FX ADICIONAL</v>
      </c>
      <c r="C842" s="55" t="str">
        <f>_xlfn.XLOOKUP($G842,'.Auxiliar'!$G:$G,'.Auxiliar'!C:C,"-",0)</f>
        <v>3ª e 4ª faixa (LD e LE)</v>
      </c>
      <c r="D842" s="55">
        <f>_xlfn.XLOOKUP($G842,'.Auxiliar'!$G:$G,'.Auxiliar'!D:D,"-",0)</f>
        <v>303.39999999999998</v>
      </c>
      <c r="E842" s="55">
        <f>_xlfn.XLOOKUP($G842,'.Auxiliar'!$G:$G,'.Auxiliar'!E:E,"-",0)</f>
        <v>309.5</v>
      </c>
      <c r="F842" s="55">
        <f>_xlfn.XLOOKUP($G842,'.Auxiliar'!$G:$G,'.Auxiliar'!F:F,"-",0)</f>
        <v>12.200000000000045</v>
      </c>
      <c r="G842" s="59" t="s">
        <v>1753</v>
      </c>
      <c r="H842" s="108" t="s">
        <v>0</v>
      </c>
      <c r="I842" s="109" t="s">
        <v>0</v>
      </c>
      <c r="J842" s="109" t="s">
        <v>0</v>
      </c>
      <c r="K842" s="109" t="s">
        <v>0</v>
      </c>
      <c r="L842" s="109" t="s">
        <v>0</v>
      </c>
      <c r="M842" s="109" t="s">
        <v>0</v>
      </c>
      <c r="N842" s="110" t="s">
        <v>363</v>
      </c>
      <c r="O842" s="111"/>
      <c r="P842" s="112"/>
      <c r="Q842" s="112"/>
      <c r="R842" s="112"/>
      <c r="S842" s="112"/>
      <c r="T842" s="112"/>
      <c r="U842" s="95" t="str">
        <f t="shared" si="42"/>
        <v/>
      </c>
      <c r="V842" s="112"/>
      <c r="W842" s="112"/>
      <c r="X842" s="107">
        <v>100</v>
      </c>
      <c r="Y842" s="107">
        <f t="shared" si="43"/>
        <v>100</v>
      </c>
      <c r="Z842" s="107">
        <f t="shared" si="44"/>
        <v>0</v>
      </c>
    </row>
    <row r="843" spans="1:26" x14ac:dyDescent="0.25">
      <c r="A843" s="55" t="str">
        <f>_xlfn.XLOOKUP($G843,'.Auxiliar'!$G:$G,'.Auxiliar'!A:A,"-",0)</f>
        <v>RIO/SP</v>
      </c>
      <c r="B843" s="55" t="str">
        <f>_xlfn.XLOOKUP($G843,'.Auxiliar'!$G:$G,'.Auxiliar'!B:B,"-",0)</f>
        <v>FX ADICIONAL</v>
      </c>
      <c r="C843" s="55" t="str">
        <f>_xlfn.XLOOKUP($G843,'.Auxiliar'!$G:$G,'.Auxiliar'!C:C,"-",0)</f>
        <v>3ª e 4ª faixa (LD e LE)</v>
      </c>
      <c r="D843" s="55">
        <f>_xlfn.XLOOKUP($G843,'.Auxiliar'!$G:$G,'.Auxiliar'!D:D,"-",0)</f>
        <v>309.5</v>
      </c>
      <c r="E843" s="55">
        <f>_xlfn.XLOOKUP($G843,'.Auxiliar'!$G:$G,'.Auxiliar'!E:E,"-",0)</f>
        <v>316.7</v>
      </c>
      <c r="F843" s="55">
        <f>_xlfn.XLOOKUP($G843,'.Auxiliar'!$G:$G,'.Auxiliar'!F:F,"-",0)</f>
        <v>14.399999999999977</v>
      </c>
      <c r="G843" s="59" t="s">
        <v>1754</v>
      </c>
      <c r="H843" s="108" t="s">
        <v>0</v>
      </c>
      <c r="I843" s="109" t="s">
        <v>0</v>
      </c>
      <c r="J843" s="109" t="s">
        <v>0</v>
      </c>
      <c r="K843" s="109" t="s">
        <v>0</v>
      </c>
      <c r="L843" s="109" t="s">
        <v>0</v>
      </c>
      <c r="M843" s="109" t="s">
        <v>0</v>
      </c>
      <c r="N843" s="110" t="s">
        <v>363</v>
      </c>
      <c r="O843" s="111"/>
      <c r="P843" s="112"/>
      <c r="Q843" s="112"/>
      <c r="R843" s="112"/>
      <c r="S843" s="112"/>
      <c r="T843" s="112"/>
      <c r="U843" s="95" t="str">
        <f t="shared" si="42"/>
        <v/>
      </c>
      <c r="V843" s="112"/>
      <c r="W843" s="112"/>
      <c r="X843" s="107">
        <v>100</v>
      </c>
      <c r="Y843" s="107">
        <f t="shared" si="43"/>
        <v>100</v>
      </c>
      <c r="Z843" s="107">
        <f t="shared" si="44"/>
        <v>0</v>
      </c>
    </row>
    <row r="844" spans="1:26" x14ac:dyDescent="0.25">
      <c r="A844" s="55" t="str">
        <f>_xlfn.XLOOKUP($G844,'.Auxiliar'!$G:$G,'.Auxiliar'!A:A,"-",0)</f>
        <v>RIO/SP</v>
      </c>
      <c r="B844" s="55" t="str">
        <f>_xlfn.XLOOKUP($G844,'.Auxiliar'!$G:$G,'.Auxiliar'!B:B,"-",0)</f>
        <v>FX ADICIONAL</v>
      </c>
      <c r="C844" s="55" t="str">
        <f>_xlfn.XLOOKUP($G844,'.Auxiliar'!$G:$G,'.Auxiliar'!C:C,"-",0)</f>
        <v>3ª e 4ª faixa (LD e LE)</v>
      </c>
      <c r="D844" s="55">
        <f>_xlfn.XLOOKUP($G844,'.Auxiliar'!$G:$G,'.Auxiliar'!D:D,"-",0)</f>
        <v>51.2</v>
      </c>
      <c r="E844" s="55">
        <f>_xlfn.XLOOKUP($G844,'.Auxiliar'!$G:$G,'.Auxiliar'!E:E,"-",0)</f>
        <v>65</v>
      </c>
      <c r="F844" s="55">
        <f>_xlfn.XLOOKUP($G844,'.Auxiliar'!$G:$G,'.Auxiliar'!F:F,"-",0)</f>
        <v>27.599999999999994</v>
      </c>
      <c r="G844" s="59" t="s">
        <v>1726</v>
      </c>
      <c r="H844" s="108" t="s">
        <v>0</v>
      </c>
      <c r="I844" s="109" t="s">
        <v>0</v>
      </c>
      <c r="J844" s="109" t="s">
        <v>0</v>
      </c>
      <c r="K844" s="109" t="s">
        <v>0</v>
      </c>
      <c r="L844" s="109" t="s">
        <v>0</v>
      </c>
      <c r="M844" s="109" t="s">
        <v>0</v>
      </c>
      <c r="N844" s="110" t="s">
        <v>363</v>
      </c>
      <c r="O844" s="111"/>
      <c r="P844" s="112"/>
      <c r="Q844" s="112"/>
      <c r="R844" s="112"/>
      <c r="S844" s="112"/>
      <c r="T844" s="112"/>
      <c r="U844" s="95" t="str">
        <f t="shared" si="42"/>
        <v/>
      </c>
      <c r="V844" s="112"/>
      <c r="W844" s="112"/>
      <c r="X844" s="107">
        <v>100</v>
      </c>
      <c r="Y844" s="107">
        <f t="shared" si="43"/>
        <v>100</v>
      </c>
      <c r="Z844" s="107">
        <f t="shared" si="44"/>
        <v>0</v>
      </c>
    </row>
    <row r="845" spans="1:26" x14ac:dyDescent="0.25">
      <c r="A845" s="55" t="str">
        <f>_xlfn.XLOOKUP($G845,'.Auxiliar'!$G:$G,'.Auxiliar'!A:A,"-",0)</f>
        <v>RIO/SP</v>
      </c>
      <c r="B845" s="55" t="str">
        <f>_xlfn.XLOOKUP($G845,'.Auxiliar'!$G:$G,'.Auxiliar'!B:B,"-",0)</f>
        <v>FX ADICIONAL</v>
      </c>
      <c r="C845" s="55" t="str">
        <f>_xlfn.XLOOKUP($G845,'.Auxiliar'!$G:$G,'.Auxiliar'!C:C,"-",0)</f>
        <v>3ª e 4ª faixa (LD e LE)</v>
      </c>
      <c r="D845" s="55">
        <f>_xlfn.XLOOKUP($G845,'.Auxiliar'!$G:$G,'.Auxiliar'!D:D,"-",0)</f>
        <v>65</v>
      </c>
      <c r="E845" s="55">
        <f>_xlfn.XLOOKUP($G845,'.Auxiliar'!$G:$G,'.Auxiliar'!E:E,"-",0)</f>
        <v>71.3</v>
      </c>
      <c r="F845" s="55">
        <f>_xlfn.XLOOKUP($G845,'.Auxiliar'!$G:$G,'.Auxiliar'!F:F,"-",0)</f>
        <v>12.599999999999994</v>
      </c>
      <c r="G845" s="59" t="s">
        <v>1730</v>
      </c>
      <c r="H845" s="108" t="s">
        <v>0</v>
      </c>
      <c r="I845" s="109" t="s">
        <v>0</v>
      </c>
      <c r="J845" s="109" t="s">
        <v>0</v>
      </c>
      <c r="K845" s="109" t="s">
        <v>0</v>
      </c>
      <c r="L845" s="109" t="s">
        <v>0</v>
      </c>
      <c r="M845" s="109" t="s">
        <v>0</v>
      </c>
      <c r="N845" s="110" t="s">
        <v>363</v>
      </c>
      <c r="O845" s="111"/>
      <c r="P845" s="112"/>
      <c r="Q845" s="112"/>
      <c r="R845" s="112"/>
      <c r="S845" s="112"/>
      <c r="T845" s="112"/>
      <c r="U845" s="95" t="str">
        <f t="shared" si="42"/>
        <v/>
      </c>
      <c r="V845" s="112"/>
      <c r="W845" s="112"/>
      <c r="X845" s="107">
        <v>100</v>
      </c>
      <c r="Y845" s="107">
        <f t="shared" si="43"/>
        <v>100</v>
      </c>
      <c r="Z845" s="107">
        <f t="shared" si="44"/>
        <v>0</v>
      </c>
    </row>
    <row r="846" spans="1:26" x14ac:dyDescent="0.25">
      <c r="A846" s="55" t="str">
        <f>_xlfn.XLOOKUP($G846,'.Auxiliar'!$G:$G,'.Auxiliar'!A:A,"-",0)</f>
        <v>RIO/SP</v>
      </c>
      <c r="B846" s="55" t="str">
        <f>_xlfn.XLOOKUP($G846,'.Auxiliar'!$G:$G,'.Auxiliar'!B:B,"-",0)</f>
        <v>FX ADICIONAL</v>
      </c>
      <c r="C846" s="55" t="str">
        <f>_xlfn.XLOOKUP($G846,'.Auxiliar'!$G:$G,'.Auxiliar'!C:C,"-",0)</f>
        <v>3ª e 4ª faixa (LD e LE)</v>
      </c>
      <c r="D846" s="55">
        <f>_xlfn.XLOOKUP($G846,'.Auxiliar'!$G:$G,'.Auxiliar'!D:D,"-",0)</f>
        <v>71.3</v>
      </c>
      <c r="E846" s="55">
        <f>_xlfn.XLOOKUP($G846,'.Auxiliar'!$G:$G,'.Auxiliar'!E:E,"-",0)</f>
        <v>74.5</v>
      </c>
      <c r="F846" s="55">
        <f>_xlfn.XLOOKUP($G846,'.Auxiliar'!$G:$G,'.Auxiliar'!F:F,"-",0)</f>
        <v>6.4000000000000057</v>
      </c>
      <c r="G846" s="59" t="s">
        <v>1731</v>
      </c>
      <c r="H846" s="108" t="s">
        <v>0</v>
      </c>
      <c r="I846" s="109" t="s">
        <v>0</v>
      </c>
      <c r="J846" s="109" t="s">
        <v>0</v>
      </c>
      <c r="K846" s="109" t="s">
        <v>0</v>
      </c>
      <c r="L846" s="109" t="s">
        <v>0</v>
      </c>
      <c r="M846" s="109" t="s">
        <v>0</v>
      </c>
      <c r="N846" s="110" t="s">
        <v>363</v>
      </c>
      <c r="O846" s="111"/>
      <c r="P846" s="112"/>
      <c r="Q846" s="112"/>
      <c r="R846" s="112"/>
      <c r="S846" s="112"/>
      <c r="T846" s="112"/>
      <c r="U846" s="95" t="str">
        <f t="shared" si="42"/>
        <v/>
      </c>
      <c r="V846" s="112"/>
      <c r="W846" s="112"/>
      <c r="X846" s="107">
        <v>100</v>
      </c>
      <c r="Y846" s="107">
        <f t="shared" si="43"/>
        <v>100</v>
      </c>
      <c r="Z846" s="107">
        <f t="shared" si="44"/>
        <v>0</v>
      </c>
    </row>
    <row r="847" spans="1:26" x14ac:dyDescent="0.25">
      <c r="A847" s="55" t="str">
        <f>_xlfn.XLOOKUP($G847,'.Auxiliar'!$G:$G,'.Auxiliar'!A:A,"-",0)</f>
        <v>RIO/SP</v>
      </c>
      <c r="B847" s="55" t="str">
        <f>_xlfn.XLOOKUP($G847,'.Auxiliar'!$G:$G,'.Auxiliar'!B:B,"-",0)</f>
        <v>FX ADICIONAL</v>
      </c>
      <c r="C847" s="55" t="str">
        <f>_xlfn.XLOOKUP($G847,'.Auxiliar'!$G:$G,'.Auxiliar'!C:C,"-",0)</f>
        <v>3ª e 4ª faixa (LD e LE)</v>
      </c>
      <c r="D847" s="55">
        <f>_xlfn.XLOOKUP($G847,'.Auxiliar'!$G:$G,'.Auxiliar'!D:D,"-",0)</f>
        <v>74.5</v>
      </c>
      <c r="E847" s="55">
        <f>_xlfn.XLOOKUP($G847,'.Auxiliar'!$G:$G,'.Auxiliar'!E:E,"-",0)</f>
        <v>79.900000000000006</v>
      </c>
      <c r="F847" s="55">
        <f>_xlfn.XLOOKUP($G847,'.Auxiliar'!$G:$G,'.Auxiliar'!F:F,"-",0)</f>
        <v>10.800000000000011</v>
      </c>
      <c r="G847" s="59" t="s">
        <v>1732</v>
      </c>
      <c r="H847" s="108" t="s">
        <v>0</v>
      </c>
      <c r="I847" s="109" t="s">
        <v>0</v>
      </c>
      <c r="J847" s="109" t="s">
        <v>0</v>
      </c>
      <c r="K847" s="109" t="s">
        <v>0</v>
      </c>
      <c r="L847" s="109" t="s">
        <v>0</v>
      </c>
      <c r="M847" s="109" t="s">
        <v>0</v>
      </c>
      <c r="N847" s="110" t="s">
        <v>363</v>
      </c>
      <c r="O847" s="111"/>
      <c r="P847" s="112"/>
      <c r="Q847" s="112"/>
      <c r="R847" s="112"/>
      <c r="S847" s="112"/>
      <c r="T847" s="112"/>
      <c r="U847" s="95" t="str">
        <f t="shared" si="42"/>
        <v/>
      </c>
      <c r="V847" s="112"/>
      <c r="W847" s="112"/>
      <c r="X847" s="107">
        <v>100</v>
      </c>
      <c r="Y847" s="107">
        <f t="shared" si="43"/>
        <v>100</v>
      </c>
      <c r="Z847" s="107">
        <f t="shared" si="44"/>
        <v>0</v>
      </c>
    </row>
    <row r="848" spans="1:26" x14ac:dyDescent="0.25">
      <c r="A848" s="55" t="str">
        <f>_xlfn.XLOOKUP($G848,'.Auxiliar'!$G:$G,'.Auxiliar'!A:A,"-",0)</f>
        <v>RIO/SP</v>
      </c>
      <c r="B848" s="55" t="str">
        <f>_xlfn.XLOOKUP($G848,'.Auxiliar'!$G:$G,'.Auxiliar'!B:B,"-",0)</f>
        <v>FX ADICIONAL</v>
      </c>
      <c r="C848" s="55" t="str">
        <f>_xlfn.XLOOKUP($G848,'.Auxiliar'!$G:$G,'.Auxiliar'!C:C,"-",0)</f>
        <v>3ª e 4ª faixa (LD e LE)</v>
      </c>
      <c r="D848" s="55">
        <f>_xlfn.XLOOKUP($G848,'.Auxiliar'!$G:$G,'.Auxiliar'!D:D,"-",0)</f>
        <v>79.900000000000006</v>
      </c>
      <c r="E848" s="55">
        <f>_xlfn.XLOOKUP($G848,'.Auxiliar'!$G:$G,'.Auxiliar'!E:E,"-",0)</f>
        <v>85</v>
      </c>
      <c r="F848" s="55">
        <f>_xlfn.XLOOKUP($G848,'.Auxiliar'!$G:$G,'.Auxiliar'!F:F,"-",0)</f>
        <v>10.199999999999989</v>
      </c>
      <c r="G848" s="59" t="s">
        <v>1733</v>
      </c>
      <c r="H848" s="108" t="s">
        <v>0</v>
      </c>
      <c r="I848" s="109" t="s">
        <v>0</v>
      </c>
      <c r="J848" s="109" t="s">
        <v>0</v>
      </c>
      <c r="K848" s="109" t="s">
        <v>0</v>
      </c>
      <c r="L848" s="109" t="s">
        <v>0</v>
      </c>
      <c r="M848" s="109" t="s">
        <v>0</v>
      </c>
      <c r="N848" s="110" t="s">
        <v>363</v>
      </c>
      <c r="O848" s="111"/>
      <c r="P848" s="112"/>
      <c r="Q848" s="112"/>
      <c r="R848" s="112"/>
      <c r="S848" s="112"/>
      <c r="T848" s="112"/>
      <c r="U848" s="95" t="str">
        <f t="shared" si="42"/>
        <v/>
      </c>
      <c r="V848" s="112"/>
      <c r="W848" s="112"/>
      <c r="X848" s="107">
        <v>100</v>
      </c>
      <c r="Y848" s="107">
        <f t="shared" si="43"/>
        <v>100</v>
      </c>
      <c r="Z848" s="107">
        <f t="shared" si="44"/>
        <v>0</v>
      </c>
    </row>
    <row r="849" spans="1:26" x14ac:dyDescent="0.25">
      <c r="A849" s="55" t="str">
        <f>_xlfn.XLOOKUP($G849,'.Auxiliar'!$G:$G,'.Auxiliar'!A:A,"-",0)</f>
        <v>RIO/SP</v>
      </c>
      <c r="B849" s="55" t="str">
        <f>_xlfn.XLOOKUP($G849,'.Auxiliar'!$G:$G,'.Auxiliar'!B:B,"-",0)</f>
        <v>FX ADICIONAL</v>
      </c>
      <c r="C849" s="55" t="str">
        <f>_xlfn.XLOOKUP($G849,'.Auxiliar'!$G:$G,'.Auxiliar'!C:C,"-",0)</f>
        <v>3ª e 4ª faixa (LD e LE)</v>
      </c>
      <c r="D849" s="55">
        <f>_xlfn.XLOOKUP($G849,'.Auxiliar'!$G:$G,'.Auxiliar'!D:D,"-",0)</f>
        <v>85</v>
      </c>
      <c r="E849" s="55">
        <f>_xlfn.XLOOKUP($G849,'.Auxiliar'!$G:$G,'.Auxiliar'!E:E,"-",0)</f>
        <v>99</v>
      </c>
      <c r="F849" s="55">
        <f>_xlfn.XLOOKUP($G849,'.Auxiliar'!$G:$G,'.Auxiliar'!F:F,"-",0)</f>
        <v>28</v>
      </c>
      <c r="G849" s="59" t="s">
        <v>1734</v>
      </c>
      <c r="H849" s="108" t="s">
        <v>0</v>
      </c>
      <c r="I849" s="109" t="s">
        <v>0</v>
      </c>
      <c r="J849" s="109" t="s">
        <v>0</v>
      </c>
      <c r="K849" s="109" t="s">
        <v>0</v>
      </c>
      <c r="L849" s="109" t="s">
        <v>0</v>
      </c>
      <c r="M849" s="109" t="s">
        <v>0</v>
      </c>
      <c r="N849" s="110" t="s">
        <v>363</v>
      </c>
      <c r="O849" s="111"/>
      <c r="P849" s="112"/>
      <c r="Q849" s="112"/>
      <c r="R849" s="112"/>
      <c r="S849" s="112"/>
      <c r="T849" s="112"/>
      <c r="U849" s="95" t="str">
        <f t="shared" si="42"/>
        <v/>
      </c>
      <c r="V849" s="112"/>
      <c r="W849" s="112"/>
      <c r="X849" s="107">
        <v>100</v>
      </c>
      <c r="Y849" s="107">
        <f t="shared" si="43"/>
        <v>100</v>
      </c>
      <c r="Z849" s="107">
        <f t="shared" si="44"/>
        <v>0</v>
      </c>
    </row>
    <row r="850" spans="1:26" x14ac:dyDescent="0.25">
      <c r="A850" s="55" t="str">
        <f>_xlfn.XLOOKUP($G850,'.Auxiliar'!$G:$G,'.Auxiliar'!A:A,"-",0)</f>
        <v>RIO/SP</v>
      </c>
      <c r="B850" s="55" t="str">
        <f>_xlfn.XLOOKUP($G850,'.Auxiliar'!$G:$G,'.Auxiliar'!B:B,"-",0)</f>
        <v>FX ADICIONAL</v>
      </c>
      <c r="C850" s="55" t="str">
        <f>_xlfn.XLOOKUP($G850,'.Auxiliar'!$G:$G,'.Auxiliar'!C:C,"-",0)</f>
        <v>3ª e 4ª faixa (LD e LE)</v>
      </c>
      <c r="D850" s="55">
        <f>_xlfn.XLOOKUP($G850,'.Auxiliar'!$G:$G,'.Auxiliar'!D:D,"-",0)</f>
        <v>99</v>
      </c>
      <c r="E850" s="55">
        <f>_xlfn.XLOOKUP($G850,'.Auxiliar'!$G:$G,'.Auxiliar'!E:E,"-",0)</f>
        <v>110.7</v>
      </c>
      <c r="F850" s="55">
        <f>_xlfn.XLOOKUP($G850,'.Auxiliar'!$G:$G,'.Auxiliar'!F:F,"-",0)</f>
        <v>23.400000000000006</v>
      </c>
      <c r="G850" s="59" t="s">
        <v>1729</v>
      </c>
      <c r="H850" s="108" t="s">
        <v>0</v>
      </c>
      <c r="I850" s="109" t="s">
        <v>0</v>
      </c>
      <c r="J850" s="109" t="s">
        <v>0</v>
      </c>
      <c r="K850" s="109" t="s">
        <v>0</v>
      </c>
      <c r="L850" s="109" t="s">
        <v>0</v>
      </c>
      <c r="M850" s="109" t="s">
        <v>0</v>
      </c>
      <c r="N850" s="110" t="s">
        <v>363</v>
      </c>
      <c r="O850" s="111"/>
      <c r="P850" s="112"/>
      <c r="Q850" s="112"/>
      <c r="R850" s="112"/>
      <c r="S850" s="112"/>
      <c r="T850" s="112"/>
      <c r="U850" s="95" t="str">
        <f t="shared" si="42"/>
        <v/>
      </c>
      <c r="V850" s="112"/>
      <c r="W850" s="112"/>
      <c r="X850" s="107">
        <v>100</v>
      </c>
      <c r="Y850" s="107">
        <f t="shared" si="43"/>
        <v>100</v>
      </c>
      <c r="Z850" s="107">
        <f t="shared" si="44"/>
        <v>0</v>
      </c>
    </row>
    <row r="851" spans="1:26" x14ac:dyDescent="0.25">
      <c r="A851" s="55" t="str">
        <f>_xlfn.XLOOKUP($G851,'.Auxiliar'!$G:$G,'.Auxiliar'!A:A,"-",0)</f>
        <v>RIO/SP</v>
      </c>
      <c r="B851" s="55" t="str">
        <f>_xlfn.XLOOKUP($G851,'.Auxiliar'!$G:$G,'.Auxiliar'!B:B,"-",0)</f>
        <v>FX ADICIONAL</v>
      </c>
      <c r="C851" s="55" t="str">
        <f>_xlfn.XLOOKUP($G851,'.Auxiliar'!$G:$G,'.Auxiliar'!C:C,"-",0)</f>
        <v>3ª faixa (LD e LE)</v>
      </c>
      <c r="D851" s="55">
        <f>_xlfn.XLOOKUP($G851,'.Auxiliar'!$G:$G,'.Auxiliar'!D:D,"-",0)</f>
        <v>207.7</v>
      </c>
      <c r="E851" s="55">
        <f>_xlfn.XLOOKUP($G851,'.Auxiliar'!$G:$G,'.Auxiliar'!E:E,"-",0)</f>
        <v>210.3</v>
      </c>
      <c r="F851" s="55">
        <f>_xlfn.XLOOKUP($G851,'.Auxiliar'!$G:$G,'.Auxiliar'!F:F,"-",0)</f>
        <v>5.2000000000000455</v>
      </c>
      <c r="G851" s="59" t="s">
        <v>1744</v>
      </c>
      <c r="H851" s="108" t="s">
        <v>0</v>
      </c>
      <c r="I851" s="109" t="s">
        <v>0</v>
      </c>
      <c r="J851" s="109" t="s">
        <v>0</v>
      </c>
      <c r="K851" s="109" t="s">
        <v>0</v>
      </c>
      <c r="L851" s="109" t="s">
        <v>0</v>
      </c>
      <c r="M851" s="109" t="s">
        <v>0</v>
      </c>
      <c r="N851" s="110" t="s">
        <v>363</v>
      </c>
      <c r="O851" s="111"/>
      <c r="P851" s="112"/>
      <c r="Q851" s="112"/>
      <c r="R851" s="112"/>
      <c r="S851" s="112"/>
      <c r="T851" s="112"/>
      <c r="U851" s="95" t="str">
        <f t="shared" si="42"/>
        <v/>
      </c>
      <c r="V851" s="112"/>
      <c r="W851" s="112"/>
      <c r="X851" s="107">
        <v>100</v>
      </c>
      <c r="Y851" s="107">
        <f t="shared" si="43"/>
        <v>100</v>
      </c>
      <c r="Z851" s="107">
        <f t="shared" si="44"/>
        <v>0</v>
      </c>
    </row>
    <row r="852" spans="1:26" x14ac:dyDescent="0.25">
      <c r="A852" s="55" t="str">
        <f>_xlfn.XLOOKUP($G852,'.Auxiliar'!$G:$G,'.Auxiliar'!A:A,"-",0)</f>
        <v>RIO/SP</v>
      </c>
      <c r="B852" s="55" t="str">
        <f>_xlfn.XLOOKUP($G852,'.Auxiliar'!$G:$G,'.Auxiliar'!B:B,"-",0)</f>
        <v>FX ADICIONAL</v>
      </c>
      <c r="C852" s="55" t="str">
        <f>_xlfn.XLOOKUP($G852,'.Auxiliar'!$G:$G,'.Auxiliar'!C:C,"-",0)</f>
        <v>3ª faixa (LD e LE)</v>
      </c>
      <c r="D852" s="55">
        <f>_xlfn.XLOOKUP($G852,'.Auxiliar'!$G:$G,'.Auxiliar'!D:D,"-",0)</f>
        <v>210.3</v>
      </c>
      <c r="E852" s="55">
        <f>_xlfn.XLOOKUP($G852,'.Auxiliar'!$G:$G,'.Auxiliar'!E:E,"-",0)</f>
        <v>218</v>
      </c>
      <c r="F852" s="55">
        <f>_xlfn.XLOOKUP($G852,'.Auxiliar'!$G:$G,'.Auxiliar'!F:F,"-",0)</f>
        <v>15.399999999999977</v>
      </c>
      <c r="G852" s="59" t="s">
        <v>1745</v>
      </c>
      <c r="H852" s="108" t="s">
        <v>0</v>
      </c>
      <c r="I852" s="109" t="s">
        <v>0</v>
      </c>
      <c r="J852" s="109" t="s">
        <v>0</v>
      </c>
      <c r="K852" s="109" t="s">
        <v>0</v>
      </c>
      <c r="L852" s="109" t="s">
        <v>0</v>
      </c>
      <c r="M852" s="109" t="s">
        <v>0</v>
      </c>
      <c r="N852" s="110" t="s">
        <v>363</v>
      </c>
      <c r="O852" s="111"/>
      <c r="P852" s="112"/>
      <c r="Q852" s="112"/>
      <c r="R852" s="112"/>
      <c r="S852" s="112"/>
      <c r="T852" s="112"/>
      <c r="U852" s="95" t="str">
        <f t="shared" si="42"/>
        <v/>
      </c>
      <c r="V852" s="112"/>
      <c r="W852" s="112"/>
      <c r="X852" s="107">
        <v>100</v>
      </c>
      <c r="Y852" s="107">
        <f t="shared" si="43"/>
        <v>100</v>
      </c>
      <c r="Z852" s="107">
        <f t="shared" si="44"/>
        <v>0</v>
      </c>
    </row>
    <row r="853" spans="1:26" x14ac:dyDescent="0.25">
      <c r="A853" s="55" t="str">
        <f>_xlfn.XLOOKUP($G853,'.Auxiliar'!$G:$G,'.Auxiliar'!A:A,"-",0)</f>
        <v>RIO/SP</v>
      </c>
      <c r="B853" s="55" t="str">
        <f>_xlfn.XLOOKUP($G853,'.Auxiliar'!$G:$G,'.Auxiliar'!B:B,"-",0)</f>
        <v>FX ADICIONAL</v>
      </c>
      <c r="C853" s="55" t="str">
        <f>_xlfn.XLOOKUP($G853,'.Auxiliar'!$G:$G,'.Auxiliar'!C:C,"-",0)</f>
        <v>3ª faixa (LD e LE)</v>
      </c>
      <c r="D853" s="55">
        <f>_xlfn.XLOOKUP($G853,'.Auxiliar'!$G:$G,'.Auxiliar'!D:D,"-",0)</f>
        <v>226</v>
      </c>
      <c r="E853" s="55">
        <f>_xlfn.XLOOKUP($G853,'.Auxiliar'!$G:$G,'.Auxiliar'!E:E,"-",0)</f>
        <v>230.9</v>
      </c>
      <c r="F853" s="55">
        <f>_xlfn.XLOOKUP($G853,'.Auxiliar'!$G:$G,'.Auxiliar'!F:F,"-",0)</f>
        <v>9.8000000000000114</v>
      </c>
      <c r="G853" s="59" t="s">
        <v>1746</v>
      </c>
      <c r="H853" s="108" t="s">
        <v>0</v>
      </c>
      <c r="I853" s="109" t="s">
        <v>0</v>
      </c>
      <c r="J853" s="109" t="s">
        <v>0</v>
      </c>
      <c r="K853" s="109" t="s">
        <v>0</v>
      </c>
      <c r="L853" s="109" t="s">
        <v>0</v>
      </c>
      <c r="M853" s="109" t="s">
        <v>0</v>
      </c>
      <c r="N853" s="110" t="s">
        <v>363</v>
      </c>
      <c r="O853" s="111"/>
      <c r="P853" s="112"/>
      <c r="Q853" s="112"/>
      <c r="R853" s="112"/>
      <c r="S853" s="112"/>
      <c r="T853" s="112"/>
      <c r="U853" s="95" t="str">
        <f t="shared" si="42"/>
        <v/>
      </c>
      <c r="V853" s="112"/>
      <c r="W853" s="112"/>
      <c r="X853" s="107">
        <v>100</v>
      </c>
      <c r="Y853" s="107">
        <f t="shared" si="43"/>
        <v>100</v>
      </c>
      <c r="Z853" s="107">
        <f t="shared" si="44"/>
        <v>0</v>
      </c>
    </row>
    <row r="854" spans="1:26" x14ac:dyDescent="0.25">
      <c r="A854" s="55" t="str">
        <f>_xlfn.XLOOKUP($G854,'.Auxiliar'!$G:$G,'.Auxiliar'!A:A,"-",0)</f>
        <v>RIO/SP</v>
      </c>
      <c r="B854" s="55" t="str">
        <f>_xlfn.XLOOKUP($G854,'.Auxiliar'!$G:$G,'.Auxiliar'!B:B,"-",0)</f>
        <v>FX ADICIONAL</v>
      </c>
      <c r="C854" s="55" t="str">
        <f>_xlfn.XLOOKUP($G854,'.Auxiliar'!$G:$G,'.Auxiliar'!C:C,"-",0)</f>
        <v>3ª faixa (LD e LE)</v>
      </c>
      <c r="D854" s="55">
        <f>_xlfn.XLOOKUP($G854,'.Auxiliar'!$G:$G,'.Auxiliar'!D:D,"-",0)</f>
        <v>230.9</v>
      </c>
      <c r="E854" s="55">
        <f>_xlfn.XLOOKUP($G854,'.Auxiliar'!$G:$G,'.Auxiliar'!E:E,"-",0)</f>
        <v>235.8</v>
      </c>
      <c r="F854" s="55">
        <f>_xlfn.XLOOKUP($G854,'.Auxiliar'!$G:$G,'.Auxiliar'!F:F,"-",0)</f>
        <v>9.8000000000000114</v>
      </c>
      <c r="G854" s="59" t="s">
        <v>1747</v>
      </c>
      <c r="H854" s="108" t="s">
        <v>0</v>
      </c>
      <c r="I854" s="109" t="s">
        <v>0</v>
      </c>
      <c r="J854" s="109" t="s">
        <v>0</v>
      </c>
      <c r="K854" s="109" t="s">
        <v>0</v>
      </c>
      <c r="L854" s="109" t="s">
        <v>0</v>
      </c>
      <c r="M854" s="109" t="s">
        <v>0</v>
      </c>
      <c r="N854" s="110" t="s">
        <v>363</v>
      </c>
      <c r="O854" s="111"/>
      <c r="P854" s="112"/>
      <c r="Q854" s="112"/>
      <c r="R854" s="112"/>
      <c r="S854" s="112"/>
      <c r="T854" s="112"/>
      <c r="U854" s="95" t="str">
        <f t="shared" si="42"/>
        <v/>
      </c>
      <c r="V854" s="112"/>
      <c r="W854" s="112"/>
      <c r="X854" s="107">
        <v>100</v>
      </c>
      <c r="Y854" s="107">
        <f t="shared" si="43"/>
        <v>100</v>
      </c>
      <c r="Z854" s="107">
        <f t="shared" si="44"/>
        <v>0</v>
      </c>
    </row>
    <row r="855" spans="1:26" x14ac:dyDescent="0.25">
      <c r="A855" s="55" t="str">
        <f>_xlfn.XLOOKUP($G855,'.Auxiliar'!$G:$G,'.Auxiliar'!A:A,"-",0)</f>
        <v>RIO/SP</v>
      </c>
      <c r="B855" s="55" t="str">
        <f>_xlfn.XLOOKUP($G855,'.Auxiliar'!$G:$G,'.Auxiliar'!B:B,"-",0)</f>
        <v>FX ADICIONAL</v>
      </c>
      <c r="C855" s="55" t="str">
        <f>_xlfn.XLOOKUP($G855,'.Auxiliar'!$G:$G,'.Auxiliar'!C:C,"-",0)</f>
        <v>3ª faixa (LD e LE)</v>
      </c>
      <c r="D855" s="55">
        <f>_xlfn.XLOOKUP($G855,'.Auxiliar'!$G:$G,'.Auxiliar'!D:D,"-",0)</f>
        <v>235.8</v>
      </c>
      <c r="E855" s="55">
        <f>_xlfn.XLOOKUP($G855,'.Auxiliar'!$G:$G,'.Auxiliar'!E:E,"-",0)</f>
        <v>257.2</v>
      </c>
      <c r="F855" s="55">
        <f>_xlfn.XLOOKUP($G855,'.Auxiliar'!$G:$G,'.Auxiliar'!F:F,"-",0)</f>
        <v>42.799999999999955</v>
      </c>
      <c r="G855" s="59" t="s">
        <v>1748</v>
      </c>
      <c r="H855" s="108" t="s">
        <v>0</v>
      </c>
      <c r="I855" s="109" t="s">
        <v>0</v>
      </c>
      <c r="J855" s="109" t="s">
        <v>0</v>
      </c>
      <c r="K855" s="109" t="s">
        <v>0</v>
      </c>
      <c r="L855" s="109" t="s">
        <v>0</v>
      </c>
      <c r="M855" s="109" t="s">
        <v>0</v>
      </c>
      <c r="N855" s="110" t="s">
        <v>363</v>
      </c>
      <c r="O855" s="111"/>
      <c r="P855" s="112"/>
      <c r="Q855" s="112"/>
      <c r="R855" s="112"/>
      <c r="S855" s="112"/>
      <c r="T855" s="112"/>
      <c r="U855" s="95" t="str">
        <f t="shared" si="42"/>
        <v/>
      </c>
      <c r="V855" s="112"/>
      <c r="W855" s="112"/>
      <c r="X855" s="107">
        <v>100</v>
      </c>
      <c r="Y855" s="107">
        <f t="shared" si="43"/>
        <v>100</v>
      </c>
      <c r="Z855" s="107">
        <f t="shared" si="44"/>
        <v>0</v>
      </c>
    </row>
    <row r="856" spans="1:26" x14ac:dyDescent="0.25">
      <c r="A856" s="55" t="str">
        <f>_xlfn.XLOOKUP($G856,'.Auxiliar'!$G:$G,'.Auxiliar'!A:A,"-",0)</f>
        <v>RIO/SP</v>
      </c>
      <c r="B856" s="55" t="str">
        <f>_xlfn.XLOOKUP($G856,'.Auxiliar'!$G:$G,'.Auxiliar'!B:B,"-",0)</f>
        <v>FX ADICIONAL</v>
      </c>
      <c r="C856" s="55" t="str">
        <f>_xlfn.XLOOKUP($G856,'.Auxiliar'!$G:$G,'.Auxiliar'!C:C,"-",0)</f>
        <v>3ª faixa (LD e LE)</v>
      </c>
      <c r="D856" s="55">
        <f>_xlfn.XLOOKUP($G856,'.Auxiliar'!$G:$G,'.Auxiliar'!D:D,"-",0)</f>
        <v>271.5</v>
      </c>
      <c r="E856" s="55">
        <f>_xlfn.XLOOKUP($G856,'.Auxiliar'!$G:$G,'.Auxiliar'!E:E,"-",0)</f>
        <v>290.8</v>
      </c>
      <c r="F856" s="55">
        <f>_xlfn.XLOOKUP($G856,'.Auxiliar'!$G:$G,'.Auxiliar'!F:F,"-",0)</f>
        <v>38.600000000000023</v>
      </c>
      <c r="G856" s="59" t="s">
        <v>1752</v>
      </c>
      <c r="H856" s="108" t="s">
        <v>0</v>
      </c>
      <c r="I856" s="109" t="s">
        <v>0</v>
      </c>
      <c r="J856" s="109" t="s">
        <v>0</v>
      </c>
      <c r="K856" s="109" t="s">
        <v>0</v>
      </c>
      <c r="L856" s="109" t="s">
        <v>0</v>
      </c>
      <c r="M856" s="109" t="s">
        <v>0</v>
      </c>
      <c r="N856" s="110" t="s">
        <v>363</v>
      </c>
      <c r="O856" s="111"/>
      <c r="P856" s="112"/>
      <c r="Q856" s="112"/>
      <c r="R856" s="112"/>
      <c r="S856" s="112"/>
      <c r="T856" s="112"/>
      <c r="U856" s="95" t="str">
        <f t="shared" si="42"/>
        <v/>
      </c>
      <c r="V856" s="112"/>
      <c r="W856" s="112"/>
      <c r="X856" s="107">
        <v>100</v>
      </c>
      <c r="Y856" s="107">
        <f t="shared" si="43"/>
        <v>100</v>
      </c>
      <c r="Z856" s="107">
        <f t="shared" si="44"/>
        <v>0</v>
      </c>
    </row>
    <row r="857" spans="1:26" x14ac:dyDescent="0.25">
      <c r="A857" s="55" t="str">
        <f>_xlfn.XLOOKUP($G857,'.Auxiliar'!$G:$G,'.Auxiliar'!A:A,"-",0)</f>
        <v>RIO/SP</v>
      </c>
      <c r="B857" s="55" t="str">
        <f>_xlfn.XLOOKUP($G857,'.Auxiliar'!$G:$G,'.Auxiliar'!B:B,"-",0)</f>
        <v>FX ADICIONAL</v>
      </c>
      <c r="C857" s="55" t="str">
        <f>_xlfn.XLOOKUP($G857,'.Auxiliar'!$G:$G,'.Auxiliar'!C:C,"-",0)</f>
        <v>3ª faixa (LD e LE)</v>
      </c>
      <c r="D857" s="55">
        <f>_xlfn.XLOOKUP($G857,'.Auxiliar'!$G:$G,'.Auxiliar'!D:D,"-",0)</f>
        <v>33.700000000000003</v>
      </c>
      <c r="E857" s="55">
        <f>_xlfn.XLOOKUP($G857,'.Auxiliar'!$G:$G,'.Auxiliar'!E:E,"-",0)</f>
        <v>36.4</v>
      </c>
      <c r="F857" s="55">
        <f>_xlfn.XLOOKUP($G857,'.Auxiliar'!$G:$G,'.Auxiliar'!F:F,"-",0)</f>
        <v>5.3999999999999915</v>
      </c>
      <c r="G857" s="59" t="s">
        <v>1723</v>
      </c>
      <c r="H857" s="108" t="s">
        <v>0</v>
      </c>
      <c r="I857" s="109" t="s">
        <v>0</v>
      </c>
      <c r="J857" s="109" t="s">
        <v>0</v>
      </c>
      <c r="K857" s="109" t="s">
        <v>0</v>
      </c>
      <c r="L857" s="109" t="s">
        <v>0</v>
      </c>
      <c r="M857" s="109" t="s">
        <v>0</v>
      </c>
      <c r="N857" s="110" t="s">
        <v>363</v>
      </c>
      <c r="O857" s="111"/>
      <c r="P857" s="112"/>
      <c r="Q857" s="112"/>
      <c r="R857" s="112"/>
      <c r="S857" s="112"/>
      <c r="T857" s="112"/>
      <c r="U857" s="95" t="str">
        <f t="shared" si="42"/>
        <v/>
      </c>
      <c r="V857" s="112"/>
      <c r="W857" s="112"/>
      <c r="X857" s="107">
        <v>100</v>
      </c>
      <c r="Y857" s="107">
        <f t="shared" si="43"/>
        <v>100</v>
      </c>
      <c r="Z857" s="107">
        <f t="shared" si="44"/>
        <v>0</v>
      </c>
    </row>
    <row r="858" spans="1:26" x14ac:dyDescent="0.25">
      <c r="A858" s="55" t="str">
        <f>_xlfn.XLOOKUP($G858,'.Auxiliar'!$G:$G,'.Auxiliar'!A:A,"-",0)</f>
        <v>RIO/SP</v>
      </c>
      <c r="B858" s="55" t="str">
        <f>_xlfn.XLOOKUP($G858,'.Auxiliar'!$G:$G,'.Auxiliar'!B:B,"-",0)</f>
        <v>FX ADICIONAL</v>
      </c>
      <c r="C858" s="55" t="str">
        <f>_xlfn.XLOOKUP($G858,'.Auxiliar'!$G:$G,'.Auxiliar'!C:C,"-",0)</f>
        <v>3ª faixa (LD e LE)</v>
      </c>
      <c r="D858" s="55">
        <f>_xlfn.XLOOKUP($G858,'.Auxiliar'!$G:$G,'.Auxiliar'!D:D,"-",0)</f>
        <v>36.4</v>
      </c>
      <c r="E858" s="55">
        <f>_xlfn.XLOOKUP($G858,'.Auxiliar'!$G:$G,'.Auxiliar'!E:E,"-",0)</f>
        <v>39.1</v>
      </c>
      <c r="F858" s="55">
        <f>_xlfn.XLOOKUP($G858,'.Auxiliar'!$G:$G,'.Auxiliar'!F:F,"-",0)</f>
        <v>5.4000000000000057</v>
      </c>
      <c r="G858" s="59" t="s">
        <v>1724</v>
      </c>
      <c r="H858" s="108" t="s">
        <v>0</v>
      </c>
      <c r="I858" s="109" t="s">
        <v>0</v>
      </c>
      <c r="J858" s="109" t="s">
        <v>0</v>
      </c>
      <c r="K858" s="109" t="s">
        <v>0</v>
      </c>
      <c r="L858" s="109" t="s">
        <v>0</v>
      </c>
      <c r="M858" s="109" t="s">
        <v>0</v>
      </c>
      <c r="N858" s="110" t="s">
        <v>363</v>
      </c>
      <c r="O858" s="111"/>
      <c r="P858" s="112"/>
      <c r="Q858" s="112"/>
      <c r="R858" s="112"/>
      <c r="S858" s="112"/>
      <c r="T858" s="112"/>
      <c r="U858" s="95" t="str">
        <f t="shared" si="42"/>
        <v/>
      </c>
      <c r="V858" s="112"/>
      <c r="W858" s="112"/>
      <c r="X858" s="107">
        <v>100</v>
      </c>
      <c r="Y858" s="107">
        <f t="shared" si="43"/>
        <v>100</v>
      </c>
      <c r="Z858" s="107">
        <f t="shared" si="44"/>
        <v>0</v>
      </c>
    </row>
    <row r="859" spans="1:26" x14ac:dyDescent="0.25">
      <c r="A859" s="55" t="str">
        <f>_xlfn.XLOOKUP($G859,'.Auxiliar'!$G:$G,'.Auxiliar'!A:A,"-",0)</f>
        <v>RIO/SP</v>
      </c>
      <c r="B859" s="55" t="str">
        <f>_xlfn.XLOOKUP($G859,'.Auxiliar'!$G:$G,'.Auxiliar'!B:B,"-",0)</f>
        <v>FX ADICIONAL</v>
      </c>
      <c r="C859" s="55" t="str">
        <f>_xlfn.XLOOKUP($G859,'.Auxiliar'!$G:$G,'.Auxiliar'!C:C,"-",0)</f>
        <v>3ª faixa (LD e LE)</v>
      </c>
      <c r="D859" s="55">
        <f>_xlfn.XLOOKUP($G859,'.Auxiliar'!$G:$G,'.Auxiliar'!D:D,"-",0)</f>
        <v>39.1</v>
      </c>
      <c r="E859" s="55">
        <f>_xlfn.XLOOKUP($G859,'.Auxiliar'!$G:$G,'.Auxiliar'!E:E,"-",0)</f>
        <v>51.2</v>
      </c>
      <c r="F859" s="55">
        <f>_xlfn.XLOOKUP($G859,'.Auxiliar'!$G:$G,'.Auxiliar'!F:F,"-",0)</f>
        <v>24.200000000000003</v>
      </c>
      <c r="G859" s="59" t="s">
        <v>1725</v>
      </c>
      <c r="H859" s="108" t="s">
        <v>0</v>
      </c>
      <c r="I859" s="109" t="s">
        <v>0</v>
      </c>
      <c r="J859" s="109" t="s">
        <v>0</v>
      </c>
      <c r="K859" s="109" t="s">
        <v>0</v>
      </c>
      <c r="L859" s="109" t="s">
        <v>0</v>
      </c>
      <c r="M859" s="109" t="s">
        <v>0</v>
      </c>
      <c r="N859" s="110" t="s">
        <v>363</v>
      </c>
      <c r="O859" s="111"/>
      <c r="P859" s="112"/>
      <c r="Q859" s="112"/>
      <c r="R859" s="112"/>
      <c r="S859" s="112"/>
      <c r="T859" s="112"/>
      <c r="U859" s="95" t="str">
        <f t="shared" si="42"/>
        <v/>
      </c>
      <c r="V859" s="112"/>
      <c r="W859" s="112"/>
      <c r="X859" s="107">
        <v>100</v>
      </c>
      <c r="Y859" s="107">
        <f t="shared" si="43"/>
        <v>100</v>
      </c>
      <c r="Z859" s="107">
        <f t="shared" si="44"/>
        <v>0</v>
      </c>
    </row>
    <row r="860" spans="1:26" x14ac:dyDescent="0.25">
      <c r="A860" s="55" t="str">
        <f>_xlfn.XLOOKUP($G860,'.Auxiliar'!$G:$G,'.Auxiliar'!A:A,"-",0)</f>
        <v>RIO/SP</v>
      </c>
      <c r="B860" s="55" t="str">
        <f>_xlfn.XLOOKUP($G860,'.Auxiliar'!$G:$G,'.Auxiliar'!B:B,"-",0)</f>
        <v>FX ADICIONAL</v>
      </c>
      <c r="C860" s="55" t="str">
        <f>_xlfn.XLOOKUP($G860,'.Auxiliar'!$G:$G,'.Auxiliar'!C:C,"-",0)</f>
        <v>3ª faixa (LD)</v>
      </c>
      <c r="D860" s="55">
        <f>_xlfn.XLOOKUP($G860,'.Auxiliar'!$G:$G,'.Auxiliar'!D:D,"-",0)</f>
        <v>29.7</v>
      </c>
      <c r="E860" s="55">
        <f>_xlfn.XLOOKUP($G860,'.Auxiliar'!$G:$G,'.Auxiliar'!E:E,"-",0)</f>
        <v>30.9</v>
      </c>
      <c r="F860" s="55">
        <f>_xlfn.XLOOKUP($G860,'.Auxiliar'!$G:$G,'.Auxiliar'!F:F,"-",0)</f>
        <v>1.1999999999999993</v>
      </c>
      <c r="G860" s="59" t="s">
        <v>1738</v>
      </c>
      <c r="H860" s="108" t="s">
        <v>0</v>
      </c>
      <c r="I860" s="109" t="s">
        <v>0</v>
      </c>
      <c r="J860" s="109" t="s">
        <v>0</v>
      </c>
      <c r="K860" s="109" t="s">
        <v>0</v>
      </c>
      <c r="L860" s="109" t="s">
        <v>0</v>
      </c>
      <c r="M860" s="109" t="s">
        <v>0</v>
      </c>
      <c r="N860" s="110" t="s">
        <v>363</v>
      </c>
      <c r="O860" s="111"/>
      <c r="P860" s="112"/>
      <c r="Q860" s="112"/>
      <c r="R860" s="112"/>
      <c r="S860" s="112"/>
      <c r="T860" s="112"/>
      <c r="U860" s="95" t="str">
        <f t="shared" si="42"/>
        <v/>
      </c>
      <c r="V860" s="112"/>
      <c r="W860" s="112"/>
      <c r="X860" s="107">
        <v>100</v>
      </c>
      <c r="Y860" s="107">
        <f t="shared" si="43"/>
        <v>100</v>
      </c>
      <c r="Z860" s="107">
        <f t="shared" si="44"/>
        <v>0</v>
      </c>
    </row>
    <row r="861" spans="1:26" x14ac:dyDescent="0.25">
      <c r="A861" s="55" t="str">
        <f>_xlfn.XLOOKUP($G861,'.Auxiliar'!$G:$G,'.Auxiliar'!A:A,"-",0)</f>
        <v>RIO/SP</v>
      </c>
      <c r="B861" s="55" t="str">
        <f>_xlfn.XLOOKUP($G861,'.Auxiliar'!$G:$G,'.Auxiliar'!B:B,"-",0)</f>
        <v>FX ADICIONAL</v>
      </c>
      <c r="C861" s="55" t="str">
        <f>_xlfn.XLOOKUP($G861,'.Auxiliar'!$G:$G,'.Auxiliar'!C:C,"-",0)</f>
        <v>3ª faixa (LD)</v>
      </c>
      <c r="D861" s="55">
        <f>_xlfn.XLOOKUP($G861,'.Auxiliar'!$G:$G,'.Auxiliar'!D:D,"-",0)</f>
        <v>330.85</v>
      </c>
      <c r="E861" s="55">
        <f>_xlfn.XLOOKUP($G861,'.Auxiliar'!$G:$G,'.Auxiliar'!E:E,"-",0)</f>
        <v>331.27</v>
      </c>
      <c r="F861" s="55">
        <f>_xlfn.XLOOKUP($G861,'.Auxiliar'!$G:$G,'.Auxiliar'!F:F,"-",0)</f>
        <v>0.41999999999995907</v>
      </c>
      <c r="G861" s="59" t="s">
        <v>1755</v>
      </c>
      <c r="H861" s="108" t="s">
        <v>0</v>
      </c>
      <c r="I861" s="109" t="s">
        <v>0</v>
      </c>
      <c r="J861" s="109" t="s">
        <v>0</v>
      </c>
      <c r="K861" s="109" t="s">
        <v>0</v>
      </c>
      <c r="L861" s="109" t="s">
        <v>0</v>
      </c>
      <c r="M861" s="109" t="s">
        <v>0</v>
      </c>
      <c r="N861" s="110" t="s">
        <v>363</v>
      </c>
      <c r="O861" s="111"/>
      <c r="P861" s="112"/>
      <c r="Q861" s="112"/>
      <c r="R861" s="112"/>
      <c r="S861" s="112"/>
      <c r="T861" s="112"/>
      <c r="U861" s="95" t="str">
        <f t="shared" si="42"/>
        <v/>
      </c>
      <c r="V861" s="112"/>
      <c r="W861" s="112"/>
      <c r="X861" s="107">
        <v>100</v>
      </c>
      <c r="Y861" s="107">
        <f t="shared" si="43"/>
        <v>100</v>
      </c>
      <c r="Z861" s="107">
        <f t="shared" si="44"/>
        <v>0</v>
      </c>
    </row>
    <row r="862" spans="1:26" x14ac:dyDescent="0.25">
      <c r="A862" s="55" t="str">
        <f>_xlfn.XLOOKUP($G862,'.Auxiliar'!$G:$G,'.Auxiliar'!A:A,"-",0)</f>
        <v>RIO/SP</v>
      </c>
      <c r="B862" s="55" t="str">
        <f>_xlfn.XLOOKUP($G862,'.Auxiliar'!$G:$G,'.Auxiliar'!B:B,"-",0)</f>
        <v>FX ADICIONAL</v>
      </c>
      <c r="C862" s="55" t="str">
        <f>_xlfn.XLOOKUP($G862,'.Auxiliar'!$G:$G,'.Auxiliar'!C:C,"-",0)</f>
        <v>3ª faixa (LD)</v>
      </c>
      <c r="D862" s="55">
        <f>_xlfn.XLOOKUP($G862,'.Auxiliar'!$G:$G,'.Auxiliar'!D:D,"-",0)</f>
        <v>37.299999999999997</v>
      </c>
      <c r="E862" s="55">
        <f>_xlfn.XLOOKUP($G862,'.Auxiliar'!$G:$G,'.Auxiliar'!E:E,"-",0)</f>
        <v>38.5</v>
      </c>
      <c r="F862" s="55">
        <f>_xlfn.XLOOKUP($G862,'.Auxiliar'!$G:$G,'.Auxiliar'!F:F,"-",0)</f>
        <v>1.2000000000000028</v>
      </c>
      <c r="G862" s="59" t="s">
        <v>1739</v>
      </c>
      <c r="H862" s="108" t="s">
        <v>0</v>
      </c>
      <c r="I862" s="109" t="s">
        <v>0</v>
      </c>
      <c r="J862" s="109" t="s">
        <v>0</v>
      </c>
      <c r="K862" s="109" t="s">
        <v>0</v>
      </c>
      <c r="L862" s="109" t="s">
        <v>0</v>
      </c>
      <c r="M862" s="109" t="s">
        <v>0</v>
      </c>
      <c r="N862" s="110" t="s">
        <v>363</v>
      </c>
      <c r="O862" s="111"/>
      <c r="P862" s="112"/>
      <c r="Q862" s="112"/>
      <c r="R862" s="112"/>
      <c r="S862" s="112"/>
      <c r="T862" s="112"/>
      <c r="U862" s="95" t="str">
        <f t="shared" si="42"/>
        <v/>
      </c>
      <c r="V862" s="112"/>
      <c r="W862" s="112"/>
      <c r="X862" s="107">
        <v>100</v>
      </c>
      <c r="Y862" s="107">
        <f t="shared" si="43"/>
        <v>100</v>
      </c>
      <c r="Z862" s="107">
        <f t="shared" si="44"/>
        <v>0</v>
      </c>
    </row>
    <row r="863" spans="1:26" x14ac:dyDescent="0.25">
      <c r="A863" s="55" t="str">
        <f>_xlfn.XLOOKUP($G863,'.Auxiliar'!$G:$G,'.Auxiliar'!A:A,"-",0)</f>
        <v>RIO/SP</v>
      </c>
      <c r="B863" s="55" t="str">
        <f>_xlfn.XLOOKUP($G863,'.Auxiliar'!$G:$G,'.Auxiliar'!B:B,"-",0)</f>
        <v>FX ADICIONAL</v>
      </c>
      <c r="C863" s="55" t="str">
        <f>_xlfn.XLOOKUP($G863,'.Auxiliar'!$G:$G,'.Auxiliar'!C:C,"-",0)</f>
        <v>3ª faixa (LD)</v>
      </c>
      <c r="D863" s="55">
        <f>_xlfn.XLOOKUP($G863,'.Auxiliar'!$G:$G,'.Auxiliar'!D:D,"-",0)</f>
        <v>46.1</v>
      </c>
      <c r="E863" s="55">
        <f>_xlfn.XLOOKUP($G863,'.Auxiliar'!$G:$G,'.Auxiliar'!E:E,"-",0)</f>
        <v>47.3</v>
      </c>
      <c r="F863" s="55">
        <f>_xlfn.XLOOKUP($G863,'.Auxiliar'!$G:$G,'.Auxiliar'!F:F,"-",0)</f>
        <v>1.1999999999999957</v>
      </c>
      <c r="G863" s="59" t="s">
        <v>1740</v>
      </c>
      <c r="H863" s="108" t="s">
        <v>0</v>
      </c>
      <c r="I863" s="109" t="s">
        <v>0</v>
      </c>
      <c r="J863" s="109" t="s">
        <v>0</v>
      </c>
      <c r="K863" s="109" t="s">
        <v>0</v>
      </c>
      <c r="L863" s="109" t="s">
        <v>0</v>
      </c>
      <c r="M863" s="109" t="s">
        <v>0</v>
      </c>
      <c r="N863" s="110" t="s">
        <v>363</v>
      </c>
      <c r="O863" s="111"/>
      <c r="P863" s="112"/>
      <c r="Q863" s="112"/>
      <c r="R863" s="112"/>
      <c r="S863" s="112"/>
      <c r="T863" s="112"/>
      <c r="U863" s="95" t="str">
        <f t="shared" si="42"/>
        <v/>
      </c>
      <c r="V863" s="112"/>
      <c r="W863" s="112"/>
      <c r="X863" s="107">
        <v>100</v>
      </c>
      <c r="Y863" s="107">
        <f t="shared" si="43"/>
        <v>100</v>
      </c>
      <c r="Z863" s="107">
        <f t="shared" si="44"/>
        <v>0</v>
      </c>
    </row>
    <row r="864" spans="1:26" x14ac:dyDescent="0.25">
      <c r="A864" s="55" t="str">
        <f>_xlfn.XLOOKUP($G864,'.Auxiliar'!$G:$G,'.Auxiliar'!A:A,"-",0)</f>
        <v>RIO/SP</v>
      </c>
      <c r="B864" s="55" t="str">
        <f>_xlfn.XLOOKUP($G864,'.Auxiliar'!$G:$G,'.Auxiliar'!B:B,"-",0)</f>
        <v>FX ADICIONAL</v>
      </c>
      <c r="C864" s="55" t="str">
        <f>_xlfn.XLOOKUP($G864,'.Auxiliar'!$G:$G,'.Auxiliar'!C:C,"-",0)</f>
        <v>3ª faixa (LD)</v>
      </c>
      <c r="D864" s="55">
        <f>_xlfn.XLOOKUP($G864,'.Auxiliar'!$G:$G,'.Auxiliar'!D:D,"-",0)</f>
        <v>500.2</v>
      </c>
      <c r="E864" s="55">
        <f>_xlfn.XLOOKUP($G864,'.Auxiliar'!$G:$G,'.Auxiliar'!E:E,"-",0)</f>
        <v>502.4</v>
      </c>
      <c r="F864" s="55">
        <f>_xlfn.XLOOKUP($G864,'.Auxiliar'!$G:$G,'.Auxiliar'!F:F,"-",0)</f>
        <v>2.1999999999999886</v>
      </c>
      <c r="G864" s="59" t="s">
        <v>1757</v>
      </c>
      <c r="H864" s="108" t="s">
        <v>0</v>
      </c>
      <c r="I864" s="109" t="s">
        <v>0</v>
      </c>
      <c r="J864" s="109" t="s">
        <v>0</v>
      </c>
      <c r="K864" s="109" t="s">
        <v>0</v>
      </c>
      <c r="L864" s="109" t="s">
        <v>0</v>
      </c>
      <c r="M864" s="109" t="s">
        <v>0</v>
      </c>
      <c r="N864" s="110" t="s">
        <v>363</v>
      </c>
      <c r="O864" s="111"/>
      <c r="P864" s="112"/>
      <c r="Q864" s="112"/>
      <c r="R864" s="112"/>
      <c r="S864" s="112"/>
      <c r="T864" s="112"/>
      <c r="U864" s="95" t="str">
        <f t="shared" si="42"/>
        <v/>
      </c>
      <c r="V864" s="112"/>
      <c r="W864" s="112"/>
      <c r="X864" s="107">
        <v>100</v>
      </c>
      <c r="Y864" s="107">
        <f t="shared" si="43"/>
        <v>100</v>
      </c>
      <c r="Z864" s="107">
        <f t="shared" si="44"/>
        <v>0</v>
      </c>
    </row>
    <row r="865" spans="1:26" x14ac:dyDescent="0.25">
      <c r="A865" s="55" t="str">
        <f>_xlfn.XLOOKUP($G865,'.Auxiliar'!$G:$G,'.Auxiliar'!A:A,"-",0)</f>
        <v>RIO/SP</v>
      </c>
      <c r="B865" s="55" t="str">
        <f>_xlfn.XLOOKUP($G865,'.Auxiliar'!$G:$G,'.Auxiliar'!B:B,"-",0)</f>
        <v>FX ADICIONAL</v>
      </c>
      <c r="C865" s="55" t="str">
        <f>_xlfn.XLOOKUP($G865,'.Auxiliar'!$G:$G,'.Auxiliar'!C:C,"-",0)</f>
        <v>3ª faixa (LD)</v>
      </c>
      <c r="D865" s="55">
        <f>_xlfn.XLOOKUP($G865,'.Auxiliar'!$G:$G,'.Auxiliar'!D:D,"-",0)</f>
        <v>512</v>
      </c>
      <c r="E865" s="55">
        <f>_xlfn.XLOOKUP($G865,'.Auxiliar'!$G:$G,'.Auxiliar'!E:E,"-",0)</f>
        <v>512.5</v>
      </c>
      <c r="F865" s="55">
        <f>_xlfn.XLOOKUP($G865,'.Auxiliar'!$G:$G,'.Auxiliar'!F:F,"-",0)</f>
        <v>0.5</v>
      </c>
      <c r="G865" s="59" t="s">
        <v>1758</v>
      </c>
      <c r="H865" s="108" t="s">
        <v>0</v>
      </c>
      <c r="I865" s="109" t="s">
        <v>0</v>
      </c>
      <c r="J865" s="109" t="s">
        <v>0</v>
      </c>
      <c r="K865" s="109" t="s">
        <v>0</v>
      </c>
      <c r="L865" s="109" t="s">
        <v>0</v>
      </c>
      <c r="M865" s="109" t="s">
        <v>0</v>
      </c>
      <c r="N865" s="110" t="s">
        <v>363</v>
      </c>
      <c r="O865" s="111"/>
      <c r="P865" s="112"/>
      <c r="Q865" s="112"/>
      <c r="R865" s="112"/>
      <c r="S865" s="112"/>
      <c r="T865" s="112"/>
      <c r="U865" s="95" t="str">
        <f t="shared" si="42"/>
        <v/>
      </c>
      <c r="V865" s="112"/>
      <c r="W865" s="112"/>
      <c r="X865" s="107">
        <v>100</v>
      </c>
      <c r="Y865" s="107">
        <f t="shared" si="43"/>
        <v>100</v>
      </c>
      <c r="Z865" s="107">
        <f t="shared" si="44"/>
        <v>0</v>
      </c>
    </row>
    <row r="866" spans="1:26" x14ac:dyDescent="0.25">
      <c r="A866" s="55" t="str">
        <f>_xlfn.XLOOKUP($G866,'.Auxiliar'!$G:$G,'.Auxiliar'!A:A,"-",0)</f>
        <v>RIO/SP</v>
      </c>
      <c r="B866" s="55" t="str">
        <f>_xlfn.XLOOKUP($G866,'.Auxiliar'!$G:$G,'.Auxiliar'!B:B,"-",0)</f>
        <v>FX ADICIONAL</v>
      </c>
      <c r="C866" s="55" t="str">
        <f>_xlfn.XLOOKUP($G866,'.Auxiliar'!$G:$G,'.Auxiliar'!C:C,"-",0)</f>
        <v>3ª faixa (LD)</v>
      </c>
      <c r="D866" s="55">
        <f>_xlfn.XLOOKUP($G866,'.Auxiliar'!$G:$G,'.Auxiliar'!D:D,"-",0)</f>
        <v>518.70000000000005</v>
      </c>
      <c r="E866" s="55">
        <f>_xlfn.XLOOKUP($G866,'.Auxiliar'!$G:$G,'.Auxiliar'!E:E,"-",0)</f>
        <v>519.5</v>
      </c>
      <c r="F866" s="55">
        <f>_xlfn.XLOOKUP($G866,'.Auxiliar'!$G:$G,'.Auxiliar'!F:F,"-",0)</f>
        <v>0.79999999999995453</v>
      </c>
      <c r="G866" s="59" t="s">
        <v>1759</v>
      </c>
      <c r="H866" s="108" t="s">
        <v>0</v>
      </c>
      <c r="I866" s="109" t="s">
        <v>0</v>
      </c>
      <c r="J866" s="109" t="s">
        <v>0</v>
      </c>
      <c r="K866" s="109" t="s">
        <v>0</v>
      </c>
      <c r="L866" s="109" t="s">
        <v>0</v>
      </c>
      <c r="M866" s="109" t="s">
        <v>0</v>
      </c>
      <c r="N866" s="110" t="s">
        <v>363</v>
      </c>
      <c r="O866" s="111"/>
      <c r="P866" s="112"/>
      <c r="Q866" s="112"/>
      <c r="R866" s="112"/>
      <c r="S866" s="112"/>
      <c r="T866" s="112"/>
      <c r="U866" s="95" t="str">
        <f t="shared" si="42"/>
        <v/>
      </c>
      <c r="V866" s="112"/>
      <c r="W866" s="112"/>
      <c r="X866" s="107">
        <v>100</v>
      </c>
      <c r="Y866" s="107">
        <f t="shared" si="43"/>
        <v>100</v>
      </c>
      <c r="Z866" s="107">
        <f t="shared" si="44"/>
        <v>0</v>
      </c>
    </row>
    <row r="867" spans="1:26" x14ac:dyDescent="0.25">
      <c r="A867" s="55" t="str">
        <f>_xlfn.XLOOKUP($G867,'.Auxiliar'!$G:$G,'.Auxiliar'!A:A,"-",0)</f>
        <v>RIO/SP</v>
      </c>
      <c r="B867" s="55" t="str">
        <f>_xlfn.XLOOKUP($G867,'.Auxiliar'!$G:$G,'.Auxiliar'!B:B,"-",0)</f>
        <v>FX ADICIONAL</v>
      </c>
      <c r="C867" s="55" t="str">
        <f>_xlfn.XLOOKUP($G867,'.Auxiliar'!$G:$G,'.Auxiliar'!C:C,"-",0)</f>
        <v>3ª faixa (LD)</v>
      </c>
      <c r="D867" s="55">
        <f>_xlfn.XLOOKUP($G867,'.Auxiliar'!$G:$G,'.Auxiliar'!D:D,"-",0)</f>
        <v>523</v>
      </c>
      <c r="E867" s="55">
        <f>_xlfn.XLOOKUP($G867,'.Auxiliar'!$G:$G,'.Auxiliar'!E:E,"-",0)</f>
        <v>523.6</v>
      </c>
      <c r="F867" s="55">
        <f>_xlfn.XLOOKUP($G867,'.Auxiliar'!$G:$G,'.Auxiliar'!F:F,"-",0)</f>
        <v>0.60000000000002274</v>
      </c>
      <c r="G867" s="59" t="s">
        <v>1760</v>
      </c>
      <c r="H867" s="108" t="s">
        <v>0</v>
      </c>
      <c r="I867" s="109" t="s">
        <v>0</v>
      </c>
      <c r="J867" s="109" t="s">
        <v>0</v>
      </c>
      <c r="K867" s="109" t="s">
        <v>0</v>
      </c>
      <c r="L867" s="109" t="s">
        <v>0</v>
      </c>
      <c r="M867" s="109" t="s">
        <v>0</v>
      </c>
      <c r="N867" s="110" t="s">
        <v>363</v>
      </c>
      <c r="O867" s="111"/>
      <c r="P867" s="112"/>
      <c r="Q867" s="112"/>
      <c r="R867" s="112"/>
      <c r="S867" s="112"/>
      <c r="T867" s="112"/>
      <c r="U867" s="95" t="str">
        <f t="shared" si="42"/>
        <v/>
      </c>
      <c r="V867" s="112"/>
      <c r="W867" s="112"/>
      <c r="X867" s="107">
        <v>100</v>
      </c>
      <c r="Y867" s="107">
        <f t="shared" si="43"/>
        <v>100</v>
      </c>
      <c r="Z867" s="107">
        <f t="shared" si="44"/>
        <v>0</v>
      </c>
    </row>
    <row r="868" spans="1:26" x14ac:dyDescent="0.25">
      <c r="A868" s="55" t="str">
        <f>_xlfn.XLOOKUP($G868,'.Auxiliar'!$G:$G,'.Auxiliar'!A:A,"-",0)</f>
        <v>RIO/SP</v>
      </c>
      <c r="B868" s="55" t="str">
        <f>_xlfn.XLOOKUP($G868,'.Auxiliar'!$G:$G,'.Auxiliar'!B:B,"-",0)</f>
        <v>FX ADICIONAL</v>
      </c>
      <c r="C868" s="55" t="str">
        <f>_xlfn.XLOOKUP($G868,'.Auxiliar'!$G:$G,'.Auxiliar'!C:C,"-",0)</f>
        <v>3ª faixa (LD)</v>
      </c>
      <c r="D868" s="55">
        <f>_xlfn.XLOOKUP($G868,'.Auxiliar'!$G:$G,'.Auxiliar'!D:D,"-",0)</f>
        <v>526</v>
      </c>
      <c r="E868" s="55">
        <f>_xlfn.XLOOKUP($G868,'.Auxiliar'!$G:$G,'.Auxiliar'!E:E,"-",0)</f>
        <v>526.70000000000005</v>
      </c>
      <c r="F868" s="55">
        <f>_xlfn.XLOOKUP($G868,'.Auxiliar'!$G:$G,'.Auxiliar'!F:F,"-",0)</f>
        <v>0.70000000000004547</v>
      </c>
      <c r="G868" s="59" t="s">
        <v>1761</v>
      </c>
      <c r="H868" s="108" t="s">
        <v>0</v>
      </c>
      <c r="I868" s="109" t="s">
        <v>0</v>
      </c>
      <c r="J868" s="109" t="s">
        <v>0</v>
      </c>
      <c r="K868" s="109" t="s">
        <v>0</v>
      </c>
      <c r="L868" s="109" t="s">
        <v>0</v>
      </c>
      <c r="M868" s="109" t="s">
        <v>0</v>
      </c>
      <c r="N868" s="110" t="s">
        <v>363</v>
      </c>
      <c r="O868" s="111"/>
      <c r="P868" s="112"/>
      <c r="Q868" s="112"/>
      <c r="R868" s="112"/>
      <c r="S868" s="112"/>
      <c r="T868" s="112"/>
      <c r="U868" s="95" t="str">
        <f t="shared" si="42"/>
        <v/>
      </c>
      <c r="V868" s="112"/>
      <c r="W868" s="112"/>
      <c r="X868" s="107">
        <v>100</v>
      </c>
      <c r="Y868" s="107">
        <f t="shared" si="43"/>
        <v>100</v>
      </c>
      <c r="Z868" s="107">
        <f t="shared" si="44"/>
        <v>0</v>
      </c>
    </row>
    <row r="869" spans="1:26" x14ac:dyDescent="0.25">
      <c r="A869" s="55" t="str">
        <f>_xlfn.XLOOKUP($G869,'.Auxiliar'!$G:$G,'.Auxiliar'!A:A,"-",0)</f>
        <v>RIO/SP</v>
      </c>
      <c r="B869" s="55" t="str">
        <f>_xlfn.XLOOKUP($G869,'.Auxiliar'!$G:$G,'.Auxiliar'!B:B,"-",0)</f>
        <v>FX ADICIONAL</v>
      </c>
      <c r="C869" s="55" t="str">
        <f>_xlfn.XLOOKUP($G869,'.Auxiliar'!$G:$G,'.Auxiliar'!C:C,"-",0)</f>
        <v>3ª faixa (LD)</v>
      </c>
      <c r="D869" s="55">
        <f>_xlfn.XLOOKUP($G869,'.Auxiliar'!$G:$G,'.Auxiliar'!D:D,"-",0)</f>
        <v>529.5</v>
      </c>
      <c r="E869" s="55">
        <f>_xlfn.XLOOKUP($G869,'.Auxiliar'!$G:$G,'.Auxiliar'!E:E,"-",0)</f>
        <v>530.4</v>
      </c>
      <c r="F869" s="55">
        <f>_xlfn.XLOOKUP($G869,'.Auxiliar'!$G:$G,'.Auxiliar'!F:F,"-",0)</f>
        <v>0.89999999999997726</v>
      </c>
      <c r="G869" s="59" t="s">
        <v>1767</v>
      </c>
      <c r="H869" s="108" t="s">
        <v>0</v>
      </c>
      <c r="I869" s="109" t="s">
        <v>0</v>
      </c>
      <c r="J869" s="109" t="s">
        <v>0</v>
      </c>
      <c r="K869" s="109" t="s">
        <v>0</v>
      </c>
      <c r="L869" s="109" t="s">
        <v>0</v>
      </c>
      <c r="M869" s="109" t="s">
        <v>0</v>
      </c>
      <c r="N869" s="110" t="s">
        <v>363</v>
      </c>
      <c r="O869" s="111"/>
      <c r="P869" s="112"/>
      <c r="Q869" s="112"/>
      <c r="R869" s="112"/>
      <c r="S869" s="112"/>
      <c r="T869" s="112"/>
      <c r="U869" s="95" t="str">
        <f t="shared" si="42"/>
        <v/>
      </c>
      <c r="V869" s="112"/>
      <c r="W869" s="112"/>
      <c r="X869" s="107">
        <v>100</v>
      </c>
      <c r="Y869" s="107">
        <f t="shared" si="43"/>
        <v>100</v>
      </c>
      <c r="Z869" s="107">
        <f t="shared" si="44"/>
        <v>0</v>
      </c>
    </row>
    <row r="870" spans="1:26" x14ac:dyDescent="0.25">
      <c r="A870" s="55" t="str">
        <f>_xlfn.XLOOKUP($G870,'.Auxiliar'!$G:$G,'.Auxiliar'!A:A,"-",0)</f>
        <v>RIO/SP</v>
      </c>
      <c r="B870" s="55" t="str">
        <f>_xlfn.XLOOKUP($G870,'.Auxiliar'!$G:$G,'.Auxiliar'!B:B,"-",0)</f>
        <v>FX ADICIONAL</v>
      </c>
      <c r="C870" s="55" t="str">
        <f>_xlfn.XLOOKUP($G870,'.Auxiliar'!$G:$G,'.Auxiliar'!C:C,"-",0)</f>
        <v>3ª faixa (LD)</v>
      </c>
      <c r="D870" s="55">
        <f>_xlfn.XLOOKUP($G870,'.Auxiliar'!$G:$G,'.Auxiliar'!D:D,"-",0)</f>
        <v>537.70000000000005</v>
      </c>
      <c r="E870" s="55">
        <f>_xlfn.XLOOKUP($G870,'.Auxiliar'!$G:$G,'.Auxiliar'!E:E,"-",0)</f>
        <v>538.5</v>
      </c>
      <c r="F870" s="55">
        <f>_xlfn.XLOOKUP($G870,'.Auxiliar'!$G:$G,'.Auxiliar'!F:F,"-",0)</f>
        <v>0.79999999999995453</v>
      </c>
      <c r="G870" s="59" t="s">
        <v>1768</v>
      </c>
      <c r="H870" s="108" t="s">
        <v>0</v>
      </c>
      <c r="I870" s="109" t="s">
        <v>0</v>
      </c>
      <c r="J870" s="109" t="s">
        <v>0</v>
      </c>
      <c r="K870" s="109" t="s">
        <v>0</v>
      </c>
      <c r="L870" s="109" t="s">
        <v>0</v>
      </c>
      <c r="M870" s="109" t="s">
        <v>0</v>
      </c>
      <c r="N870" s="110" t="s">
        <v>363</v>
      </c>
      <c r="O870" s="111"/>
      <c r="P870" s="112"/>
      <c r="Q870" s="112"/>
      <c r="R870" s="112"/>
      <c r="S870" s="112"/>
      <c r="T870" s="112"/>
      <c r="U870" s="95" t="str">
        <f t="shared" si="42"/>
        <v/>
      </c>
      <c r="V870" s="112"/>
      <c r="W870" s="112"/>
      <c r="X870" s="107">
        <v>100</v>
      </c>
      <c r="Y870" s="107">
        <f t="shared" si="43"/>
        <v>100</v>
      </c>
      <c r="Z870" s="107">
        <f t="shared" si="44"/>
        <v>0</v>
      </c>
    </row>
    <row r="871" spans="1:26" x14ac:dyDescent="0.25">
      <c r="A871" s="55" t="str">
        <f>_xlfn.XLOOKUP($G871,'.Auxiliar'!$G:$G,'.Auxiliar'!A:A,"-",0)</f>
        <v>RIO/SP</v>
      </c>
      <c r="B871" s="55" t="str">
        <f>_xlfn.XLOOKUP($G871,'.Auxiliar'!$G:$G,'.Auxiliar'!B:B,"-",0)</f>
        <v>FX ADICIONAL</v>
      </c>
      <c r="C871" s="55" t="str">
        <f>_xlfn.XLOOKUP($G871,'.Auxiliar'!$G:$G,'.Auxiliar'!C:C,"-",0)</f>
        <v>3ª faixa (LD)</v>
      </c>
      <c r="D871" s="55">
        <f>_xlfn.XLOOKUP($G871,'.Auxiliar'!$G:$G,'.Auxiliar'!D:D,"-",0)</f>
        <v>546.4</v>
      </c>
      <c r="E871" s="55">
        <f>_xlfn.XLOOKUP($G871,'.Auxiliar'!$G:$G,'.Auxiliar'!E:E,"-",0)</f>
        <v>548</v>
      </c>
      <c r="F871" s="55">
        <f>_xlfn.XLOOKUP($G871,'.Auxiliar'!$G:$G,'.Auxiliar'!F:F,"-",0)</f>
        <v>1.6000000000000227</v>
      </c>
      <c r="G871" s="59" t="s">
        <v>1769</v>
      </c>
      <c r="H871" s="108" t="s">
        <v>0</v>
      </c>
      <c r="I871" s="109" t="s">
        <v>0</v>
      </c>
      <c r="J871" s="109" t="s">
        <v>0</v>
      </c>
      <c r="K871" s="109" t="s">
        <v>0</v>
      </c>
      <c r="L871" s="109" t="s">
        <v>0</v>
      </c>
      <c r="M871" s="109" t="s">
        <v>0</v>
      </c>
      <c r="N871" s="110" t="s">
        <v>363</v>
      </c>
      <c r="O871" s="111"/>
      <c r="P871" s="112"/>
      <c r="Q871" s="112"/>
      <c r="R871" s="112"/>
      <c r="S871" s="112"/>
      <c r="T871" s="112"/>
      <c r="U871" s="95" t="str">
        <f t="shared" si="42"/>
        <v/>
      </c>
      <c r="V871" s="112"/>
      <c r="W871" s="112"/>
      <c r="X871" s="107">
        <v>100</v>
      </c>
      <c r="Y871" s="107">
        <f t="shared" si="43"/>
        <v>100</v>
      </c>
      <c r="Z871" s="107">
        <f t="shared" si="44"/>
        <v>0</v>
      </c>
    </row>
    <row r="872" spans="1:26" x14ac:dyDescent="0.25">
      <c r="A872" s="55" t="str">
        <f>_xlfn.XLOOKUP($G872,'.Auxiliar'!$G:$G,'.Auxiliar'!A:A,"-",0)</f>
        <v>RIO/SP</v>
      </c>
      <c r="B872" s="55" t="str">
        <f>_xlfn.XLOOKUP($G872,'.Auxiliar'!$G:$G,'.Auxiliar'!B:B,"-",0)</f>
        <v>FX ADICIONAL</v>
      </c>
      <c r="C872" s="55" t="str">
        <f>_xlfn.XLOOKUP($G872,'.Auxiliar'!$G:$G,'.Auxiliar'!C:C,"-",0)</f>
        <v>3ª faixa (LD)</v>
      </c>
      <c r="D872" s="55">
        <f>_xlfn.XLOOKUP($G872,'.Auxiliar'!$G:$G,'.Auxiliar'!D:D,"-",0)</f>
        <v>552.20000000000005</v>
      </c>
      <c r="E872" s="55">
        <f>_xlfn.XLOOKUP($G872,'.Auxiliar'!$G:$G,'.Auxiliar'!E:E,"-",0)</f>
        <v>553.5</v>
      </c>
      <c r="F872" s="55">
        <f>_xlfn.XLOOKUP($G872,'.Auxiliar'!$G:$G,'.Auxiliar'!F:F,"-",0)</f>
        <v>1.2999999999999545</v>
      </c>
      <c r="G872" s="59" t="s">
        <v>1770</v>
      </c>
      <c r="H872" s="108" t="s">
        <v>0</v>
      </c>
      <c r="I872" s="109" t="s">
        <v>0</v>
      </c>
      <c r="J872" s="109" t="s">
        <v>0</v>
      </c>
      <c r="K872" s="109" t="s">
        <v>0</v>
      </c>
      <c r="L872" s="109" t="s">
        <v>0</v>
      </c>
      <c r="M872" s="109" t="s">
        <v>0</v>
      </c>
      <c r="N872" s="110" t="s">
        <v>363</v>
      </c>
      <c r="O872" s="111"/>
      <c r="P872" s="112"/>
      <c r="Q872" s="112"/>
      <c r="R872" s="112"/>
      <c r="S872" s="112"/>
      <c r="T872" s="112"/>
      <c r="U872" s="95" t="str">
        <f t="shared" si="42"/>
        <v/>
      </c>
      <c r="V872" s="112"/>
      <c r="W872" s="112"/>
      <c r="X872" s="107">
        <v>100</v>
      </c>
      <c r="Y872" s="107">
        <f t="shared" si="43"/>
        <v>100</v>
      </c>
      <c r="Z872" s="107">
        <f t="shared" si="44"/>
        <v>0</v>
      </c>
    </row>
    <row r="873" spans="1:26" x14ac:dyDescent="0.25">
      <c r="A873" s="55" t="str">
        <f>_xlfn.XLOOKUP($G873,'.Auxiliar'!$G:$G,'.Auxiliar'!A:A,"-",0)</f>
        <v>RIO/SP</v>
      </c>
      <c r="B873" s="55" t="str">
        <f>_xlfn.XLOOKUP($G873,'.Auxiliar'!$G:$G,'.Auxiliar'!B:B,"-",0)</f>
        <v>FX ADICIONAL</v>
      </c>
      <c r="C873" s="55" t="str">
        <f>_xlfn.XLOOKUP($G873,'.Auxiliar'!$G:$G,'.Auxiliar'!C:C,"-",0)</f>
        <v>3ª faixa (LD)</v>
      </c>
      <c r="D873" s="55">
        <f>_xlfn.XLOOKUP($G873,'.Auxiliar'!$G:$G,'.Auxiliar'!D:D,"-",0)</f>
        <v>562.6</v>
      </c>
      <c r="E873" s="55">
        <f>_xlfn.XLOOKUP($G873,'.Auxiliar'!$G:$G,'.Auxiliar'!E:E,"-",0)</f>
        <v>563.29999999999995</v>
      </c>
      <c r="F873" s="55">
        <f>_xlfn.XLOOKUP($G873,'.Auxiliar'!$G:$G,'.Auxiliar'!F:F,"-",0)</f>
        <v>0.69999999999993179</v>
      </c>
      <c r="G873" s="59" t="s">
        <v>1771</v>
      </c>
      <c r="H873" s="108" t="s">
        <v>0</v>
      </c>
      <c r="I873" s="109" t="s">
        <v>0</v>
      </c>
      <c r="J873" s="109" t="s">
        <v>0</v>
      </c>
      <c r="K873" s="109" t="s">
        <v>0</v>
      </c>
      <c r="L873" s="109" t="s">
        <v>0</v>
      </c>
      <c r="M873" s="109" t="s">
        <v>0</v>
      </c>
      <c r="N873" s="110" t="s">
        <v>363</v>
      </c>
      <c r="O873" s="111"/>
      <c r="P873" s="112"/>
      <c r="Q873" s="112"/>
      <c r="R873" s="112"/>
      <c r="S873" s="112"/>
      <c r="T873" s="112"/>
      <c r="U873" s="95" t="str">
        <f t="shared" si="42"/>
        <v/>
      </c>
      <c r="V873" s="112"/>
      <c r="W873" s="112"/>
      <c r="X873" s="107">
        <v>100</v>
      </c>
      <c r="Y873" s="107">
        <f t="shared" si="43"/>
        <v>100</v>
      </c>
      <c r="Z873" s="107">
        <f t="shared" si="44"/>
        <v>0</v>
      </c>
    </row>
    <row r="874" spans="1:26" x14ac:dyDescent="0.25">
      <c r="A874" s="55" t="str">
        <f>_xlfn.XLOOKUP($G874,'.Auxiliar'!$G:$G,'.Auxiliar'!A:A,"-",0)</f>
        <v>RIO/SP</v>
      </c>
      <c r="B874" s="55" t="str">
        <f>_xlfn.XLOOKUP($G874,'.Auxiliar'!$G:$G,'.Auxiliar'!B:B,"-",0)</f>
        <v>FX ADICIONAL</v>
      </c>
      <c r="C874" s="55" t="str">
        <f>_xlfn.XLOOKUP($G874,'.Auxiliar'!$G:$G,'.Auxiliar'!C:C,"-",0)</f>
        <v>3ª faixa (LD)</v>
      </c>
      <c r="D874" s="55">
        <f>_xlfn.XLOOKUP($G874,'.Auxiliar'!$G:$G,'.Auxiliar'!D:D,"-",0)</f>
        <v>570</v>
      </c>
      <c r="E874" s="55">
        <f>_xlfn.XLOOKUP($G874,'.Auxiliar'!$G:$G,'.Auxiliar'!E:E,"-",0)</f>
        <v>571.4</v>
      </c>
      <c r="F874" s="55">
        <f>_xlfn.XLOOKUP($G874,'.Auxiliar'!$G:$G,'.Auxiliar'!F:F,"-",0)</f>
        <v>1.3999999999999773</v>
      </c>
      <c r="G874" s="59" t="s">
        <v>1772</v>
      </c>
      <c r="H874" s="108" t="s">
        <v>0</v>
      </c>
      <c r="I874" s="109" t="s">
        <v>0</v>
      </c>
      <c r="J874" s="109" t="s">
        <v>0</v>
      </c>
      <c r="K874" s="109" t="s">
        <v>0</v>
      </c>
      <c r="L874" s="109" t="s">
        <v>0</v>
      </c>
      <c r="M874" s="109" t="s">
        <v>0</v>
      </c>
      <c r="N874" s="110" t="s">
        <v>363</v>
      </c>
      <c r="O874" s="111"/>
      <c r="P874" s="112"/>
      <c r="Q874" s="112"/>
      <c r="R874" s="112"/>
      <c r="S874" s="112"/>
      <c r="T874" s="112"/>
      <c r="U874" s="95" t="str">
        <f t="shared" si="42"/>
        <v/>
      </c>
      <c r="V874" s="112"/>
      <c r="W874" s="112"/>
      <c r="X874" s="107">
        <v>100</v>
      </c>
      <c r="Y874" s="107">
        <f t="shared" si="43"/>
        <v>100</v>
      </c>
      <c r="Z874" s="107">
        <f t="shared" si="44"/>
        <v>0</v>
      </c>
    </row>
    <row r="875" spans="1:26" x14ac:dyDescent="0.25">
      <c r="A875" s="55" t="str">
        <f>_xlfn.XLOOKUP($G875,'.Auxiliar'!$G:$G,'.Auxiliar'!A:A,"-",0)</f>
        <v>RIO/SP</v>
      </c>
      <c r="B875" s="55" t="str">
        <f>_xlfn.XLOOKUP($G875,'.Auxiliar'!$G:$G,'.Auxiliar'!B:B,"-",0)</f>
        <v>FX ADICIONAL</v>
      </c>
      <c r="C875" s="55" t="str">
        <f>_xlfn.XLOOKUP($G875,'.Auxiliar'!$G:$G,'.Auxiliar'!C:C,"-",0)</f>
        <v>3ª faixa (LE)</v>
      </c>
      <c r="D875" s="55">
        <f>_xlfn.XLOOKUP($G875,'.Auxiliar'!$G:$G,'.Auxiliar'!D:D,"-",0)</f>
        <v>25.6</v>
      </c>
      <c r="E875" s="55">
        <f>_xlfn.XLOOKUP($G875,'.Auxiliar'!$G:$G,'.Auxiliar'!E:E,"-",0)</f>
        <v>26.8</v>
      </c>
      <c r="F875" s="55">
        <f>_xlfn.XLOOKUP($G875,'.Auxiliar'!$G:$G,'.Auxiliar'!F:F,"-",0)</f>
        <v>1.1999999999999993</v>
      </c>
      <c r="G875" s="59" t="s">
        <v>1741</v>
      </c>
      <c r="H875" s="108" t="s">
        <v>0</v>
      </c>
      <c r="I875" s="109" t="s">
        <v>0</v>
      </c>
      <c r="J875" s="109" t="s">
        <v>0</v>
      </c>
      <c r="K875" s="109" t="s">
        <v>0</v>
      </c>
      <c r="L875" s="109" t="s">
        <v>0</v>
      </c>
      <c r="M875" s="109" t="s">
        <v>0</v>
      </c>
      <c r="N875" s="110" t="s">
        <v>363</v>
      </c>
      <c r="O875" s="111"/>
      <c r="P875" s="112"/>
      <c r="Q875" s="112"/>
      <c r="R875" s="112"/>
      <c r="S875" s="112"/>
      <c r="T875" s="112"/>
      <c r="U875" s="95" t="str">
        <f t="shared" si="42"/>
        <v/>
      </c>
      <c r="V875" s="112"/>
      <c r="W875" s="112"/>
      <c r="X875" s="107">
        <v>100</v>
      </c>
      <c r="Y875" s="107">
        <f t="shared" si="43"/>
        <v>100</v>
      </c>
      <c r="Z875" s="107">
        <f t="shared" si="44"/>
        <v>0</v>
      </c>
    </row>
    <row r="876" spans="1:26" x14ac:dyDescent="0.25">
      <c r="A876" s="55" t="str">
        <f>_xlfn.XLOOKUP($G876,'.Auxiliar'!$G:$G,'.Auxiliar'!A:A,"-",0)</f>
        <v>RIO/SP</v>
      </c>
      <c r="B876" s="55" t="str">
        <f>_xlfn.XLOOKUP($G876,'.Auxiliar'!$G:$G,'.Auxiliar'!B:B,"-",0)</f>
        <v>FX ADICIONAL</v>
      </c>
      <c r="C876" s="55" t="str">
        <f>_xlfn.XLOOKUP($G876,'.Auxiliar'!$G:$G,'.Auxiliar'!C:C,"-",0)</f>
        <v>3ª faixa (LE)</v>
      </c>
      <c r="D876" s="55">
        <f>_xlfn.XLOOKUP($G876,'.Auxiliar'!$G:$G,'.Auxiliar'!D:D,"-",0)</f>
        <v>332</v>
      </c>
      <c r="E876" s="55">
        <f>_xlfn.XLOOKUP($G876,'.Auxiliar'!$G:$G,'.Auxiliar'!E:E,"-",0)</f>
        <v>331.4</v>
      </c>
      <c r="F876" s="55">
        <f>_xlfn.XLOOKUP($G876,'.Auxiliar'!$G:$G,'.Auxiliar'!F:F,"-",0)</f>
        <v>0.60000000000002274</v>
      </c>
      <c r="G876" s="59" t="s">
        <v>1756</v>
      </c>
      <c r="H876" s="108" t="s">
        <v>0</v>
      </c>
      <c r="I876" s="109" t="s">
        <v>0</v>
      </c>
      <c r="J876" s="109" t="s">
        <v>0</v>
      </c>
      <c r="K876" s="109" t="s">
        <v>0</v>
      </c>
      <c r="L876" s="109" t="s">
        <v>0</v>
      </c>
      <c r="M876" s="109" t="s">
        <v>0</v>
      </c>
      <c r="N876" s="110" t="s">
        <v>363</v>
      </c>
      <c r="O876" s="111"/>
      <c r="P876" s="112"/>
      <c r="Q876" s="112"/>
      <c r="R876" s="112"/>
      <c r="S876" s="112"/>
      <c r="T876" s="112"/>
      <c r="U876" s="95" t="str">
        <f t="shared" si="42"/>
        <v/>
      </c>
      <c r="V876" s="112"/>
      <c r="W876" s="112"/>
      <c r="X876" s="107">
        <v>100</v>
      </c>
      <c r="Y876" s="107">
        <f t="shared" si="43"/>
        <v>100</v>
      </c>
      <c r="Z876" s="107">
        <f t="shared" si="44"/>
        <v>0</v>
      </c>
    </row>
    <row r="877" spans="1:26" x14ac:dyDescent="0.25">
      <c r="A877" s="55" t="str">
        <f>_xlfn.XLOOKUP($G877,'.Auxiliar'!$G:$G,'.Auxiliar'!A:A,"-",0)</f>
        <v>RIO/SP</v>
      </c>
      <c r="B877" s="55" t="str">
        <f>_xlfn.XLOOKUP($G877,'.Auxiliar'!$G:$G,'.Auxiliar'!B:B,"-",0)</f>
        <v>FX ADICIONAL</v>
      </c>
      <c r="C877" s="55" t="str">
        <f>_xlfn.XLOOKUP($G877,'.Auxiliar'!$G:$G,'.Auxiliar'!C:C,"-",0)</f>
        <v>3ª faixa (LE)</v>
      </c>
      <c r="D877" s="55">
        <f>_xlfn.XLOOKUP($G877,'.Auxiliar'!$G:$G,'.Auxiliar'!D:D,"-",0)</f>
        <v>38.700000000000003</v>
      </c>
      <c r="E877" s="55">
        <f>_xlfn.XLOOKUP($G877,'.Auxiliar'!$G:$G,'.Auxiliar'!E:E,"-",0)</f>
        <v>39.9</v>
      </c>
      <c r="F877" s="55">
        <f>_xlfn.XLOOKUP($G877,'.Auxiliar'!$G:$G,'.Auxiliar'!F:F,"-",0)</f>
        <v>1.1999999999999957</v>
      </c>
      <c r="G877" s="59" t="s">
        <v>1742</v>
      </c>
      <c r="H877" s="108" t="s">
        <v>0</v>
      </c>
      <c r="I877" s="109" t="s">
        <v>0</v>
      </c>
      <c r="J877" s="109" t="s">
        <v>0</v>
      </c>
      <c r="K877" s="109" t="s">
        <v>0</v>
      </c>
      <c r="L877" s="109" t="s">
        <v>0</v>
      </c>
      <c r="M877" s="109" t="s">
        <v>0</v>
      </c>
      <c r="N877" s="110" t="s">
        <v>363</v>
      </c>
      <c r="O877" s="111"/>
      <c r="P877" s="112"/>
      <c r="Q877" s="112"/>
      <c r="R877" s="112"/>
      <c r="S877" s="112"/>
      <c r="T877" s="112"/>
      <c r="U877" s="95" t="str">
        <f t="shared" si="42"/>
        <v/>
      </c>
      <c r="V877" s="112"/>
      <c r="W877" s="112"/>
      <c r="X877" s="107">
        <v>100</v>
      </c>
      <c r="Y877" s="107">
        <f t="shared" si="43"/>
        <v>100</v>
      </c>
      <c r="Z877" s="107">
        <f t="shared" si="44"/>
        <v>0</v>
      </c>
    </row>
    <row r="878" spans="1:26" x14ac:dyDescent="0.25">
      <c r="A878" s="55" t="str">
        <f>_xlfn.XLOOKUP($G878,'.Auxiliar'!$G:$G,'.Auxiliar'!A:A,"-",0)</f>
        <v>RIO/SP</v>
      </c>
      <c r="B878" s="55" t="str">
        <f>_xlfn.XLOOKUP($G878,'.Auxiliar'!$G:$G,'.Auxiliar'!B:B,"-",0)</f>
        <v>FX ADICIONAL</v>
      </c>
      <c r="C878" s="55" t="str">
        <f>_xlfn.XLOOKUP($G878,'.Auxiliar'!$G:$G,'.Auxiliar'!C:C,"-",0)</f>
        <v>3ª faixa (LE)</v>
      </c>
      <c r="D878" s="55">
        <f>_xlfn.XLOOKUP($G878,'.Auxiliar'!$G:$G,'.Auxiliar'!D:D,"-",0)</f>
        <v>46.1</v>
      </c>
      <c r="E878" s="55">
        <f>_xlfn.XLOOKUP($G878,'.Auxiliar'!$G:$G,'.Auxiliar'!E:E,"-",0)</f>
        <v>47.3</v>
      </c>
      <c r="F878" s="55">
        <f>_xlfn.XLOOKUP($G878,'.Auxiliar'!$G:$G,'.Auxiliar'!F:F,"-",0)</f>
        <v>1.1999999999999957</v>
      </c>
      <c r="G878" s="59" t="s">
        <v>1743</v>
      </c>
      <c r="H878" s="108" t="s">
        <v>0</v>
      </c>
      <c r="I878" s="109" t="s">
        <v>0</v>
      </c>
      <c r="J878" s="109" t="s">
        <v>0</v>
      </c>
      <c r="K878" s="109" t="s">
        <v>0</v>
      </c>
      <c r="L878" s="109" t="s">
        <v>0</v>
      </c>
      <c r="M878" s="109" t="s">
        <v>0</v>
      </c>
      <c r="N878" s="110" t="s">
        <v>363</v>
      </c>
      <c r="O878" s="111"/>
      <c r="P878" s="112"/>
      <c r="Q878" s="112"/>
      <c r="R878" s="112"/>
      <c r="S878" s="112"/>
      <c r="T878" s="112"/>
      <c r="U878" s="95" t="str">
        <f t="shared" si="42"/>
        <v/>
      </c>
      <c r="V878" s="112"/>
      <c r="W878" s="112"/>
      <c r="X878" s="107">
        <v>100</v>
      </c>
      <c r="Y878" s="107">
        <f t="shared" si="43"/>
        <v>100</v>
      </c>
      <c r="Z878" s="107">
        <f t="shared" si="44"/>
        <v>0</v>
      </c>
    </row>
    <row r="879" spans="1:26" x14ac:dyDescent="0.25">
      <c r="A879" s="55" t="str">
        <f>_xlfn.XLOOKUP($G879,'.Auxiliar'!$G:$G,'.Auxiliar'!A:A,"-",0)</f>
        <v>RIO/SP</v>
      </c>
      <c r="B879" s="55" t="str">
        <f>_xlfn.XLOOKUP($G879,'.Auxiliar'!$G:$G,'.Auxiliar'!B:B,"-",0)</f>
        <v>FX ADICIONAL</v>
      </c>
      <c r="C879" s="55" t="str">
        <f>_xlfn.XLOOKUP($G879,'.Auxiliar'!$G:$G,'.Auxiliar'!C:C,"-",0)</f>
        <v>3ª faixa (LE)</v>
      </c>
      <c r="D879" s="55">
        <f>_xlfn.XLOOKUP($G879,'.Auxiliar'!$G:$G,'.Auxiliar'!D:D,"-",0)</f>
        <v>502.4</v>
      </c>
      <c r="E879" s="55">
        <f>_xlfn.XLOOKUP($G879,'.Auxiliar'!$G:$G,'.Auxiliar'!E:E,"-",0)</f>
        <v>504</v>
      </c>
      <c r="F879" s="55">
        <f>_xlfn.XLOOKUP($G879,'.Auxiliar'!$G:$G,'.Auxiliar'!F:F,"-",0)</f>
        <v>1.6000000000000227</v>
      </c>
      <c r="G879" s="59" t="s">
        <v>1766</v>
      </c>
      <c r="H879" s="108" t="s">
        <v>0</v>
      </c>
      <c r="I879" s="109" t="s">
        <v>0</v>
      </c>
      <c r="J879" s="109" t="s">
        <v>0</v>
      </c>
      <c r="K879" s="109" t="s">
        <v>0</v>
      </c>
      <c r="L879" s="109" t="s">
        <v>0</v>
      </c>
      <c r="M879" s="109" t="s">
        <v>0</v>
      </c>
      <c r="N879" s="110" t="s">
        <v>363</v>
      </c>
      <c r="O879" s="111"/>
      <c r="P879" s="112"/>
      <c r="Q879" s="112"/>
      <c r="R879" s="112"/>
      <c r="S879" s="112"/>
      <c r="T879" s="112"/>
      <c r="U879" s="95" t="str">
        <f t="shared" si="42"/>
        <v/>
      </c>
      <c r="V879" s="112"/>
      <c r="W879" s="112"/>
      <c r="X879" s="107">
        <v>100</v>
      </c>
      <c r="Y879" s="107">
        <f t="shared" si="43"/>
        <v>100</v>
      </c>
      <c r="Z879" s="107">
        <f t="shared" si="44"/>
        <v>0</v>
      </c>
    </row>
    <row r="880" spans="1:26" x14ac:dyDescent="0.25">
      <c r="A880" s="55" t="str">
        <f>_xlfn.XLOOKUP($G880,'.Auxiliar'!$G:$G,'.Auxiliar'!A:A,"-",0)</f>
        <v>RIO/SP</v>
      </c>
      <c r="B880" s="55" t="str">
        <f>_xlfn.XLOOKUP($G880,'.Auxiliar'!$G:$G,'.Auxiliar'!B:B,"-",0)</f>
        <v>FX ADICIONAL</v>
      </c>
      <c r="C880" s="55" t="str">
        <f>_xlfn.XLOOKUP($G880,'.Auxiliar'!$G:$G,'.Auxiliar'!C:C,"-",0)</f>
        <v>3ª faixa (LE)</v>
      </c>
      <c r="D880" s="55">
        <f>_xlfn.XLOOKUP($G880,'.Auxiliar'!$G:$G,'.Auxiliar'!D:D,"-",0)</f>
        <v>512</v>
      </c>
      <c r="E880" s="55">
        <f>_xlfn.XLOOKUP($G880,'.Auxiliar'!$G:$G,'.Auxiliar'!E:E,"-",0)</f>
        <v>512.5</v>
      </c>
      <c r="F880" s="55">
        <f>_xlfn.XLOOKUP($G880,'.Auxiliar'!$G:$G,'.Auxiliar'!F:F,"-",0)</f>
        <v>0.5</v>
      </c>
      <c r="G880" s="59" t="s">
        <v>1765</v>
      </c>
      <c r="H880" s="108" t="s">
        <v>0</v>
      </c>
      <c r="I880" s="109" t="s">
        <v>0</v>
      </c>
      <c r="J880" s="109" t="s">
        <v>0</v>
      </c>
      <c r="K880" s="109" t="s">
        <v>0</v>
      </c>
      <c r="L880" s="109" t="s">
        <v>0</v>
      </c>
      <c r="M880" s="109" t="s">
        <v>0</v>
      </c>
      <c r="N880" s="110" t="s">
        <v>363</v>
      </c>
      <c r="O880" s="111"/>
      <c r="P880" s="112"/>
      <c r="Q880" s="112"/>
      <c r="R880" s="112"/>
      <c r="S880" s="112"/>
      <c r="T880" s="112"/>
      <c r="U880" s="95" t="str">
        <f t="shared" si="42"/>
        <v/>
      </c>
      <c r="V880" s="112"/>
      <c r="W880" s="112"/>
      <c r="X880" s="107">
        <v>100</v>
      </c>
      <c r="Y880" s="107">
        <f t="shared" si="43"/>
        <v>100</v>
      </c>
      <c r="Z880" s="107">
        <f t="shared" si="44"/>
        <v>0</v>
      </c>
    </row>
    <row r="881" spans="1:26" x14ac:dyDescent="0.25">
      <c r="A881" s="55" t="str">
        <f>_xlfn.XLOOKUP($G881,'.Auxiliar'!$G:$G,'.Auxiliar'!A:A,"-",0)</f>
        <v>RIO/SP</v>
      </c>
      <c r="B881" s="55" t="str">
        <f>_xlfn.XLOOKUP($G881,'.Auxiliar'!$G:$G,'.Auxiliar'!B:B,"-",0)</f>
        <v>FX ADICIONAL</v>
      </c>
      <c r="C881" s="55" t="str">
        <f>_xlfn.XLOOKUP($G881,'.Auxiliar'!$G:$G,'.Auxiliar'!C:C,"-",0)</f>
        <v>3ª faixa (LE)</v>
      </c>
      <c r="D881" s="55">
        <f>_xlfn.XLOOKUP($G881,'.Auxiliar'!$G:$G,'.Auxiliar'!D:D,"-",0)</f>
        <v>520.20000000000005</v>
      </c>
      <c r="E881" s="55">
        <f>_xlfn.XLOOKUP($G881,'.Auxiliar'!$G:$G,'.Auxiliar'!E:E,"-",0)</f>
        <v>521.5</v>
      </c>
      <c r="F881" s="55">
        <f>_xlfn.XLOOKUP($G881,'.Auxiliar'!$G:$G,'.Auxiliar'!F:F,"-",0)</f>
        <v>1.2999999999999545</v>
      </c>
      <c r="G881" s="59" t="s">
        <v>1764</v>
      </c>
      <c r="H881" s="108" t="s">
        <v>0</v>
      </c>
      <c r="I881" s="109" t="s">
        <v>0</v>
      </c>
      <c r="J881" s="109" t="s">
        <v>0</v>
      </c>
      <c r="K881" s="109" t="s">
        <v>0</v>
      </c>
      <c r="L881" s="109" t="s">
        <v>0</v>
      </c>
      <c r="M881" s="109" t="s">
        <v>0</v>
      </c>
      <c r="N881" s="110" t="s">
        <v>363</v>
      </c>
      <c r="O881" s="111"/>
      <c r="P881" s="112"/>
      <c r="Q881" s="112"/>
      <c r="R881" s="112"/>
      <c r="S881" s="112"/>
      <c r="T881" s="112"/>
      <c r="U881" s="95" t="str">
        <f t="shared" si="42"/>
        <v/>
      </c>
      <c r="V881" s="112"/>
      <c r="W881" s="112"/>
      <c r="X881" s="107">
        <v>100</v>
      </c>
      <c r="Y881" s="107">
        <f t="shared" si="43"/>
        <v>100</v>
      </c>
      <c r="Z881" s="107">
        <f t="shared" si="44"/>
        <v>0</v>
      </c>
    </row>
    <row r="882" spans="1:26" x14ac:dyDescent="0.25">
      <c r="A882" s="55" t="str">
        <f>_xlfn.XLOOKUP($G882,'.Auxiliar'!$G:$G,'.Auxiliar'!A:A,"-",0)</f>
        <v>RIO/SP</v>
      </c>
      <c r="B882" s="55" t="str">
        <f>_xlfn.XLOOKUP($G882,'.Auxiliar'!$G:$G,'.Auxiliar'!B:B,"-",0)</f>
        <v>FX ADICIONAL</v>
      </c>
      <c r="C882" s="55" t="str">
        <f>_xlfn.XLOOKUP($G882,'.Auxiliar'!$G:$G,'.Auxiliar'!C:C,"-",0)</f>
        <v>3ª faixa (LE)</v>
      </c>
      <c r="D882" s="55">
        <f>_xlfn.XLOOKUP($G882,'.Auxiliar'!$G:$G,'.Auxiliar'!D:D,"-",0)</f>
        <v>522.9</v>
      </c>
      <c r="E882" s="55">
        <f>_xlfn.XLOOKUP($G882,'.Auxiliar'!$G:$G,'.Auxiliar'!E:E,"-",0)</f>
        <v>523.70000000000005</v>
      </c>
      <c r="F882" s="55">
        <f>_xlfn.XLOOKUP($G882,'.Auxiliar'!$G:$G,'.Auxiliar'!F:F,"-",0)</f>
        <v>0.80000000000006821</v>
      </c>
      <c r="G882" s="59" t="s">
        <v>1763</v>
      </c>
      <c r="H882" s="108" t="s">
        <v>0</v>
      </c>
      <c r="I882" s="109" t="s">
        <v>0</v>
      </c>
      <c r="J882" s="109" t="s">
        <v>0</v>
      </c>
      <c r="K882" s="109" t="s">
        <v>0</v>
      </c>
      <c r="L882" s="109" t="s">
        <v>0</v>
      </c>
      <c r="M882" s="109" t="s">
        <v>0</v>
      </c>
      <c r="N882" s="110" t="s">
        <v>363</v>
      </c>
      <c r="O882" s="111"/>
      <c r="P882" s="112"/>
      <c r="Q882" s="112"/>
      <c r="R882" s="112"/>
      <c r="S882" s="112"/>
      <c r="T882" s="112"/>
      <c r="U882" s="95" t="str">
        <f t="shared" si="42"/>
        <v/>
      </c>
      <c r="V882" s="112"/>
      <c r="W882" s="112"/>
      <c r="X882" s="107">
        <v>100</v>
      </c>
      <c r="Y882" s="107">
        <f t="shared" si="43"/>
        <v>100</v>
      </c>
      <c r="Z882" s="107">
        <f t="shared" si="44"/>
        <v>0</v>
      </c>
    </row>
    <row r="883" spans="1:26" x14ac:dyDescent="0.25">
      <c r="A883" s="55" t="str">
        <f>_xlfn.XLOOKUP($G883,'.Auxiliar'!$G:$G,'.Auxiliar'!A:A,"-",0)</f>
        <v>RIO/SP</v>
      </c>
      <c r="B883" s="55" t="str">
        <f>_xlfn.XLOOKUP($G883,'.Auxiliar'!$G:$G,'.Auxiliar'!B:B,"-",0)</f>
        <v>FX ADICIONAL</v>
      </c>
      <c r="C883" s="55" t="str">
        <f>_xlfn.XLOOKUP($G883,'.Auxiliar'!$G:$G,'.Auxiliar'!C:C,"-",0)</f>
        <v>3ª faixa (LE)</v>
      </c>
      <c r="D883" s="55">
        <f>_xlfn.XLOOKUP($G883,'.Auxiliar'!$G:$G,'.Auxiliar'!D:D,"-",0)</f>
        <v>527.4</v>
      </c>
      <c r="E883" s="55">
        <f>_xlfn.XLOOKUP($G883,'.Auxiliar'!$G:$G,'.Auxiliar'!E:E,"-",0)</f>
        <v>528.79999999999995</v>
      </c>
      <c r="F883" s="55">
        <f>_xlfn.XLOOKUP($G883,'.Auxiliar'!$G:$G,'.Auxiliar'!F:F,"-",0)</f>
        <v>1.3999999999999773</v>
      </c>
      <c r="G883" s="59" t="s">
        <v>1762</v>
      </c>
      <c r="H883" s="108" t="s">
        <v>0</v>
      </c>
      <c r="I883" s="109" t="s">
        <v>0</v>
      </c>
      <c r="J883" s="109" t="s">
        <v>0</v>
      </c>
      <c r="K883" s="109" t="s">
        <v>0</v>
      </c>
      <c r="L883" s="109" t="s">
        <v>0</v>
      </c>
      <c r="M883" s="109" t="s">
        <v>0</v>
      </c>
      <c r="N883" s="110" t="s">
        <v>363</v>
      </c>
      <c r="O883" s="111"/>
      <c r="P883" s="112"/>
      <c r="Q883" s="112"/>
      <c r="R883" s="112"/>
      <c r="S883" s="112"/>
      <c r="T883" s="112"/>
      <c r="U883" s="95" t="str">
        <f t="shared" si="42"/>
        <v/>
      </c>
      <c r="V883" s="112"/>
      <c r="W883" s="112"/>
      <c r="X883" s="107">
        <v>100</v>
      </c>
      <c r="Y883" s="107">
        <f t="shared" si="43"/>
        <v>100</v>
      </c>
      <c r="Z883" s="107">
        <f t="shared" si="44"/>
        <v>0</v>
      </c>
    </row>
    <row r="884" spans="1:26" x14ac:dyDescent="0.25">
      <c r="A884" s="55" t="str">
        <f>_xlfn.XLOOKUP($G884,'.Auxiliar'!$G:$G,'.Auxiliar'!A:A,"-",0)</f>
        <v>RIO/SP</v>
      </c>
      <c r="B884" s="55" t="str">
        <f>_xlfn.XLOOKUP($G884,'.Auxiliar'!$G:$G,'.Auxiliar'!B:B,"-",0)</f>
        <v>FX ADICIONAL</v>
      </c>
      <c r="C884" s="55" t="str">
        <f>_xlfn.XLOOKUP($G884,'.Auxiliar'!$G:$G,'.Auxiliar'!C:C,"-",0)</f>
        <v>3ª faixa (LE)</v>
      </c>
      <c r="D884" s="55">
        <f>_xlfn.XLOOKUP($G884,'.Auxiliar'!$G:$G,'.Auxiliar'!D:D,"-",0)</f>
        <v>530</v>
      </c>
      <c r="E884" s="55">
        <f>_xlfn.XLOOKUP($G884,'.Auxiliar'!$G:$G,'.Auxiliar'!E:E,"-",0)</f>
        <v>531.20000000000005</v>
      </c>
      <c r="F884" s="55">
        <f>_xlfn.XLOOKUP($G884,'.Auxiliar'!$G:$G,'.Auxiliar'!F:F,"-",0)</f>
        <v>1.2000000000000455</v>
      </c>
      <c r="G884" s="59" t="s">
        <v>1778</v>
      </c>
      <c r="H884" s="108" t="s">
        <v>0</v>
      </c>
      <c r="I884" s="109" t="s">
        <v>0</v>
      </c>
      <c r="J884" s="109" t="s">
        <v>0</v>
      </c>
      <c r="K884" s="109" t="s">
        <v>0</v>
      </c>
      <c r="L884" s="109" t="s">
        <v>0</v>
      </c>
      <c r="M884" s="109" t="s">
        <v>0</v>
      </c>
      <c r="N884" s="110" t="s">
        <v>363</v>
      </c>
      <c r="O884" s="111"/>
      <c r="P884" s="112"/>
      <c r="Q884" s="112"/>
      <c r="R884" s="112"/>
      <c r="S884" s="112"/>
      <c r="T884" s="112"/>
      <c r="U884" s="95" t="str">
        <f t="shared" si="42"/>
        <v/>
      </c>
      <c r="V884" s="112"/>
      <c r="W884" s="112"/>
      <c r="X884" s="107">
        <v>100</v>
      </c>
      <c r="Y884" s="107">
        <f t="shared" si="43"/>
        <v>100</v>
      </c>
      <c r="Z884" s="107">
        <f t="shared" si="44"/>
        <v>0</v>
      </c>
    </row>
    <row r="885" spans="1:26" x14ac:dyDescent="0.25">
      <c r="A885" s="55" t="str">
        <f>_xlfn.XLOOKUP($G885,'.Auxiliar'!$G:$G,'.Auxiliar'!A:A,"-",0)</f>
        <v>RIO/SP</v>
      </c>
      <c r="B885" s="55" t="str">
        <f>_xlfn.XLOOKUP($G885,'.Auxiliar'!$G:$G,'.Auxiliar'!B:B,"-",0)</f>
        <v>FX ADICIONAL</v>
      </c>
      <c r="C885" s="55" t="str">
        <f>_xlfn.XLOOKUP($G885,'.Auxiliar'!$G:$G,'.Auxiliar'!C:C,"-",0)</f>
        <v>3ª faixa (LE)</v>
      </c>
      <c r="D885" s="55">
        <f>_xlfn.XLOOKUP($G885,'.Auxiliar'!$G:$G,'.Auxiliar'!D:D,"-",0)</f>
        <v>541.1</v>
      </c>
      <c r="E885" s="55">
        <f>_xlfn.XLOOKUP($G885,'.Auxiliar'!$G:$G,'.Auxiliar'!E:E,"-",0)</f>
        <v>541.9</v>
      </c>
      <c r="F885" s="55">
        <f>_xlfn.XLOOKUP($G885,'.Auxiliar'!$G:$G,'.Auxiliar'!F:F,"-",0)</f>
        <v>0.79999999999995453</v>
      </c>
      <c r="G885" s="59" t="s">
        <v>1777</v>
      </c>
      <c r="H885" s="108" t="s">
        <v>0</v>
      </c>
      <c r="I885" s="109" t="s">
        <v>0</v>
      </c>
      <c r="J885" s="109" t="s">
        <v>0</v>
      </c>
      <c r="K885" s="109" t="s">
        <v>0</v>
      </c>
      <c r="L885" s="109" t="s">
        <v>0</v>
      </c>
      <c r="M885" s="109" t="s">
        <v>0</v>
      </c>
      <c r="N885" s="110" t="s">
        <v>363</v>
      </c>
      <c r="O885" s="111"/>
      <c r="P885" s="112"/>
      <c r="Q885" s="112"/>
      <c r="R885" s="112"/>
      <c r="S885" s="112"/>
      <c r="T885" s="112"/>
      <c r="U885" s="95" t="str">
        <f t="shared" si="42"/>
        <v/>
      </c>
      <c r="V885" s="112"/>
      <c r="W885" s="112"/>
      <c r="X885" s="107">
        <v>100</v>
      </c>
      <c r="Y885" s="107">
        <f t="shared" si="43"/>
        <v>100</v>
      </c>
      <c r="Z885" s="107">
        <f t="shared" si="44"/>
        <v>0</v>
      </c>
    </row>
    <row r="886" spans="1:26" x14ac:dyDescent="0.25">
      <c r="A886" s="55" t="str">
        <f>_xlfn.XLOOKUP($G886,'.Auxiliar'!$G:$G,'.Auxiliar'!A:A,"-",0)</f>
        <v>RIO/SP</v>
      </c>
      <c r="B886" s="55" t="str">
        <f>_xlfn.XLOOKUP($G886,'.Auxiliar'!$G:$G,'.Auxiliar'!B:B,"-",0)</f>
        <v>FX ADICIONAL</v>
      </c>
      <c r="C886" s="55" t="str">
        <f>_xlfn.XLOOKUP($G886,'.Auxiliar'!$G:$G,'.Auxiliar'!C:C,"-",0)</f>
        <v>3ª faixa (LE)</v>
      </c>
      <c r="D886" s="55">
        <f>_xlfn.XLOOKUP($G886,'.Auxiliar'!$G:$G,'.Auxiliar'!D:D,"-",0)</f>
        <v>548</v>
      </c>
      <c r="E886" s="55">
        <f>_xlfn.XLOOKUP($G886,'.Auxiliar'!$G:$G,'.Auxiliar'!E:E,"-",0)</f>
        <v>549.6</v>
      </c>
      <c r="F886" s="55">
        <f>_xlfn.XLOOKUP($G886,'.Auxiliar'!$G:$G,'.Auxiliar'!F:F,"-",0)</f>
        <v>1.6000000000000227</v>
      </c>
      <c r="G886" s="59" t="s">
        <v>1776</v>
      </c>
      <c r="H886" s="108" t="s">
        <v>0</v>
      </c>
      <c r="I886" s="109" t="s">
        <v>0</v>
      </c>
      <c r="J886" s="109" t="s">
        <v>0</v>
      </c>
      <c r="K886" s="109" t="s">
        <v>0</v>
      </c>
      <c r="L886" s="109" t="s">
        <v>0</v>
      </c>
      <c r="M886" s="109" t="s">
        <v>0</v>
      </c>
      <c r="N886" s="110" t="s">
        <v>363</v>
      </c>
      <c r="O886" s="111"/>
      <c r="P886" s="112"/>
      <c r="Q886" s="112"/>
      <c r="R886" s="112"/>
      <c r="S886" s="112"/>
      <c r="T886" s="112"/>
      <c r="U886" s="95" t="str">
        <f t="shared" si="42"/>
        <v/>
      </c>
      <c r="V886" s="112"/>
      <c r="W886" s="112"/>
      <c r="X886" s="107">
        <v>100</v>
      </c>
      <c r="Y886" s="107">
        <f t="shared" si="43"/>
        <v>100</v>
      </c>
      <c r="Z886" s="107">
        <f t="shared" si="44"/>
        <v>0</v>
      </c>
    </row>
    <row r="887" spans="1:26" x14ac:dyDescent="0.25">
      <c r="A887" s="55" t="str">
        <f>_xlfn.XLOOKUP($G887,'.Auxiliar'!$G:$G,'.Auxiliar'!A:A,"-",0)</f>
        <v>RIO/SP</v>
      </c>
      <c r="B887" s="55" t="str">
        <f>_xlfn.XLOOKUP($G887,'.Auxiliar'!$G:$G,'.Auxiliar'!B:B,"-",0)</f>
        <v>FX ADICIONAL</v>
      </c>
      <c r="C887" s="55" t="str">
        <f>_xlfn.XLOOKUP($G887,'.Auxiliar'!$G:$G,'.Auxiliar'!C:C,"-",0)</f>
        <v>3ª faixa (LE)</v>
      </c>
      <c r="D887" s="55">
        <f>_xlfn.XLOOKUP($G887,'.Auxiliar'!$G:$G,'.Auxiliar'!D:D,"-",0)</f>
        <v>553.6</v>
      </c>
      <c r="E887" s="55">
        <f>_xlfn.XLOOKUP($G887,'.Auxiliar'!$G:$G,'.Auxiliar'!E:E,"-",0)</f>
        <v>555.6</v>
      </c>
      <c r="F887" s="55">
        <f>_xlfn.XLOOKUP($G887,'.Auxiliar'!$G:$G,'.Auxiliar'!F:F,"-",0)</f>
        <v>2</v>
      </c>
      <c r="G887" s="59" t="s">
        <v>1775</v>
      </c>
      <c r="H887" s="108" t="s">
        <v>0</v>
      </c>
      <c r="I887" s="109" t="s">
        <v>0</v>
      </c>
      <c r="J887" s="109" t="s">
        <v>0</v>
      </c>
      <c r="K887" s="109" t="s">
        <v>0</v>
      </c>
      <c r="L887" s="109" t="s">
        <v>0</v>
      </c>
      <c r="M887" s="109" t="s">
        <v>0</v>
      </c>
      <c r="N887" s="110" t="s">
        <v>363</v>
      </c>
      <c r="O887" s="111"/>
      <c r="P887" s="112"/>
      <c r="Q887" s="112"/>
      <c r="R887" s="112"/>
      <c r="S887" s="112"/>
      <c r="T887" s="112"/>
      <c r="U887" s="95" t="str">
        <f t="shared" si="42"/>
        <v/>
      </c>
      <c r="V887" s="112"/>
      <c r="W887" s="112"/>
      <c r="X887" s="107">
        <v>100</v>
      </c>
      <c r="Y887" s="107">
        <f t="shared" si="43"/>
        <v>100</v>
      </c>
      <c r="Z887" s="107">
        <f t="shared" si="44"/>
        <v>0</v>
      </c>
    </row>
    <row r="888" spans="1:26" x14ac:dyDescent="0.25">
      <c r="A888" s="55" t="str">
        <f>_xlfn.XLOOKUP($G888,'.Auxiliar'!$G:$G,'.Auxiliar'!A:A,"-",0)</f>
        <v>RIO/SP</v>
      </c>
      <c r="B888" s="55" t="str">
        <f>_xlfn.XLOOKUP($G888,'.Auxiliar'!$G:$G,'.Auxiliar'!B:B,"-",0)</f>
        <v>FX ADICIONAL</v>
      </c>
      <c r="C888" s="55" t="str">
        <f>_xlfn.XLOOKUP($G888,'.Auxiliar'!$G:$G,'.Auxiliar'!C:C,"-",0)</f>
        <v>3ª faixa (LE)</v>
      </c>
      <c r="D888" s="55">
        <f>_xlfn.XLOOKUP($G888,'.Auxiliar'!$G:$G,'.Auxiliar'!D:D,"-",0)</f>
        <v>565</v>
      </c>
      <c r="E888" s="55">
        <f>_xlfn.XLOOKUP($G888,'.Auxiliar'!$G:$G,'.Auxiliar'!E:E,"-",0)</f>
        <v>566.6</v>
      </c>
      <c r="F888" s="55">
        <f>_xlfn.XLOOKUP($G888,'.Auxiliar'!$G:$G,'.Auxiliar'!F:F,"-",0)</f>
        <v>1.6000000000000227</v>
      </c>
      <c r="G888" s="59" t="s">
        <v>1774</v>
      </c>
      <c r="H888" s="108" t="s">
        <v>0</v>
      </c>
      <c r="I888" s="109" t="s">
        <v>0</v>
      </c>
      <c r="J888" s="109" t="s">
        <v>0</v>
      </c>
      <c r="K888" s="109" t="s">
        <v>0</v>
      </c>
      <c r="L888" s="109" t="s">
        <v>0</v>
      </c>
      <c r="M888" s="109" t="s">
        <v>0</v>
      </c>
      <c r="N888" s="110" t="s">
        <v>363</v>
      </c>
      <c r="O888" s="111"/>
      <c r="P888" s="112"/>
      <c r="Q888" s="112"/>
      <c r="R888" s="112"/>
      <c r="S888" s="112"/>
      <c r="T888" s="112"/>
      <c r="U888" s="95" t="str">
        <f t="shared" si="42"/>
        <v/>
      </c>
      <c r="V888" s="112"/>
      <c r="W888" s="112"/>
      <c r="X888" s="107">
        <v>100</v>
      </c>
      <c r="Y888" s="107">
        <f t="shared" si="43"/>
        <v>100</v>
      </c>
      <c r="Z888" s="107">
        <f t="shared" si="44"/>
        <v>0</v>
      </c>
    </row>
    <row r="889" spans="1:26" x14ac:dyDescent="0.25">
      <c r="A889" s="55" t="str">
        <f>_xlfn.XLOOKUP($G889,'.Auxiliar'!$G:$G,'.Auxiliar'!A:A,"-",0)</f>
        <v>RIO/SP</v>
      </c>
      <c r="B889" s="55" t="str">
        <f>_xlfn.XLOOKUP($G889,'.Auxiliar'!$G:$G,'.Auxiliar'!B:B,"-",0)</f>
        <v>FX ADICIONAL</v>
      </c>
      <c r="C889" s="55" t="str">
        <f>_xlfn.XLOOKUP($G889,'.Auxiliar'!$G:$G,'.Auxiliar'!C:C,"-",0)</f>
        <v>3ª faixa (LE)</v>
      </c>
      <c r="D889" s="55">
        <f>_xlfn.XLOOKUP($G889,'.Auxiliar'!$G:$G,'.Auxiliar'!D:D,"-",0)</f>
        <v>573.1</v>
      </c>
      <c r="E889" s="55">
        <f>_xlfn.XLOOKUP($G889,'.Auxiliar'!$G:$G,'.Auxiliar'!E:E,"-",0)</f>
        <v>574.70000000000005</v>
      </c>
      <c r="F889" s="55">
        <f>_xlfn.XLOOKUP($G889,'.Auxiliar'!$G:$G,'.Auxiliar'!F:F,"-",0)</f>
        <v>1.6000000000000227</v>
      </c>
      <c r="G889" s="59" t="s">
        <v>1773</v>
      </c>
      <c r="H889" s="108" t="s">
        <v>0</v>
      </c>
      <c r="I889" s="109" t="s">
        <v>0</v>
      </c>
      <c r="J889" s="109" t="s">
        <v>0</v>
      </c>
      <c r="K889" s="109" t="s">
        <v>0</v>
      </c>
      <c r="L889" s="109" t="s">
        <v>0</v>
      </c>
      <c r="M889" s="109" t="s">
        <v>0</v>
      </c>
      <c r="N889" s="110" t="s">
        <v>363</v>
      </c>
      <c r="O889" s="111"/>
      <c r="P889" s="112"/>
      <c r="Q889" s="112"/>
      <c r="R889" s="112"/>
      <c r="S889" s="112"/>
      <c r="T889" s="112"/>
      <c r="U889" s="95" t="str">
        <f t="shared" si="42"/>
        <v/>
      </c>
      <c r="V889" s="112"/>
      <c r="W889" s="112"/>
      <c r="X889" s="107">
        <v>100</v>
      </c>
      <c r="Y889" s="107">
        <f t="shared" si="43"/>
        <v>100</v>
      </c>
      <c r="Z889" s="107">
        <f t="shared" si="44"/>
        <v>0</v>
      </c>
    </row>
    <row r="890" spans="1:26" x14ac:dyDescent="0.25">
      <c r="A890" s="55" t="str">
        <f>_xlfn.XLOOKUP($G890,'.Auxiliar'!$G:$G,'.Auxiliar'!A:A,"-",0)</f>
        <v>RIO/SP</v>
      </c>
      <c r="B890" s="55" t="str">
        <f>_xlfn.XLOOKUP($G890,'.Auxiliar'!$G:$G,'.Auxiliar'!B:B,"-",0)</f>
        <v>OAE</v>
      </c>
      <c r="C890" s="55" t="str">
        <f>_xlfn.XLOOKUP($G890,'.Auxiliar'!$G:$G,'.Auxiliar'!C:C,"-",0)</f>
        <v>Intersecção Diamante</v>
      </c>
      <c r="D890" s="55">
        <f>_xlfn.XLOOKUP($G890,'.Auxiliar'!$G:$G,'.Auxiliar'!D:D,"-",0)</f>
        <v>105.6</v>
      </c>
      <c r="E890" s="55">
        <f>_xlfn.XLOOKUP($G890,'.Auxiliar'!$G:$G,'.Auxiliar'!E:E,"-",0)</f>
        <v>105.6</v>
      </c>
      <c r="F890" s="55">
        <f>_xlfn.XLOOKUP($G890,'.Auxiliar'!$G:$G,'.Auxiliar'!F:F,"-",0)</f>
        <v>1</v>
      </c>
      <c r="G890" s="59" t="s">
        <v>1368</v>
      </c>
      <c r="H890" s="108" t="s">
        <v>0</v>
      </c>
      <c r="I890" s="109" t="s">
        <v>0</v>
      </c>
      <c r="J890" s="109" t="s">
        <v>0</v>
      </c>
      <c r="K890" s="109" t="s">
        <v>0</v>
      </c>
      <c r="L890" s="109" t="s">
        <v>0</v>
      </c>
      <c r="M890" s="109" t="s">
        <v>0</v>
      </c>
      <c r="N890" s="110" t="s">
        <v>363</v>
      </c>
      <c r="O890" s="111"/>
      <c r="P890" s="112"/>
      <c r="Q890" s="112"/>
      <c r="R890" s="112"/>
      <c r="S890" s="112"/>
      <c r="T890" s="112"/>
      <c r="U890" s="95" t="str">
        <f t="shared" si="42"/>
        <v/>
      </c>
      <c r="V890" s="112"/>
      <c r="W890" s="112"/>
      <c r="X890" s="107">
        <v>100</v>
      </c>
      <c r="Y890" s="107">
        <f t="shared" si="43"/>
        <v>100</v>
      </c>
      <c r="Z890" s="107">
        <f t="shared" si="44"/>
        <v>0</v>
      </c>
    </row>
    <row r="891" spans="1:26" x14ac:dyDescent="0.25">
      <c r="A891" s="55" t="str">
        <f>_xlfn.XLOOKUP($G891,'.Auxiliar'!$G:$G,'.Auxiliar'!A:A,"-",0)</f>
        <v>RIO/SP</v>
      </c>
      <c r="B891" s="55" t="str">
        <f>_xlfn.XLOOKUP($G891,'.Auxiliar'!$G:$G,'.Auxiliar'!B:B,"-",0)</f>
        <v>OAE</v>
      </c>
      <c r="C891" s="55" t="str">
        <f>_xlfn.XLOOKUP($G891,'.Auxiliar'!$G:$G,'.Auxiliar'!C:C,"-",0)</f>
        <v>Intersecção Diamante</v>
      </c>
      <c r="D891" s="55">
        <f>_xlfn.XLOOKUP($G891,'.Auxiliar'!$G:$G,'.Auxiliar'!D:D,"-",0)</f>
        <v>124.8</v>
      </c>
      <c r="E891" s="55">
        <f>_xlfn.XLOOKUP($G891,'.Auxiliar'!$G:$G,'.Auxiliar'!E:E,"-",0)</f>
        <v>124.8</v>
      </c>
      <c r="F891" s="55">
        <f>_xlfn.XLOOKUP($G891,'.Auxiliar'!$G:$G,'.Auxiliar'!F:F,"-",0)</f>
        <v>1</v>
      </c>
      <c r="G891" s="59" t="s">
        <v>1298</v>
      </c>
      <c r="H891" s="108" t="s">
        <v>0</v>
      </c>
      <c r="I891" s="109" t="s">
        <v>0</v>
      </c>
      <c r="J891" s="109" t="s">
        <v>0</v>
      </c>
      <c r="K891" s="109" t="s">
        <v>0</v>
      </c>
      <c r="L891" s="109" t="s">
        <v>0</v>
      </c>
      <c r="M891" s="109" t="s">
        <v>363</v>
      </c>
      <c r="N891" s="110" t="s">
        <v>0</v>
      </c>
      <c r="O891" s="111"/>
      <c r="P891" s="112"/>
      <c r="Q891" s="112"/>
      <c r="R891" s="112"/>
      <c r="S891" s="112"/>
      <c r="T891" s="112"/>
      <c r="U891" s="95" t="str">
        <f t="shared" si="42"/>
        <v/>
      </c>
      <c r="V891" s="112"/>
      <c r="W891" s="112">
        <v>100</v>
      </c>
      <c r="X891" s="107"/>
      <c r="Y891" s="107">
        <f t="shared" si="43"/>
        <v>100</v>
      </c>
      <c r="Z891" s="107">
        <f t="shared" si="44"/>
        <v>0</v>
      </c>
    </row>
    <row r="892" spans="1:26" x14ac:dyDescent="0.25">
      <c r="A892" s="55" t="str">
        <f>_xlfn.XLOOKUP($G892,'.Auxiliar'!$G:$G,'.Auxiliar'!A:A,"-",0)</f>
        <v>RIO/SP</v>
      </c>
      <c r="B892" s="55" t="str">
        <f>_xlfn.XLOOKUP($G892,'.Auxiliar'!$G:$G,'.Auxiliar'!B:B,"-",0)</f>
        <v>OAE</v>
      </c>
      <c r="C892" s="55" t="str">
        <f>_xlfn.XLOOKUP($G892,'.Auxiliar'!$G:$G,'.Auxiliar'!C:C,"-",0)</f>
        <v>Intersecção Diamante</v>
      </c>
      <c r="D892" s="55">
        <f>_xlfn.XLOOKUP($G892,'.Auxiliar'!$G:$G,'.Auxiliar'!D:D,"-",0)</f>
        <v>127.4</v>
      </c>
      <c r="E892" s="55">
        <f>_xlfn.XLOOKUP($G892,'.Auxiliar'!$G:$G,'.Auxiliar'!E:E,"-",0)</f>
        <v>127.4</v>
      </c>
      <c r="F892" s="55">
        <f>_xlfn.XLOOKUP($G892,'.Auxiliar'!$G:$G,'.Auxiliar'!F:F,"-",0)</f>
        <v>1</v>
      </c>
      <c r="G892" s="59" t="s">
        <v>1264</v>
      </c>
      <c r="H892" s="108" t="s">
        <v>0</v>
      </c>
      <c r="I892" s="109" t="s">
        <v>0</v>
      </c>
      <c r="J892" s="109" t="s">
        <v>0</v>
      </c>
      <c r="K892" s="109" t="s">
        <v>0</v>
      </c>
      <c r="L892" s="109" t="s">
        <v>363</v>
      </c>
      <c r="M892" s="109" t="s">
        <v>0</v>
      </c>
      <c r="N892" s="110" t="s">
        <v>0</v>
      </c>
      <c r="O892" s="111"/>
      <c r="P892" s="112"/>
      <c r="Q892" s="112"/>
      <c r="R892" s="112"/>
      <c r="S892" s="112"/>
      <c r="T892" s="112"/>
      <c r="U892" s="95" t="str">
        <f t="shared" si="42"/>
        <v/>
      </c>
      <c r="V892" s="112">
        <v>100</v>
      </c>
      <c r="W892" s="112"/>
      <c r="X892" s="107"/>
      <c r="Y892" s="107">
        <f t="shared" si="43"/>
        <v>100</v>
      </c>
      <c r="Z892" s="107">
        <f t="shared" si="44"/>
        <v>0</v>
      </c>
    </row>
    <row r="893" spans="1:26" x14ac:dyDescent="0.25">
      <c r="A893" s="55" t="str">
        <f>_xlfn.XLOOKUP($G893,'.Auxiliar'!$G:$G,'.Auxiliar'!A:A,"-",0)</f>
        <v>RIO/SP</v>
      </c>
      <c r="B893" s="55" t="str">
        <f>_xlfn.XLOOKUP($G893,'.Auxiliar'!$G:$G,'.Auxiliar'!B:B,"-",0)</f>
        <v>OAE</v>
      </c>
      <c r="C893" s="55" t="str">
        <f>_xlfn.XLOOKUP($G893,'.Auxiliar'!$G:$G,'.Auxiliar'!C:C,"-",0)</f>
        <v>Intersecção Diamante</v>
      </c>
      <c r="D893" s="55">
        <f>_xlfn.XLOOKUP($G893,'.Auxiliar'!$G:$G,'.Auxiliar'!D:D,"-",0)</f>
        <v>237.48</v>
      </c>
      <c r="E893" s="55">
        <f>_xlfn.XLOOKUP($G893,'.Auxiliar'!$G:$G,'.Auxiliar'!E:E,"-",0)</f>
        <v>237.48</v>
      </c>
      <c r="F893" s="55">
        <f>_xlfn.XLOOKUP($G893,'.Auxiliar'!$G:$G,'.Auxiliar'!F:F,"-",0)</f>
        <v>1</v>
      </c>
      <c r="G893" s="59" t="s">
        <v>1422</v>
      </c>
      <c r="H893" s="108" t="s">
        <v>0</v>
      </c>
      <c r="I893" s="109" t="s">
        <v>0</v>
      </c>
      <c r="J893" s="109" t="s">
        <v>0</v>
      </c>
      <c r="K893" s="109" t="s">
        <v>0</v>
      </c>
      <c r="L893" s="109" t="s">
        <v>0</v>
      </c>
      <c r="M893" s="109" t="s">
        <v>0</v>
      </c>
      <c r="N893" s="110" t="s">
        <v>363</v>
      </c>
      <c r="O893" s="111"/>
      <c r="P893" s="112"/>
      <c r="Q893" s="112"/>
      <c r="R893" s="112"/>
      <c r="S893" s="112"/>
      <c r="T893" s="112"/>
      <c r="U893" s="95" t="str">
        <f t="shared" si="42"/>
        <v/>
      </c>
      <c r="V893" s="112"/>
      <c r="W893" s="112"/>
      <c r="X893" s="107">
        <v>100</v>
      </c>
      <c r="Y893" s="107">
        <f t="shared" si="43"/>
        <v>100</v>
      </c>
      <c r="Z893" s="107">
        <f t="shared" si="44"/>
        <v>0</v>
      </c>
    </row>
    <row r="894" spans="1:26" x14ac:dyDescent="0.25">
      <c r="A894" s="55" t="str">
        <f>_xlfn.XLOOKUP($G894,'.Auxiliar'!$G:$G,'.Auxiliar'!A:A,"-",0)</f>
        <v>RIO/SP</v>
      </c>
      <c r="B894" s="55" t="str">
        <f>_xlfn.XLOOKUP($G894,'.Auxiliar'!$G:$G,'.Auxiliar'!B:B,"-",0)</f>
        <v>OAE</v>
      </c>
      <c r="C894" s="55" t="str">
        <f>_xlfn.XLOOKUP($G894,'.Auxiliar'!$G:$G,'.Auxiliar'!C:C,"-",0)</f>
        <v>Intersecção Diamante</v>
      </c>
      <c r="D894" s="55">
        <f>_xlfn.XLOOKUP($G894,'.Auxiliar'!$G:$G,'.Auxiliar'!D:D,"-",0)</f>
        <v>241.05</v>
      </c>
      <c r="E894" s="55">
        <f>_xlfn.XLOOKUP($G894,'.Auxiliar'!$G:$G,'.Auxiliar'!E:E,"-",0)</f>
        <v>241.05</v>
      </c>
      <c r="F894" s="55">
        <f>_xlfn.XLOOKUP($G894,'.Auxiliar'!$G:$G,'.Auxiliar'!F:F,"-",0)</f>
        <v>1</v>
      </c>
      <c r="G894" s="59" t="s">
        <v>1423</v>
      </c>
      <c r="H894" s="108" t="s">
        <v>0</v>
      </c>
      <c r="I894" s="109" t="s">
        <v>0</v>
      </c>
      <c r="J894" s="109" t="s">
        <v>0</v>
      </c>
      <c r="K894" s="109" t="s">
        <v>0</v>
      </c>
      <c r="L894" s="109" t="s">
        <v>0</v>
      </c>
      <c r="M894" s="109" t="s">
        <v>0</v>
      </c>
      <c r="N894" s="110" t="s">
        <v>363</v>
      </c>
      <c r="O894" s="111"/>
      <c r="P894" s="112"/>
      <c r="Q894" s="112"/>
      <c r="R894" s="112"/>
      <c r="S894" s="112"/>
      <c r="T894" s="112"/>
      <c r="U894" s="95" t="str">
        <f t="shared" si="42"/>
        <v/>
      </c>
      <c r="V894" s="112"/>
      <c r="W894" s="112"/>
      <c r="X894" s="107">
        <v>100</v>
      </c>
      <c r="Y894" s="107">
        <f t="shared" si="43"/>
        <v>100</v>
      </c>
      <c r="Z894" s="107">
        <f t="shared" si="44"/>
        <v>0</v>
      </c>
    </row>
    <row r="895" spans="1:26" x14ac:dyDescent="0.25">
      <c r="A895" s="55" t="str">
        <f>_xlfn.XLOOKUP($G895,'.Auxiliar'!$G:$G,'.Auxiliar'!A:A,"-",0)</f>
        <v>RIO/SP</v>
      </c>
      <c r="B895" s="55" t="str">
        <f>_xlfn.XLOOKUP($G895,'.Auxiliar'!$G:$G,'.Auxiliar'!B:B,"-",0)</f>
        <v>OAE</v>
      </c>
      <c r="C895" s="55" t="str">
        <f>_xlfn.XLOOKUP($G895,'.Auxiliar'!$G:$G,'.Auxiliar'!C:C,"-",0)</f>
        <v>Intersecção Diamante</v>
      </c>
      <c r="D895" s="55">
        <f>_xlfn.XLOOKUP($G895,'.Auxiliar'!$G:$G,'.Auxiliar'!D:D,"-",0)</f>
        <v>245.11</v>
      </c>
      <c r="E895" s="55">
        <f>_xlfn.XLOOKUP($G895,'.Auxiliar'!$G:$G,'.Auxiliar'!E:E,"-",0)</f>
        <v>245.11</v>
      </c>
      <c r="F895" s="55">
        <f>_xlfn.XLOOKUP($G895,'.Auxiliar'!$G:$G,'.Auxiliar'!F:F,"-",0)</f>
        <v>1</v>
      </c>
      <c r="G895" s="59" t="s">
        <v>1424</v>
      </c>
      <c r="H895" s="108" t="s">
        <v>0</v>
      </c>
      <c r="I895" s="109" t="s">
        <v>0</v>
      </c>
      <c r="J895" s="109" t="s">
        <v>0</v>
      </c>
      <c r="K895" s="109" t="s">
        <v>0</v>
      </c>
      <c r="L895" s="109" t="s">
        <v>0</v>
      </c>
      <c r="M895" s="109" t="s">
        <v>0</v>
      </c>
      <c r="N895" s="110" t="s">
        <v>363</v>
      </c>
      <c r="O895" s="111"/>
      <c r="P895" s="112"/>
      <c r="Q895" s="112"/>
      <c r="R895" s="112"/>
      <c r="S895" s="112"/>
      <c r="T895" s="112"/>
      <c r="U895" s="95" t="str">
        <f t="shared" si="42"/>
        <v/>
      </c>
      <c r="V895" s="112"/>
      <c r="W895" s="112"/>
      <c r="X895" s="107">
        <v>100</v>
      </c>
      <c r="Y895" s="107">
        <f t="shared" si="43"/>
        <v>100</v>
      </c>
      <c r="Z895" s="107">
        <f t="shared" si="44"/>
        <v>0</v>
      </c>
    </row>
    <row r="896" spans="1:26" x14ac:dyDescent="0.25">
      <c r="A896" s="55" t="str">
        <f>_xlfn.XLOOKUP($G896,'.Auxiliar'!$G:$G,'.Auxiliar'!A:A,"-",0)</f>
        <v>RIO/SP</v>
      </c>
      <c r="B896" s="55" t="str">
        <f>_xlfn.XLOOKUP($G896,'.Auxiliar'!$G:$G,'.Auxiliar'!B:B,"-",0)</f>
        <v>OAE</v>
      </c>
      <c r="C896" s="55" t="str">
        <f>_xlfn.XLOOKUP($G896,'.Auxiliar'!$G:$G,'.Auxiliar'!C:C,"-",0)</f>
        <v>Intersecção Diamante</v>
      </c>
      <c r="D896" s="55">
        <f>_xlfn.XLOOKUP($G896,'.Auxiliar'!$G:$G,'.Auxiliar'!D:D,"-",0)</f>
        <v>303.27999999999997</v>
      </c>
      <c r="E896" s="55">
        <f>_xlfn.XLOOKUP($G896,'.Auxiliar'!$G:$G,'.Auxiliar'!E:E,"-",0)</f>
        <v>303.27999999999997</v>
      </c>
      <c r="F896" s="55">
        <f>_xlfn.XLOOKUP($G896,'.Auxiliar'!$G:$G,'.Auxiliar'!F:F,"-",0)</f>
        <v>1</v>
      </c>
      <c r="G896" s="59" t="s">
        <v>1304</v>
      </c>
      <c r="H896" s="108" t="s">
        <v>0</v>
      </c>
      <c r="I896" s="109" t="s">
        <v>0</v>
      </c>
      <c r="J896" s="109" t="s">
        <v>0</v>
      </c>
      <c r="K896" s="109" t="s">
        <v>0</v>
      </c>
      <c r="L896" s="109" t="s">
        <v>0</v>
      </c>
      <c r="M896" s="109" t="s">
        <v>363</v>
      </c>
      <c r="N896" s="110" t="s">
        <v>0</v>
      </c>
      <c r="O896" s="111"/>
      <c r="P896" s="112"/>
      <c r="Q896" s="112"/>
      <c r="R896" s="112"/>
      <c r="S896" s="112"/>
      <c r="T896" s="112"/>
      <c r="U896" s="95" t="str">
        <f t="shared" si="42"/>
        <v/>
      </c>
      <c r="V896" s="112"/>
      <c r="W896" s="112">
        <v>100</v>
      </c>
      <c r="X896" s="107"/>
      <c r="Y896" s="107">
        <f t="shared" si="43"/>
        <v>100</v>
      </c>
      <c r="Z896" s="107">
        <f t="shared" si="44"/>
        <v>0</v>
      </c>
    </row>
    <row r="897" spans="1:26" x14ac:dyDescent="0.25">
      <c r="A897" s="55" t="str">
        <f>_xlfn.XLOOKUP($G897,'.Auxiliar'!$G:$G,'.Auxiliar'!A:A,"-",0)</f>
        <v>RIO/SP</v>
      </c>
      <c r="B897" s="55" t="str">
        <f>_xlfn.XLOOKUP($G897,'.Auxiliar'!$G:$G,'.Auxiliar'!B:B,"-",0)</f>
        <v>OAE</v>
      </c>
      <c r="C897" s="55" t="str">
        <f>_xlfn.XLOOKUP($G897,'.Auxiliar'!$G:$G,'.Auxiliar'!C:C,"-",0)</f>
        <v>Intersecção Diamante</v>
      </c>
      <c r="D897" s="55">
        <f>_xlfn.XLOOKUP($G897,'.Auxiliar'!$G:$G,'.Auxiliar'!D:D,"-",0)</f>
        <v>37.9</v>
      </c>
      <c r="E897" s="55">
        <f>_xlfn.XLOOKUP($G897,'.Auxiliar'!$G:$G,'.Auxiliar'!E:E,"-",0)</f>
        <v>37.9</v>
      </c>
      <c r="F897" s="55">
        <f>_xlfn.XLOOKUP($G897,'.Auxiliar'!$G:$G,'.Auxiliar'!F:F,"-",0)</f>
        <v>1</v>
      </c>
      <c r="G897" s="59" t="s">
        <v>1360</v>
      </c>
      <c r="H897" s="108" t="s">
        <v>0</v>
      </c>
      <c r="I897" s="109" t="s">
        <v>0</v>
      </c>
      <c r="J897" s="109" t="s">
        <v>0</v>
      </c>
      <c r="K897" s="109" t="s">
        <v>0</v>
      </c>
      <c r="L897" s="109" t="s">
        <v>0</v>
      </c>
      <c r="M897" s="109" t="s">
        <v>0</v>
      </c>
      <c r="N897" s="110" t="s">
        <v>363</v>
      </c>
      <c r="O897" s="111"/>
      <c r="P897" s="112"/>
      <c r="Q897" s="112"/>
      <c r="R897" s="112"/>
      <c r="S897" s="112"/>
      <c r="T897" s="112"/>
      <c r="U897" s="95" t="str">
        <f t="shared" si="42"/>
        <v/>
      </c>
      <c r="V897" s="112"/>
      <c r="W897" s="112"/>
      <c r="X897" s="107">
        <v>100</v>
      </c>
      <c r="Y897" s="107">
        <f t="shared" si="43"/>
        <v>100</v>
      </c>
      <c r="Z897" s="107">
        <f t="shared" si="44"/>
        <v>0</v>
      </c>
    </row>
    <row r="898" spans="1:26" x14ac:dyDescent="0.25">
      <c r="A898" s="55" t="str">
        <f>_xlfn.XLOOKUP($G898,'.Auxiliar'!$G:$G,'.Auxiliar'!A:A,"-",0)</f>
        <v>RIO/SP</v>
      </c>
      <c r="B898" s="55" t="str">
        <f>_xlfn.XLOOKUP($G898,'.Auxiliar'!$G:$G,'.Auxiliar'!B:B,"-",0)</f>
        <v>OAE</v>
      </c>
      <c r="C898" s="55" t="str">
        <f>_xlfn.XLOOKUP($G898,'.Auxiliar'!$G:$G,'.Auxiliar'!C:C,"-",0)</f>
        <v>Intersecção Diamante</v>
      </c>
      <c r="D898" s="55">
        <f>_xlfn.XLOOKUP($G898,'.Auxiliar'!$G:$G,'.Auxiliar'!D:D,"-",0)</f>
        <v>420.7</v>
      </c>
      <c r="E898" s="55">
        <f>_xlfn.XLOOKUP($G898,'.Auxiliar'!$G:$G,'.Auxiliar'!E:E,"-",0)</f>
        <v>420.7</v>
      </c>
      <c r="F898" s="55">
        <f>_xlfn.XLOOKUP($G898,'.Auxiliar'!$G:$G,'.Auxiliar'!F:F,"-",0)</f>
        <v>1</v>
      </c>
      <c r="G898" s="59" t="s">
        <v>1473</v>
      </c>
      <c r="H898" s="108" t="s">
        <v>0</v>
      </c>
      <c r="I898" s="109" t="s">
        <v>0</v>
      </c>
      <c r="J898" s="109" t="s">
        <v>0</v>
      </c>
      <c r="K898" s="109" t="s">
        <v>0</v>
      </c>
      <c r="L898" s="109" t="s">
        <v>0</v>
      </c>
      <c r="M898" s="109" t="s">
        <v>0</v>
      </c>
      <c r="N898" s="110" t="s">
        <v>363</v>
      </c>
      <c r="O898" s="111"/>
      <c r="P898" s="112"/>
      <c r="Q898" s="112"/>
      <c r="R898" s="112"/>
      <c r="S898" s="112"/>
      <c r="T898" s="112"/>
      <c r="U898" s="95" t="str">
        <f t="shared" si="42"/>
        <v/>
      </c>
      <c r="V898" s="112"/>
      <c r="W898" s="112"/>
      <c r="X898" s="107">
        <v>100</v>
      </c>
      <c r="Y898" s="107">
        <f t="shared" si="43"/>
        <v>100</v>
      </c>
      <c r="Z898" s="107">
        <f t="shared" si="44"/>
        <v>0</v>
      </c>
    </row>
    <row r="899" spans="1:26" x14ac:dyDescent="0.25">
      <c r="A899" s="55" t="str">
        <f>_xlfn.XLOOKUP($G899,'.Auxiliar'!$G:$G,'.Auxiliar'!A:A,"-",0)</f>
        <v>RIO/SP</v>
      </c>
      <c r="B899" s="55" t="str">
        <f>_xlfn.XLOOKUP($G899,'.Auxiliar'!$G:$G,'.Auxiliar'!B:B,"-",0)</f>
        <v>OAE</v>
      </c>
      <c r="C899" s="55" t="str">
        <f>_xlfn.XLOOKUP($G899,'.Auxiliar'!$G:$G,'.Auxiliar'!C:C,"-",0)</f>
        <v>Intersecção Diamante</v>
      </c>
      <c r="D899" s="55">
        <f>_xlfn.XLOOKUP($G899,'.Auxiliar'!$G:$G,'.Auxiliar'!D:D,"-",0)</f>
        <v>423.2</v>
      </c>
      <c r="E899" s="55">
        <f>_xlfn.XLOOKUP($G899,'.Auxiliar'!$G:$G,'.Auxiliar'!E:E,"-",0)</f>
        <v>423.2</v>
      </c>
      <c r="F899" s="55">
        <f>_xlfn.XLOOKUP($G899,'.Auxiliar'!$G:$G,'.Auxiliar'!F:F,"-",0)</f>
        <v>1</v>
      </c>
      <c r="G899" s="59" t="s">
        <v>1474</v>
      </c>
      <c r="H899" s="108" t="s">
        <v>0</v>
      </c>
      <c r="I899" s="109" t="s">
        <v>0</v>
      </c>
      <c r="J899" s="109" t="s">
        <v>0</v>
      </c>
      <c r="K899" s="109" t="s">
        <v>0</v>
      </c>
      <c r="L899" s="109" t="s">
        <v>0</v>
      </c>
      <c r="M899" s="109" t="s">
        <v>0</v>
      </c>
      <c r="N899" s="110" t="s">
        <v>363</v>
      </c>
      <c r="O899" s="111"/>
      <c r="P899" s="112"/>
      <c r="Q899" s="112"/>
      <c r="R899" s="112"/>
      <c r="S899" s="112"/>
      <c r="T899" s="112"/>
      <c r="U899" s="95" t="str">
        <f t="shared" ref="U899:U962" si="45">IF(SUM(V899:X899)=100,"",100-(P899+R899))</f>
        <v/>
      </c>
      <c r="V899" s="112"/>
      <c r="W899" s="112"/>
      <c r="X899" s="107">
        <v>100</v>
      </c>
      <c r="Y899" s="107">
        <f t="shared" ref="Y899:Y962" si="46">SUM(P899,R899,S899,V899,W899,X899)</f>
        <v>100</v>
      </c>
      <c r="Z899" s="107">
        <f t="shared" ref="Z899:Z962" si="47">SUM(P899,R899,T899)</f>
        <v>0</v>
      </c>
    </row>
    <row r="900" spans="1:26" x14ac:dyDescent="0.25">
      <c r="A900" s="55" t="str">
        <f>_xlfn.XLOOKUP($G900,'.Auxiliar'!$G:$G,'.Auxiliar'!A:A,"-",0)</f>
        <v>RIO/SP</v>
      </c>
      <c r="B900" s="55" t="str">
        <f>_xlfn.XLOOKUP($G900,'.Auxiliar'!$G:$G,'.Auxiliar'!B:B,"-",0)</f>
        <v>OAE</v>
      </c>
      <c r="C900" s="55" t="str">
        <f>_xlfn.XLOOKUP($G900,'.Auxiliar'!$G:$G,'.Auxiliar'!C:C,"-",0)</f>
        <v>Intersecção Diamante</v>
      </c>
      <c r="D900" s="55">
        <f>_xlfn.XLOOKUP($G900,'.Auxiliar'!$G:$G,'.Auxiliar'!D:D,"-",0)</f>
        <v>428.5</v>
      </c>
      <c r="E900" s="55">
        <f>_xlfn.XLOOKUP($G900,'.Auxiliar'!$G:$G,'.Auxiliar'!E:E,"-",0)</f>
        <v>428.5</v>
      </c>
      <c r="F900" s="55">
        <f>_xlfn.XLOOKUP($G900,'.Auxiliar'!$G:$G,'.Auxiliar'!F:F,"-",0)</f>
        <v>1</v>
      </c>
      <c r="G900" s="59" t="s">
        <v>1475</v>
      </c>
      <c r="H900" s="108" t="s">
        <v>0</v>
      </c>
      <c r="I900" s="109" t="s">
        <v>0</v>
      </c>
      <c r="J900" s="109" t="s">
        <v>0</v>
      </c>
      <c r="K900" s="109" t="s">
        <v>0</v>
      </c>
      <c r="L900" s="109" t="s">
        <v>0</v>
      </c>
      <c r="M900" s="109" t="s">
        <v>0</v>
      </c>
      <c r="N900" s="110" t="s">
        <v>363</v>
      </c>
      <c r="O900" s="111"/>
      <c r="P900" s="112"/>
      <c r="Q900" s="112"/>
      <c r="R900" s="112"/>
      <c r="S900" s="112"/>
      <c r="T900" s="112"/>
      <c r="U900" s="95" t="str">
        <f t="shared" si="45"/>
        <v/>
      </c>
      <c r="V900" s="112"/>
      <c r="W900" s="112"/>
      <c r="X900" s="107">
        <v>100</v>
      </c>
      <c r="Y900" s="107">
        <f t="shared" si="46"/>
        <v>100</v>
      </c>
      <c r="Z900" s="107">
        <f t="shared" si="47"/>
        <v>0</v>
      </c>
    </row>
    <row r="901" spans="1:26" x14ac:dyDescent="0.25">
      <c r="A901" s="55" t="str">
        <f>_xlfn.XLOOKUP($G901,'.Auxiliar'!$G:$G,'.Auxiliar'!A:A,"-",0)</f>
        <v>RIO/SP</v>
      </c>
      <c r="B901" s="55" t="str">
        <f>_xlfn.XLOOKUP($G901,'.Auxiliar'!$G:$G,'.Auxiliar'!B:B,"-",0)</f>
        <v>OAE</v>
      </c>
      <c r="C901" s="55" t="str">
        <f>_xlfn.XLOOKUP($G901,'.Auxiliar'!$G:$G,'.Auxiliar'!C:C,"-",0)</f>
        <v>Intersecção Diamante</v>
      </c>
      <c r="D901" s="55">
        <f>_xlfn.XLOOKUP($G901,'.Auxiliar'!$G:$G,'.Auxiliar'!D:D,"-",0)</f>
        <v>43.6</v>
      </c>
      <c r="E901" s="55">
        <f>_xlfn.XLOOKUP($G901,'.Auxiliar'!$G:$G,'.Auxiliar'!E:E,"-",0)</f>
        <v>43.6</v>
      </c>
      <c r="F901" s="55">
        <f>_xlfn.XLOOKUP($G901,'.Auxiliar'!$G:$G,'.Auxiliar'!F:F,"-",0)</f>
        <v>1</v>
      </c>
      <c r="G901" s="59" t="s">
        <v>1416</v>
      </c>
      <c r="H901" s="108" t="s">
        <v>0</v>
      </c>
      <c r="I901" s="109" t="s">
        <v>0</v>
      </c>
      <c r="J901" s="109" t="s">
        <v>0</v>
      </c>
      <c r="K901" s="109" t="s">
        <v>0</v>
      </c>
      <c r="L901" s="109" t="s">
        <v>0</v>
      </c>
      <c r="M901" s="109" t="s">
        <v>0</v>
      </c>
      <c r="N901" s="110" t="s">
        <v>363</v>
      </c>
      <c r="O901" s="111"/>
      <c r="P901" s="112"/>
      <c r="Q901" s="112"/>
      <c r="R901" s="112"/>
      <c r="S901" s="112"/>
      <c r="T901" s="112"/>
      <c r="U901" s="95" t="str">
        <f t="shared" si="45"/>
        <v/>
      </c>
      <c r="V901" s="112"/>
      <c r="W901" s="112"/>
      <c r="X901" s="107">
        <v>100</v>
      </c>
      <c r="Y901" s="107">
        <f t="shared" si="46"/>
        <v>100</v>
      </c>
      <c r="Z901" s="107">
        <f t="shared" si="47"/>
        <v>0</v>
      </c>
    </row>
    <row r="902" spans="1:26" x14ac:dyDescent="0.25">
      <c r="A902" s="55" t="str">
        <f>_xlfn.XLOOKUP($G902,'.Auxiliar'!$G:$G,'.Auxiliar'!A:A,"-",0)</f>
        <v>RIO/SP</v>
      </c>
      <c r="B902" s="55" t="str">
        <f>_xlfn.XLOOKUP($G902,'.Auxiliar'!$G:$G,'.Auxiliar'!B:B,"-",0)</f>
        <v>OAE</v>
      </c>
      <c r="C902" s="55" t="str">
        <f>_xlfn.XLOOKUP($G902,'.Auxiliar'!$G:$G,'.Auxiliar'!C:C,"-",0)</f>
        <v>Intersecção Diamante</v>
      </c>
      <c r="D902" s="55">
        <f>_xlfn.XLOOKUP($G902,'.Auxiliar'!$G:$G,'.Auxiliar'!D:D,"-",0)</f>
        <v>433.5</v>
      </c>
      <c r="E902" s="55">
        <f>_xlfn.XLOOKUP($G902,'.Auxiliar'!$G:$G,'.Auxiliar'!E:E,"-",0)</f>
        <v>433.5</v>
      </c>
      <c r="F902" s="55">
        <f>_xlfn.XLOOKUP($G902,'.Auxiliar'!$G:$G,'.Auxiliar'!F:F,"-",0)</f>
        <v>1</v>
      </c>
      <c r="G902" s="59" t="s">
        <v>1476</v>
      </c>
      <c r="H902" s="108" t="s">
        <v>0</v>
      </c>
      <c r="I902" s="109" t="s">
        <v>0</v>
      </c>
      <c r="J902" s="109" t="s">
        <v>0</v>
      </c>
      <c r="K902" s="109" t="s">
        <v>0</v>
      </c>
      <c r="L902" s="109" t="s">
        <v>0</v>
      </c>
      <c r="M902" s="109" t="s">
        <v>0</v>
      </c>
      <c r="N902" s="110" t="s">
        <v>363</v>
      </c>
      <c r="O902" s="111"/>
      <c r="P902" s="112"/>
      <c r="Q902" s="112"/>
      <c r="R902" s="112"/>
      <c r="S902" s="112"/>
      <c r="T902" s="112"/>
      <c r="U902" s="95" t="str">
        <f t="shared" si="45"/>
        <v/>
      </c>
      <c r="V902" s="112"/>
      <c r="W902" s="112"/>
      <c r="X902" s="107">
        <v>100</v>
      </c>
      <c r="Y902" s="107">
        <f t="shared" si="46"/>
        <v>100</v>
      </c>
      <c r="Z902" s="107">
        <f t="shared" si="47"/>
        <v>0</v>
      </c>
    </row>
    <row r="903" spans="1:26" x14ac:dyDescent="0.25">
      <c r="A903" s="55" t="str">
        <f>_xlfn.XLOOKUP($G903,'.Auxiliar'!$G:$G,'.Auxiliar'!A:A,"-",0)</f>
        <v>RIO/SP</v>
      </c>
      <c r="B903" s="55" t="str">
        <f>_xlfn.XLOOKUP($G903,'.Auxiliar'!$G:$G,'.Auxiliar'!B:B,"-",0)</f>
        <v>OAE</v>
      </c>
      <c r="C903" s="55" t="str">
        <f>_xlfn.XLOOKUP($G903,'.Auxiliar'!$G:$G,'.Auxiliar'!C:C,"-",0)</f>
        <v>Intersecção Diamante</v>
      </c>
      <c r="D903" s="55">
        <f>_xlfn.XLOOKUP($G903,'.Auxiliar'!$G:$G,'.Auxiliar'!D:D,"-",0)</f>
        <v>456</v>
      </c>
      <c r="E903" s="55">
        <f>_xlfn.XLOOKUP($G903,'.Auxiliar'!$G:$G,'.Auxiliar'!E:E,"-",0)</f>
        <v>456</v>
      </c>
      <c r="F903" s="55">
        <f>_xlfn.XLOOKUP($G903,'.Auxiliar'!$G:$G,'.Auxiliar'!F:F,"-",0)</f>
        <v>1</v>
      </c>
      <c r="G903" s="59" t="s">
        <v>1477</v>
      </c>
      <c r="H903" s="108" t="s">
        <v>0</v>
      </c>
      <c r="I903" s="109" t="s">
        <v>0</v>
      </c>
      <c r="J903" s="109" t="s">
        <v>0</v>
      </c>
      <c r="K903" s="109" t="s">
        <v>0</v>
      </c>
      <c r="L903" s="109" t="s">
        <v>0</v>
      </c>
      <c r="M903" s="109" t="s">
        <v>0</v>
      </c>
      <c r="N903" s="110" t="s">
        <v>363</v>
      </c>
      <c r="O903" s="111"/>
      <c r="P903" s="112"/>
      <c r="Q903" s="112"/>
      <c r="R903" s="112"/>
      <c r="S903" s="112"/>
      <c r="T903" s="112"/>
      <c r="U903" s="95" t="str">
        <f t="shared" si="45"/>
        <v/>
      </c>
      <c r="V903" s="112"/>
      <c r="W903" s="112"/>
      <c r="X903" s="107">
        <v>100</v>
      </c>
      <c r="Y903" s="107">
        <f t="shared" si="46"/>
        <v>100</v>
      </c>
      <c r="Z903" s="107">
        <f t="shared" si="47"/>
        <v>0</v>
      </c>
    </row>
    <row r="904" spans="1:26" x14ac:dyDescent="0.25">
      <c r="A904" s="55" t="str">
        <f>_xlfn.XLOOKUP($G904,'.Auxiliar'!$G:$G,'.Auxiliar'!A:A,"-",0)</f>
        <v>RIO/SP</v>
      </c>
      <c r="B904" s="55" t="str">
        <f>_xlfn.XLOOKUP($G904,'.Auxiliar'!$G:$G,'.Auxiliar'!B:B,"-",0)</f>
        <v>OAE</v>
      </c>
      <c r="C904" s="55" t="str">
        <f>_xlfn.XLOOKUP($G904,'.Auxiliar'!$G:$G,'.Auxiliar'!C:C,"-",0)</f>
        <v>Intersecção Diamante</v>
      </c>
      <c r="D904" s="55">
        <f>_xlfn.XLOOKUP($G904,'.Auxiliar'!$G:$G,'.Auxiliar'!D:D,"-",0)</f>
        <v>456.8</v>
      </c>
      <c r="E904" s="55">
        <f>_xlfn.XLOOKUP($G904,'.Auxiliar'!$G:$G,'.Auxiliar'!E:E,"-",0)</f>
        <v>456.8</v>
      </c>
      <c r="F904" s="55">
        <f>_xlfn.XLOOKUP($G904,'.Auxiliar'!$G:$G,'.Auxiliar'!F:F,"-",0)</f>
        <v>1</v>
      </c>
      <c r="G904" s="59" t="s">
        <v>1478</v>
      </c>
      <c r="H904" s="108" t="s">
        <v>0</v>
      </c>
      <c r="I904" s="109" t="s">
        <v>0</v>
      </c>
      <c r="J904" s="109" t="s">
        <v>0</v>
      </c>
      <c r="K904" s="109" t="s">
        <v>0</v>
      </c>
      <c r="L904" s="109" t="s">
        <v>0</v>
      </c>
      <c r="M904" s="109" t="s">
        <v>0</v>
      </c>
      <c r="N904" s="110" t="s">
        <v>363</v>
      </c>
      <c r="O904" s="111"/>
      <c r="P904" s="112"/>
      <c r="Q904" s="112"/>
      <c r="R904" s="112"/>
      <c r="S904" s="112"/>
      <c r="T904" s="112"/>
      <c r="U904" s="95" t="str">
        <f t="shared" si="45"/>
        <v/>
      </c>
      <c r="V904" s="112"/>
      <c r="W904" s="112"/>
      <c r="X904" s="107">
        <v>100</v>
      </c>
      <c r="Y904" s="107">
        <f t="shared" si="46"/>
        <v>100</v>
      </c>
      <c r="Z904" s="107">
        <f t="shared" si="47"/>
        <v>0</v>
      </c>
    </row>
    <row r="905" spans="1:26" x14ac:dyDescent="0.25">
      <c r="A905" s="55" t="str">
        <f>_xlfn.XLOOKUP($G905,'.Auxiliar'!$G:$G,'.Auxiliar'!A:A,"-",0)</f>
        <v>RIO/SP</v>
      </c>
      <c r="B905" s="55" t="str">
        <f>_xlfn.XLOOKUP($G905,'.Auxiliar'!$G:$G,'.Auxiliar'!B:B,"-",0)</f>
        <v>OAE</v>
      </c>
      <c r="C905" s="55" t="str">
        <f>_xlfn.XLOOKUP($G905,'.Auxiliar'!$G:$G,'.Auxiliar'!C:C,"-",0)</f>
        <v>Intersecção Diamante</v>
      </c>
      <c r="D905" s="55">
        <f>_xlfn.XLOOKUP($G905,'.Auxiliar'!$G:$G,'.Auxiliar'!D:D,"-",0)</f>
        <v>47.9</v>
      </c>
      <c r="E905" s="55">
        <f>_xlfn.XLOOKUP($G905,'.Auxiliar'!$G:$G,'.Auxiliar'!E:E,"-",0)</f>
        <v>47.9</v>
      </c>
      <c r="F905" s="55">
        <f>_xlfn.XLOOKUP($G905,'.Auxiliar'!$G:$G,'.Auxiliar'!F:F,"-",0)</f>
        <v>1</v>
      </c>
      <c r="G905" s="59" t="s">
        <v>1417</v>
      </c>
      <c r="H905" s="108" t="s">
        <v>0</v>
      </c>
      <c r="I905" s="109" t="s">
        <v>0</v>
      </c>
      <c r="J905" s="109" t="s">
        <v>0</v>
      </c>
      <c r="K905" s="109" t="s">
        <v>0</v>
      </c>
      <c r="L905" s="109" t="s">
        <v>0</v>
      </c>
      <c r="M905" s="109" t="s">
        <v>0</v>
      </c>
      <c r="N905" s="110" t="s">
        <v>363</v>
      </c>
      <c r="O905" s="111"/>
      <c r="P905" s="112"/>
      <c r="Q905" s="112"/>
      <c r="R905" s="112"/>
      <c r="S905" s="112"/>
      <c r="T905" s="112"/>
      <c r="U905" s="95" t="str">
        <f t="shared" si="45"/>
        <v/>
      </c>
      <c r="V905" s="112"/>
      <c r="W905" s="112"/>
      <c r="X905" s="107">
        <v>100</v>
      </c>
      <c r="Y905" s="107">
        <f t="shared" si="46"/>
        <v>100</v>
      </c>
      <c r="Z905" s="107">
        <f t="shared" si="47"/>
        <v>0</v>
      </c>
    </row>
    <row r="906" spans="1:26" x14ac:dyDescent="0.25">
      <c r="A906" s="55" t="str">
        <f>_xlfn.XLOOKUP($G906,'.Auxiliar'!$G:$G,'.Auxiliar'!A:A,"-",0)</f>
        <v>RIO/SP</v>
      </c>
      <c r="B906" s="55" t="str">
        <f>_xlfn.XLOOKUP($G906,'.Auxiliar'!$G:$G,'.Auxiliar'!B:B,"-",0)</f>
        <v>OAE</v>
      </c>
      <c r="C906" s="55" t="str">
        <f>_xlfn.XLOOKUP($G906,'.Auxiliar'!$G:$G,'.Auxiliar'!C:C,"-",0)</f>
        <v>Intersecção Diamante</v>
      </c>
      <c r="D906" s="55">
        <f>_xlfn.XLOOKUP($G906,'.Auxiliar'!$G:$G,'.Auxiliar'!D:D,"-",0)</f>
        <v>471.1</v>
      </c>
      <c r="E906" s="55">
        <f>_xlfn.XLOOKUP($G906,'.Auxiliar'!$G:$G,'.Auxiliar'!E:E,"-",0)</f>
        <v>471.1</v>
      </c>
      <c r="F906" s="55">
        <f>_xlfn.XLOOKUP($G906,'.Auxiliar'!$G:$G,'.Auxiliar'!F:F,"-",0)</f>
        <v>1</v>
      </c>
      <c r="G906" s="59" t="s">
        <v>1479</v>
      </c>
      <c r="H906" s="108" t="s">
        <v>0</v>
      </c>
      <c r="I906" s="109" t="s">
        <v>0</v>
      </c>
      <c r="J906" s="109" t="s">
        <v>0</v>
      </c>
      <c r="K906" s="109" t="s">
        <v>0</v>
      </c>
      <c r="L906" s="109" t="s">
        <v>0</v>
      </c>
      <c r="M906" s="109" t="s">
        <v>0</v>
      </c>
      <c r="N906" s="110" t="s">
        <v>363</v>
      </c>
      <c r="O906" s="111"/>
      <c r="P906" s="112"/>
      <c r="Q906" s="112"/>
      <c r="R906" s="112"/>
      <c r="S906" s="112"/>
      <c r="T906" s="112"/>
      <c r="U906" s="95" t="str">
        <f t="shared" si="45"/>
        <v/>
      </c>
      <c r="V906" s="112"/>
      <c r="W906" s="112"/>
      <c r="X906" s="107">
        <v>100</v>
      </c>
      <c r="Y906" s="107">
        <f t="shared" si="46"/>
        <v>100</v>
      </c>
      <c r="Z906" s="107">
        <f t="shared" si="47"/>
        <v>0</v>
      </c>
    </row>
    <row r="907" spans="1:26" x14ac:dyDescent="0.25">
      <c r="A907" s="55" t="str">
        <f>_xlfn.XLOOKUP($G907,'.Auxiliar'!$G:$G,'.Auxiliar'!A:A,"-",0)</f>
        <v>RIO/SP</v>
      </c>
      <c r="B907" s="55" t="str">
        <f>_xlfn.XLOOKUP($G907,'.Auxiliar'!$G:$G,'.Auxiliar'!B:B,"-",0)</f>
        <v>OAE</v>
      </c>
      <c r="C907" s="55" t="str">
        <f>_xlfn.XLOOKUP($G907,'.Auxiliar'!$G:$G,'.Auxiliar'!C:C,"-",0)</f>
        <v>Intersecção Diamante</v>
      </c>
      <c r="D907" s="55">
        <f>_xlfn.XLOOKUP($G907,'.Auxiliar'!$G:$G,'.Auxiliar'!D:D,"-",0)</f>
        <v>473.5</v>
      </c>
      <c r="E907" s="55">
        <f>_xlfn.XLOOKUP($G907,'.Auxiliar'!$G:$G,'.Auxiliar'!E:E,"-",0)</f>
        <v>473.5</v>
      </c>
      <c r="F907" s="55">
        <f>_xlfn.XLOOKUP($G907,'.Auxiliar'!$G:$G,'.Auxiliar'!F:F,"-",0)</f>
        <v>1</v>
      </c>
      <c r="G907" s="59" t="s">
        <v>1480</v>
      </c>
      <c r="H907" s="108" t="s">
        <v>0</v>
      </c>
      <c r="I907" s="109" t="s">
        <v>0</v>
      </c>
      <c r="J907" s="109" t="s">
        <v>0</v>
      </c>
      <c r="K907" s="109" t="s">
        <v>0</v>
      </c>
      <c r="L907" s="109" t="s">
        <v>0</v>
      </c>
      <c r="M907" s="109" t="s">
        <v>0</v>
      </c>
      <c r="N907" s="110" t="s">
        <v>363</v>
      </c>
      <c r="O907" s="111"/>
      <c r="P907" s="112"/>
      <c r="Q907" s="112"/>
      <c r="R907" s="112"/>
      <c r="S907" s="112"/>
      <c r="T907" s="112"/>
      <c r="U907" s="95" t="str">
        <f t="shared" si="45"/>
        <v/>
      </c>
      <c r="V907" s="112"/>
      <c r="W907" s="112"/>
      <c r="X907" s="107">
        <v>100</v>
      </c>
      <c r="Y907" s="107">
        <f t="shared" si="46"/>
        <v>100</v>
      </c>
      <c r="Z907" s="107">
        <f t="shared" si="47"/>
        <v>0</v>
      </c>
    </row>
    <row r="908" spans="1:26" x14ac:dyDescent="0.25">
      <c r="A908" s="55" t="str">
        <f>_xlfn.XLOOKUP($G908,'.Auxiliar'!$G:$G,'.Auxiliar'!A:A,"-",0)</f>
        <v>RIO/SP</v>
      </c>
      <c r="B908" s="55" t="str">
        <f>_xlfn.XLOOKUP($G908,'.Auxiliar'!$G:$G,'.Auxiliar'!B:B,"-",0)</f>
        <v>OAE</v>
      </c>
      <c r="C908" s="55" t="str">
        <f>_xlfn.XLOOKUP($G908,'.Auxiliar'!$G:$G,'.Auxiliar'!C:C,"-",0)</f>
        <v>Intersecção Diamante</v>
      </c>
      <c r="D908" s="55">
        <f>_xlfn.XLOOKUP($G908,'.Auxiliar'!$G:$G,'.Auxiliar'!D:D,"-",0)</f>
        <v>477.3</v>
      </c>
      <c r="E908" s="55">
        <f>_xlfn.XLOOKUP($G908,'.Auxiliar'!$G:$G,'.Auxiliar'!E:E,"-",0)</f>
        <v>477.3</v>
      </c>
      <c r="F908" s="55">
        <f>_xlfn.XLOOKUP($G908,'.Auxiliar'!$G:$G,'.Auxiliar'!F:F,"-",0)</f>
        <v>1</v>
      </c>
      <c r="G908" s="59" t="s">
        <v>1481</v>
      </c>
      <c r="H908" s="108" t="s">
        <v>0</v>
      </c>
      <c r="I908" s="109" t="s">
        <v>0</v>
      </c>
      <c r="J908" s="109" t="s">
        <v>0</v>
      </c>
      <c r="K908" s="109" t="s">
        <v>0</v>
      </c>
      <c r="L908" s="109" t="s">
        <v>0</v>
      </c>
      <c r="M908" s="109" t="s">
        <v>0</v>
      </c>
      <c r="N908" s="110" t="s">
        <v>363</v>
      </c>
      <c r="O908" s="111"/>
      <c r="P908" s="112"/>
      <c r="Q908" s="112"/>
      <c r="R908" s="112"/>
      <c r="S908" s="112"/>
      <c r="T908" s="112"/>
      <c r="U908" s="95" t="str">
        <f t="shared" si="45"/>
        <v/>
      </c>
      <c r="V908" s="112"/>
      <c r="W908" s="112"/>
      <c r="X908" s="107">
        <v>100</v>
      </c>
      <c r="Y908" s="107">
        <f t="shared" si="46"/>
        <v>100</v>
      </c>
      <c r="Z908" s="107">
        <f t="shared" si="47"/>
        <v>0</v>
      </c>
    </row>
    <row r="909" spans="1:26" x14ac:dyDescent="0.25">
      <c r="A909" s="55" t="str">
        <f>_xlfn.XLOOKUP($G909,'.Auxiliar'!$G:$G,'.Auxiliar'!A:A,"-",0)</f>
        <v>RIO/SP</v>
      </c>
      <c r="B909" s="55" t="str">
        <f>_xlfn.XLOOKUP($G909,'.Auxiliar'!$G:$G,'.Auxiliar'!B:B,"-",0)</f>
        <v>OAE</v>
      </c>
      <c r="C909" s="55" t="str">
        <f>_xlfn.XLOOKUP($G909,'.Auxiliar'!$G:$G,'.Auxiliar'!C:C,"-",0)</f>
        <v>Intersecção Diamante</v>
      </c>
      <c r="D909" s="55">
        <f>_xlfn.XLOOKUP($G909,'.Auxiliar'!$G:$G,'.Auxiliar'!D:D,"-",0)</f>
        <v>48.3</v>
      </c>
      <c r="E909" s="55">
        <f>_xlfn.XLOOKUP($G909,'.Auxiliar'!$G:$G,'.Auxiliar'!E:E,"-",0)</f>
        <v>48.3</v>
      </c>
      <c r="F909" s="55">
        <f>_xlfn.XLOOKUP($G909,'.Auxiliar'!$G:$G,'.Auxiliar'!F:F,"-",0)</f>
        <v>1</v>
      </c>
      <c r="G909" s="59" t="s">
        <v>1361</v>
      </c>
      <c r="H909" s="108" t="s">
        <v>0</v>
      </c>
      <c r="I909" s="109" t="s">
        <v>0</v>
      </c>
      <c r="J909" s="109" t="s">
        <v>0</v>
      </c>
      <c r="K909" s="109" t="s">
        <v>0</v>
      </c>
      <c r="L909" s="109" t="s">
        <v>0</v>
      </c>
      <c r="M909" s="109" t="s">
        <v>0</v>
      </c>
      <c r="N909" s="110" t="s">
        <v>363</v>
      </c>
      <c r="O909" s="111"/>
      <c r="P909" s="112"/>
      <c r="Q909" s="112"/>
      <c r="R909" s="112"/>
      <c r="S909" s="112"/>
      <c r="T909" s="112"/>
      <c r="U909" s="95" t="str">
        <f t="shared" si="45"/>
        <v/>
      </c>
      <c r="V909" s="112"/>
      <c r="W909" s="112"/>
      <c r="X909" s="107">
        <v>100</v>
      </c>
      <c r="Y909" s="107">
        <f t="shared" si="46"/>
        <v>100</v>
      </c>
      <c r="Z909" s="107">
        <f t="shared" si="47"/>
        <v>0</v>
      </c>
    </row>
    <row r="910" spans="1:26" x14ac:dyDescent="0.25">
      <c r="A910" s="55" t="str">
        <f>_xlfn.XLOOKUP($G910,'.Auxiliar'!$G:$G,'.Auxiliar'!A:A,"-",0)</f>
        <v>RIO/SP</v>
      </c>
      <c r="B910" s="55" t="str">
        <f>_xlfn.XLOOKUP($G910,'.Auxiliar'!$G:$G,'.Auxiliar'!B:B,"-",0)</f>
        <v>OAE</v>
      </c>
      <c r="C910" s="55" t="str">
        <f>_xlfn.XLOOKUP($G910,'.Auxiliar'!$G:$G,'.Auxiliar'!C:C,"-",0)</f>
        <v>Intersecção Diamante</v>
      </c>
      <c r="D910" s="55">
        <f>_xlfn.XLOOKUP($G910,'.Auxiliar'!$G:$G,'.Auxiliar'!D:D,"-",0)</f>
        <v>482.5</v>
      </c>
      <c r="E910" s="55">
        <f>_xlfn.XLOOKUP($G910,'.Auxiliar'!$G:$G,'.Auxiliar'!E:E,"-",0)</f>
        <v>482.5</v>
      </c>
      <c r="F910" s="55">
        <f>_xlfn.XLOOKUP($G910,'.Auxiliar'!$G:$G,'.Auxiliar'!F:F,"-",0)</f>
        <v>1</v>
      </c>
      <c r="G910" s="59" t="s">
        <v>1482</v>
      </c>
      <c r="H910" s="108" t="s">
        <v>0</v>
      </c>
      <c r="I910" s="109" t="s">
        <v>0</v>
      </c>
      <c r="J910" s="109" t="s">
        <v>0</v>
      </c>
      <c r="K910" s="109" t="s">
        <v>0</v>
      </c>
      <c r="L910" s="109" t="s">
        <v>0</v>
      </c>
      <c r="M910" s="109" t="s">
        <v>0</v>
      </c>
      <c r="N910" s="110" t="s">
        <v>363</v>
      </c>
      <c r="O910" s="111"/>
      <c r="P910" s="112"/>
      <c r="Q910" s="112"/>
      <c r="R910" s="112"/>
      <c r="S910" s="112"/>
      <c r="T910" s="112"/>
      <c r="U910" s="95" t="str">
        <f t="shared" si="45"/>
        <v/>
      </c>
      <c r="V910" s="112"/>
      <c r="W910" s="112"/>
      <c r="X910" s="107">
        <v>100</v>
      </c>
      <c r="Y910" s="107">
        <f t="shared" si="46"/>
        <v>100</v>
      </c>
      <c r="Z910" s="107">
        <f t="shared" si="47"/>
        <v>0</v>
      </c>
    </row>
    <row r="911" spans="1:26" x14ac:dyDescent="0.25">
      <c r="A911" s="55" t="str">
        <f>_xlfn.XLOOKUP($G911,'.Auxiliar'!$G:$G,'.Auxiliar'!A:A,"-",0)</f>
        <v>RIO/SP</v>
      </c>
      <c r="B911" s="55" t="str">
        <f>_xlfn.XLOOKUP($G911,'.Auxiliar'!$G:$G,'.Auxiliar'!B:B,"-",0)</f>
        <v>OAE</v>
      </c>
      <c r="C911" s="55" t="str">
        <f>_xlfn.XLOOKUP($G911,'.Auxiliar'!$G:$G,'.Auxiliar'!C:C,"-",0)</f>
        <v>Intersecção Diamante</v>
      </c>
      <c r="D911" s="55">
        <f>_xlfn.XLOOKUP($G911,'.Auxiliar'!$G:$G,'.Auxiliar'!D:D,"-",0)</f>
        <v>485.7</v>
      </c>
      <c r="E911" s="55">
        <f>_xlfn.XLOOKUP($G911,'.Auxiliar'!$G:$G,'.Auxiliar'!E:E,"-",0)</f>
        <v>485.7</v>
      </c>
      <c r="F911" s="55">
        <f>_xlfn.XLOOKUP($G911,'.Auxiliar'!$G:$G,'.Auxiliar'!F:F,"-",0)</f>
        <v>1</v>
      </c>
      <c r="G911" s="59" t="s">
        <v>1483</v>
      </c>
      <c r="H911" s="108" t="s">
        <v>0</v>
      </c>
      <c r="I911" s="109" t="s">
        <v>0</v>
      </c>
      <c r="J911" s="109" t="s">
        <v>0</v>
      </c>
      <c r="K911" s="109" t="s">
        <v>0</v>
      </c>
      <c r="L911" s="109" t="s">
        <v>0</v>
      </c>
      <c r="M911" s="109" t="s">
        <v>0</v>
      </c>
      <c r="N911" s="110" t="s">
        <v>363</v>
      </c>
      <c r="O911" s="111"/>
      <c r="P911" s="112"/>
      <c r="Q911" s="112"/>
      <c r="R911" s="112"/>
      <c r="S911" s="112"/>
      <c r="T911" s="112"/>
      <c r="U911" s="95" t="str">
        <f t="shared" si="45"/>
        <v/>
      </c>
      <c r="V911" s="112"/>
      <c r="W911" s="112"/>
      <c r="X911" s="107">
        <v>100</v>
      </c>
      <c r="Y911" s="107">
        <f t="shared" si="46"/>
        <v>100</v>
      </c>
      <c r="Z911" s="107">
        <f t="shared" si="47"/>
        <v>0</v>
      </c>
    </row>
    <row r="912" spans="1:26" x14ac:dyDescent="0.25">
      <c r="A912" s="55" t="str">
        <f>_xlfn.XLOOKUP($G912,'.Auxiliar'!$G:$G,'.Auxiliar'!A:A,"-",0)</f>
        <v>RIO/SP</v>
      </c>
      <c r="B912" s="55" t="str">
        <f>_xlfn.XLOOKUP($G912,'.Auxiliar'!$G:$G,'.Auxiliar'!B:B,"-",0)</f>
        <v>OAE</v>
      </c>
      <c r="C912" s="55" t="str">
        <f>_xlfn.XLOOKUP($G912,'.Auxiliar'!$G:$G,'.Auxiliar'!C:C,"-",0)</f>
        <v>Intersecção Diamante</v>
      </c>
      <c r="D912" s="55">
        <f>_xlfn.XLOOKUP($G912,'.Auxiliar'!$G:$G,'.Auxiliar'!D:D,"-",0)</f>
        <v>488.3</v>
      </c>
      <c r="E912" s="55">
        <f>_xlfn.XLOOKUP($G912,'.Auxiliar'!$G:$G,'.Auxiliar'!E:E,"-",0)</f>
        <v>488.3</v>
      </c>
      <c r="F912" s="55">
        <f>_xlfn.XLOOKUP($G912,'.Auxiliar'!$G:$G,'.Auxiliar'!F:F,"-",0)</f>
        <v>1</v>
      </c>
      <c r="G912" s="59" t="s">
        <v>1484</v>
      </c>
      <c r="H912" s="108" t="s">
        <v>0</v>
      </c>
      <c r="I912" s="109" t="s">
        <v>0</v>
      </c>
      <c r="J912" s="109" t="s">
        <v>0</v>
      </c>
      <c r="K912" s="109" t="s">
        <v>0</v>
      </c>
      <c r="L912" s="109" t="s">
        <v>0</v>
      </c>
      <c r="M912" s="109" t="s">
        <v>0</v>
      </c>
      <c r="N912" s="110" t="s">
        <v>363</v>
      </c>
      <c r="O912" s="111"/>
      <c r="P912" s="112"/>
      <c r="Q912" s="112"/>
      <c r="R912" s="112"/>
      <c r="S912" s="112"/>
      <c r="T912" s="112"/>
      <c r="U912" s="95" t="str">
        <f t="shared" si="45"/>
        <v/>
      </c>
      <c r="V912" s="112"/>
      <c r="W912" s="112"/>
      <c r="X912" s="107">
        <v>100</v>
      </c>
      <c r="Y912" s="107">
        <f t="shared" si="46"/>
        <v>100</v>
      </c>
      <c r="Z912" s="107">
        <f t="shared" si="47"/>
        <v>0</v>
      </c>
    </row>
    <row r="913" spans="1:26" x14ac:dyDescent="0.25">
      <c r="A913" s="55" t="str">
        <f>_xlfn.XLOOKUP($G913,'.Auxiliar'!$G:$G,'.Auxiliar'!A:A,"-",0)</f>
        <v>RIO/SP</v>
      </c>
      <c r="B913" s="55" t="str">
        <f>_xlfn.XLOOKUP($G913,'.Auxiliar'!$G:$G,'.Auxiliar'!B:B,"-",0)</f>
        <v>OAE</v>
      </c>
      <c r="C913" s="55" t="str">
        <f>_xlfn.XLOOKUP($G913,'.Auxiliar'!$G:$G,'.Auxiliar'!C:C,"-",0)</f>
        <v>Intersecção Diamante</v>
      </c>
      <c r="D913" s="55">
        <f>_xlfn.XLOOKUP($G913,'.Auxiliar'!$G:$G,'.Auxiliar'!D:D,"-",0)</f>
        <v>50.2</v>
      </c>
      <c r="E913" s="55">
        <f>_xlfn.XLOOKUP($G913,'.Auxiliar'!$G:$G,'.Auxiliar'!E:E,"-",0)</f>
        <v>50.2</v>
      </c>
      <c r="F913" s="55">
        <f>_xlfn.XLOOKUP($G913,'.Auxiliar'!$G:$G,'.Auxiliar'!F:F,"-",0)</f>
        <v>1</v>
      </c>
      <c r="G913" s="59" t="s">
        <v>1418</v>
      </c>
      <c r="H913" s="108" t="s">
        <v>0</v>
      </c>
      <c r="I913" s="109" t="s">
        <v>0</v>
      </c>
      <c r="J913" s="109" t="s">
        <v>0</v>
      </c>
      <c r="K913" s="109" t="s">
        <v>0</v>
      </c>
      <c r="L913" s="109" t="s">
        <v>0</v>
      </c>
      <c r="M913" s="109" t="s">
        <v>0</v>
      </c>
      <c r="N913" s="110" t="s">
        <v>363</v>
      </c>
      <c r="O913" s="111"/>
      <c r="P913" s="112"/>
      <c r="Q913" s="112"/>
      <c r="R913" s="112"/>
      <c r="S913" s="112"/>
      <c r="T913" s="112"/>
      <c r="U913" s="95" t="str">
        <f t="shared" si="45"/>
        <v/>
      </c>
      <c r="V913" s="112"/>
      <c r="W913" s="112"/>
      <c r="X913" s="107">
        <v>100</v>
      </c>
      <c r="Y913" s="107">
        <f t="shared" si="46"/>
        <v>100</v>
      </c>
      <c r="Z913" s="107">
        <f t="shared" si="47"/>
        <v>0</v>
      </c>
    </row>
    <row r="914" spans="1:26" x14ac:dyDescent="0.25">
      <c r="A914" s="55" t="str">
        <f>_xlfn.XLOOKUP($G914,'.Auxiliar'!$G:$G,'.Auxiliar'!A:A,"-",0)</f>
        <v>RIO/SP</v>
      </c>
      <c r="B914" s="55" t="str">
        <f>_xlfn.XLOOKUP($G914,'.Auxiliar'!$G:$G,'.Auxiliar'!B:B,"-",0)</f>
        <v>OAE</v>
      </c>
      <c r="C914" s="55" t="str">
        <f>_xlfn.XLOOKUP($G914,'.Auxiliar'!$G:$G,'.Auxiliar'!C:C,"-",0)</f>
        <v>Intersecção Diamante</v>
      </c>
      <c r="D914" s="55">
        <f>_xlfn.XLOOKUP($G914,'.Auxiliar'!$G:$G,'.Auxiliar'!D:D,"-",0)</f>
        <v>505.1</v>
      </c>
      <c r="E914" s="55">
        <f>_xlfn.XLOOKUP($G914,'.Auxiliar'!$G:$G,'.Auxiliar'!E:E,"-",0)</f>
        <v>505.1</v>
      </c>
      <c r="F914" s="55">
        <f>_xlfn.XLOOKUP($G914,'.Auxiliar'!$G:$G,'.Auxiliar'!F:F,"-",0)</f>
        <v>1</v>
      </c>
      <c r="G914" s="59" t="s">
        <v>1485</v>
      </c>
      <c r="H914" s="108" t="s">
        <v>0</v>
      </c>
      <c r="I914" s="109" t="s">
        <v>0</v>
      </c>
      <c r="J914" s="109" t="s">
        <v>0</v>
      </c>
      <c r="K914" s="109" t="s">
        <v>0</v>
      </c>
      <c r="L914" s="109" t="s">
        <v>0</v>
      </c>
      <c r="M914" s="109" t="s">
        <v>0</v>
      </c>
      <c r="N914" s="110" t="s">
        <v>363</v>
      </c>
      <c r="O914" s="111"/>
      <c r="P914" s="112"/>
      <c r="Q914" s="112"/>
      <c r="R914" s="112"/>
      <c r="S914" s="112"/>
      <c r="T914" s="112"/>
      <c r="U914" s="95" t="str">
        <f t="shared" si="45"/>
        <v/>
      </c>
      <c r="V914" s="112"/>
      <c r="W914" s="112"/>
      <c r="X914" s="107">
        <v>100</v>
      </c>
      <c r="Y914" s="107">
        <f t="shared" si="46"/>
        <v>100</v>
      </c>
      <c r="Z914" s="107">
        <f t="shared" si="47"/>
        <v>0</v>
      </c>
    </row>
    <row r="915" spans="1:26" x14ac:dyDescent="0.25">
      <c r="A915" s="55" t="str">
        <f>_xlfn.XLOOKUP($G915,'.Auxiliar'!$G:$G,'.Auxiliar'!A:A,"-",0)</f>
        <v>RIO/SP</v>
      </c>
      <c r="B915" s="55" t="str">
        <f>_xlfn.XLOOKUP($G915,'.Auxiliar'!$G:$G,'.Auxiliar'!B:B,"-",0)</f>
        <v>OAE</v>
      </c>
      <c r="C915" s="55" t="str">
        <f>_xlfn.XLOOKUP($G915,'.Auxiliar'!$G:$G,'.Auxiliar'!C:C,"-",0)</f>
        <v>Intersecção Diamante</v>
      </c>
      <c r="D915" s="55">
        <f>_xlfn.XLOOKUP($G915,'.Auxiliar'!$G:$G,'.Auxiliar'!D:D,"-",0)</f>
        <v>506.2</v>
      </c>
      <c r="E915" s="55">
        <f>_xlfn.XLOOKUP($G915,'.Auxiliar'!$G:$G,'.Auxiliar'!E:E,"-",0)</f>
        <v>506.2</v>
      </c>
      <c r="F915" s="55">
        <f>_xlfn.XLOOKUP($G915,'.Auxiliar'!$G:$G,'.Auxiliar'!F:F,"-",0)</f>
        <v>1</v>
      </c>
      <c r="G915" s="59" t="s">
        <v>1486</v>
      </c>
      <c r="H915" s="108" t="s">
        <v>0</v>
      </c>
      <c r="I915" s="109" t="s">
        <v>0</v>
      </c>
      <c r="J915" s="109" t="s">
        <v>0</v>
      </c>
      <c r="K915" s="109" t="s">
        <v>0</v>
      </c>
      <c r="L915" s="109" t="s">
        <v>0</v>
      </c>
      <c r="M915" s="109" t="s">
        <v>0</v>
      </c>
      <c r="N915" s="110" t="s">
        <v>363</v>
      </c>
      <c r="O915" s="111"/>
      <c r="P915" s="112"/>
      <c r="Q915" s="112"/>
      <c r="R915" s="112"/>
      <c r="S915" s="112"/>
      <c r="T915" s="112"/>
      <c r="U915" s="95" t="str">
        <f t="shared" si="45"/>
        <v/>
      </c>
      <c r="V915" s="112"/>
      <c r="W915" s="112"/>
      <c r="X915" s="107">
        <v>100</v>
      </c>
      <c r="Y915" s="107">
        <f t="shared" si="46"/>
        <v>100</v>
      </c>
      <c r="Z915" s="107">
        <f t="shared" si="47"/>
        <v>0</v>
      </c>
    </row>
    <row r="916" spans="1:26" x14ac:dyDescent="0.25">
      <c r="A916" s="55" t="str">
        <f>_xlfn.XLOOKUP($G916,'.Auxiliar'!$G:$G,'.Auxiliar'!A:A,"-",0)</f>
        <v>RIO/SP</v>
      </c>
      <c r="B916" s="55" t="str">
        <f>_xlfn.XLOOKUP($G916,'.Auxiliar'!$G:$G,'.Auxiliar'!B:B,"-",0)</f>
        <v>OAE</v>
      </c>
      <c r="C916" s="55" t="str">
        <f>_xlfn.XLOOKUP($G916,'.Auxiliar'!$G:$G,'.Auxiliar'!C:C,"-",0)</f>
        <v>Intersecção Diamante</v>
      </c>
      <c r="D916" s="55">
        <f>_xlfn.XLOOKUP($G916,'.Auxiliar'!$G:$G,'.Auxiliar'!D:D,"-",0)</f>
        <v>511.6</v>
      </c>
      <c r="E916" s="55">
        <f>_xlfn.XLOOKUP($G916,'.Auxiliar'!$G:$G,'.Auxiliar'!E:E,"-",0)</f>
        <v>511.6</v>
      </c>
      <c r="F916" s="55">
        <f>_xlfn.XLOOKUP($G916,'.Auxiliar'!$G:$G,'.Auxiliar'!F:F,"-",0)</f>
        <v>1</v>
      </c>
      <c r="G916" s="59" t="s">
        <v>1487</v>
      </c>
      <c r="H916" s="108" t="s">
        <v>0</v>
      </c>
      <c r="I916" s="109" t="s">
        <v>0</v>
      </c>
      <c r="J916" s="109" t="s">
        <v>0</v>
      </c>
      <c r="K916" s="109" t="s">
        <v>0</v>
      </c>
      <c r="L916" s="109" t="s">
        <v>0</v>
      </c>
      <c r="M916" s="109" t="s">
        <v>0</v>
      </c>
      <c r="N916" s="110" t="s">
        <v>363</v>
      </c>
      <c r="O916" s="111"/>
      <c r="P916" s="112"/>
      <c r="Q916" s="112"/>
      <c r="R916" s="112"/>
      <c r="S916" s="112"/>
      <c r="T916" s="112"/>
      <c r="U916" s="95" t="str">
        <f t="shared" si="45"/>
        <v/>
      </c>
      <c r="V916" s="112"/>
      <c r="W916" s="112"/>
      <c r="X916" s="107">
        <v>100</v>
      </c>
      <c r="Y916" s="107">
        <f t="shared" si="46"/>
        <v>100</v>
      </c>
      <c r="Z916" s="107">
        <f t="shared" si="47"/>
        <v>0</v>
      </c>
    </row>
    <row r="917" spans="1:26" x14ac:dyDescent="0.25">
      <c r="A917" s="55" t="str">
        <f>_xlfn.XLOOKUP($G917,'.Auxiliar'!$G:$G,'.Auxiliar'!A:A,"-",0)</f>
        <v>RIO/SP</v>
      </c>
      <c r="B917" s="55" t="str">
        <f>_xlfn.XLOOKUP($G917,'.Auxiliar'!$G:$G,'.Auxiliar'!B:B,"-",0)</f>
        <v>OAE</v>
      </c>
      <c r="C917" s="55" t="str">
        <f>_xlfn.XLOOKUP($G917,'.Auxiliar'!$G:$G,'.Auxiliar'!C:C,"-",0)</f>
        <v>Intersecção Diamante</v>
      </c>
      <c r="D917" s="55">
        <f>_xlfn.XLOOKUP($G917,'.Auxiliar'!$G:$G,'.Auxiliar'!D:D,"-",0)</f>
        <v>52.7</v>
      </c>
      <c r="E917" s="55">
        <f>_xlfn.XLOOKUP($G917,'.Auxiliar'!$G:$G,'.Auxiliar'!E:E,"-",0)</f>
        <v>52.7</v>
      </c>
      <c r="F917" s="55">
        <f>_xlfn.XLOOKUP($G917,'.Auxiliar'!$G:$G,'.Auxiliar'!F:F,"-",0)</f>
        <v>1</v>
      </c>
      <c r="G917" s="59" t="s">
        <v>1362</v>
      </c>
      <c r="H917" s="108" t="s">
        <v>0</v>
      </c>
      <c r="I917" s="109" t="s">
        <v>0</v>
      </c>
      <c r="J917" s="109" t="s">
        <v>0</v>
      </c>
      <c r="K917" s="109" t="s">
        <v>0</v>
      </c>
      <c r="L917" s="109" t="s">
        <v>0</v>
      </c>
      <c r="M917" s="109" t="s">
        <v>0</v>
      </c>
      <c r="N917" s="110" t="s">
        <v>363</v>
      </c>
      <c r="O917" s="111"/>
      <c r="P917" s="112"/>
      <c r="Q917" s="112"/>
      <c r="R917" s="112"/>
      <c r="S917" s="112"/>
      <c r="T917" s="112"/>
      <c r="U917" s="95" t="str">
        <f t="shared" si="45"/>
        <v/>
      </c>
      <c r="V917" s="112"/>
      <c r="W917" s="112"/>
      <c r="X917" s="107">
        <v>100</v>
      </c>
      <c r="Y917" s="107">
        <f t="shared" si="46"/>
        <v>100</v>
      </c>
      <c r="Z917" s="107">
        <f t="shared" si="47"/>
        <v>0</v>
      </c>
    </row>
    <row r="918" spans="1:26" x14ac:dyDescent="0.25">
      <c r="A918" s="55" t="str">
        <f>_xlfn.XLOOKUP($G918,'.Auxiliar'!$G:$G,'.Auxiliar'!A:A,"-",0)</f>
        <v>RIO/SP</v>
      </c>
      <c r="B918" s="55" t="str">
        <f>_xlfn.XLOOKUP($G918,'.Auxiliar'!$G:$G,'.Auxiliar'!B:B,"-",0)</f>
        <v>OAE</v>
      </c>
      <c r="C918" s="55" t="str">
        <f>_xlfn.XLOOKUP($G918,'.Auxiliar'!$G:$G,'.Auxiliar'!C:C,"-",0)</f>
        <v>Intersecção Diamante</v>
      </c>
      <c r="D918" s="55">
        <f>_xlfn.XLOOKUP($G918,'.Auxiliar'!$G:$G,'.Auxiliar'!D:D,"-",0)</f>
        <v>521.6</v>
      </c>
      <c r="E918" s="55">
        <f>_xlfn.XLOOKUP($G918,'.Auxiliar'!$G:$G,'.Auxiliar'!E:E,"-",0)</f>
        <v>521.6</v>
      </c>
      <c r="F918" s="55">
        <f>_xlfn.XLOOKUP($G918,'.Auxiliar'!$G:$G,'.Auxiliar'!F:F,"-",0)</f>
        <v>1</v>
      </c>
      <c r="G918" s="59" t="s">
        <v>1488</v>
      </c>
      <c r="H918" s="108" t="s">
        <v>0</v>
      </c>
      <c r="I918" s="109" t="s">
        <v>0</v>
      </c>
      <c r="J918" s="109" t="s">
        <v>0</v>
      </c>
      <c r="K918" s="109" t="s">
        <v>0</v>
      </c>
      <c r="L918" s="109" t="s">
        <v>0</v>
      </c>
      <c r="M918" s="109" t="s">
        <v>0</v>
      </c>
      <c r="N918" s="110" t="s">
        <v>363</v>
      </c>
      <c r="O918" s="111"/>
      <c r="P918" s="112"/>
      <c r="Q918" s="112"/>
      <c r="R918" s="112"/>
      <c r="S918" s="112"/>
      <c r="T918" s="112"/>
      <c r="U918" s="95" t="str">
        <f t="shared" si="45"/>
        <v/>
      </c>
      <c r="V918" s="112"/>
      <c r="W918" s="112"/>
      <c r="X918" s="107">
        <v>100</v>
      </c>
      <c r="Y918" s="107">
        <f t="shared" si="46"/>
        <v>100</v>
      </c>
      <c r="Z918" s="107">
        <f t="shared" si="47"/>
        <v>0</v>
      </c>
    </row>
    <row r="919" spans="1:26" x14ac:dyDescent="0.25">
      <c r="A919" s="55" t="str">
        <f>_xlfn.XLOOKUP($G919,'.Auxiliar'!$G:$G,'.Auxiliar'!A:A,"-",0)</f>
        <v>RIO/SP</v>
      </c>
      <c r="B919" s="55" t="str">
        <f>_xlfn.XLOOKUP($G919,'.Auxiliar'!$G:$G,'.Auxiliar'!B:B,"-",0)</f>
        <v>OAE</v>
      </c>
      <c r="C919" s="55" t="str">
        <f>_xlfn.XLOOKUP($G919,'.Auxiliar'!$G:$G,'.Auxiliar'!C:C,"-",0)</f>
        <v>Intersecção Diamante</v>
      </c>
      <c r="D919" s="55">
        <f>_xlfn.XLOOKUP($G919,'.Auxiliar'!$G:$G,'.Auxiliar'!D:D,"-",0)</f>
        <v>524.9</v>
      </c>
      <c r="E919" s="55">
        <f>_xlfn.XLOOKUP($G919,'.Auxiliar'!$G:$G,'.Auxiliar'!E:E,"-",0)</f>
        <v>524.9</v>
      </c>
      <c r="F919" s="55">
        <f>_xlfn.XLOOKUP($G919,'.Auxiliar'!$G:$G,'.Auxiliar'!F:F,"-",0)</f>
        <v>1</v>
      </c>
      <c r="G919" s="59" t="s">
        <v>1489</v>
      </c>
      <c r="H919" s="108" t="s">
        <v>0</v>
      </c>
      <c r="I919" s="109" t="s">
        <v>0</v>
      </c>
      <c r="J919" s="109" t="s">
        <v>0</v>
      </c>
      <c r="K919" s="109" t="s">
        <v>0</v>
      </c>
      <c r="L919" s="109" t="s">
        <v>0</v>
      </c>
      <c r="M919" s="109" t="s">
        <v>0</v>
      </c>
      <c r="N919" s="110" t="s">
        <v>363</v>
      </c>
      <c r="O919" s="111"/>
      <c r="P919" s="112"/>
      <c r="Q919" s="112"/>
      <c r="R919" s="112"/>
      <c r="S919" s="112"/>
      <c r="T919" s="112"/>
      <c r="U919" s="95" t="str">
        <f t="shared" si="45"/>
        <v/>
      </c>
      <c r="V919" s="112"/>
      <c r="W919" s="112"/>
      <c r="X919" s="107">
        <v>100</v>
      </c>
      <c r="Y919" s="107">
        <f t="shared" si="46"/>
        <v>100</v>
      </c>
      <c r="Z919" s="107">
        <f t="shared" si="47"/>
        <v>0</v>
      </c>
    </row>
    <row r="920" spans="1:26" x14ac:dyDescent="0.25">
      <c r="A920" s="55" t="str">
        <f>_xlfn.XLOOKUP($G920,'.Auxiliar'!$G:$G,'.Auxiliar'!A:A,"-",0)</f>
        <v>RIO/SP</v>
      </c>
      <c r="B920" s="55" t="str">
        <f>_xlfn.XLOOKUP($G920,'.Auxiliar'!$G:$G,'.Auxiliar'!B:B,"-",0)</f>
        <v>OAE</v>
      </c>
      <c r="C920" s="55" t="str">
        <f>_xlfn.XLOOKUP($G920,'.Auxiliar'!$G:$G,'.Auxiliar'!C:C,"-",0)</f>
        <v>Intersecção Diamante</v>
      </c>
      <c r="D920" s="55">
        <f>_xlfn.XLOOKUP($G920,'.Auxiliar'!$G:$G,'.Auxiliar'!D:D,"-",0)</f>
        <v>532.70000000000005</v>
      </c>
      <c r="E920" s="55">
        <f>_xlfn.XLOOKUP($G920,'.Auxiliar'!$G:$G,'.Auxiliar'!E:E,"-",0)</f>
        <v>532.70000000000005</v>
      </c>
      <c r="F920" s="55">
        <f>_xlfn.XLOOKUP($G920,'.Auxiliar'!$G:$G,'.Auxiliar'!F:F,"-",0)</f>
        <v>1</v>
      </c>
      <c r="G920" s="59" t="s">
        <v>1490</v>
      </c>
      <c r="H920" s="108" t="s">
        <v>0</v>
      </c>
      <c r="I920" s="109" t="s">
        <v>0</v>
      </c>
      <c r="J920" s="109" t="s">
        <v>0</v>
      </c>
      <c r="K920" s="109" t="s">
        <v>0</v>
      </c>
      <c r="L920" s="109" t="s">
        <v>0</v>
      </c>
      <c r="M920" s="109" t="s">
        <v>0</v>
      </c>
      <c r="N920" s="110" t="s">
        <v>363</v>
      </c>
      <c r="O920" s="111"/>
      <c r="P920" s="112"/>
      <c r="Q920" s="112"/>
      <c r="R920" s="112"/>
      <c r="S920" s="112"/>
      <c r="T920" s="112"/>
      <c r="U920" s="95" t="str">
        <f t="shared" si="45"/>
        <v/>
      </c>
      <c r="V920" s="112"/>
      <c r="W920" s="112"/>
      <c r="X920" s="107">
        <v>100</v>
      </c>
      <c r="Y920" s="107">
        <f t="shared" si="46"/>
        <v>100</v>
      </c>
      <c r="Z920" s="107">
        <f t="shared" si="47"/>
        <v>0</v>
      </c>
    </row>
    <row r="921" spans="1:26" x14ac:dyDescent="0.25">
      <c r="A921" s="55" t="str">
        <f>_xlfn.XLOOKUP($G921,'.Auxiliar'!$G:$G,'.Auxiliar'!A:A,"-",0)</f>
        <v>RIO/SP</v>
      </c>
      <c r="B921" s="55" t="str">
        <f>_xlfn.XLOOKUP($G921,'.Auxiliar'!$G:$G,'.Auxiliar'!B:B,"-",0)</f>
        <v>OAE</v>
      </c>
      <c r="C921" s="55" t="str">
        <f>_xlfn.XLOOKUP($G921,'.Auxiliar'!$G:$G,'.Auxiliar'!C:C,"-",0)</f>
        <v>Intersecção Diamante</v>
      </c>
      <c r="D921" s="55">
        <f>_xlfn.XLOOKUP($G921,'.Auxiliar'!$G:$G,'.Auxiliar'!D:D,"-",0)</f>
        <v>534.5</v>
      </c>
      <c r="E921" s="55">
        <f>_xlfn.XLOOKUP($G921,'.Auxiliar'!$G:$G,'.Auxiliar'!E:E,"-",0)</f>
        <v>534.5</v>
      </c>
      <c r="F921" s="55">
        <f>_xlfn.XLOOKUP($G921,'.Auxiliar'!$G:$G,'.Auxiliar'!F:F,"-",0)</f>
        <v>1</v>
      </c>
      <c r="G921" s="59" t="s">
        <v>1491</v>
      </c>
      <c r="H921" s="108" t="s">
        <v>0</v>
      </c>
      <c r="I921" s="109" t="s">
        <v>0</v>
      </c>
      <c r="J921" s="109" t="s">
        <v>0</v>
      </c>
      <c r="K921" s="109" t="s">
        <v>0</v>
      </c>
      <c r="L921" s="109" t="s">
        <v>0</v>
      </c>
      <c r="M921" s="109" t="s">
        <v>0</v>
      </c>
      <c r="N921" s="110" t="s">
        <v>363</v>
      </c>
      <c r="O921" s="111"/>
      <c r="P921" s="112"/>
      <c r="Q921" s="112"/>
      <c r="R921" s="112"/>
      <c r="S921" s="112"/>
      <c r="T921" s="112"/>
      <c r="U921" s="95" t="str">
        <f t="shared" si="45"/>
        <v/>
      </c>
      <c r="V921" s="112"/>
      <c r="W921" s="112"/>
      <c r="X921" s="107">
        <v>100</v>
      </c>
      <c r="Y921" s="107">
        <f t="shared" si="46"/>
        <v>100</v>
      </c>
      <c r="Z921" s="107">
        <f t="shared" si="47"/>
        <v>0</v>
      </c>
    </row>
    <row r="922" spans="1:26" x14ac:dyDescent="0.25">
      <c r="A922" s="55" t="str">
        <f>_xlfn.XLOOKUP($G922,'.Auxiliar'!$G:$G,'.Auxiliar'!A:A,"-",0)</f>
        <v>RIO/SP</v>
      </c>
      <c r="B922" s="55" t="str">
        <f>_xlfn.XLOOKUP($G922,'.Auxiliar'!$G:$G,'.Auxiliar'!B:B,"-",0)</f>
        <v>OAE</v>
      </c>
      <c r="C922" s="55" t="str">
        <f>_xlfn.XLOOKUP($G922,'.Auxiliar'!$G:$G,'.Auxiliar'!C:C,"-",0)</f>
        <v>Intersecção Diamante</v>
      </c>
      <c r="D922" s="55">
        <f>_xlfn.XLOOKUP($G922,'.Auxiliar'!$G:$G,'.Auxiliar'!D:D,"-",0)</f>
        <v>575.9</v>
      </c>
      <c r="E922" s="55">
        <f>_xlfn.XLOOKUP($G922,'.Auxiliar'!$G:$G,'.Auxiliar'!E:E,"-",0)</f>
        <v>575.9</v>
      </c>
      <c r="F922" s="55">
        <f>_xlfn.XLOOKUP($G922,'.Auxiliar'!$G:$G,'.Auxiliar'!F:F,"-",0)</f>
        <v>1</v>
      </c>
      <c r="G922" s="59" t="s">
        <v>1492</v>
      </c>
      <c r="H922" s="108" t="s">
        <v>0</v>
      </c>
      <c r="I922" s="109" t="s">
        <v>0</v>
      </c>
      <c r="J922" s="109" t="s">
        <v>0</v>
      </c>
      <c r="K922" s="109" t="s">
        <v>0</v>
      </c>
      <c r="L922" s="109" t="s">
        <v>0</v>
      </c>
      <c r="M922" s="109" t="s">
        <v>0</v>
      </c>
      <c r="N922" s="110" t="s">
        <v>363</v>
      </c>
      <c r="O922" s="111"/>
      <c r="P922" s="112"/>
      <c r="Q922" s="112"/>
      <c r="R922" s="112"/>
      <c r="S922" s="112"/>
      <c r="T922" s="112"/>
      <c r="U922" s="95" t="str">
        <f t="shared" si="45"/>
        <v/>
      </c>
      <c r="V922" s="112"/>
      <c r="W922" s="112"/>
      <c r="X922" s="107">
        <v>100</v>
      </c>
      <c r="Y922" s="107">
        <f t="shared" si="46"/>
        <v>100</v>
      </c>
      <c r="Z922" s="107">
        <f t="shared" si="47"/>
        <v>0</v>
      </c>
    </row>
    <row r="923" spans="1:26" x14ac:dyDescent="0.25">
      <c r="A923" s="55" t="str">
        <f>_xlfn.XLOOKUP($G923,'.Auxiliar'!$G:$G,'.Auxiliar'!A:A,"-",0)</f>
        <v>RIO/SP</v>
      </c>
      <c r="B923" s="55" t="str">
        <f>_xlfn.XLOOKUP($G923,'.Auxiliar'!$G:$G,'.Auxiliar'!B:B,"-",0)</f>
        <v>OAE</v>
      </c>
      <c r="C923" s="55" t="str">
        <f>_xlfn.XLOOKUP($G923,'.Auxiliar'!$G:$G,'.Auxiliar'!C:C,"-",0)</f>
        <v>Intersecção Diamante</v>
      </c>
      <c r="D923" s="55">
        <f>_xlfn.XLOOKUP($G923,'.Auxiliar'!$G:$G,'.Auxiliar'!D:D,"-",0)</f>
        <v>58.2</v>
      </c>
      <c r="E923" s="55">
        <f>_xlfn.XLOOKUP($G923,'.Auxiliar'!$G:$G,'.Auxiliar'!E:E,"-",0)</f>
        <v>58.2</v>
      </c>
      <c r="F923" s="55">
        <f>_xlfn.XLOOKUP($G923,'.Auxiliar'!$G:$G,'.Auxiliar'!F:F,"-",0)</f>
        <v>1</v>
      </c>
      <c r="G923" s="59" t="s">
        <v>1363</v>
      </c>
      <c r="H923" s="108" t="s">
        <v>0</v>
      </c>
      <c r="I923" s="109" t="s">
        <v>0</v>
      </c>
      <c r="J923" s="109" t="s">
        <v>0</v>
      </c>
      <c r="K923" s="109" t="s">
        <v>0</v>
      </c>
      <c r="L923" s="109" t="s">
        <v>0</v>
      </c>
      <c r="M923" s="109" t="s">
        <v>0</v>
      </c>
      <c r="N923" s="110" t="s">
        <v>363</v>
      </c>
      <c r="O923" s="111"/>
      <c r="P923" s="112"/>
      <c r="Q923" s="112"/>
      <c r="R923" s="112"/>
      <c r="S923" s="112"/>
      <c r="T923" s="112"/>
      <c r="U923" s="95" t="str">
        <f t="shared" si="45"/>
        <v/>
      </c>
      <c r="V923" s="112"/>
      <c r="W923" s="112"/>
      <c r="X923" s="107">
        <v>100</v>
      </c>
      <c r="Y923" s="107">
        <f t="shared" si="46"/>
        <v>100</v>
      </c>
      <c r="Z923" s="107">
        <f t="shared" si="47"/>
        <v>0</v>
      </c>
    </row>
    <row r="924" spans="1:26" x14ac:dyDescent="0.25">
      <c r="A924" s="55" t="str">
        <f>_xlfn.XLOOKUP($G924,'.Auxiliar'!$G:$G,'.Auxiliar'!A:A,"-",0)</f>
        <v>RIO/SP</v>
      </c>
      <c r="B924" s="55" t="str">
        <f>_xlfn.XLOOKUP($G924,'.Auxiliar'!$G:$G,'.Auxiliar'!B:B,"-",0)</f>
        <v>OAE</v>
      </c>
      <c r="C924" s="55" t="str">
        <f>_xlfn.XLOOKUP($G924,'.Auxiliar'!$G:$G,'.Auxiliar'!C:C,"-",0)</f>
        <v>Intersecção Diamante</v>
      </c>
      <c r="D924" s="55">
        <f>_xlfn.XLOOKUP($G924,'.Auxiliar'!$G:$G,'.Auxiliar'!D:D,"-",0)</f>
        <v>64.900000000000006</v>
      </c>
      <c r="E924" s="55">
        <f>_xlfn.XLOOKUP($G924,'.Auxiliar'!$G:$G,'.Auxiliar'!E:E,"-",0)</f>
        <v>64.900000000000006</v>
      </c>
      <c r="F924" s="55">
        <f>_xlfn.XLOOKUP($G924,'.Auxiliar'!$G:$G,'.Auxiliar'!F:F,"-",0)</f>
        <v>1</v>
      </c>
      <c r="G924" s="59" t="s">
        <v>1364</v>
      </c>
      <c r="H924" s="108" t="s">
        <v>0</v>
      </c>
      <c r="I924" s="109" t="s">
        <v>0</v>
      </c>
      <c r="J924" s="109" t="s">
        <v>0</v>
      </c>
      <c r="K924" s="109" t="s">
        <v>0</v>
      </c>
      <c r="L924" s="109" t="s">
        <v>0</v>
      </c>
      <c r="M924" s="109" t="s">
        <v>0</v>
      </c>
      <c r="N924" s="110" t="s">
        <v>363</v>
      </c>
      <c r="O924" s="111"/>
      <c r="P924" s="112"/>
      <c r="Q924" s="112"/>
      <c r="R924" s="112"/>
      <c r="S924" s="112"/>
      <c r="T924" s="112"/>
      <c r="U924" s="95" t="str">
        <f t="shared" si="45"/>
        <v/>
      </c>
      <c r="V924" s="112"/>
      <c r="W924" s="112"/>
      <c r="X924" s="107">
        <v>100</v>
      </c>
      <c r="Y924" s="107">
        <f t="shared" si="46"/>
        <v>100</v>
      </c>
      <c r="Z924" s="107">
        <f t="shared" si="47"/>
        <v>0</v>
      </c>
    </row>
    <row r="925" spans="1:26" x14ac:dyDescent="0.25">
      <c r="A925" s="55" t="str">
        <f>_xlfn.XLOOKUP($G925,'.Auxiliar'!$G:$G,'.Auxiliar'!A:A,"-",0)</f>
        <v>RIO/SP</v>
      </c>
      <c r="B925" s="55" t="str">
        <f>_xlfn.XLOOKUP($G925,'.Auxiliar'!$G:$G,'.Auxiliar'!B:B,"-",0)</f>
        <v>OAE</v>
      </c>
      <c r="C925" s="55" t="str">
        <f>_xlfn.XLOOKUP($G925,'.Auxiliar'!$G:$G,'.Auxiliar'!C:C,"-",0)</f>
        <v>Intersecção Diamante</v>
      </c>
      <c r="D925" s="55">
        <f>_xlfn.XLOOKUP($G925,'.Auxiliar'!$G:$G,'.Auxiliar'!D:D,"-",0)</f>
        <v>67.2</v>
      </c>
      <c r="E925" s="55">
        <f>_xlfn.XLOOKUP($G925,'.Auxiliar'!$G:$G,'.Auxiliar'!E:E,"-",0)</f>
        <v>67.2</v>
      </c>
      <c r="F925" s="55">
        <f>_xlfn.XLOOKUP($G925,'.Auxiliar'!$G:$G,'.Auxiliar'!F:F,"-",0)</f>
        <v>1</v>
      </c>
      <c r="G925" s="59" t="s">
        <v>1365</v>
      </c>
      <c r="H925" s="108" t="s">
        <v>0</v>
      </c>
      <c r="I925" s="109" t="s">
        <v>0</v>
      </c>
      <c r="J925" s="109" t="s">
        <v>0</v>
      </c>
      <c r="K925" s="109" t="s">
        <v>0</v>
      </c>
      <c r="L925" s="109" t="s">
        <v>0</v>
      </c>
      <c r="M925" s="109" t="s">
        <v>0</v>
      </c>
      <c r="N925" s="110" t="s">
        <v>363</v>
      </c>
      <c r="O925" s="111"/>
      <c r="P925" s="112"/>
      <c r="Q925" s="112"/>
      <c r="R925" s="112"/>
      <c r="S925" s="112"/>
      <c r="T925" s="112"/>
      <c r="U925" s="95" t="str">
        <f t="shared" si="45"/>
        <v/>
      </c>
      <c r="V925" s="112"/>
      <c r="W925" s="112"/>
      <c r="X925" s="107">
        <v>100</v>
      </c>
      <c r="Y925" s="107">
        <f t="shared" si="46"/>
        <v>100</v>
      </c>
      <c r="Z925" s="107">
        <f t="shared" si="47"/>
        <v>0</v>
      </c>
    </row>
    <row r="926" spans="1:26" x14ac:dyDescent="0.25">
      <c r="A926" s="55" t="str">
        <f>_xlfn.XLOOKUP($G926,'.Auxiliar'!$G:$G,'.Auxiliar'!A:A,"-",0)</f>
        <v>RIO/SP</v>
      </c>
      <c r="B926" s="55" t="str">
        <f>_xlfn.XLOOKUP($G926,'.Auxiliar'!$G:$G,'.Auxiliar'!B:B,"-",0)</f>
        <v>OAE</v>
      </c>
      <c r="C926" s="55" t="str">
        <f>_xlfn.XLOOKUP($G926,'.Auxiliar'!$G:$G,'.Auxiliar'!C:C,"-",0)</f>
        <v>Intersecção Diamante</v>
      </c>
      <c r="D926" s="55">
        <f>_xlfn.XLOOKUP($G926,'.Auxiliar'!$G:$G,'.Auxiliar'!D:D,"-",0)</f>
        <v>71.400000000000006</v>
      </c>
      <c r="E926" s="55">
        <f>_xlfn.XLOOKUP($G926,'.Auxiliar'!$G:$G,'.Auxiliar'!E:E,"-",0)</f>
        <v>71.400000000000006</v>
      </c>
      <c r="F926" s="55">
        <f>_xlfn.XLOOKUP($G926,'.Auxiliar'!$G:$G,'.Auxiliar'!F:F,"-",0)</f>
        <v>1</v>
      </c>
      <c r="G926" s="59" t="s">
        <v>1366</v>
      </c>
      <c r="H926" s="108" t="s">
        <v>0</v>
      </c>
      <c r="I926" s="109" t="s">
        <v>0</v>
      </c>
      <c r="J926" s="109" t="s">
        <v>0</v>
      </c>
      <c r="K926" s="109" t="s">
        <v>0</v>
      </c>
      <c r="L926" s="109" t="s">
        <v>0</v>
      </c>
      <c r="M926" s="109" t="s">
        <v>0</v>
      </c>
      <c r="N926" s="110" t="s">
        <v>363</v>
      </c>
      <c r="O926" s="111"/>
      <c r="P926" s="112"/>
      <c r="Q926" s="112"/>
      <c r="R926" s="112"/>
      <c r="S926" s="112"/>
      <c r="T926" s="112"/>
      <c r="U926" s="95" t="str">
        <f t="shared" si="45"/>
        <v/>
      </c>
      <c r="V926" s="112"/>
      <c r="W926" s="112"/>
      <c r="X926" s="107">
        <v>100</v>
      </c>
      <c r="Y926" s="107">
        <f t="shared" si="46"/>
        <v>100</v>
      </c>
      <c r="Z926" s="107">
        <f t="shared" si="47"/>
        <v>0</v>
      </c>
    </row>
    <row r="927" spans="1:26" x14ac:dyDescent="0.25">
      <c r="A927" s="55" t="str">
        <f>_xlfn.XLOOKUP($G927,'.Auxiliar'!$G:$G,'.Auxiliar'!A:A,"-",0)</f>
        <v>RIO/SP</v>
      </c>
      <c r="B927" s="55" t="str">
        <f>_xlfn.XLOOKUP($G927,'.Auxiliar'!$G:$G,'.Auxiliar'!B:B,"-",0)</f>
        <v>OAE</v>
      </c>
      <c r="C927" s="55" t="str">
        <f>_xlfn.XLOOKUP($G927,'.Auxiliar'!$G:$G,'.Auxiliar'!C:C,"-",0)</f>
        <v>Intersecção Diamante</v>
      </c>
      <c r="D927" s="55">
        <f>_xlfn.XLOOKUP($G927,'.Auxiliar'!$G:$G,'.Auxiliar'!D:D,"-",0)</f>
        <v>80.900000000000006</v>
      </c>
      <c r="E927" s="55">
        <f>_xlfn.XLOOKUP($G927,'.Auxiliar'!$G:$G,'.Auxiliar'!E:E,"-",0)</f>
        <v>80.900000000000006</v>
      </c>
      <c r="F927" s="55">
        <f>_xlfn.XLOOKUP($G927,'.Auxiliar'!$G:$G,'.Auxiliar'!F:F,"-",0)</f>
        <v>1</v>
      </c>
      <c r="G927" s="59" t="s">
        <v>1367</v>
      </c>
      <c r="H927" s="108" t="s">
        <v>0</v>
      </c>
      <c r="I927" s="109" t="s">
        <v>0</v>
      </c>
      <c r="J927" s="109" t="s">
        <v>0</v>
      </c>
      <c r="K927" s="109" t="s">
        <v>0</v>
      </c>
      <c r="L927" s="109" t="s">
        <v>0</v>
      </c>
      <c r="M927" s="109" t="s">
        <v>0</v>
      </c>
      <c r="N927" s="110" t="s">
        <v>363</v>
      </c>
      <c r="O927" s="111"/>
      <c r="P927" s="112"/>
      <c r="Q927" s="112"/>
      <c r="R927" s="112"/>
      <c r="S927" s="112"/>
      <c r="T927" s="112"/>
      <c r="U927" s="95" t="str">
        <f t="shared" si="45"/>
        <v/>
      </c>
      <c r="V927" s="112"/>
      <c r="W927" s="112"/>
      <c r="X927" s="107">
        <v>100</v>
      </c>
      <c r="Y927" s="107">
        <f t="shared" si="46"/>
        <v>100</v>
      </c>
      <c r="Z927" s="107">
        <f t="shared" si="47"/>
        <v>0</v>
      </c>
    </row>
    <row r="928" spans="1:26" x14ac:dyDescent="0.25">
      <c r="A928" s="55" t="str">
        <f>_xlfn.XLOOKUP($G928,'.Auxiliar'!$G:$G,'.Auxiliar'!A:A,"-",0)</f>
        <v>RIO/SP</v>
      </c>
      <c r="B928" s="55" t="str">
        <f>_xlfn.XLOOKUP($G928,'.Auxiliar'!$G:$G,'.Auxiliar'!B:B,"-",0)</f>
        <v>OAE</v>
      </c>
      <c r="C928" s="55" t="str">
        <f>_xlfn.XLOOKUP($G928,'.Auxiliar'!$G:$G,'.Auxiliar'!C:C,"-",0)</f>
        <v>Intersecção Tipo Parclo</v>
      </c>
      <c r="D928" s="55">
        <f>_xlfn.XLOOKUP($G928,'.Auxiliar'!$G:$G,'.Auxiliar'!D:D,"-",0)</f>
        <v>139.30000000000001</v>
      </c>
      <c r="E928" s="55">
        <f>_xlfn.XLOOKUP($G928,'.Auxiliar'!$G:$G,'.Auxiliar'!E:E,"-",0)</f>
        <v>139.30000000000001</v>
      </c>
      <c r="F928" s="55">
        <f>_xlfn.XLOOKUP($G928,'.Auxiliar'!$G:$G,'.Auxiliar'!F:F,"-",0)</f>
        <v>1</v>
      </c>
      <c r="G928" s="59" t="s">
        <v>1265</v>
      </c>
      <c r="H928" s="108" t="s">
        <v>0</v>
      </c>
      <c r="I928" s="109" t="s">
        <v>0</v>
      </c>
      <c r="J928" s="109" t="s">
        <v>0</v>
      </c>
      <c r="K928" s="109" t="s">
        <v>0</v>
      </c>
      <c r="L928" s="109" t="s">
        <v>363</v>
      </c>
      <c r="M928" s="109" t="s">
        <v>0</v>
      </c>
      <c r="N928" s="110" t="s">
        <v>0</v>
      </c>
      <c r="O928" s="111"/>
      <c r="P928" s="112"/>
      <c r="Q928" s="112"/>
      <c r="R928" s="112"/>
      <c r="S928" s="112"/>
      <c r="T928" s="112"/>
      <c r="U928" s="95" t="str">
        <f t="shared" si="45"/>
        <v/>
      </c>
      <c r="V928" s="112">
        <v>100</v>
      </c>
      <c r="W928" s="112"/>
      <c r="X928" s="107"/>
      <c r="Y928" s="107">
        <f t="shared" si="46"/>
        <v>100</v>
      </c>
      <c r="Z928" s="107">
        <f t="shared" si="47"/>
        <v>0</v>
      </c>
    </row>
    <row r="929" spans="1:26" x14ac:dyDescent="0.25">
      <c r="A929" s="55" t="str">
        <f>_xlfn.XLOOKUP($G929,'.Auxiliar'!$G:$G,'.Auxiliar'!A:A,"-",0)</f>
        <v>RIO/SP</v>
      </c>
      <c r="B929" s="55" t="str">
        <f>_xlfn.XLOOKUP($G929,'.Auxiliar'!$G:$G,'.Auxiliar'!B:B,"-",0)</f>
        <v>OAE</v>
      </c>
      <c r="C929" s="55" t="str">
        <f>_xlfn.XLOOKUP($G929,'.Auxiliar'!$G:$G,'.Auxiliar'!C:C,"-",0)</f>
        <v>Intersecção Tipo Parclo</v>
      </c>
      <c r="D929" s="55">
        <f>_xlfn.XLOOKUP($G929,'.Auxiliar'!$G:$G,'.Auxiliar'!D:D,"-",0)</f>
        <v>408.08</v>
      </c>
      <c r="E929" s="55">
        <f>_xlfn.XLOOKUP($G929,'.Auxiliar'!$G:$G,'.Auxiliar'!E:E,"-",0)</f>
        <v>408.08</v>
      </c>
      <c r="F929" s="55">
        <f>_xlfn.XLOOKUP($G929,'.Auxiliar'!$G:$G,'.Auxiliar'!F:F,"-",0)</f>
        <v>1</v>
      </c>
      <c r="G929" s="59" t="s">
        <v>1496</v>
      </c>
      <c r="H929" s="108" t="s">
        <v>0</v>
      </c>
      <c r="I929" s="109" t="s">
        <v>0</v>
      </c>
      <c r="J929" s="109" t="s">
        <v>0</v>
      </c>
      <c r="K929" s="109" t="s">
        <v>0</v>
      </c>
      <c r="L929" s="109" t="s">
        <v>0</v>
      </c>
      <c r="M929" s="109" t="s">
        <v>0</v>
      </c>
      <c r="N929" s="110" t="s">
        <v>363</v>
      </c>
      <c r="O929" s="111"/>
      <c r="P929" s="112"/>
      <c r="Q929" s="112"/>
      <c r="R929" s="112"/>
      <c r="S929" s="112"/>
      <c r="T929" s="112"/>
      <c r="U929" s="95" t="str">
        <f t="shared" si="45"/>
        <v/>
      </c>
      <c r="V929" s="112"/>
      <c r="W929" s="112"/>
      <c r="X929" s="107">
        <v>100</v>
      </c>
      <c r="Y929" s="107">
        <f t="shared" si="46"/>
        <v>100</v>
      </c>
      <c r="Z929" s="107">
        <f t="shared" si="47"/>
        <v>0</v>
      </c>
    </row>
    <row r="930" spans="1:26" x14ac:dyDescent="0.25">
      <c r="A930" s="55" t="str">
        <f>_xlfn.XLOOKUP($G930,'.Auxiliar'!$G:$G,'.Auxiliar'!A:A,"-",0)</f>
        <v>RIO/SP</v>
      </c>
      <c r="B930" s="55" t="str">
        <f>_xlfn.XLOOKUP($G930,'.Auxiliar'!$G:$G,'.Auxiliar'!B:B,"-",0)</f>
        <v>OAE</v>
      </c>
      <c r="C930" s="55" t="str">
        <f>_xlfn.XLOOKUP($G930,'.Auxiliar'!$G:$G,'.Auxiliar'!C:C,"-",0)</f>
        <v>Intersecção Trevo Completo</v>
      </c>
      <c r="D930" s="55">
        <f>_xlfn.XLOOKUP($G930,'.Auxiliar'!$G:$G,'.Auxiliar'!D:D,"-",0)</f>
        <v>178.84</v>
      </c>
      <c r="E930" s="55">
        <f>_xlfn.XLOOKUP($G930,'.Auxiliar'!$G:$G,'.Auxiliar'!E:E,"-",0)</f>
        <v>178.84</v>
      </c>
      <c r="F930" s="55">
        <f>_xlfn.XLOOKUP($G930,'.Auxiliar'!$G:$G,'.Auxiliar'!F:F,"-",0)</f>
        <v>1</v>
      </c>
      <c r="G930" s="59" t="s">
        <v>1376</v>
      </c>
      <c r="H930" s="108" t="s">
        <v>0</v>
      </c>
      <c r="I930" s="109" t="s">
        <v>0</v>
      </c>
      <c r="J930" s="109" t="s">
        <v>0</v>
      </c>
      <c r="K930" s="109" t="s">
        <v>0</v>
      </c>
      <c r="L930" s="109" t="s">
        <v>0</v>
      </c>
      <c r="M930" s="109" t="s">
        <v>0</v>
      </c>
      <c r="N930" s="110" t="s">
        <v>363</v>
      </c>
      <c r="O930" s="111"/>
      <c r="P930" s="112"/>
      <c r="Q930" s="112"/>
      <c r="R930" s="112"/>
      <c r="S930" s="112"/>
      <c r="T930" s="112"/>
      <c r="U930" s="95" t="str">
        <f t="shared" si="45"/>
        <v/>
      </c>
      <c r="V930" s="112"/>
      <c r="W930" s="112"/>
      <c r="X930" s="107">
        <v>100</v>
      </c>
      <c r="Y930" s="107">
        <f t="shared" si="46"/>
        <v>100</v>
      </c>
      <c r="Z930" s="107">
        <f t="shared" si="47"/>
        <v>0</v>
      </c>
    </row>
    <row r="931" spans="1:26" x14ac:dyDescent="0.25">
      <c r="A931" s="55" t="str">
        <f>_xlfn.XLOOKUP($G931,'.Auxiliar'!$G:$G,'.Auxiliar'!A:A,"-",0)</f>
        <v>RIO/SP</v>
      </c>
      <c r="B931" s="55" t="str">
        <f>_xlfn.XLOOKUP($G931,'.Auxiliar'!$G:$G,'.Auxiliar'!B:B,"-",0)</f>
        <v>OAE</v>
      </c>
      <c r="C931" s="55" t="str">
        <f>_xlfn.XLOOKUP($G931,'.Auxiliar'!$G:$G,'.Auxiliar'!C:C,"-",0)</f>
        <v>Intersecção Trevo Completo</v>
      </c>
      <c r="D931" s="55">
        <f>_xlfn.XLOOKUP($G931,'.Auxiliar'!$G:$G,'.Auxiliar'!D:D,"-",0)</f>
        <v>39.1</v>
      </c>
      <c r="E931" s="55">
        <f>_xlfn.XLOOKUP($G931,'.Auxiliar'!$G:$G,'.Auxiliar'!E:E,"-",0)</f>
        <v>39.1</v>
      </c>
      <c r="F931" s="55">
        <f>_xlfn.XLOOKUP($G931,'.Auxiliar'!$G:$G,'.Auxiliar'!F:F,"-",0)</f>
        <v>1</v>
      </c>
      <c r="G931" s="59" t="s">
        <v>1372</v>
      </c>
      <c r="H931" s="108" t="s">
        <v>0</v>
      </c>
      <c r="I931" s="109" t="s">
        <v>0</v>
      </c>
      <c r="J931" s="109" t="s">
        <v>0</v>
      </c>
      <c r="K931" s="109" t="s">
        <v>0</v>
      </c>
      <c r="L931" s="109" t="s">
        <v>0</v>
      </c>
      <c r="M931" s="109" t="s">
        <v>0</v>
      </c>
      <c r="N931" s="110" t="s">
        <v>363</v>
      </c>
      <c r="O931" s="111"/>
      <c r="P931" s="112"/>
      <c r="Q931" s="112"/>
      <c r="R931" s="112"/>
      <c r="S931" s="112"/>
      <c r="T931" s="112"/>
      <c r="U931" s="95" t="str">
        <f t="shared" si="45"/>
        <v/>
      </c>
      <c r="V931" s="112"/>
      <c r="W931" s="112"/>
      <c r="X931" s="107">
        <v>100</v>
      </c>
      <c r="Y931" s="107">
        <f t="shared" si="46"/>
        <v>100</v>
      </c>
      <c r="Z931" s="107">
        <f t="shared" si="47"/>
        <v>0</v>
      </c>
    </row>
    <row r="932" spans="1:26" x14ac:dyDescent="0.25">
      <c r="A932" s="55" t="str">
        <f>_xlfn.XLOOKUP($G932,'.Auxiliar'!$G:$G,'.Auxiliar'!A:A,"-",0)</f>
        <v>RIO/SP</v>
      </c>
      <c r="B932" s="55" t="str">
        <f>_xlfn.XLOOKUP($G932,'.Auxiliar'!$G:$G,'.Auxiliar'!B:B,"-",0)</f>
        <v>OAE</v>
      </c>
      <c r="C932" s="55" t="str">
        <f>_xlfn.XLOOKUP($G932,'.Auxiliar'!$G:$G,'.Auxiliar'!C:C,"-",0)</f>
        <v>Intersecção Trevo Completo</v>
      </c>
      <c r="D932" s="55">
        <f>_xlfn.XLOOKUP($G932,'.Auxiliar'!$G:$G,'.Auxiliar'!D:D,"-",0)</f>
        <v>51.1</v>
      </c>
      <c r="E932" s="55">
        <f>_xlfn.XLOOKUP($G932,'.Auxiliar'!$G:$G,'.Auxiliar'!E:E,"-",0)</f>
        <v>51.1</v>
      </c>
      <c r="F932" s="55">
        <f>_xlfn.XLOOKUP($G932,'.Auxiliar'!$G:$G,'.Auxiliar'!F:F,"-",0)</f>
        <v>1</v>
      </c>
      <c r="G932" s="59" t="s">
        <v>1373</v>
      </c>
      <c r="H932" s="108" t="s">
        <v>0</v>
      </c>
      <c r="I932" s="109" t="s">
        <v>0</v>
      </c>
      <c r="J932" s="109" t="s">
        <v>0</v>
      </c>
      <c r="K932" s="109" t="s">
        <v>0</v>
      </c>
      <c r="L932" s="109" t="s">
        <v>0</v>
      </c>
      <c r="M932" s="109" t="s">
        <v>0</v>
      </c>
      <c r="N932" s="110" t="s">
        <v>363</v>
      </c>
      <c r="O932" s="111"/>
      <c r="P932" s="112"/>
      <c r="Q932" s="112"/>
      <c r="R932" s="112"/>
      <c r="S932" s="112"/>
      <c r="T932" s="112"/>
      <c r="U932" s="95" t="str">
        <f t="shared" si="45"/>
        <v/>
      </c>
      <c r="V932" s="112"/>
      <c r="W932" s="112"/>
      <c r="X932" s="107">
        <v>100</v>
      </c>
      <c r="Y932" s="107">
        <f t="shared" si="46"/>
        <v>100</v>
      </c>
      <c r="Z932" s="107">
        <f t="shared" si="47"/>
        <v>0</v>
      </c>
    </row>
    <row r="933" spans="1:26" x14ac:dyDescent="0.25">
      <c r="A933" s="55" t="str">
        <f>_xlfn.XLOOKUP($G933,'.Auxiliar'!$G:$G,'.Auxiliar'!A:A,"-",0)</f>
        <v>RIO/SP</v>
      </c>
      <c r="B933" s="55" t="str">
        <f>_xlfn.XLOOKUP($G933,'.Auxiliar'!$G:$G,'.Auxiliar'!B:B,"-",0)</f>
        <v>OAE</v>
      </c>
      <c r="C933" s="55" t="str">
        <f>_xlfn.XLOOKUP($G933,'.Auxiliar'!$G:$G,'.Auxiliar'!C:C,"-",0)</f>
        <v>Intersecção Trevo Completo</v>
      </c>
      <c r="D933" s="55">
        <f>_xlfn.XLOOKUP($G933,'.Auxiliar'!$G:$G,'.Auxiliar'!D:D,"-",0)</f>
        <v>74.400000000000006</v>
      </c>
      <c r="E933" s="55">
        <f>_xlfn.XLOOKUP($G933,'.Auxiliar'!$G:$G,'.Auxiliar'!E:E,"-",0)</f>
        <v>74.400000000000006</v>
      </c>
      <c r="F933" s="55">
        <f>_xlfn.XLOOKUP($G933,'.Auxiliar'!$G:$G,'.Auxiliar'!F:F,"-",0)</f>
        <v>1</v>
      </c>
      <c r="G933" s="59" t="s">
        <v>1374</v>
      </c>
      <c r="H933" s="108" t="s">
        <v>0</v>
      </c>
      <c r="I933" s="109" t="s">
        <v>0</v>
      </c>
      <c r="J933" s="109" t="s">
        <v>0</v>
      </c>
      <c r="K933" s="109" t="s">
        <v>0</v>
      </c>
      <c r="L933" s="109" t="s">
        <v>0</v>
      </c>
      <c r="M933" s="109" t="s">
        <v>0</v>
      </c>
      <c r="N933" s="110" t="s">
        <v>363</v>
      </c>
      <c r="O933" s="111"/>
      <c r="P933" s="112"/>
      <c r="Q933" s="112"/>
      <c r="R933" s="112"/>
      <c r="S933" s="112"/>
      <c r="T933" s="112"/>
      <c r="U933" s="95" t="str">
        <f t="shared" si="45"/>
        <v/>
      </c>
      <c r="V933" s="112"/>
      <c r="W933" s="112"/>
      <c r="X933" s="107">
        <v>100</v>
      </c>
      <c r="Y933" s="107">
        <f t="shared" si="46"/>
        <v>100</v>
      </c>
      <c r="Z933" s="107">
        <f t="shared" si="47"/>
        <v>0</v>
      </c>
    </row>
    <row r="934" spans="1:26" x14ac:dyDescent="0.25">
      <c r="A934" s="55" t="str">
        <f>_xlfn.XLOOKUP($G934,'.Auxiliar'!$G:$G,'.Auxiliar'!A:A,"-",0)</f>
        <v>RIO/SP</v>
      </c>
      <c r="B934" s="55" t="str">
        <f>_xlfn.XLOOKUP($G934,'.Auxiliar'!$G:$G,'.Auxiliar'!B:B,"-",0)</f>
        <v>OAE</v>
      </c>
      <c r="C934" s="55" t="str">
        <f>_xlfn.XLOOKUP($G934,'.Auxiliar'!$G:$G,'.Auxiliar'!C:C,"-",0)</f>
        <v>Intersecção Trevo Completo</v>
      </c>
      <c r="D934" s="55">
        <f>_xlfn.XLOOKUP($G934,'.Auxiliar'!$G:$G,'.Auxiliar'!D:D,"-",0)</f>
        <v>98.9</v>
      </c>
      <c r="E934" s="55">
        <f>_xlfn.XLOOKUP($G934,'.Auxiliar'!$G:$G,'.Auxiliar'!E:E,"-",0)</f>
        <v>98.9</v>
      </c>
      <c r="F934" s="55">
        <f>_xlfn.XLOOKUP($G934,'.Auxiliar'!$G:$G,'.Auxiliar'!F:F,"-",0)</f>
        <v>1</v>
      </c>
      <c r="G934" s="59" t="s">
        <v>1375</v>
      </c>
      <c r="H934" s="108" t="s">
        <v>0</v>
      </c>
      <c r="I934" s="109" t="s">
        <v>0</v>
      </c>
      <c r="J934" s="109" t="s">
        <v>0</v>
      </c>
      <c r="K934" s="109" t="s">
        <v>0</v>
      </c>
      <c r="L934" s="109" t="s">
        <v>0</v>
      </c>
      <c r="M934" s="109" t="s">
        <v>0</v>
      </c>
      <c r="N934" s="110" t="s">
        <v>363</v>
      </c>
      <c r="O934" s="111"/>
      <c r="P934" s="112"/>
      <c r="Q934" s="112"/>
      <c r="R934" s="112"/>
      <c r="S934" s="112"/>
      <c r="T934" s="112"/>
      <c r="U934" s="95" t="str">
        <f t="shared" si="45"/>
        <v/>
      </c>
      <c r="V934" s="112"/>
      <c r="W934" s="112"/>
      <c r="X934" s="107">
        <v>100</v>
      </c>
      <c r="Y934" s="107">
        <f t="shared" si="46"/>
        <v>100</v>
      </c>
      <c r="Z934" s="107">
        <f t="shared" si="47"/>
        <v>0</v>
      </c>
    </row>
    <row r="935" spans="1:26" x14ac:dyDescent="0.25">
      <c r="A935" s="55" t="str">
        <f>_xlfn.XLOOKUP($G935,'.Auxiliar'!$G:$G,'.Auxiliar'!A:A,"-",0)</f>
        <v>RIO/SP</v>
      </c>
      <c r="B935" s="55" t="str">
        <f>_xlfn.XLOOKUP($G935,'.Auxiliar'!$G:$G,'.Auxiliar'!B:B,"-",0)</f>
        <v>OAE</v>
      </c>
      <c r="C935" s="55" t="str">
        <f>_xlfn.XLOOKUP($G935,'.Auxiliar'!$G:$G,'.Auxiliar'!C:C,"-",0)</f>
        <v>Intersecção Trombeta</v>
      </c>
      <c r="D935" s="55">
        <f>_xlfn.XLOOKUP($G935,'.Auxiliar'!$G:$G,'.Auxiliar'!D:D,"-",0)</f>
        <v>163.58000000000001</v>
      </c>
      <c r="E935" s="55">
        <f>_xlfn.XLOOKUP($G935,'.Auxiliar'!$G:$G,'.Auxiliar'!E:E,"-",0)</f>
        <v>163.58000000000001</v>
      </c>
      <c r="F935" s="55">
        <f>_xlfn.XLOOKUP($G935,'.Auxiliar'!$G:$G,'.Auxiliar'!F:F,"-",0)</f>
        <v>1</v>
      </c>
      <c r="G935" s="59" t="s">
        <v>1427</v>
      </c>
      <c r="H935" s="108" t="s">
        <v>0</v>
      </c>
      <c r="I935" s="109" t="s">
        <v>0</v>
      </c>
      <c r="J935" s="109" t="s">
        <v>0</v>
      </c>
      <c r="K935" s="109" t="s">
        <v>0</v>
      </c>
      <c r="L935" s="109" t="s">
        <v>0</v>
      </c>
      <c r="M935" s="109" t="s">
        <v>0</v>
      </c>
      <c r="N935" s="110" t="s">
        <v>363</v>
      </c>
      <c r="O935" s="111"/>
      <c r="P935" s="112"/>
      <c r="Q935" s="112"/>
      <c r="R935" s="112"/>
      <c r="S935" s="112"/>
      <c r="T935" s="112"/>
      <c r="U935" s="95" t="str">
        <f t="shared" si="45"/>
        <v/>
      </c>
      <c r="V935" s="112"/>
      <c r="W935" s="112"/>
      <c r="X935" s="107">
        <v>100</v>
      </c>
      <c r="Y935" s="107">
        <f t="shared" si="46"/>
        <v>100</v>
      </c>
      <c r="Z935" s="107">
        <f t="shared" si="47"/>
        <v>0</v>
      </c>
    </row>
    <row r="936" spans="1:26" x14ac:dyDescent="0.25">
      <c r="A936" s="55" t="str">
        <f>_xlfn.XLOOKUP($G936,'.Auxiliar'!$G:$G,'.Auxiliar'!A:A,"-",0)</f>
        <v>RIO/SP</v>
      </c>
      <c r="B936" s="55" t="str">
        <f>_xlfn.XLOOKUP($G936,'.Auxiliar'!$G:$G,'.Auxiliar'!B:B,"-",0)</f>
        <v>OAE</v>
      </c>
      <c r="C936" s="55" t="str">
        <f>_xlfn.XLOOKUP($G936,'.Auxiliar'!$G:$G,'.Auxiliar'!C:C,"-",0)</f>
        <v>Intersecção Trombeta</v>
      </c>
      <c r="D936" s="55">
        <f>_xlfn.XLOOKUP($G936,'.Auxiliar'!$G:$G,'.Auxiliar'!D:D,"-",0)</f>
        <v>199.1</v>
      </c>
      <c r="E936" s="55">
        <f>_xlfn.XLOOKUP($G936,'.Auxiliar'!$G:$G,'.Auxiliar'!E:E,"-",0)</f>
        <v>199.1</v>
      </c>
      <c r="F936" s="55">
        <f>_xlfn.XLOOKUP($G936,'.Auxiliar'!$G:$G,'.Auxiliar'!F:F,"-",0)</f>
        <v>1</v>
      </c>
      <c r="G936" s="59" t="s">
        <v>1371</v>
      </c>
      <c r="H936" s="108" t="s">
        <v>0</v>
      </c>
      <c r="I936" s="109" t="s">
        <v>0</v>
      </c>
      <c r="J936" s="109" t="s">
        <v>0</v>
      </c>
      <c r="K936" s="109" t="s">
        <v>0</v>
      </c>
      <c r="L936" s="109" t="s">
        <v>0</v>
      </c>
      <c r="M936" s="109" t="s">
        <v>0</v>
      </c>
      <c r="N936" s="110" t="s">
        <v>363</v>
      </c>
      <c r="O936" s="111"/>
      <c r="P936" s="112"/>
      <c r="Q936" s="112"/>
      <c r="R936" s="112"/>
      <c r="S936" s="112"/>
      <c r="T936" s="112"/>
      <c r="U936" s="95" t="str">
        <f t="shared" si="45"/>
        <v/>
      </c>
      <c r="V936" s="112"/>
      <c r="W936" s="112"/>
      <c r="X936" s="107">
        <v>100</v>
      </c>
      <c r="Y936" s="107">
        <f t="shared" si="46"/>
        <v>100</v>
      </c>
      <c r="Z936" s="107">
        <f t="shared" si="47"/>
        <v>0</v>
      </c>
    </row>
    <row r="937" spans="1:26" x14ac:dyDescent="0.25">
      <c r="A937" s="55" t="str">
        <f>_xlfn.XLOOKUP($G937,'.Auxiliar'!$G:$G,'.Auxiliar'!A:A,"-",0)</f>
        <v>RIO/SP</v>
      </c>
      <c r="B937" s="55" t="str">
        <f>_xlfn.XLOOKUP($G937,'.Auxiliar'!$G:$G,'.Auxiliar'!B:B,"-",0)</f>
        <v>OAE</v>
      </c>
      <c r="C937" s="55" t="str">
        <f>_xlfn.XLOOKUP($G937,'.Auxiliar'!$G:$G,'.Auxiliar'!C:C,"-",0)</f>
        <v>Intersecção Trombeta</v>
      </c>
      <c r="D937" s="55">
        <f>_xlfn.XLOOKUP($G937,'.Auxiliar'!$G:$G,'.Auxiliar'!D:D,"-",0)</f>
        <v>21.5</v>
      </c>
      <c r="E937" s="55">
        <f>_xlfn.XLOOKUP($G937,'.Auxiliar'!$G:$G,'.Auxiliar'!E:E,"-",0)</f>
        <v>21.5</v>
      </c>
      <c r="F937" s="55">
        <f>_xlfn.XLOOKUP($G937,'.Auxiliar'!$G:$G,'.Auxiliar'!F:F,"-",0)</f>
        <v>1</v>
      </c>
      <c r="G937" s="59" t="s">
        <v>1369</v>
      </c>
      <c r="H937" s="108" t="s">
        <v>0</v>
      </c>
      <c r="I937" s="109" t="s">
        <v>0</v>
      </c>
      <c r="J937" s="109" t="s">
        <v>0</v>
      </c>
      <c r="K937" s="109" t="s">
        <v>0</v>
      </c>
      <c r="L937" s="109" t="s">
        <v>0</v>
      </c>
      <c r="M937" s="109" t="s">
        <v>0</v>
      </c>
      <c r="N937" s="110" t="s">
        <v>363</v>
      </c>
      <c r="O937" s="111"/>
      <c r="P937" s="112"/>
      <c r="Q937" s="112"/>
      <c r="R937" s="112"/>
      <c r="S937" s="112"/>
      <c r="T937" s="112"/>
      <c r="U937" s="95" t="str">
        <f t="shared" si="45"/>
        <v/>
      </c>
      <c r="V937" s="112"/>
      <c r="W937" s="112"/>
      <c r="X937" s="107">
        <v>100</v>
      </c>
      <c r="Y937" s="107">
        <f t="shared" si="46"/>
        <v>100</v>
      </c>
      <c r="Z937" s="107">
        <f t="shared" si="47"/>
        <v>0</v>
      </c>
    </row>
    <row r="938" spans="1:26" x14ac:dyDescent="0.25">
      <c r="A938" s="55" t="str">
        <f>_xlfn.XLOOKUP($G938,'.Auxiliar'!$G:$G,'.Auxiliar'!A:A,"-",0)</f>
        <v>RIO/SP</v>
      </c>
      <c r="B938" s="55" t="str">
        <f>_xlfn.XLOOKUP($G938,'.Auxiliar'!$G:$G,'.Auxiliar'!B:B,"-",0)</f>
        <v>OAE</v>
      </c>
      <c r="C938" s="55" t="str">
        <f>_xlfn.XLOOKUP($G938,'.Auxiliar'!$G:$G,'.Auxiliar'!C:C,"-",0)</f>
        <v>Intersecção Trombeta</v>
      </c>
      <c r="D938" s="55">
        <f>_xlfn.XLOOKUP($G938,'.Auxiliar'!$G:$G,'.Auxiliar'!D:D,"-",0)</f>
        <v>210.34</v>
      </c>
      <c r="E938" s="55">
        <f>_xlfn.XLOOKUP($G938,'.Auxiliar'!$G:$G,'.Auxiliar'!E:E,"-",0)</f>
        <v>210.34</v>
      </c>
      <c r="F938" s="55">
        <f>_xlfn.XLOOKUP($G938,'.Auxiliar'!$G:$G,'.Auxiliar'!F:F,"-",0)</f>
        <v>1</v>
      </c>
      <c r="G938" s="59" t="s">
        <v>1425</v>
      </c>
      <c r="H938" s="108" t="s">
        <v>0</v>
      </c>
      <c r="I938" s="109" t="s">
        <v>0</v>
      </c>
      <c r="J938" s="109" t="s">
        <v>0</v>
      </c>
      <c r="K938" s="109" t="s">
        <v>0</v>
      </c>
      <c r="L938" s="109" t="s">
        <v>0</v>
      </c>
      <c r="M938" s="109" t="s">
        <v>0</v>
      </c>
      <c r="N938" s="110" t="s">
        <v>363</v>
      </c>
      <c r="O938" s="111"/>
      <c r="P938" s="112"/>
      <c r="Q938" s="112"/>
      <c r="R938" s="112"/>
      <c r="S938" s="112"/>
      <c r="T938" s="112"/>
      <c r="U938" s="95" t="str">
        <f t="shared" si="45"/>
        <v/>
      </c>
      <c r="V938" s="112"/>
      <c r="W938" s="112"/>
      <c r="X938" s="107">
        <v>100</v>
      </c>
      <c r="Y938" s="107">
        <f t="shared" si="46"/>
        <v>100</v>
      </c>
      <c r="Z938" s="107">
        <f t="shared" si="47"/>
        <v>0</v>
      </c>
    </row>
    <row r="939" spans="1:26" x14ac:dyDescent="0.25">
      <c r="A939" s="55" t="str">
        <f>_xlfn.XLOOKUP($G939,'.Auxiliar'!$G:$G,'.Auxiliar'!A:A,"-",0)</f>
        <v>RIO/SP</v>
      </c>
      <c r="B939" s="55" t="str">
        <f>_xlfn.XLOOKUP($G939,'.Auxiliar'!$G:$G,'.Auxiliar'!B:B,"-",0)</f>
        <v>OAE</v>
      </c>
      <c r="C939" s="55" t="str">
        <f>_xlfn.XLOOKUP($G939,'.Auxiliar'!$G:$G,'.Auxiliar'!C:C,"-",0)</f>
        <v>Intersecção Trombeta</v>
      </c>
      <c r="D939" s="55">
        <f>_xlfn.XLOOKUP($G939,'.Auxiliar'!$G:$G,'.Auxiliar'!D:D,"-",0)</f>
        <v>257.14999999999998</v>
      </c>
      <c r="E939" s="55">
        <f>_xlfn.XLOOKUP($G939,'.Auxiliar'!$G:$G,'.Auxiliar'!E:E,"-",0)</f>
        <v>257.14999999999998</v>
      </c>
      <c r="F939" s="55">
        <f>_xlfn.XLOOKUP($G939,'.Auxiliar'!$G:$G,'.Auxiliar'!F:F,"-",0)</f>
        <v>1</v>
      </c>
      <c r="G939" s="59" t="s">
        <v>1426</v>
      </c>
      <c r="H939" s="108" t="s">
        <v>0</v>
      </c>
      <c r="I939" s="109" t="s">
        <v>0</v>
      </c>
      <c r="J939" s="109" t="s">
        <v>0</v>
      </c>
      <c r="K939" s="109" t="s">
        <v>0</v>
      </c>
      <c r="L939" s="109" t="s">
        <v>0</v>
      </c>
      <c r="M939" s="109" t="s">
        <v>0</v>
      </c>
      <c r="N939" s="110" t="s">
        <v>363</v>
      </c>
      <c r="O939" s="111"/>
      <c r="P939" s="112"/>
      <c r="Q939" s="112"/>
      <c r="R939" s="112"/>
      <c r="S939" s="112"/>
      <c r="T939" s="112"/>
      <c r="U939" s="95" t="str">
        <f t="shared" si="45"/>
        <v/>
      </c>
      <c r="V939" s="112"/>
      <c r="W939" s="112"/>
      <c r="X939" s="107">
        <v>100</v>
      </c>
      <c r="Y939" s="107">
        <f t="shared" si="46"/>
        <v>100</v>
      </c>
      <c r="Z939" s="107">
        <f t="shared" si="47"/>
        <v>0</v>
      </c>
    </row>
    <row r="940" spans="1:26" x14ac:dyDescent="0.25">
      <c r="A940" s="55" t="str">
        <f>_xlfn.XLOOKUP($G940,'.Auxiliar'!$G:$G,'.Auxiliar'!A:A,"-",0)</f>
        <v>RIO/SP</v>
      </c>
      <c r="B940" s="55" t="str">
        <f>_xlfn.XLOOKUP($G940,'.Auxiliar'!$G:$G,'.Auxiliar'!B:B,"-",0)</f>
        <v>OAE</v>
      </c>
      <c r="C940" s="55" t="str">
        <f>_xlfn.XLOOKUP($G940,'.Auxiliar'!$G:$G,'.Auxiliar'!C:C,"-",0)</f>
        <v>Intersecção Trombeta</v>
      </c>
      <c r="D940" s="55">
        <f>_xlfn.XLOOKUP($G940,'.Auxiliar'!$G:$G,'.Auxiliar'!D:D,"-",0)</f>
        <v>268.93</v>
      </c>
      <c r="E940" s="55">
        <f>_xlfn.XLOOKUP($G940,'.Auxiliar'!$G:$G,'.Auxiliar'!E:E,"-",0)</f>
        <v>268.93</v>
      </c>
      <c r="F940" s="55">
        <f>_xlfn.XLOOKUP($G940,'.Auxiliar'!$G:$G,'.Auxiliar'!F:F,"-",0)</f>
        <v>1</v>
      </c>
      <c r="G940" s="59" t="s">
        <v>1428</v>
      </c>
      <c r="H940" s="108" t="s">
        <v>0</v>
      </c>
      <c r="I940" s="109" t="s">
        <v>0</v>
      </c>
      <c r="J940" s="109" t="s">
        <v>0</v>
      </c>
      <c r="K940" s="109" t="s">
        <v>0</v>
      </c>
      <c r="L940" s="109" t="s">
        <v>0</v>
      </c>
      <c r="M940" s="109" t="s">
        <v>0</v>
      </c>
      <c r="N940" s="110" t="s">
        <v>363</v>
      </c>
      <c r="O940" s="111"/>
      <c r="P940" s="112"/>
      <c r="Q940" s="112"/>
      <c r="R940" s="112"/>
      <c r="S940" s="112"/>
      <c r="T940" s="112"/>
      <c r="U940" s="95" t="str">
        <f t="shared" si="45"/>
        <v/>
      </c>
      <c r="V940" s="112"/>
      <c r="W940" s="112"/>
      <c r="X940" s="107">
        <v>100</v>
      </c>
      <c r="Y940" s="107">
        <f t="shared" si="46"/>
        <v>100</v>
      </c>
      <c r="Z940" s="107">
        <f t="shared" si="47"/>
        <v>0</v>
      </c>
    </row>
    <row r="941" spans="1:26" x14ac:dyDescent="0.25">
      <c r="A941" s="55" t="str">
        <f>_xlfn.XLOOKUP($G941,'.Auxiliar'!$G:$G,'.Auxiliar'!A:A,"-",0)</f>
        <v>RIO/SP</v>
      </c>
      <c r="B941" s="55" t="str">
        <f>_xlfn.XLOOKUP($G941,'.Auxiliar'!$G:$G,'.Auxiliar'!B:B,"-",0)</f>
        <v>OAE</v>
      </c>
      <c r="C941" s="55" t="str">
        <f>_xlfn.XLOOKUP($G941,'.Auxiliar'!$G:$G,'.Auxiliar'!C:C,"-",0)</f>
        <v>Intersecção Trombeta</v>
      </c>
      <c r="D941" s="55">
        <f>_xlfn.XLOOKUP($G941,'.Auxiliar'!$G:$G,'.Auxiliar'!D:D,"-",0)</f>
        <v>309.45</v>
      </c>
      <c r="E941" s="55">
        <f>_xlfn.XLOOKUP($G941,'.Auxiliar'!$G:$G,'.Auxiliar'!E:E,"-",0)</f>
        <v>309.45</v>
      </c>
      <c r="F941" s="55">
        <f>_xlfn.XLOOKUP($G941,'.Auxiliar'!$G:$G,'.Auxiliar'!F:F,"-",0)</f>
        <v>1</v>
      </c>
      <c r="G941" s="59" t="s">
        <v>1429</v>
      </c>
      <c r="H941" s="108" t="s">
        <v>0</v>
      </c>
      <c r="I941" s="109" t="s">
        <v>0</v>
      </c>
      <c r="J941" s="109" t="s">
        <v>0</v>
      </c>
      <c r="K941" s="109" t="s">
        <v>0</v>
      </c>
      <c r="L941" s="109" t="s">
        <v>0</v>
      </c>
      <c r="M941" s="109" t="s">
        <v>0</v>
      </c>
      <c r="N941" s="110" t="s">
        <v>363</v>
      </c>
      <c r="O941" s="111"/>
      <c r="P941" s="112"/>
      <c r="Q941" s="112"/>
      <c r="R941" s="112"/>
      <c r="S941" s="112"/>
      <c r="T941" s="112"/>
      <c r="U941" s="95" t="str">
        <f t="shared" si="45"/>
        <v/>
      </c>
      <c r="V941" s="112"/>
      <c r="W941" s="112"/>
      <c r="X941" s="107">
        <v>100</v>
      </c>
      <c r="Y941" s="107">
        <f t="shared" si="46"/>
        <v>100</v>
      </c>
      <c r="Z941" s="107">
        <f t="shared" si="47"/>
        <v>0</v>
      </c>
    </row>
    <row r="942" spans="1:26" x14ac:dyDescent="0.25">
      <c r="A942" s="55" t="str">
        <f>_xlfn.XLOOKUP($G942,'.Auxiliar'!$G:$G,'.Auxiliar'!A:A,"-",0)</f>
        <v>RIO/SP</v>
      </c>
      <c r="B942" s="55" t="str">
        <f>_xlfn.XLOOKUP($G942,'.Auxiliar'!$G:$G,'.Auxiliar'!B:B,"-",0)</f>
        <v>OAE</v>
      </c>
      <c r="C942" s="55" t="str">
        <f>_xlfn.XLOOKUP($G942,'.Auxiliar'!$G:$G,'.Auxiliar'!C:C,"-",0)</f>
        <v>Intersecção Trombeta</v>
      </c>
      <c r="D942" s="55">
        <f>_xlfn.XLOOKUP($G942,'.Auxiliar'!$G:$G,'.Auxiliar'!D:D,"-",0)</f>
        <v>310.67</v>
      </c>
      <c r="E942" s="55">
        <f>_xlfn.XLOOKUP($G942,'.Auxiliar'!$G:$G,'.Auxiliar'!E:E,"-",0)</f>
        <v>310.67</v>
      </c>
      <c r="F942" s="55">
        <f>_xlfn.XLOOKUP($G942,'.Auxiliar'!$G:$G,'.Auxiliar'!F:F,"-",0)</f>
        <v>1</v>
      </c>
      <c r="G942" s="59" t="s">
        <v>1430</v>
      </c>
      <c r="H942" s="108" t="s">
        <v>0</v>
      </c>
      <c r="I942" s="109" t="s">
        <v>0</v>
      </c>
      <c r="J942" s="109" t="s">
        <v>0</v>
      </c>
      <c r="K942" s="109" t="s">
        <v>0</v>
      </c>
      <c r="L942" s="109" t="s">
        <v>0</v>
      </c>
      <c r="M942" s="109" t="s">
        <v>0</v>
      </c>
      <c r="N942" s="110" t="s">
        <v>363</v>
      </c>
      <c r="O942" s="111"/>
      <c r="P942" s="112"/>
      <c r="Q942" s="112"/>
      <c r="R942" s="112"/>
      <c r="S942" s="112"/>
      <c r="T942" s="112"/>
      <c r="U942" s="95" t="str">
        <f t="shared" si="45"/>
        <v/>
      </c>
      <c r="V942" s="112"/>
      <c r="W942" s="112"/>
      <c r="X942" s="107">
        <v>100</v>
      </c>
      <c r="Y942" s="107">
        <f t="shared" si="46"/>
        <v>100</v>
      </c>
      <c r="Z942" s="107">
        <f t="shared" si="47"/>
        <v>0</v>
      </c>
    </row>
    <row r="943" spans="1:26" x14ac:dyDescent="0.25">
      <c r="A943" s="55" t="str">
        <f>_xlfn.XLOOKUP($G943,'.Auxiliar'!$G:$G,'.Auxiliar'!A:A,"-",0)</f>
        <v>RIO/SP</v>
      </c>
      <c r="B943" s="55" t="str">
        <f>_xlfn.XLOOKUP($G943,'.Auxiliar'!$G:$G,'.Auxiliar'!B:B,"-",0)</f>
        <v>OAE</v>
      </c>
      <c r="C943" s="55" t="str">
        <f>_xlfn.XLOOKUP($G943,'.Auxiliar'!$G:$G,'.Auxiliar'!C:C,"-",0)</f>
        <v>Intersecção Trombeta</v>
      </c>
      <c r="D943" s="55">
        <f>_xlfn.XLOOKUP($G943,'.Auxiliar'!$G:$G,'.Auxiliar'!D:D,"-",0)</f>
        <v>416.2</v>
      </c>
      <c r="E943" s="55">
        <f>_xlfn.XLOOKUP($G943,'.Auxiliar'!$G:$G,'.Auxiliar'!E:E,"-",0)</f>
        <v>416.2</v>
      </c>
      <c r="F943" s="55">
        <f>_xlfn.XLOOKUP($G943,'.Auxiliar'!$G:$G,'.Auxiliar'!F:F,"-",0)</f>
        <v>1</v>
      </c>
      <c r="G943" s="59" t="s">
        <v>1493</v>
      </c>
      <c r="H943" s="108" t="s">
        <v>0</v>
      </c>
      <c r="I943" s="109" t="s">
        <v>0</v>
      </c>
      <c r="J943" s="109" t="s">
        <v>0</v>
      </c>
      <c r="K943" s="109" t="s">
        <v>0</v>
      </c>
      <c r="L943" s="109" t="s">
        <v>0</v>
      </c>
      <c r="M943" s="109" t="s">
        <v>0</v>
      </c>
      <c r="N943" s="110" t="s">
        <v>363</v>
      </c>
      <c r="O943" s="111"/>
      <c r="P943" s="112"/>
      <c r="Q943" s="112"/>
      <c r="R943" s="112"/>
      <c r="S943" s="112"/>
      <c r="T943" s="112"/>
      <c r="U943" s="95" t="str">
        <f t="shared" si="45"/>
        <v/>
      </c>
      <c r="V943" s="112"/>
      <c r="W943" s="112"/>
      <c r="X943" s="107">
        <v>100</v>
      </c>
      <c r="Y943" s="107">
        <f t="shared" si="46"/>
        <v>100</v>
      </c>
      <c r="Z943" s="107">
        <f t="shared" si="47"/>
        <v>0</v>
      </c>
    </row>
    <row r="944" spans="1:26" x14ac:dyDescent="0.25">
      <c r="A944" s="55" t="str">
        <f>_xlfn.XLOOKUP($G944,'.Auxiliar'!$G:$G,'.Auxiliar'!A:A,"-",0)</f>
        <v>RIO/SP</v>
      </c>
      <c r="B944" s="55" t="str">
        <f>_xlfn.XLOOKUP($G944,'.Auxiliar'!$G:$G,'.Auxiliar'!B:B,"-",0)</f>
        <v>OAE</v>
      </c>
      <c r="C944" s="55" t="str">
        <f>_xlfn.XLOOKUP($G944,'.Auxiliar'!$G:$G,'.Auxiliar'!C:C,"-",0)</f>
        <v>Intersecção Trombeta</v>
      </c>
      <c r="D944" s="55">
        <f>_xlfn.XLOOKUP($G944,'.Auxiliar'!$G:$G,'.Auxiliar'!D:D,"-",0)</f>
        <v>425.85</v>
      </c>
      <c r="E944" s="55">
        <f>_xlfn.XLOOKUP($G944,'.Auxiliar'!$G:$G,'.Auxiliar'!E:E,"-",0)</f>
        <v>425.85</v>
      </c>
      <c r="F944" s="55">
        <f>_xlfn.XLOOKUP($G944,'.Auxiliar'!$G:$G,'.Auxiliar'!F:F,"-",0)</f>
        <v>1</v>
      </c>
      <c r="G944" s="59" t="s">
        <v>1494</v>
      </c>
      <c r="H944" s="108" t="s">
        <v>0</v>
      </c>
      <c r="I944" s="109" t="s">
        <v>0</v>
      </c>
      <c r="J944" s="109" t="s">
        <v>0</v>
      </c>
      <c r="K944" s="109" t="s">
        <v>0</v>
      </c>
      <c r="L944" s="109" t="s">
        <v>0</v>
      </c>
      <c r="M944" s="109" t="s">
        <v>0</v>
      </c>
      <c r="N944" s="110" t="s">
        <v>363</v>
      </c>
      <c r="O944" s="111"/>
      <c r="P944" s="112"/>
      <c r="Q944" s="112"/>
      <c r="R944" s="112"/>
      <c r="S944" s="112"/>
      <c r="T944" s="112"/>
      <c r="U944" s="95" t="str">
        <f t="shared" si="45"/>
        <v/>
      </c>
      <c r="V944" s="112"/>
      <c r="W944" s="112"/>
      <c r="X944" s="107">
        <v>100</v>
      </c>
      <c r="Y944" s="107">
        <f t="shared" si="46"/>
        <v>100</v>
      </c>
      <c r="Z944" s="107">
        <f t="shared" si="47"/>
        <v>0</v>
      </c>
    </row>
    <row r="945" spans="1:26" x14ac:dyDescent="0.25">
      <c r="A945" s="55" t="str">
        <f>_xlfn.XLOOKUP($G945,'.Auxiliar'!$G:$G,'.Auxiliar'!A:A,"-",0)</f>
        <v>RIO/SP</v>
      </c>
      <c r="B945" s="55" t="str">
        <f>_xlfn.XLOOKUP($G945,'.Auxiliar'!$G:$G,'.Auxiliar'!B:B,"-",0)</f>
        <v>OAE</v>
      </c>
      <c r="C945" s="55" t="str">
        <f>_xlfn.XLOOKUP($G945,'.Auxiliar'!$G:$G,'.Auxiliar'!C:C,"-",0)</f>
        <v>Intersecção Trombeta</v>
      </c>
      <c r="D945" s="55">
        <f>_xlfn.XLOOKUP($G945,'.Auxiliar'!$G:$G,'.Auxiliar'!D:D,"-",0)</f>
        <v>496.2</v>
      </c>
      <c r="E945" s="55">
        <f>_xlfn.XLOOKUP($G945,'.Auxiliar'!$G:$G,'.Auxiliar'!E:E,"-",0)</f>
        <v>496.2</v>
      </c>
      <c r="F945" s="55">
        <f>_xlfn.XLOOKUP($G945,'.Auxiliar'!$G:$G,'.Auxiliar'!F:F,"-",0)</f>
        <v>1</v>
      </c>
      <c r="G945" s="59" t="s">
        <v>1495</v>
      </c>
      <c r="H945" s="108" t="s">
        <v>0</v>
      </c>
      <c r="I945" s="109" t="s">
        <v>0</v>
      </c>
      <c r="J945" s="109" t="s">
        <v>0</v>
      </c>
      <c r="K945" s="109" t="s">
        <v>0</v>
      </c>
      <c r="L945" s="109" t="s">
        <v>0</v>
      </c>
      <c r="M945" s="109" t="s">
        <v>0</v>
      </c>
      <c r="N945" s="110" t="s">
        <v>363</v>
      </c>
      <c r="O945" s="111"/>
      <c r="P945" s="112"/>
      <c r="Q945" s="112"/>
      <c r="R945" s="112"/>
      <c r="S945" s="112"/>
      <c r="T945" s="112"/>
      <c r="U945" s="95" t="str">
        <f t="shared" si="45"/>
        <v/>
      </c>
      <c r="V945" s="112"/>
      <c r="W945" s="112"/>
      <c r="X945" s="107">
        <v>100</v>
      </c>
      <c r="Y945" s="107">
        <f t="shared" si="46"/>
        <v>100</v>
      </c>
      <c r="Z945" s="107">
        <f t="shared" si="47"/>
        <v>0</v>
      </c>
    </row>
    <row r="946" spans="1:26" x14ac:dyDescent="0.25">
      <c r="A946" s="55" t="str">
        <f>_xlfn.XLOOKUP($G946,'.Auxiliar'!$G:$G,'.Auxiliar'!A:A,"-",0)</f>
        <v>RIO/SP</v>
      </c>
      <c r="B946" s="55" t="str">
        <f>_xlfn.XLOOKUP($G946,'.Auxiliar'!$G:$G,'.Auxiliar'!B:B,"-",0)</f>
        <v>OAE</v>
      </c>
      <c r="C946" s="55" t="str">
        <f>_xlfn.XLOOKUP($G946,'.Auxiliar'!$G:$G,'.Auxiliar'!C:C,"-",0)</f>
        <v>Intersecção Trombeta</v>
      </c>
      <c r="D946" s="55">
        <f>_xlfn.XLOOKUP($G946,'.Auxiliar'!$G:$G,'.Auxiliar'!D:D,"-",0)</f>
        <v>60.3</v>
      </c>
      <c r="E946" s="55">
        <f>_xlfn.XLOOKUP($G946,'.Auxiliar'!$G:$G,'.Auxiliar'!E:E,"-",0)</f>
        <v>60.3</v>
      </c>
      <c r="F946" s="55">
        <f>_xlfn.XLOOKUP($G946,'.Auxiliar'!$G:$G,'.Auxiliar'!F:F,"-",0)</f>
        <v>1</v>
      </c>
      <c r="G946" s="59" t="s">
        <v>1370</v>
      </c>
      <c r="H946" s="108" t="s">
        <v>0</v>
      </c>
      <c r="I946" s="109" t="s">
        <v>0</v>
      </c>
      <c r="J946" s="109" t="s">
        <v>0</v>
      </c>
      <c r="K946" s="109" t="s">
        <v>0</v>
      </c>
      <c r="L946" s="109" t="s">
        <v>0</v>
      </c>
      <c r="M946" s="109" t="s">
        <v>0</v>
      </c>
      <c r="N946" s="110" t="s">
        <v>363</v>
      </c>
      <c r="O946" s="111"/>
      <c r="P946" s="112"/>
      <c r="Q946" s="112"/>
      <c r="R946" s="112"/>
      <c r="S946" s="112"/>
      <c r="T946" s="112"/>
      <c r="U946" s="95" t="str">
        <f t="shared" si="45"/>
        <v/>
      </c>
      <c r="V946" s="112"/>
      <c r="W946" s="112"/>
      <c r="X946" s="107">
        <v>100</v>
      </c>
      <c r="Y946" s="107">
        <f t="shared" si="46"/>
        <v>100</v>
      </c>
      <c r="Z946" s="107">
        <f t="shared" si="47"/>
        <v>0</v>
      </c>
    </row>
    <row r="947" spans="1:26" x14ac:dyDescent="0.25">
      <c r="A947" s="55" t="str">
        <f>_xlfn.XLOOKUP($G947,'.Auxiliar'!$G:$G,'.Auxiliar'!A:A,"-",0)</f>
        <v>RIO/SP</v>
      </c>
      <c r="B947" s="55" t="str">
        <f>_xlfn.XLOOKUP($G947,'.Auxiliar'!$G:$G,'.Auxiliar'!B:B,"-",0)</f>
        <v>OAE</v>
      </c>
      <c r="C947" s="55" t="str">
        <f>_xlfn.XLOOKUP($G947,'.Auxiliar'!$G:$G,'.Auxiliar'!C:C,"-",0)</f>
        <v>Novas OAEs</v>
      </c>
      <c r="D947" s="55">
        <f>_xlfn.XLOOKUP($G947,'.Auxiliar'!$G:$G,'.Auxiliar'!D:D,"-",0)</f>
        <v>408.15</v>
      </c>
      <c r="E947" s="55">
        <f>_xlfn.XLOOKUP($G947,'.Auxiliar'!$G:$G,'.Auxiliar'!E:E,"-",0)</f>
        <v>408.15</v>
      </c>
      <c r="F947" s="55">
        <f>_xlfn.XLOOKUP($G947,'.Auxiliar'!$G:$G,'.Auxiliar'!F:F,"-",0)</f>
        <v>1</v>
      </c>
      <c r="G947" s="59" t="s">
        <v>1497</v>
      </c>
      <c r="H947" s="108" t="s">
        <v>0</v>
      </c>
      <c r="I947" s="109" t="s">
        <v>0</v>
      </c>
      <c r="J947" s="109" t="s">
        <v>0</v>
      </c>
      <c r="K947" s="109" t="s">
        <v>0</v>
      </c>
      <c r="L947" s="109" t="s">
        <v>0</v>
      </c>
      <c r="M947" s="109" t="s">
        <v>0</v>
      </c>
      <c r="N947" s="110" t="s">
        <v>363</v>
      </c>
      <c r="O947" s="111"/>
      <c r="P947" s="112"/>
      <c r="Q947" s="112"/>
      <c r="R947" s="112"/>
      <c r="S947" s="112"/>
      <c r="T947" s="112"/>
      <c r="U947" s="95" t="str">
        <f t="shared" si="45"/>
        <v/>
      </c>
      <c r="V947" s="112"/>
      <c r="W947" s="112"/>
      <c r="X947" s="107">
        <v>100</v>
      </c>
      <c r="Y947" s="107">
        <f t="shared" si="46"/>
        <v>100</v>
      </c>
      <c r="Z947" s="107">
        <f t="shared" si="47"/>
        <v>0</v>
      </c>
    </row>
    <row r="948" spans="1:26" x14ac:dyDescent="0.25">
      <c r="A948" s="55" t="str">
        <f>_xlfn.XLOOKUP($G948,'.Auxiliar'!$G:$G,'.Auxiliar'!A:A,"-",0)</f>
        <v>RIO/SP</v>
      </c>
      <c r="B948" s="55" t="str">
        <f>_xlfn.XLOOKUP($G948,'.Auxiliar'!$G:$G,'.Auxiliar'!B:B,"-",0)</f>
        <v>OAE</v>
      </c>
      <c r="C948" s="55" t="str">
        <f>_xlfn.XLOOKUP($G948,'.Auxiliar'!$G:$G,'.Auxiliar'!C:C,"-",0)</f>
        <v>Novas OAEs</v>
      </c>
      <c r="D948" s="55">
        <f>_xlfn.XLOOKUP($G948,'.Auxiliar'!$G:$G,'.Auxiliar'!D:D,"-",0)</f>
        <v>416.20600000000002</v>
      </c>
      <c r="E948" s="55">
        <f>_xlfn.XLOOKUP($G948,'.Auxiliar'!$G:$G,'.Auxiliar'!E:E,"-",0)</f>
        <v>416.20600000000002</v>
      </c>
      <c r="F948" s="55">
        <f>_xlfn.XLOOKUP($G948,'.Auxiliar'!$G:$G,'.Auxiliar'!F:F,"-",0)</f>
        <v>1</v>
      </c>
      <c r="G948" s="59" t="s">
        <v>1498</v>
      </c>
      <c r="H948" s="108" t="s">
        <v>0</v>
      </c>
      <c r="I948" s="109" t="s">
        <v>0</v>
      </c>
      <c r="J948" s="109" t="s">
        <v>0</v>
      </c>
      <c r="K948" s="109" t="s">
        <v>0</v>
      </c>
      <c r="L948" s="109" t="s">
        <v>0</v>
      </c>
      <c r="M948" s="109" t="s">
        <v>0</v>
      </c>
      <c r="N948" s="110" t="s">
        <v>363</v>
      </c>
      <c r="O948" s="111"/>
      <c r="P948" s="112"/>
      <c r="Q948" s="112"/>
      <c r="R948" s="112"/>
      <c r="S948" s="112"/>
      <c r="T948" s="112"/>
      <c r="U948" s="95" t="str">
        <f t="shared" si="45"/>
        <v/>
      </c>
      <c r="V948" s="112"/>
      <c r="W948" s="112"/>
      <c r="X948" s="107">
        <v>100</v>
      </c>
      <c r="Y948" s="107">
        <f t="shared" si="46"/>
        <v>100</v>
      </c>
      <c r="Z948" s="107">
        <f t="shared" si="47"/>
        <v>0</v>
      </c>
    </row>
    <row r="949" spans="1:26" x14ac:dyDescent="0.25">
      <c r="A949" s="55" t="str">
        <f>_xlfn.XLOOKUP($G949,'.Auxiliar'!$G:$G,'.Auxiliar'!A:A,"-",0)</f>
        <v>RIO/SP</v>
      </c>
      <c r="B949" s="55" t="str">
        <f>_xlfn.XLOOKUP($G949,'.Auxiliar'!$G:$G,'.Auxiliar'!B:B,"-",0)</f>
        <v>OAE</v>
      </c>
      <c r="C949" s="55" t="str">
        <f>_xlfn.XLOOKUP($G949,'.Auxiliar'!$G:$G,'.Auxiliar'!C:C,"-",0)</f>
        <v>Novas OAEs</v>
      </c>
      <c r="D949" s="55">
        <f>_xlfn.XLOOKUP($G949,'.Auxiliar'!$G:$G,'.Auxiliar'!D:D,"-",0)</f>
        <v>420.74</v>
      </c>
      <c r="E949" s="55">
        <f>_xlfn.XLOOKUP($G949,'.Auxiliar'!$G:$G,'.Auxiliar'!E:E,"-",0)</f>
        <v>420.74</v>
      </c>
      <c r="F949" s="55">
        <f>_xlfn.XLOOKUP($G949,'.Auxiliar'!$G:$G,'.Auxiliar'!F:F,"-",0)</f>
        <v>1</v>
      </c>
      <c r="G949" s="59" t="s">
        <v>1499</v>
      </c>
      <c r="H949" s="108" t="s">
        <v>0</v>
      </c>
      <c r="I949" s="109" t="s">
        <v>0</v>
      </c>
      <c r="J949" s="109" t="s">
        <v>0</v>
      </c>
      <c r="K949" s="109" t="s">
        <v>0</v>
      </c>
      <c r="L949" s="109" t="s">
        <v>0</v>
      </c>
      <c r="M949" s="109" t="s">
        <v>0</v>
      </c>
      <c r="N949" s="110" t="s">
        <v>363</v>
      </c>
      <c r="O949" s="111"/>
      <c r="P949" s="112"/>
      <c r="Q949" s="112"/>
      <c r="R949" s="112"/>
      <c r="S949" s="112"/>
      <c r="T949" s="112"/>
      <c r="U949" s="95" t="str">
        <f t="shared" si="45"/>
        <v/>
      </c>
      <c r="V949" s="112"/>
      <c r="W949" s="112"/>
      <c r="X949" s="107">
        <v>100</v>
      </c>
      <c r="Y949" s="107">
        <f t="shared" si="46"/>
        <v>100</v>
      </c>
      <c r="Z949" s="107">
        <f t="shared" si="47"/>
        <v>0</v>
      </c>
    </row>
    <row r="950" spans="1:26" x14ac:dyDescent="0.25">
      <c r="A950" s="55" t="str">
        <f>_xlfn.XLOOKUP($G950,'.Auxiliar'!$G:$G,'.Auxiliar'!A:A,"-",0)</f>
        <v>RIO/SP</v>
      </c>
      <c r="B950" s="55" t="str">
        <f>_xlfn.XLOOKUP($G950,'.Auxiliar'!$G:$G,'.Auxiliar'!B:B,"-",0)</f>
        <v>OAE</v>
      </c>
      <c r="C950" s="55" t="str">
        <f>_xlfn.XLOOKUP($G950,'.Auxiliar'!$G:$G,'.Auxiliar'!C:C,"-",0)</f>
        <v>Novas OAEs</v>
      </c>
      <c r="D950" s="55">
        <f>_xlfn.XLOOKUP($G950,'.Auxiliar'!$G:$G,'.Auxiliar'!D:D,"-",0)</f>
        <v>422.97699999999998</v>
      </c>
      <c r="E950" s="55">
        <f>_xlfn.XLOOKUP($G950,'.Auxiliar'!$G:$G,'.Auxiliar'!E:E,"-",0)</f>
        <v>422.97699999999998</v>
      </c>
      <c r="F950" s="55">
        <f>_xlfn.XLOOKUP($G950,'.Auxiliar'!$G:$G,'.Auxiliar'!F:F,"-",0)</f>
        <v>1</v>
      </c>
      <c r="G950" s="59" t="s">
        <v>1500</v>
      </c>
      <c r="H950" s="108" t="s">
        <v>0</v>
      </c>
      <c r="I950" s="109" t="s">
        <v>0</v>
      </c>
      <c r="J950" s="109" t="s">
        <v>0</v>
      </c>
      <c r="K950" s="109" t="s">
        <v>0</v>
      </c>
      <c r="L950" s="109" t="s">
        <v>0</v>
      </c>
      <c r="M950" s="109" t="s">
        <v>0</v>
      </c>
      <c r="N950" s="110" t="s">
        <v>363</v>
      </c>
      <c r="O950" s="111"/>
      <c r="P950" s="112"/>
      <c r="Q950" s="112"/>
      <c r="R950" s="112"/>
      <c r="S950" s="112"/>
      <c r="T950" s="112"/>
      <c r="U950" s="95" t="str">
        <f t="shared" si="45"/>
        <v/>
      </c>
      <c r="V950" s="112"/>
      <c r="W950" s="112"/>
      <c r="X950" s="107">
        <v>100</v>
      </c>
      <c r="Y950" s="107">
        <f t="shared" si="46"/>
        <v>100</v>
      </c>
      <c r="Z950" s="107">
        <f t="shared" si="47"/>
        <v>0</v>
      </c>
    </row>
    <row r="951" spans="1:26" x14ac:dyDescent="0.25">
      <c r="A951" s="55" t="str">
        <f>_xlfn.XLOOKUP($G951,'.Auxiliar'!$G:$G,'.Auxiliar'!A:A,"-",0)</f>
        <v>RIO/SP</v>
      </c>
      <c r="B951" s="55" t="str">
        <f>_xlfn.XLOOKUP($G951,'.Auxiliar'!$G:$G,'.Auxiliar'!B:B,"-",0)</f>
        <v>OAE</v>
      </c>
      <c r="C951" s="55" t="str">
        <f>_xlfn.XLOOKUP($G951,'.Auxiliar'!$G:$G,'.Auxiliar'!C:C,"-",0)</f>
        <v>Novas OAEs</v>
      </c>
      <c r="D951" s="55">
        <f>_xlfn.XLOOKUP($G951,'.Auxiliar'!$G:$G,'.Auxiliar'!D:D,"-",0)</f>
        <v>423.17899999999997</v>
      </c>
      <c r="E951" s="55">
        <f>_xlfn.XLOOKUP($G951,'.Auxiliar'!$G:$G,'.Auxiliar'!E:E,"-",0)</f>
        <v>423.17899999999997</v>
      </c>
      <c r="F951" s="55">
        <f>_xlfn.XLOOKUP($G951,'.Auxiliar'!$G:$G,'.Auxiliar'!F:F,"-",0)</f>
        <v>1</v>
      </c>
      <c r="G951" s="59" t="s">
        <v>1501</v>
      </c>
      <c r="H951" s="108" t="s">
        <v>0</v>
      </c>
      <c r="I951" s="109" t="s">
        <v>0</v>
      </c>
      <c r="J951" s="109" t="s">
        <v>0</v>
      </c>
      <c r="K951" s="109" t="s">
        <v>0</v>
      </c>
      <c r="L951" s="109" t="s">
        <v>0</v>
      </c>
      <c r="M951" s="109" t="s">
        <v>0</v>
      </c>
      <c r="N951" s="110" t="s">
        <v>363</v>
      </c>
      <c r="O951" s="111"/>
      <c r="P951" s="112"/>
      <c r="Q951" s="112"/>
      <c r="R951" s="112"/>
      <c r="S951" s="112"/>
      <c r="T951" s="112"/>
      <c r="U951" s="95" t="str">
        <f t="shared" si="45"/>
        <v/>
      </c>
      <c r="V951" s="112"/>
      <c r="W951" s="112"/>
      <c r="X951" s="107">
        <v>100</v>
      </c>
      <c r="Y951" s="107">
        <f t="shared" si="46"/>
        <v>100</v>
      </c>
      <c r="Z951" s="107">
        <f t="shared" si="47"/>
        <v>0</v>
      </c>
    </row>
    <row r="952" spans="1:26" x14ac:dyDescent="0.25">
      <c r="A952" s="55" t="str">
        <f>_xlfn.XLOOKUP($G952,'.Auxiliar'!$G:$G,'.Auxiliar'!A:A,"-",0)</f>
        <v>RIO/SP</v>
      </c>
      <c r="B952" s="55" t="str">
        <f>_xlfn.XLOOKUP($G952,'.Auxiliar'!$G:$G,'.Auxiliar'!B:B,"-",0)</f>
        <v>OAE</v>
      </c>
      <c r="C952" s="55" t="str">
        <f>_xlfn.XLOOKUP($G952,'.Auxiliar'!$G:$G,'.Auxiliar'!C:C,"-",0)</f>
        <v>Novas OAEs</v>
      </c>
      <c r="D952" s="55">
        <f>_xlfn.XLOOKUP($G952,'.Auxiliar'!$G:$G,'.Auxiliar'!D:D,"-",0)</f>
        <v>425.85</v>
      </c>
      <c r="E952" s="55">
        <f>_xlfn.XLOOKUP($G952,'.Auxiliar'!$G:$G,'.Auxiliar'!E:E,"-",0)</f>
        <v>425.85</v>
      </c>
      <c r="F952" s="55">
        <f>_xlfn.XLOOKUP($G952,'.Auxiliar'!$G:$G,'.Auxiliar'!F:F,"-",0)</f>
        <v>1</v>
      </c>
      <c r="G952" s="59" t="s">
        <v>1502</v>
      </c>
      <c r="H952" s="108" t="s">
        <v>0</v>
      </c>
      <c r="I952" s="109" t="s">
        <v>0</v>
      </c>
      <c r="J952" s="109" t="s">
        <v>0</v>
      </c>
      <c r="K952" s="109" t="s">
        <v>0</v>
      </c>
      <c r="L952" s="109" t="s">
        <v>0</v>
      </c>
      <c r="M952" s="109" t="s">
        <v>0</v>
      </c>
      <c r="N952" s="110" t="s">
        <v>363</v>
      </c>
      <c r="O952" s="111"/>
      <c r="P952" s="112"/>
      <c r="Q952" s="112"/>
      <c r="R952" s="112"/>
      <c r="S952" s="112"/>
      <c r="T952" s="112"/>
      <c r="U952" s="95" t="str">
        <f t="shared" si="45"/>
        <v/>
      </c>
      <c r="V952" s="112"/>
      <c r="W952" s="112"/>
      <c r="X952" s="107">
        <v>100</v>
      </c>
      <c r="Y952" s="107">
        <f t="shared" si="46"/>
        <v>100</v>
      </c>
      <c r="Z952" s="107">
        <f t="shared" si="47"/>
        <v>0</v>
      </c>
    </row>
    <row r="953" spans="1:26" x14ac:dyDescent="0.25">
      <c r="A953" s="55" t="str">
        <f>_xlfn.XLOOKUP($G953,'.Auxiliar'!$G:$G,'.Auxiliar'!A:A,"-",0)</f>
        <v>RIO/SP</v>
      </c>
      <c r="B953" s="55" t="str">
        <f>_xlfn.XLOOKUP($G953,'.Auxiliar'!$G:$G,'.Auxiliar'!B:B,"-",0)</f>
        <v>OAE</v>
      </c>
      <c r="C953" s="55" t="str">
        <f>_xlfn.XLOOKUP($G953,'.Auxiliar'!$G:$G,'.Auxiliar'!C:C,"-",0)</f>
        <v>Novas OAEs</v>
      </c>
      <c r="D953" s="55">
        <f>_xlfn.XLOOKUP($G953,'.Auxiliar'!$G:$G,'.Auxiliar'!D:D,"-",0)</f>
        <v>428.5</v>
      </c>
      <c r="E953" s="55">
        <f>_xlfn.XLOOKUP($G953,'.Auxiliar'!$G:$G,'.Auxiliar'!E:E,"-",0)</f>
        <v>428.5</v>
      </c>
      <c r="F953" s="55">
        <f>_xlfn.XLOOKUP($G953,'.Auxiliar'!$G:$G,'.Auxiliar'!F:F,"-",0)</f>
        <v>1</v>
      </c>
      <c r="G953" s="59" t="s">
        <v>1503</v>
      </c>
      <c r="H953" s="108" t="s">
        <v>0</v>
      </c>
      <c r="I953" s="109" t="s">
        <v>0</v>
      </c>
      <c r="J953" s="109" t="s">
        <v>0</v>
      </c>
      <c r="K953" s="109" t="s">
        <v>0</v>
      </c>
      <c r="L953" s="109" t="s">
        <v>0</v>
      </c>
      <c r="M953" s="109" t="s">
        <v>0</v>
      </c>
      <c r="N953" s="110" t="s">
        <v>363</v>
      </c>
      <c r="O953" s="111"/>
      <c r="P953" s="112"/>
      <c r="Q953" s="112"/>
      <c r="R953" s="112"/>
      <c r="S953" s="112"/>
      <c r="T953" s="112"/>
      <c r="U953" s="95" t="str">
        <f t="shared" si="45"/>
        <v/>
      </c>
      <c r="V953" s="112"/>
      <c r="W953" s="112"/>
      <c r="X953" s="107">
        <v>100</v>
      </c>
      <c r="Y953" s="107">
        <f t="shared" si="46"/>
        <v>100</v>
      </c>
      <c r="Z953" s="107">
        <f t="shared" si="47"/>
        <v>0</v>
      </c>
    </row>
    <row r="954" spans="1:26" x14ac:dyDescent="0.25">
      <c r="A954" s="55" t="str">
        <f>_xlfn.XLOOKUP($G954,'.Auxiliar'!$G:$G,'.Auxiliar'!A:A,"-",0)</f>
        <v>RIO/SP</v>
      </c>
      <c r="B954" s="55" t="str">
        <f>_xlfn.XLOOKUP($G954,'.Auxiliar'!$G:$G,'.Auxiliar'!B:B,"-",0)</f>
        <v>OAE</v>
      </c>
      <c r="C954" s="55" t="str">
        <f>_xlfn.XLOOKUP($G954,'.Auxiliar'!$G:$G,'.Auxiliar'!C:C,"-",0)</f>
        <v>Novas OAEs</v>
      </c>
      <c r="D954" s="55">
        <f>_xlfn.XLOOKUP($G954,'.Auxiliar'!$G:$G,'.Auxiliar'!D:D,"-",0)</f>
        <v>429</v>
      </c>
      <c r="E954" s="55">
        <f>_xlfn.XLOOKUP($G954,'.Auxiliar'!$G:$G,'.Auxiliar'!E:E,"-",0)</f>
        <v>429</v>
      </c>
      <c r="F954" s="55">
        <f>_xlfn.XLOOKUP($G954,'.Auxiliar'!$G:$G,'.Auxiliar'!F:F,"-",0)</f>
        <v>1</v>
      </c>
      <c r="G954" s="59" t="s">
        <v>1504</v>
      </c>
      <c r="H954" s="108" t="s">
        <v>0</v>
      </c>
      <c r="I954" s="109" t="s">
        <v>0</v>
      </c>
      <c r="J954" s="109" t="s">
        <v>0</v>
      </c>
      <c r="K954" s="109" t="s">
        <v>0</v>
      </c>
      <c r="L954" s="109" t="s">
        <v>0</v>
      </c>
      <c r="M954" s="109" t="s">
        <v>0</v>
      </c>
      <c r="N954" s="110" t="s">
        <v>363</v>
      </c>
      <c r="O954" s="111"/>
      <c r="P954" s="112"/>
      <c r="Q954" s="112"/>
      <c r="R954" s="112"/>
      <c r="S954" s="112"/>
      <c r="T954" s="112"/>
      <c r="U954" s="95" t="str">
        <f t="shared" si="45"/>
        <v/>
      </c>
      <c r="V954" s="112"/>
      <c r="W954" s="112"/>
      <c r="X954" s="107">
        <v>100</v>
      </c>
      <c r="Y954" s="107">
        <f t="shared" si="46"/>
        <v>100</v>
      </c>
      <c r="Z954" s="107">
        <f t="shared" si="47"/>
        <v>0</v>
      </c>
    </row>
    <row r="955" spans="1:26" x14ac:dyDescent="0.25">
      <c r="A955" s="55" t="str">
        <f>_xlfn.XLOOKUP($G955,'.Auxiliar'!$G:$G,'.Auxiliar'!A:A,"-",0)</f>
        <v>RIO/SP</v>
      </c>
      <c r="B955" s="55" t="str">
        <f>_xlfn.XLOOKUP($G955,'.Auxiliar'!$G:$G,'.Auxiliar'!B:B,"-",0)</f>
        <v>OAE</v>
      </c>
      <c r="C955" s="55" t="str">
        <f>_xlfn.XLOOKUP($G955,'.Auxiliar'!$G:$G,'.Auxiliar'!C:C,"-",0)</f>
        <v>Novas OAEs</v>
      </c>
      <c r="D955" s="55">
        <f>_xlfn.XLOOKUP($G955,'.Auxiliar'!$G:$G,'.Auxiliar'!D:D,"-",0)</f>
        <v>430.15</v>
      </c>
      <c r="E955" s="55">
        <f>_xlfn.XLOOKUP($G955,'.Auxiliar'!$G:$G,'.Auxiliar'!E:E,"-",0)</f>
        <v>430.15</v>
      </c>
      <c r="F955" s="55">
        <f>_xlfn.XLOOKUP($G955,'.Auxiliar'!$G:$G,'.Auxiliar'!F:F,"-",0)</f>
        <v>2</v>
      </c>
      <c r="G955" s="59" t="s">
        <v>1505</v>
      </c>
      <c r="H955" s="108" t="s">
        <v>0</v>
      </c>
      <c r="I955" s="109" t="s">
        <v>0</v>
      </c>
      <c r="J955" s="109" t="s">
        <v>0</v>
      </c>
      <c r="K955" s="109" t="s">
        <v>0</v>
      </c>
      <c r="L955" s="109" t="s">
        <v>0</v>
      </c>
      <c r="M955" s="109" t="s">
        <v>0</v>
      </c>
      <c r="N955" s="110" t="s">
        <v>363</v>
      </c>
      <c r="O955" s="111"/>
      <c r="P955" s="112"/>
      <c r="Q955" s="112"/>
      <c r="R955" s="112"/>
      <c r="S955" s="112"/>
      <c r="T955" s="112"/>
      <c r="U955" s="95" t="str">
        <f t="shared" si="45"/>
        <v/>
      </c>
      <c r="V955" s="112"/>
      <c r="W955" s="112"/>
      <c r="X955" s="107">
        <v>100</v>
      </c>
      <c r="Y955" s="107">
        <f t="shared" si="46"/>
        <v>100</v>
      </c>
      <c r="Z955" s="107">
        <f t="shared" si="47"/>
        <v>0</v>
      </c>
    </row>
    <row r="956" spans="1:26" x14ac:dyDescent="0.25">
      <c r="A956" s="55" t="str">
        <f>_xlfn.XLOOKUP($G956,'.Auxiliar'!$G:$G,'.Auxiliar'!A:A,"-",0)</f>
        <v>RIO/SP</v>
      </c>
      <c r="B956" s="55" t="str">
        <f>_xlfn.XLOOKUP($G956,'.Auxiliar'!$G:$G,'.Auxiliar'!B:B,"-",0)</f>
        <v>OAE</v>
      </c>
      <c r="C956" s="55" t="str">
        <f>_xlfn.XLOOKUP($G956,'.Auxiliar'!$G:$G,'.Auxiliar'!C:C,"-",0)</f>
        <v>Novas OAEs</v>
      </c>
      <c r="D956" s="55">
        <f>_xlfn.XLOOKUP($G956,'.Auxiliar'!$G:$G,'.Auxiliar'!D:D,"-",0)</f>
        <v>433.5</v>
      </c>
      <c r="E956" s="55">
        <f>_xlfn.XLOOKUP($G956,'.Auxiliar'!$G:$G,'.Auxiliar'!E:E,"-",0)</f>
        <v>433.5</v>
      </c>
      <c r="F956" s="55">
        <f>_xlfn.XLOOKUP($G956,'.Auxiliar'!$G:$G,'.Auxiliar'!F:F,"-",0)</f>
        <v>1</v>
      </c>
      <c r="G956" s="59" t="s">
        <v>1506</v>
      </c>
      <c r="H956" s="108" t="s">
        <v>0</v>
      </c>
      <c r="I956" s="109" t="s">
        <v>0</v>
      </c>
      <c r="J956" s="109" t="s">
        <v>0</v>
      </c>
      <c r="K956" s="109" t="s">
        <v>0</v>
      </c>
      <c r="L956" s="109" t="s">
        <v>0</v>
      </c>
      <c r="M956" s="109" t="s">
        <v>0</v>
      </c>
      <c r="N956" s="110" t="s">
        <v>363</v>
      </c>
      <c r="O956" s="111"/>
      <c r="P956" s="112"/>
      <c r="Q956" s="112"/>
      <c r="R956" s="112"/>
      <c r="S956" s="112"/>
      <c r="T956" s="112"/>
      <c r="U956" s="95" t="str">
        <f t="shared" si="45"/>
        <v/>
      </c>
      <c r="V956" s="112"/>
      <c r="W956" s="112"/>
      <c r="X956" s="107">
        <v>100</v>
      </c>
      <c r="Y956" s="107">
        <f t="shared" si="46"/>
        <v>100</v>
      </c>
      <c r="Z956" s="107">
        <f t="shared" si="47"/>
        <v>0</v>
      </c>
    </row>
    <row r="957" spans="1:26" x14ac:dyDescent="0.25">
      <c r="A957" s="55" t="str">
        <f>_xlfn.XLOOKUP($G957,'.Auxiliar'!$G:$G,'.Auxiliar'!A:A,"-",0)</f>
        <v>RIO/SP</v>
      </c>
      <c r="B957" s="55" t="str">
        <f>_xlfn.XLOOKUP($G957,'.Auxiliar'!$G:$G,'.Auxiliar'!B:B,"-",0)</f>
        <v>OAE</v>
      </c>
      <c r="C957" s="55" t="str">
        <f>_xlfn.XLOOKUP($G957,'.Auxiliar'!$G:$G,'.Auxiliar'!C:C,"-",0)</f>
        <v>Novas OAEs</v>
      </c>
      <c r="D957" s="55">
        <f>_xlfn.XLOOKUP($G957,'.Auxiliar'!$G:$G,'.Auxiliar'!D:D,"-",0)</f>
        <v>434.03399999999999</v>
      </c>
      <c r="E957" s="55">
        <f>_xlfn.XLOOKUP($G957,'.Auxiliar'!$G:$G,'.Auxiliar'!E:E,"-",0)</f>
        <v>434.03399999999999</v>
      </c>
      <c r="F957" s="55">
        <f>_xlfn.XLOOKUP($G957,'.Auxiliar'!$G:$G,'.Auxiliar'!F:F,"-",0)</f>
        <v>1</v>
      </c>
      <c r="G957" s="59" t="s">
        <v>1507</v>
      </c>
      <c r="H957" s="108" t="s">
        <v>0</v>
      </c>
      <c r="I957" s="109" t="s">
        <v>0</v>
      </c>
      <c r="J957" s="109" t="s">
        <v>0</v>
      </c>
      <c r="K957" s="109" t="s">
        <v>0</v>
      </c>
      <c r="L957" s="109" t="s">
        <v>0</v>
      </c>
      <c r="M957" s="109" t="s">
        <v>0</v>
      </c>
      <c r="N957" s="110" t="s">
        <v>363</v>
      </c>
      <c r="O957" s="111"/>
      <c r="P957" s="112"/>
      <c r="Q957" s="112"/>
      <c r="R957" s="112"/>
      <c r="S957" s="112"/>
      <c r="T957" s="112"/>
      <c r="U957" s="95" t="str">
        <f t="shared" si="45"/>
        <v/>
      </c>
      <c r="V957" s="112"/>
      <c r="W957" s="112"/>
      <c r="X957" s="107">
        <v>100</v>
      </c>
      <c r="Y957" s="107">
        <f t="shared" si="46"/>
        <v>100</v>
      </c>
      <c r="Z957" s="107">
        <f t="shared" si="47"/>
        <v>0</v>
      </c>
    </row>
    <row r="958" spans="1:26" x14ac:dyDescent="0.25">
      <c r="A958" s="55" t="str">
        <f>_xlfn.XLOOKUP($G958,'.Auxiliar'!$G:$G,'.Auxiliar'!A:A,"-",0)</f>
        <v>RIO/SP</v>
      </c>
      <c r="B958" s="55" t="str">
        <f>_xlfn.XLOOKUP($G958,'.Auxiliar'!$G:$G,'.Auxiliar'!B:B,"-",0)</f>
        <v>OAE</v>
      </c>
      <c r="C958" s="55" t="str">
        <f>_xlfn.XLOOKUP($G958,'.Auxiliar'!$G:$G,'.Auxiliar'!C:C,"-",0)</f>
        <v>Novas OAEs</v>
      </c>
      <c r="D958" s="55">
        <f>_xlfn.XLOOKUP($G958,'.Auxiliar'!$G:$G,'.Auxiliar'!D:D,"-",0)</f>
        <v>438.56</v>
      </c>
      <c r="E958" s="55">
        <f>_xlfn.XLOOKUP($G958,'.Auxiliar'!$G:$G,'.Auxiliar'!E:E,"-",0)</f>
        <v>438.56</v>
      </c>
      <c r="F958" s="55">
        <f>_xlfn.XLOOKUP($G958,'.Auxiliar'!$G:$G,'.Auxiliar'!F:F,"-",0)</f>
        <v>1</v>
      </c>
      <c r="G958" s="59" t="s">
        <v>1508</v>
      </c>
      <c r="H958" s="108" t="s">
        <v>0</v>
      </c>
      <c r="I958" s="109" t="s">
        <v>0</v>
      </c>
      <c r="J958" s="109" t="s">
        <v>0</v>
      </c>
      <c r="K958" s="109" t="s">
        <v>0</v>
      </c>
      <c r="L958" s="109" t="s">
        <v>0</v>
      </c>
      <c r="M958" s="109" t="s">
        <v>0</v>
      </c>
      <c r="N958" s="110" t="s">
        <v>363</v>
      </c>
      <c r="O958" s="111"/>
      <c r="P958" s="112"/>
      <c r="Q958" s="112"/>
      <c r="R958" s="112"/>
      <c r="S958" s="112"/>
      <c r="T958" s="112"/>
      <c r="U958" s="95" t="str">
        <f t="shared" si="45"/>
        <v/>
      </c>
      <c r="V958" s="112"/>
      <c r="W958" s="112"/>
      <c r="X958" s="107">
        <v>100</v>
      </c>
      <c r="Y958" s="107">
        <f t="shared" si="46"/>
        <v>100</v>
      </c>
      <c r="Z958" s="107">
        <f t="shared" si="47"/>
        <v>0</v>
      </c>
    </row>
    <row r="959" spans="1:26" x14ac:dyDescent="0.25">
      <c r="A959" s="55" t="str">
        <f>_xlfn.XLOOKUP($G959,'.Auxiliar'!$G:$G,'.Auxiliar'!A:A,"-",0)</f>
        <v>RIO/SP</v>
      </c>
      <c r="B959" s="55" t="str">
        <f>_xlfn.XLOOKUP($G959,'.Auxiliar'!$G:$G,'.Auxiliar'!B:B,"-",0)</f>
        <v>OAE</v>
      </c>
      <c r="C959" s="55" t="str">
        <f>_xlfn.XLOOKUP($G959,'.Auxiliar'!$G:$G,'.Auxiliar'!C:C,"-",0)</f>
        <v>Novas OAEs</v>
      </c>
      <c r="D959" s="55">
        <f>_xlfn.XLOOKUP($G959,'.Auxiliar'!$G:$G,'.Auxiliar'!D:D,"-",0)</f>
        <v>439.05700000000002</v>
      </c>
      <c r="E959" s="55">
        <f>_xlfn.XLOOKUP($G959,'.Auxiliar'!$G:$G,'.Auxiliar'!E:E,"-",0)</f>
        <v>439.05700000000002</v>
      </c>
      <c r="F959" s="55">
        <f>_xlfn.XLOOKUP($G959,'.Auxiliar'!$G:$G,'.Auxiliar'!F:F,"-",0)</f>
        <v>1</v>
      </c>
      <c r="G959" s="59" t="s">
        <v>1509</v>
      </c>
      <c r="H959" s="108" t="s">
        <v>0</v>
      </c>
      <c r="I959" s="109" t="s">
        <v>0</v>
      </c>
      <c r="J959" s="109" t="s">
        <v>0</v>
      </c>
      <c r="K959" s="109" t="s">
        <v>0</v>
      </c>
      <c r="L959" s="109" t="s">
        <v>0</v>
      </c>
      <c r="M959" s="109" t="s">
        <v>0</v>
      </c>
      <c r="N959" s="110" t="s">
        <v>363</v>
      </c>
      <c r="O959" s="111"/>
      <c r="P959" s="112"/>
      <c r="Q959" s="112"/>
      <c r="R959" s="112"/>
      <c r="S959" s="112"/>
      <c r="T959" s="112"/>
      <c r="U959" s="95" t="str">
        <f t="shared" si="45"/>
        <v/>
      </c>
      <c r="V959" s="112"/>
      <c r="W959" s="112"/>
      <c r="X959" s="107">
        <v>100</v>
      </c>
      <c r="Y959" s="107">
        <f t="shared" si="46"/>
        <v>100</v>
      </c>
      <c r="Z959" s="107">
        <f t="shared" si="47"/>
        <v>0</v>
      </c>
    </row>
    <row r="960" spans="1:26" x14ac:dyDescent="0.25">
      <c r="A960" s="55" t="str">
        <f>_xlfn.XLOOKUP($G960,'.Auxiliar'!$G:$G,'.Auxiliar'!A:A,"-",0)</f>
        <v>RIO/SP</v>
      </c>
      <c r="B960" s="55" t="str">
        <f>_xlfn.XLOOKUP($G960,'.Auxiliar'!$G:$G,'.Auxiliar'!B:B,"-",0)</f>
        <v>OAE</v>
      </c>
      <c r="C960" s="55" t="str">
        <f>_xlfn.XLOOKUP($G960,'.Auxiliar'!$G:$G,'.Auxiliar'!C:C,"-",0)</f>
        <v>Novas OAEs</v>
      </c>
      <c r="D960" s="55">
        <f>_xlfn.XLOOKUP($G960,'.Auxiliar'!$G:$G,'.Auxiliar'!D:D,"-",0)</f>
        <v>440.02</v>
      </c>
      <c r="E960" s="55">
        <f>_xlfn.XLOOKUP($G960,'.Auxiliar'!$G:$G,'.Auxiliar'!E:E,"-",0)</f>
        <v>440.02</v>
      </c>
      <c r="F960" s="55">
        <f>_xlfn.XLOOKUP($G960,'.Auxiliar'!$G:$G,'.Auxiliar'!F:F,"-",0)</f>
        <v>1</v>
      </c>
      <c r="G960" s="59" t="s">
        <v>1510</v>
      </c>
      <c r="H960" s="108" t="s">
        <v>0</v>
      </c>
      <c r="I960" s="109" t="s">
        <v>0</v>
      </c>
      <c r="J960" s="109" t="s">
        <v>0</v>
      </c>
      <c r="K960" s="109" t="s">
        <v>0</v>
      </c>
      <c r="L960" s="109" t="s">
        <v>0</v>
      </c>
      <c r="M960" s="109" t="s">
        <v>0</v>
      </c>
      <c r="N960" s="110" t="s">
        <v>363</v>
      </c>
      <c r="O960" s="111"/>
      <c r="P960" s="112"/>
      <c r="Q960" s="112"/>
      <c r="R960" s="112"/>
      <c r="S960" s="112"/>
      <c r="T960" s="112"/>
      <c r="U960" s="95" t="str">
        <f t="shared" si="45"/>
        <v/>
      </c>
      <c r="V960" s="112"/>
      <c r="W960" s="112"/>
      <c r="X960" s="107">
        <v>100</v>
      </c>
      <c r="Y960" s="107">
        <f t="shared" si="46"/>
        <v>100</v>
      </c>
      <c r="Z960" s="107">
        <f t="shared" si="47"/>
        <v>0</v>
      </c>
    </row>
    <row r="961" spans="1:26" x14ac:dyDescent="0.25">
      <c r="A961" s="55" t="str">
        <f>_xlfn.XLOOKUP($G961,'.Auxiliar'!$G:$G,'.Auxiliar'!A:A,"-",0)</f>
        <v>RIO/SP</v>
      </c>
      <c r="B961" s="55" t="str">
        <f>_xlfn.XLOOKUP($G961,'.Auxiliar'!$G:$G,'.Auxiliar'!B:B,"-",0)</f>
        <v>OAE</v>
      </c>
      <c r="C961" s="55" t="str">
        <f>_xlfn.XLOOKUP($G961,'.Auxiliar'!$G:$G,'.Auxiliar'!C:C,"-",0)</f>
        <v>Novas OAEs</v>
      </c>
      <c r="D961" s="55">
        <f>_xlfn.XLOOKUP($G961,'.Auxiliar'!$G:$G,'.Auxiliar'!D:D,"-",0)</f>
        <v>456</v>
      </c>
      <c r="E961" s="55">
        <f>_xlfn.XLOOKUP($G961,'.Auxiliar'!$G:$G,'.Auxiliar'!E:E,"-",0)</f>
        <v>456</v>
      </c>
      <c r="F961" s="55">
        <f>_xlfn.XLOOKUP($G961,'.Auxiliar'!$G:$G,'.Auxiliar'!F:F,"-",0)</f>
        <v>1</v>
      </c>
      <c r="G961" s="59" t="s">
        <v>1511</v>
      </c>
      <c r="H961" s="108" t="s">
        <v>0</v>
      </c>
      <c r="I961" s="109" t="s">
        <v>0</v>
      </c>
      <c r="J961" s="109" t="s">
        <v>0</v>
      </c>
      <c r="K961" s="109" t="s">
        <v>0</v>
      </c>
      <c r="L961" s="109" t="s">
        <v>0</v>
      </c>
      <c r="M961" s="109" t="s">
        <v>0</v>
      </c>
      <c r="N961" s="110" t="s">
        <v>363</v>
      </c>
      <c r="O961" s="111"/>
      <c r="P961" s="112"/>
      <c r="Q961" s="112"/>
      <c r="R961" s="112"/>
      <c r="S961" s="112"/>
      <c r="T961" s="112"/>
      <c r="U961" s="95" t="str">
        <f t="shared" si="45"/>
        <v/>
      </c>
      <c r="V961" s="112"/>
      <c r="W961" s="112"/>
      <c r="X961" s="107">
        <v>100</v>
      </c>
      <c r="Y961" s="107">
        <f t="shared" si="46"/>
        <v>100</v>
      </c>
      <c r="Z961" s="107">
        <f t="shared" si="47"/>
        <v>0</v>
      </c>
    </row>
    <row r="962" spans="1:26" x14ac:dyDescent="0.25">
      <c r="A962" s="55" t="str">
        <f>_xlfn.XLOOKUP($G962,'.Auxiliar'!$G:$G,'.Auxiliar'!A:A,"-",0)</f>
        <v>RIO/SP</v>
      </c>
      <c r="B962" s="55" t="str">
        <f>_xlfn.XLOOKUP($G962,'.Auxiliar'!$G:$G,'.Auxiliar'!B:B,"-",0)</f>
        <v>OAE</v>
      </c>
      <c r="C962" s="55" t="str">
        <f>_xlfn.XLOOKUP($G962,'.Auxiliar'!$G:$G,'.Auxiliar'!C:C,"-",0)</f>
        <v>Novas OAEs</v>
      </c>
      <c r="D962" s="55">
        <f>_xlfn.XLOOKUP($G962,'.Auxiliar'!$G:$G,'.Auxiliar'!D:D,"-",0)</f>
        <v>456.82</v>
      </c>
      <c r="E962" s="55">
        <f>_xlfn.XLOOKUP($G962,'.Auxiliar'!$G:$G,'.Auxiliar'!E:E,"-",0)</f>
        <v>456.82</v>
      </c>
      <c r="F962" s="55">
        <f>_xlfn.XLOOKUP($G962,'.Auxiliar'!$G:$G,'.Auxiliar'!F:F,"-",0)</f>
        <v>1</v>
      </c>
      <c r="G962" s="59" t="s">
        <v>1512</v>
      </c>
      <c r="H962" s="108" t="s">
        <v>0</v>
      </c>
      <c r="I962" s="109" t="s">
        <v>0</v>
      </c>
      <c r="J962" s="109" t="s">
        <v>0</v>
      </c>
      <c r="K962" s="109" t="s">
        <v>0</v>
      </c>
      <c r="L962" s="109" t="s">
        <v>0</v>
      </c>
      <c r="M962" s="109" t="s">
        <v>0</v>
      </c>
      <c r="N962" s="110" t="s">
        <v>363</v>
      </c>
      <c r="O962" s="111"/>
      <c r="P962" s="112"/>
      <c r="Q962" s="112"/>
      <c r="R962" s="112"/>
      <c r="S962" s="112"/>
      <c r="T962" s="112"/>
      <c r="U962" s="95" t="str">
        <f t="shared" si="45"/>
        <v/>
      </c>
      <c r="V962" s="112"/>
      <c r="W962" s="112"/>
      <c r="X962" s="107">
        <v>100</v>
      </c>
      <c r="Y962" s="107">
        <f t="shared" si="46"/>
        <v>100</v>
      </c>
      <c r="Z962" s="107">
        <f t="shared" si="47"/>
        <v>0</v>
      </c>
    </row>
    <row r="963" spans="1:26" x14ac:dyDescent="0.25">
      <c r="A963" s="55" t="str">
        <f>_xlfn.XLOOKUP($G963,'.Auxiliar'!$G:$G,'.Auxiliar'!A:A,"-",0)</f>
        <v>RIO/SP</v>
      </c>
      <c r="B963" s="55" t="str">
        <f>_xlfn.XLOOKUP($G963,'.Auxiliar'!$G:$G,'.Auxiliar'!B:B,"-",0)</f>
        <v>OAE</v>
      </c>
      <c r="C963" s="55" t="str">
        <f>_xlfn.XLOOKUP($G963,'.Auxiliar'!$G:$G,'.Auxiliar'!C:C,"-",0)</f>
        <v>Novas OAEs</v>
      </c>
      <c r="D963" s="55">
        <f>_xlfn.XLOOKUP($G963,'.Auxiliar'!$G:$G,'.Auxiliar'!D:D,"-",0)</f>
        <v>471.08600000000001</v>
      </c>
      <c r="E963" s="55">
        <f>_xlfn.XLOOKUP($G963,'.Auxiliar'!$G:$G,'.Auxiliar'!E:E,"-",0)</f>
        <v>471.08600000000001</v>
      </c>
      <c r="F963" s="55">
        <f>_xlfn.XLOOKUP($G963,'.Auxiliar'!$G:$G,'.Auxiliar'!F:F,"-",0)</f>
        <v>1</v>
      </c>
      <c r="G963" s="59" t="s">
        <v>1513</v>
      </c>
      <c r="H963" s="108" t="s">
        <v>0</v>
      </c>
      <c r="I963" s="109" t="s">
        <v>0</v>
      </c>
      <c r="J963" s="109" t="s">
        <v>0</v>
      </c>
      <c r="K963" s="109" t="s">
        <v>0</v>
      </c>
      <c r="L963" s="109" t="s">
        <v>0</v>
      </c>
      <c r="M963" s="109" t="s">
        <v>0</v>
      </c>
      <c r="N963" s="110" t="s">
        <v>363</v>
      </c>
      <c r="O963" s="111"/>
      <c r="P963" s="112"/>
      <c r="Q963" s="112"/>
      <c r="R963" s="112"/>
      <c r="S963" s="112"/>
      <c r="T963" s="112"/>
      <c r="U963" s="95" t="str">
        <f t="shared" ref="U963:U1026" si="48">IF(SUM(V963:X963)=100,"",100-(P963+R963))</f>
        <v/>
      </c>
      <c r="V963" s="112"/>
      <c r="W963" s="112"/>
      <c r="X963" s="107">
        <v>100</v>
      </c>
      <c r="Y963" s="107">
        <f t="shared" ref="Y963:Y1026" si="49">SUM(P963,R963,S963,V963,W963,X963)</f>
        <v>100</v>
      </c>
      <c r="Z963" s="107">
        <f t="shared" ref="Z963:Z1026" si="50">SUM(P963,R963,T963)</f>
        <v>0</v>
      </c>
    </row>
    <row r="964" spans="1:26" x14ac:dyDescent="0.25">
      <c r="A964" s="55" t="str">
        <f>_xlfn.XLOOKUP($G964,'.Auxiliar'!$G:$G,'.Auxiliar'!A:A,"-",0)</f>
        <v>RIO/SP</v>
      </c>
      <c r="B964" s="55" t="str">
        <f>_xlfn.XLOOKUP($G964,'.Auxiliar'!$G:$G,'.Auxiliar'!B:B,"-",0)</f>
        <v>OAE</v>
      </c>
      <c r="C964" s="55" t="str">
        <f>_xlfn.XLOOKUP($G964,'.Auxiliar'!$G:$G,'.Auxiliar'!C:C,"-",0)</f>
        <v>Novas OAEs</v>
      </c>
      <c r="D964" s="55">
        <f>_xlfn.XLOOKUP($G964,'.Auxiliar'!$G:$G,'.Auxiliar'!D:D,"-",0)</f>
        <v>471.41500000000002</v>
      </c>
      <c r="E964" s="55">
        <f>_xlfn.XLOOKUP($G964,'.Auxiliar'!$G:$G,'.Auxiliar'!E:E,"-",0)</f>
        <v>471.41500000000002</v>
      </c>
      <c r="F964" s="55">
        <f>_xlfn.XLOOKUP($G964,'.Auxiliar'!$G:$G,'.Auxiliar'!F:F,"-",0)</f>
        <v>1</v>
      </c>
      <c r="G964" s="59" t="s">
        <v>1514</v>
      </c>
      <c r="H964" s="108" t="s">
        <v>0</v>
      </c>
      <c r="I964" s="109" t="s">
        <v>0</v>
      </c>
      <c r="J964" s="109" t="s">
        <v>0</v>
      </c>
      <c r="K964" s="109" t="s">
        <v>0</v>
      </c>
      <c r="L964" s="109" t="s">
        <v>0</v>
      </c>
      <c r="M964" s="109" t="s">
        <v>0</v>
      </c>
      <c r="N964" s="110" t="s">
        <v>363</v>
      </c>
      <c r="O964" s="111"/>
      <c r="P964" s="112"/>
      <c r="Q964" s="112"/>
      <c r="R964" s="112"/>
      <c r="S964" s="112"/>
      <c r="T964" s="112"/>
      <c r="U964" s="95" t="str">
        <f t="shared" si="48"/>
        <v/>
      </c>
      <c r="V964" s="112"/>
      <c r="W964" s="112"/>
      <c r="X964" s="107">
        <v>100</v>
      </c>
      <c r="Y964" s="107">
        <f t="shared" si="49"/>
        <v>100</v>
      </c>
      <c r="Z964" s="107">
        <f t="shared" si="50"/>
        <v>0</v>
      </c>
    </row>
    <row r="965" spans="1:26" x14ac:dyDescent="0.25">
      <c r="A965" s="55" t="str">
        <f>_xlfn.XLOOKUP($G965,'.Auxiliar'!$G:$G,'.Auxiliar'!A:A,"-",0)</f>
        <v>RIO/SP</v>
      </c>
      <c r="B965" s="55" t="str">
        <f>_xlfn.XLOOKUP($G965,'.Auxiliar'!$G:$G,'.Auxiliar'!B:B,"-",0)</f>
        <v>OAE</v>
      </c>
      <c r="C965" s="55" t="str">
        <f>_xlfn.XLOOKUP($G965,'.Auxiliar'!$G:$G,'.Auxiliar'!C:C,"-",0)</f>
        <v>Novas OAEs</v>
      </c>
      <c r="D965" s="55">
        <f>_xlfn.XLOOKUP($G965,'.Auxiliar'!$G:$G,'.Auxiliar'!D:D,"-",0)</f>
        <v>473.50799999999998</v>
      </c>
      <c r="E965" s="55">
        <f>_xlfn.XLOOKUP($G965,'.Auxiliar'!$G:$G,'.Auxiliar'!E:E,"-",0)</f>
        <v>473.50799999999998</v>
      </c>
      <c r="F965" s="55">
        <f>_xlfn.XLOOKUP($G965,'.Auxiliar'!$G:$G,'.Auxiliar'!F:F,"-",0)</f>
        <v>1</v>
      </c>
      <c r="G965" s="59" t="s">
        <v>1515</v>
      </c>
      <c r="H965" s="108" t="s">
        <v>0</v>
      </c>
      <c r="I965" s="109" t="s">
        <v>0</v>
      </c>
      <c r="J965" s="109" t="s">
        <v>0</v>
      </c>
      <c r="K965" s="109" t="s">
        <v>0</v>
      </c>
      <c r="L965" s="109" t="s">
        <v>0</v>
      </c>
      <c r="M965" s="109" t="s">
        <v>0</v>
      </c>
      <c r="N965" s="110" t="s">
        <v>363</v>
      </c>
      <c r="O965" s="111"/>
      <c r="P965" s="112"/>
      <c r="Q965" s="112"/>
      <c r="R965" s="112"/>
      <c r="S965" s="112"/>
      <c r="T965" s="112"/>
      <c r="U965" s="95" t="str">
        <f t="shared" si="48"/>
        <v/>
      </c>
      <c r="V965" s="112"/>
      <c r="W965" s="112"/>
      <c r="X965" s="107">
        <v>100</v>
      </c>
      <c r="Y965" s="107">
        <f t="shared" si="49"/>
        <v>100</v>
      </c>
      <c r="Z965" s="107">
        <f t="shared" si="50"/>
        <v>0</v>
      </c>
    </row>
    <row r="966" spans="1:26" x14ac:dyDescent="0.25">
      <c r="A966" s="55" t="str">
        <f>_xlfn.XLOOKUP($G966,'.Auxiliar'!$G:$G,'.Auxiliar'!A:A,"-",0)</f>
        <v>RIO/SP</v>
      </c>
      <c r="B966" s="55" t="str">
        <f>_xlfn.XLOOKUP($G966,'.Auxiliar'!$G:$G,'.Auxiliar'!B:B,"-",0)</f>
        <v>OAE</v>
      </c>
      <c r="C966" s="55" t="str">
        <f>_xlfn.XLOOKUP($G966,'.Auxiliar'!$G:$G,'.Auxiliar'!C:C,"-",0)</f>
        <v>Novas OAEs</v>
      </c>
      <c r="D966" s="55">
        <f>_xlfn.XLOOKUP($G966,'.Auxiliar'!$G:$G,'.Auxiliar'!D:D,"-",0)</f>
        <v>477.149</v>
      </c>
      <c r="E966" s="55">
        <f>_xlfn.XLOOKUP($G966,'.Auxiliar'!$G:$G,'.Auxiliar'!E:E,"-",0)</f>
        <v>477.149</v>
      </c>
      <c r="F966" s="55">
        <f>_xlfn.XLOOKUP($G966,'.Auxiliar'!$G:$G,'.Auxiliar'!F:F,"-",0)</f>
        <v>1</v>
      </c>
      <c r="G966" s="59" t="s">
        <v>1516</v>
      </c>
      <c r="H966" s="108" t="s">
        <v>0</v>
      </c>
      <c r="I966" s="109" t="s">
        <v>0</v>
      </c>
      <c r="J966" s="109" t="s">
        <v>0</v>
      </c>
      <c r="K966" s="109" t="s">
        <v>0</v>
      </c>
      <c r="L966" s="109" t="s">
        <v>0</v>
      </c>
      <c r="M966" s="109" t="s">
        <v>0</v>
      </c>
      <c r="N966" s="110" t="s">
        <v>363</v>
      </c>
      <c r="O966" s="111"/>
      <c r="P966" s="112"/>
      <c r="Q966" s="112"/>
      <c r="R966" s="112"/>
      <c r="S966" s="112"/>
      <c r="T966" s="112"/>
      <c r="U966" s="95" t="str">
        <f t="shared" si="48"/>
        <v/>
      </c>
      <c r="V966" s="112"/>
      <c r="W966" s="112"/>
      <c r="X966" s="107">
        <v>100</v>
      </c>
      <c r="Y966" s="107">
        <f t="shared" si="49"/>
        <v>100</v>
      </c>
      <c r="Z966" s="107">
        <f t="shared" si="50"/>
        <v>0</v>
      </c>
    </row>
    <row r="967" spans="1:26" x14ac:dyDescent="0.25">
      <c r="A967" s="55" t="str">
        <f>_xlfn.XLOOKUP($G967,'.Auxiliar'!$G:$G,'.Auxiliar'!A:A,"-",0)</f>
        <v>RIO/SP</v>
      </c>
      <c r="B967" s="55" t="str">
        <f>_xlfn.XLOOKUP($G967,'.Auxiliar'!$G:$G,'.Auxiliar'!B:B,"-",0)</f>
        <v>OAE</v>
      </c>
      <c r="C967" s="55" t="str">
        <f>_xlfn.XLOOKUP($G967,'.Auxiliar'!$G:$G,'.Auxiliar'!C:C,"-",0)</f>
        <v>Novas OAEs</v>
      </c>
      <c r="D967" s="55">
        <f>_xlfn.XLOOKUP($G967,'.Auxiliar'!$G:$G,'.Auxiliar'!D:D,"-",0)</f>
        <v>477.31299999999999</v>
      </c>
      <c r="E967" s="55">
        <f>_xlfn.XLOOKUP($G967,'.Auxiliar'!$G:$G,'.Auxiliar'!E:E,"-",0)</f>
        <v>477.31299999999999</v>
      </c>
      <c r="F967" s="55">
        <f>_xlfn.XLOOKUP($G967,'.Auxiliar'!$G:$G,'.Auxiliar'!F:F,"-",0)</f>
        <v>1</v>
      </c>
      <c r="G967" s="59" t="s">
        <v>1517</v>
      </c>
      <c r="H967" s="108" t="s">
        <v>0</v>
      </c>
      <c r="I967" s="109" t="s">
        <v>0</v>
      </c>
      <c r="J967" s="109" t="s">
        <v>0</v>
      </c>
      <c r="K967" s="109" t="s">
        <v>0</v>
      </c>
      <c r="L967" s="109" t="s">
        <v>0</v>
      </c>
      <c r="M967" s="109" t="s">
        <v>0</v>
      </c>
      <c r="N967" s="110" t="s">
        <v>363</v>
      </c>
      <c r="O967" s="111"/>
      <c r="P967" s="112"/>
      <c r="Q967" s="112"/>
      <c r="R967" s="112"/>
      <c r="S967" s="112"/>
      <c r="T967" s="112"/>
      <c r="U967" s="95" t="str">
        <f t="shared" si="48"/>
        <v/>
      </c>
      <c r="V967" s="112"/>
      <c r="W967" s="112"/>
      <c r="X967" s="107">
        <v>100</v>
      </c>
      <c r="Y967" s="107">
        <f t="shared" si="49"/>
        <v>100</v>
      </c>
      <c r="Z967" s="107">
        <f t="shared" si="50"/>
        <v>0</v>
      </c>
    </row>
    <row r="968" spans="1:26" x14ac:dyDescent="0.25">
      <c r="A968" s="55" t="str">
        <f>_xlfn.XLOOKUP($G968,'.Auxiliar'!$G:$G,'.Auxiliar'!A:A,"-",0)</f>
        <v>RIO/SP</v>
      </c>
      <c r="B968" s="55" t="str">
        <f>_xlfn.XLOOKUP($G968,'.Auxiliar'!$G:$G,'.Auxiliar'!B:B,"-",0)</f>
        <v>OAE</v>
      </c>
      <c r="C968" s="55" t="str">
        <f>_xlfn.XLOOKUP($G968,'.Auxiliar'!$G:$G,'.Auxiliar'!C:C,"-",0)</f>
        <v>Novas OAEs</v>
      </c>
      <c r="D968" s="55">
        <f>_xlfn.XLOOKUP($G968,'.Auxiliar'!$G:$G,'.Auxiliar'!D:D,"-",0)</f>
        <v>482.5</v>
      </c>
      <c r="E968" s="55">
        <f>_xlfn.XLOOKUP($G968,'.Auxiliar'!$G:$G,'.Auxiliar'!E:E,"-",0)</f>
        <v>482.5</v>
      </c>
      <c r="F968" s="55">
        <f>_xlfn.XLOOKUP($G968,'.Auxiliar'!$G:$G,'.Auxiliar'!F:F,"-",0)</f>
        <v>1</v>
      </c>
      <c r="G968" s="59" t="s">
        <v>1518</v>
      </c>
      <c r="H968" s="108" t="s">
        <v>0</v>
      </c>
      <c r="I968" s="109" t="s">
        <v>0</v>
      </c>
      <c r="J968" s="109" t="s">
        <v>0</v>
      </c>
      <c r="K968" s="109" t="s">
        <v>0</v>
      </c>
      <c r="L968" s="109" t="s">
        <v>0</v>
      </c>
      <c r="M968" s="109" t="s">
        <v>0</v>
      </c>
      <c r="N968" s="110" t="s">
        <v>363</v>
      </c>
      <c r="O968" s="111"/>
      <c r="P968" s="112"/>
      <c r="Q968" s="112"/>
      <c r="R968" s="112"/>
      <c r="S968" s="112"/>
      <c r="T968" s="112"/>
      <c r="U968" s="95" t="str">
        <f t="shared" si="48"/>
        <v/>
      </c>
      <c r="V968" s="112"/>
      <c r="W968" s="112"/>
      <c r="X968" s="107">
        <v>100</v>
      </c>
      <c r="Y968" s="107">
        <f t="shared" si="49"/>
        <v>100</v>
      </c>
      <c r="Z968" s="107">
        <f t="shared" si="50"/>
        <v>0</v>
      </c>
    </row>
    <row r="969" spans="1:26" x14ac:dyDescent="0.25">
      <c r="A969" s="55" t="str">
        <f>_xlfn.XLOOKUP($G969,'.Auxiliar'!$G:$G,'.Auxiliar'!A:A,"-",0)</f>
        <v>RIO/SP</v>
      </c>
      <c r="B969" s="55" t="str">
        <f>_xlfn.XLOOKUP($G969,'.Auxiliar'!$G:$G,'.Auxiliar'!B:B,"-",0)</f>
        <v>OAE</v>
      </c>
      <c r="C969" s="55" t="str">
        <f>_xlfn.XLOOKUP($G969,'.Auxiliar'!$G:$G,'.Auxiliar'!C:C,"-",0)</f>
        <v>Novas OAEs</v>
      </c>
      <c r="D969" s="55">
        <f>_xlfn.XLOOKUP($G969,'.Auxiliar'!$G:$G,'.Auxiliar'!D:D,"-",0)</f>
        <v>485.036</v>
      </c>
      <c r="E969" s="55">
        <f>_xlfn.XLOOKUP($G969,'.Auxiliar'!$G:$G,'.Auxiliar'!E:E,"-",0)</f>
        <v>485.036</v>
      </c>
      <c r="F969" s="55">
        <f>_xlfn.XLOOKUP($G969,'.Auxiliar'!$G:$G,'.Auxiliar'!F:F,"-",0)</f>
        <v>1</v>
      </c>
      <c r="G969" s="59" t="s">
        <v>1519</v>
      </c>
      <c r="H969" s="108" t="s">
        <v>0</v>
      </c>
      <c r="I969" s="109" t="s">
        <v>0</v>
      </c>
      <c r="J969" s="109" t="s">
        <v>0</v>
      </c>
      <c r="K969" s="109" t="s">
        <v>0</v>
      </c>
      <c r="L969" s="109" t="s">
        <v>0</v>
      </c>
      <c r="M969" s="109" t="s">
        <v>0</v>
      </c>
      <c r="N969" s="110" t="s">
        <v>363</v>
      </c>
      <c r="O969" s="111"/>
      <c r="P969" s="112"/>
      <c r="Q969" s="112"/>
      <c r="R969" s="112"/>
      <c r="S969" s="112"/>
      <c r="T969" s="112"/>
      <c r="U969" s="95" t="str">
        <f t="shared" si="48"/>
        <v/>
      </c>
      <c r="V969" s="112"/>
      <c r="W969" s="112"/>
      <c r="X969" s="107">
        <v>100</v>
      </c>
      <c r="Y969" s="107">
        <f t="shared" si="49"/>
        <v>100</v>
      </c>
      <c r="Z969" s="107">
        <f t="shared" si="50"/>
        <v>0</v>
      </c>
    </row>
    <row r="970" spans="1:26" x14ac:dyDescent="0.25">
      <c r="A970" s="55" t="str">
        <f>_xlfn.XLOOKUP($G970,'.Auxiliar'!$G:$G,'.Auxiliar'!A:A,"-",0)</f>
        <v>RIO/SP</v>
      </c>
      <c r="B970" s="55" t="str">
        <f>_xlfn.XLOOKUP($G970,'.Auxiliar'!$G:$G,'.Auxiliar'!B:B,"-",0)</f>
        <v>OAE</v>
      </c>
      <c r="C970" s="55" t="str">
        <f>_xlfn.XLOOKUP($G970,'.Auxiliar'!$G:$G,'.Auxiliar'!C:C,"-",0)</f>
        <v>Novas OAEs</v>
      </c>
      <c r="D970" s="55">
        <f>_xlfn.XLOOKUP($G970,'.Auxiliar'!$G:$G,'.Auxiliar'!D:D,"-",0)</f>
        <v>485.71600000000001</v>
      </c>
      <c r="E970" s="55">
        <f>_xlfn.XLOOKUP($G970,'.Auxiliar'!$G:$G,'.Auxiliar'!E:E,"-",0)</f>
        <v>485.71600000000001</v>
      </c>
      <c r="F970" s="55">
        <f>_xlfn.XLOOKUP($G970,'.Auxiliar'!$G:$G,'.Auxiliar'!F:F,"-",0)</f>
        <v>1</v>
      </c>
      <c r="G970" s="59" t="s">
        <v>1520</v>
      </c>
      <c r="H970" s="108" t="s">
        <v>0</v>
      </c>
      <c r="I970" s="109" t="s">
        <v>0</v>
      </c>
      <c r="J970" s="109" t="s">
        <v>0</v>
      </c>
      <c r="K970" s="109" t="s">
        <v>0</v>
      </c>
      <c r="L970" s="109" t="s">
        <v>0</v>
      </c>
      <c r="M970" s="109" t="s">
        <v>0</v>
      </c>
      <c r="N970" s="110" t="s">
        <v>363</v>
      </c>
      <c r="O970" s="111"/>
      <c r="P970" s="112"/>
      <c r="Q970" s="112"/>
      <c r="R970" s="112"/>
      <c r="S970" s="112"/>
      <c r="T970" s="112"/>
      <c r="U970" s="95" t="str">
        <f t="shared" si="48"/>
        <v/>
      </c>
      <c r="V970" s="112"/>
      <c r="W970" s="112"/>
      <c r="X970" s="107">
        <v>100</v>
      </c>
      <c r="Y970" s="107">
        <f t="shared" si="49"/>
        <v>100</v>
      </c>
      <c r="Z970" s="107">
        <f t="shared" si="50"/>
        <v>0</v>
      </c>
    </row>
    <row r="971" spans="1:26" x14ac:dyDescent="0.25">
      <c r="A971" s="55" t="str">
        <f>_xlfn.XLOOKUP($G971,'.Auxiliar'!$G:$G,'.Auxiliar'!A:A,"-",0)</f>
        <v>RIO/SP</v>
      </c>
      <c r="B971" s="55" t="str">
        <f>_xlfn.XLOOKUP($G971,'.Auxiliar'!$G:$G,'.Auxiliar'!B:B,"-",0)</f>
        <v>OAE</v>
      </c>
      <c r="C971" s="55" t="str">
        <f>_xlfn.XLOOKUP($G971,'.Auxiliar'!$G:$G,'.Auxiliar'!C:C,"-",0)</f>
        <v>Novas OAEs</v>
      </c>
      <c r="D971" s="55">
        <f>_xlfn.XLOOKUP($G971,'.Auxiliar'!$G:$G,'.Auxiliar'!D:D,"-",0)</f>
        <v>486.34</v>
      </c>
      <c r="E971" s="55">
        <f>_xlfn.XLOOKUP($G971,'.Auxiliar'!$G:$G,'.Auxiliar'!E:E,"-",0)</f>
        <v>486.34</v>
      </c>
      <c r="F971" s="55">
        <f>_xlfn.XLOOKUP($G971,'.Auxiliar'!$G:$G,'.Auxiliar'!F:F,"-",0)</f>
        <v>1</v>
      </c>
      <c r="G971" s="59" t="s">
        <v>1521</v>
      </c>
      <c r="H971" s="108" t="s">
        <v>0</v>
      </c>
      <c r="I971" s="109" t="s">
        <v>0</v>
      </c>
      <c r="J971" s="109" t="s">
        <v>0</v>
      </c>
      <c r="K971" s="109" t="s">
        <v>0</v>
      </c>
      <c r="L971" s="109" t="s">
        <v>0</v>
      </c>
      <c r="M971" s="109" t="s">
        <v>0</v>
      </c>
      <c r="N971" s="110" t="s">
        <v>363</v>
      </c>
      <c r="O971" s="111"/>
      <c r="P971" s="112"/>
      <c r="Q971" s="112"/>
      <c r="R971" s="112"/>
      <c r="S971" s="112"/>
      <c r="T971" s="112"/>
      <c r="U971" s="95" t="str">
        <f t="shared" si="48"/>
        <v/>
      </c>
      <c r="V971" s="112"/>
      <c r="W971" s="112"/>
      <c r="X971" s="107">
        <v>100</v>
      </c>
      <c r="Y971" s="107">
        <f t="shared" si="49"/>
        <v>100</v>
      </c>
      <c r="Z971" s="107">
        <f t="shared" si="50"/>
        <v>0</v>
      </c>
    </row>
    <row r="972" spans="1:26" x14ac:dyDescent="0.25">
      <c r="A972" s="55" t="str">
        <f>_xlfn.XLOOKUP($G972,'.Auxiliar'!$G:$G,'.Auxiliar'!A:A,"-",0)</f>
        <v>RIO/SP</v>
      </c>
      <c r="B972" s="55" t="str">
        <f>_xlfn.XLOOKUP($G972,'.Auxiliar'!$G:$G,'.Auxiliar'!B:B,"-",0)</f>
        <v>OAE</v>
      </c>
      <c r="C972" s="55" t="str">
        <f>_xlfn.XLOOKUP($G972,'.Auxiliar'!$G:$G,'.Auxiliar'!C:C,"-",0)</f>
        <v>Novas OAEs</v>
      </c>
      <c r="D972" s="55">
        <f>_xlfn.XLOOKUP($G972,'.Auxiliar'!$G:$G,'.Auxiliar'!D:D,"-",0)</f>
        <v>488.20800000000003</v>
      </c>
      <c r="E972" s="55">
        <f>_xlfn.XLOOKUP($G972,'.Auxiliar'!$G:$G,'.Auxiliar'!E:E,"-",0)</f>
        <v>488.20800000000003</v>
      </c>
      <c r="F972" s="55">
        <f>_xlfn.XLOOKUP($G972,'.Auxiliar'!$G:$G,'.Auxiliar'!F:F,"-",0)</f>
        <v>1</v>
      </c>
      <c r="G972" s="59" t="s">
        <v>1522</v>
      </c>
      <c r="H972" s="108" t="s">
        <v>0</v>
      </c>
      <c r="I972" s="109" t="s">
        <v>0</v>
      </c>
      <c r="J972" s="109" t="s">
        <v>0</v>
      </c>
      <c r="K972" s="109" t="s">
        <v>0</v>
      </c>
      <c r="L972" s="109" t="s">
        <v>0</v>
      </c>
      <c r="M972" s="109" t="s">
        <v>0</v>
      </c>
      <c r="N972" s="110" t="s">
        <v>363</v>
      </c>
      <c r="O972" s="111"/>
      <c r="P972" s="112"/>
      <c r="Q972" s="112"/>
      <c r="R972" s="112"/>
      <c r="S972" s="112"/>
      <c r="T972" s="112"/>
      <c r="U972" s="95" t="str">
        <f t="shared" si="48"/>
        <v/>
      </c>
      <c r="V972" s="112"/>
      <c r="W972" s="112"/>
      <c r="X972" s="107">
        <v>100</v>
      </c>
      <c r="Y972" s="107">
        <f t="shared" si="49"/>
        <v>100</v>
      </c>
      <c r="Z972" s="107">
        <f t="shared" si="50"/>
        <v>0</v>
      </c>
    </row>
    <row r="973" spans="1:26" x14ac:dyDescent="0.25">
      <c r="A973" s="55" t="str">
        <f>_xlfn.XLOOKUP($G973,'.Auxiliar'!$G:$G,'.Auxiliar'!A:A,"-",0)</f>
        <v>RIO/SP</v>
      </c>
      <c r="B973" s="55" t="str">
        <f>_xlfn.XLOOKUP($G973,'.Auxiliar'!$G:$G,'.Auxiliar'!B:B,"-",0)</f>
        <v>OAE</v>
      </c>
      <c r="C973" s="55" t="str">
        <f>_xlfn.XLOOKUP($G973,'.Auxiliar'!$G:$G,'.Auxiliar'!C:C,"-",0)</f>
        <v>Novas OAEs</v>
      </c>
      <c r="D973" s="55">
        <f>_xlfn.XLOOKUP($G973,'.Auxiliar'!$G:$G,'.Auxiliar'!D:D,"-",0)</f>
        <v>492.517</v>
      </c>
      <c r="E973" s="55">
        <f>_xlfn.XLOOKUP($G973,'.Auxiliar'!$G:$G,'.Auxiliar'!E:E,"-",0)</f>
        <v>492.517</v>
      </c>
      <c r="F973" s="55">
        <f>_xlfn.XLOOKUP($G973,'.Auxiliar'!$G:$G,'.Auxiliar'!F:F,"-",0)</f>
        <v>1</v>
      </c>
      <c r="G973" s="59" t="s">
        <v>1523</v>
      </c>
      <c r="H973" s="108" t="s">
        <v>0</v>
      </c>
      <c r="I973" s="109" t="s">
        <v>0</v>
      </c>
      <c r="J973" s="109" t="s">
        <v>0</v>
      </c>
      <c r="K973" s="109" t="s">
        <v>0</v>
      </c>
      <c r="L973" s="109" t="s">
        <v>0</v>
      </c>
      <c r="M973" s="109" t="s">
        <v>0</v>
      </c>
      <c r="N973" s="110" t="s">
        <v>363</v>
      </c>
      <c r="O973" s="111"/>
      <c r="P973" s="112"/>
      <c r="Q973" s="112"/>
      <c r="R973" s="112"/>
      <c r="S973" s="112"/>
      <c r="T973" s="112"/>
      <c r="U973" s="95" t="str">
        <f t="shared" si="48"/>
        <v/>
      </c>
      <c r="V973" s="112"/>
      <c r="W973" s="112"/>
      <c r="X973" s="107">
        <v>100</v>
      </c>
      <c r="Y973" s="107">
        <f t="shared" si="49"/>
        <v>100</v>
      </c>
      <c r="Z973" s="107">
        <f t="shared" si="50"/>
        <v>0</v>
      </c>
    </row>
    <row r="974" spans="1:26" x14ac:dyDescent="0.25">
      <c r="A974" s="55" t="str">
        <f>_xlfn.XLOOKUP($G974,'.Auxiliar'!$G:$G,'.Auxiliar'!A:A,"-",0)</f>
        <v>RIO/SP</v>
      </c>
      <c r="B974" s="55" t="str">
        <f>_xlfn.XLOOKUP($G974,'.Auxiliar'!$G:$G,'.Auxiliar'!B:B,"-",0)</f>
        <v>OAE</v>
      </c>
      <c r="C974" s="55" t="str">
        <f>_xlfn.XLOOKUP($G974,'.Auxiliar'!$G:$G,'.Auxiliar'!C:C,"-",0)</f>
        <v>Novas OAEs</v>
      </c>
      <c r="D974" s="55">
        <f>_xlfn.XLOOKUP($G974,'.Auxiliar'!$G:$G,'.Auxiliar'!D:D,"-",0)</f>
        <v>505.07900000000001</v>
      </c>
      <c r="E974" s="55">
        <f>_xlfn.XLOOKUP($G974,'.Auxiliar'!$G:$G,'.Auxiliar'!E:E,"-",0)</f>
        <v>505.07900000000001</v>
      </c>
      <c r="F974" s="55">
        <f>_xlfn.XLOOKUP($G974,'.Auxiliar'!$G:$G,'.Auxiliar'!F:F,"-",0)</f>
        <v>1</v>
      </c>
      <c r="G974" s="59" t="s">
        <v>1524</v>
      </c>
      <c r="H974" s="108" t="s">
        <v>0</v>
      </c>
      <c r="I974" s="109" t="s">
        <v>0</v>
      </c>
      <c r="J974" s="109" t="s">
        <v>0</v>
      </c>
      <c r="K974" s="109" t="s">
        <v>0</v>
      </c>
      <c r="L974" s="109" t="s">
        <v>0</v>
      </c>
      <c r="M974" s="109" t="s">
        <v>0</v>
      </c>
      <c r="N974" s="110" t="s">
        <v>363</v>
      </c>
      <c r="O974" s="111"/>
      <c r="P974" s="112"/>
      <c r="Q974" s="112"/>
      <c r="R974" s="112"/>
      <c r="S974" s="112"/>
      <c r="T974" s="112"/>
      <c r="U974" s="95" t="str">
        <f t="shared" si="48"/>
        <v/>
      </c>
      <c r="V974" s="112"/>
      <c r="W974" s="112"/>
      <c r="X974" s="107">
        <v>100</v>
      </c>
      <c r="Y974" s="107">
        <f t="shared" si="49"/>
        <v>100</v>
      </c>
      <c r="Z974" s="107">
        <f t="shared" si="50"/>
        <v>0</v>
      </c>
    </row>
    <row r="975" spans="1:26" x14ac:dyDescent="0.25">
      <c r="A975" s="55" t="str">
        <f>_xlfn.XLOOKUP($G975,'.Auxiliar'!$G:$G,'.Auxiliar'!A:A,"-",0)</f>
        <v>RIO/SP</v>
      </c>
      <c r="B975" s="55" t="str">
        <f>_xlfn.XLOOKUP($G975,'.Auxiliar'!$G:$G,'.Auxiliar'!B:B,"-",0)</f>
        <v>OAE</v>
      </c>
      <c r="C975" s="55" t="str">
        <f>_xlfn.XLOOKUP($G975,'.Auxiliar'!$G:$G,'.Auxiliar'!C:C,"-",0)</f>
        <v>Novas OAEs</v>
      </c>
      <c r="D975" s="55">
        <f>_xlfn.XLOOKUP($G975,'.Auxiliar'!$G:$G,'.Auxiliar'!D:D,"-",0)</f>
        <v>506.233</v>
      </c>
      <c r="E975" s="55">
        <f>_xlfn.XLOOKUP($G975,'.Auxiliar'!$G:$G,'.Auxiliar'!E:E,"-",0)</f>
        <v>506.233</v>
      </c>
      <c r="F975" s="55">
        <f>_xlfn.XLOOKUP($G975,'.Auxiliar'!$G:$G,'.Auxiliar'!F:F,"-",0)</f>
        <v>1</v>
      </c>
      <c r="G975" s="59" t="s">
        <v>1525</v>
      </c>
      <c r="H975" s="108" t="s">
        <v>0</v>
      </c>
      <c r="I975" s="109" t="s">
        <v>0</v>
      </c>
      <c r="J975" s="109" t="s">
        <v>0</v>
      </c>
      <c r="K975" s="109" t="s">
        <v>0</v>
      </c>
      <c r="L975" s="109" t="s">
        <v>0</v>
      </c>
      <c r="M975" s="109" t="s">
        <v>0</v>
      </c>
      <c r="N975" s="110" t="s">
        <v>363</v>
      </c>
      <c r="O975" s="111"/>
      <c r="P975" s="112"/>
      <c r="Q975" s="112"/>
      <c r="R975" s="112"/>
      <c r="S975" s="112"/>
      <c r="T975" s="112"/>
      <c r="U975" s="95" t="str">
        <f t="shared" si="48"/>
        <v/>
      </c>
      <c r="V975" s="112"/>
      <c r="W975" s="112"/>
      <c r="X975" s="107">
        <v>100</v>
      </c>
      <c r="Y975" s="107">
        <f t="shared" si="49"/>
        <v>100</v>
      </c>
      <c r="Z975" s="107">
        <f t="shared" si="50"/>
        <v>0</v>
      </c>
    </row>
    <row r="976" spans="1:26" x14ac:dyDescent="0.25">
      <c r="A976" s="55" t="str">
        <f>_xlfn.XLOOKUP($G976,'.Auxiliar'!$G:$G,'.Auxiliar'!A:A,"-",0)</f>
        <v>RIO/SP</v>
      </c>
      <c r="B976" s="55" t="str">
        <f>_xlfn.XLOOKUP($G976,'.Auxiliar'!$G:$G,'.Auxiliar'!B:B,"-",0)</f>
        <v>OAE</v>
      </c>
      <c r="C976" s="55" t="str">
        <f>_xlfn.XLOOKUP($G976,'.Auxiliar'!$G:$G,'.Auxiliar'!C:C,"-",0)</f>
        <v>Novas OAEs</v>
      </c>
      <c r="D976" s="55">
        <f>_xlfn.XLOOKUP($G976,'.Auxiliar'!$G:$G,'.Auxiliar'!D:D,"-",0)</f>
        <v>511.60700000000003</v>
      </c>
      <c r="E976" s="55">
        <f>_xlfn.XLOOKUP($G976,'.Auxiliar'!$G:$G,'.Auxiliar'!E:E,"-",0)</f>
        <v>511.60700000000003</v>
      </c>
      <c r="F976" s="55">
        <f>_xlfn.XLOOKUP($G976,'.Auxiliar'!$G:$G,'.Auxiliar'!F:F,"-",0)</f>
        <v>1</v>
      </c>
      <c r="G976" s="59" t="s">
        <v>1526</v>
      </c>
      <c r="H976" s="108" t="s">
        <v>0</v>
      </c>
      <c r="I976" s="109" t="s">
        <v>0</v>
      </c>
      <c r="J976" s="109" t="s">
        <v>0</v>
      </c>
      <c r="K976" s="109" t="s">
        <v>0</v>
      </c>
      <c r="L976" s="109" t="s">
        <v>0</v>
      </c>
      <c r="M976" s="109" t="s">
        <v>0</v>
      </c>
      <c r="N976" s="110" t="s">
        <v>363</v>
      </c>
      <c r="O976" s="111"/>
      <c r="P976" s="112"/>
      <c r="Q976" s="112"/>
      <c r="R976" s="112"/>
      <c r="S976" s="112"/>
      <c r="T976" s="112"/>
      <c r="U976" s="95" t="str">
        <f t="shared" si="48"/>
        <v/>
      </c>
      <c r="V976" s="112"/>
      <c r="W976" s="112"/>
      <c r="X976" s="107">
        <v>100</v>
      </c>
      <c r="Y976" s="107">
        <f t="shared" si="49"/>
        <v>100</v>
      </c>
      <c r="Z976" s="107">
        <f t="shared" si="50"/>
        <v>0</v>
      </c>
    </row>
    <row r="977" spans="1:26" x14ac:dyDescent="0.25">
      <c r="A977" s="55" t="str">
        <f>_xlfn.XLOOKUP($G977,'.Auxiliar'!$G:$G,'.Auxiliar'!A:A,"-",0)</f>
        <v>RIO/SP</v>
      </c>
      <c r="B977" s="55" t="str">
        <f>_xlfn.XLOOKUP($G977,'.Auxiliar'!$G:$G,'.Auxiliar'!B:B,"-",0)</f>
        <v>OAE</v>
      </c>
      <c r="C977" s="55" t="str">
        <f>_xlfn.XLOOKUP($G977,'.Auxiliar'!$G:$G,'.Auxiliar'!C:C,"-",0)</f>
        <v>Novas OAEs</v>
      </c>
      <c r="D977" s="55">
        <f>_xlfn.XLOOKUP($G977,'.Auxiliar'!$G:$G,'.Auxiliar'!D:D,"-",0)</f>
        <v>521.63599999999997</v>
      </c>
      <c r="E977" s="55">
        <f>_xlfn.XLOOKUP($G977,'.Auxiliar'!$G:$G,'.Auxiliar'!E:E,"-",0)</f>
        <v>521.63599999999997</v>
      </c>
      <c r="F977" s="55">
        <f>_xlfn.XLOOKUP($G977,'.Auxiliar'!$G:$G,'.Auxiliar'!F:F,"-",0)</f>
        <v>1</v>
      </c>
      <c r="G977" s="59" t="s">
        <v>1527</v>
      </c>
      <c r="H977" s="108" t="s">
        <v>0</v>
      </c>
      <c r="I977" s="109" t="s">
        <v>0</v>
      </c>
      <c r="J977" s="109" t="s">
        <v>0</v>
      </c>
      <c r="K977" s="109" t="s">
        <v>0</v>
      </c>
      <c r="L977" s="109" t="s">
        <v>0</v>
      </c>
      <c r="M977" s="109" t="s">
        <v>0</v>
      </c>
      <c r="N977" s="110" t="s">
        <v>363</v>
      </c>
      <c r="O977" s="111"/>
      <c r="P977" s="112"/>
      <c r="Q977" s="112"/>
      <c r="R977" s="112"/>
      <c r="S977" s="112"/>
      <c r="T977" s="112"/>
      <c r="U977" s="95" t="str">
        <f t="shared" si="48"/>
        <v/>
      </c>
      <c r="V977" s="112"/>
      <c r="W977" s="112"/>
      <c r="X977" s="107">
        <v>100</v>
      </c>
      <c r="Y977" s="107">
        <f t="shared" si="49"/>
        <v>100</v>
      </c>
      <c r="Z977" s="107">
        <f t="shared" si="50"/>
        <v>0</v>
      </c>
    </row>
    <row r="978" spans="1:26" x14ac:dyDescent="0.25">
      <c r="A978" s="55" t="str">
        <f>_xlfn.XLOOKUP($G978,'.Auxiliar'!$G:$G,'.Auxiliar'!A:A,"-",0)</f>
        <v>RIO/SP</v>
      </c>
      <c r="B978" s="55" t="str">
        <f>_xlfn.XLOOKUP($G978,'.Auxiliar'!$G:$G,'.Auxiliar'!B:B,"-",0)</f>
        <v>OAE</v>
      </c>
      <c r="C978" s="55" t="str">
        <f>_xlfn.XLOOKUP($G978,'.Auxiliar'!$G:$G,'.Auxiliar'!C:C,"-",0)</f>
        <v>Novas OAEs</v>
      </c>
      <c r="D978" s="55">
        <f>_xlfn.XLOOKUP($G978,'.Auxiliar'!$G:$G,'.Auxiliar'!D:D,"-",0)</f>
        <v>524.93700000000001</v>
      </c>
      <c r="E978" s="55">
        <f>_xlfn.XLOOKUP($G978,'.Auxiliar'!$G:$G,'.Auxiliar'!E:E,"-",0)</f>
        <v>524.93700000000001</v>
      </c>
      <c r="F978" s="55">
        <f>_xlfn.XLOOKUP($G978,'.Auxiliar'!$G:$G,'.Auxiliar'!F:F,"-",0)</f>
        <v>2</v>
      </c>
      <c r="G978" s="59" t="s">
        <v>1528</v>
      </c>
      <c r="H978" s="108" t="s">
        <v>0</v>
      </c>
      <c r="I978" s="109" t="s">
        <v>0</v>
      </c>
      <c r="J978" s="109" t="s">
        <v>0</v>
      </c>
      <c r="K978" s="109" t="s">
        <v>0</v>
      </c>
      <c r="L978" s="109" t="s">
        <v>0</v>
      </c>
      <c r="M978" s="109" t="s">
        <v>0</v>
      </c>
      <c r="N978" s="110" t="s">
        <v>363</v>
      </c>
      <c r="O978" s="111"/>
      <c r="P978" s="112"/>
      <c r="Q978" s="112"/>
      <c r="R978" s="112"/>
      <c r="S978" s="112"/>
      <c r="T978" s="112"/>
      <c r="U978" s="95" t="str">
        <f t="shared" si="48"/>
        <v/>
      </c>
      <c r="V978" s="112"/>
      <c r="W978" s="112"/>
      <c r="X978" s="107">
        <v>100</v>
      </c>
      <c r="Y978" s="107">
        <f t="shared" si="49"/>
        <v>100</v>
      </c>
      <c r="Z978" s="107">
        <f t="shared" si="50"/>
        <v>0</v>
      </c>
    </row>
    <row r="979" spans="1:26" x14ac:dyDescent="0.25">
      <c r="A979" s="55" t="str">
        <f>_xlfn.XLOOKUP($G979,'.Auxiliar'!$G:$G,'.Auxiliar'!A:A,"-",0)</f>
        <v>RIO/SP</v>
      </c>
      <c r="B979" s="55" t="str">
        <f>_xlfn.XLOOKUP($G979,'.Auxiliar'!$G:$G,'.Auxiliar'!B:B,"-",0)</f>
        <v>OAE</v>
      </c>
      <c r="C979" s="55" t="str">
        <f>_xlfn.XLOOKUP($G979,'.Auxiliar'!$G:$G,'.Auxiliar'!C:C,"-",0)</f>
        <v>Novas OAEs</v>
      </c>
      <c r="D979" s="55">
        <f>_xlfn.XLOOKUP($G979,'.Auxiliar'!$G:$G,'.Auxiliar'!D:D,"-",0)</f>
        <v>532.72900000000004</v>
      </c>
      <c r="E979" s="55">
        <f>_xlfn.XLOOKUP($G979,'.Auxiliar'!$G:$G,'.Auxiliar'!E:E,"-",0)</f>
        <v>532.72900000000004</v>
      </c>
      <c r="F979" s="55">
        <f>_xlfn.XLOOKUP($G979,'.Auxiliar'!$G:$G,'.Auxiliar'!F:F,"-",0)</f>
        <v>1</v>
      </c>
      <c r="G979" s="59" t="s">
        <v>1529</v>
      </c>
      <c r="H979" s="108" t="s">
        <v>0</v>
      </c>
      <c r="I979" s="109" t="s">
        <v>0</v>
      </c>
      <c r="J979" s="109" t="s">
        <v>0</v>
      </c>
      <c r="K979" s="109" t="s">
        <v>0</v>
      </c>
      <c r="L979" s="109" t="s">
        <v>0</v>
      </c>
      <c r="M979" s="109" t="s">
        <v>0</v>
      </c>
      <c r="N979" s="110" t="s">
        <v>363</v>
      </c>
      <c r="O979" s="111"/>
      <c r="P979" s="112"/>
      <c r="Q979" s="112"/>
      <c r="R979" s="112"/>
      <c r="S979" s="112"/>
      <c r="T979" s="112"/>
      <c r="U979" s="95" t="str">
        <f t="shared" si="48"/>
        <v/>
      </c>
      <c r="V979" s="112"/>
      <c r="W979" s="112"/>
      <c r="X979" s="107">
        <v>100</v>
      </c>
      <c r="Y979" s="107">
        <f t="shared" si="49"/>
        <v>100</v>
      </c>
      <c r="Z979" s="107">
        <f t="shared" si="50"/>
        <v>0</v>
      </c>
    </row>
    <row r="980" spans="1:26" x14ac:dyDescent="0.25">
      <c r="A980" s="55" t="str">
        <f>_xlfn.XLOOKUP($G980,'.Auxiliar'!$G:$G,'.Auxiliar'!A:A,"-",0)</f>
        <v>RIO/SP</v>
      </c>
      <c r="B980" s="55" t="str">
        <f>_xlfn.XLOOKUP($G980,'.Auxiliar'!$G:$G,'.Auxiliar'!B:B,"-",0)</f>
        <v>OAE</v>
      </c>
      <c r="C980" s="55" t="str">
        <f>_xlfn.XLOOKUP($G980,'.Auxiliar'!$G:$G,'.Auxiliar'!C:C,"-",0)</f>
        <v>Novas OAEs</v>
      </c>
      <c r="D980" s="55">
        <f>_xlfn.XLOOKUP($G980,'.Auxiliar'!$G:$G,'.Auxiliar'!D:D,"-",0)</f>
        <v>534.48299999999995</v>
      </c>
      <c r="E980" s="55">
        <f>_xlfn.XLOOKUP($G980,'.Auxiliar'!$G:$G,'.Auxiliar'!E:E,"-",0)</f>
        <v>534.48299999999995</v>
      </c>
      <c r="F980" s="55">
        <f>_xlfn.XLOOKUP($G980,'.Auxiliar'!$G:$G,'.Auxiliar'!F:F,"-",0)</f>
        <v>2</v>
      </c>
      <c r="G980" s="59" t="s">
        <v>1530</v>
      </c>
      <c r="H980" s="108" t="s">
        <v>0</v>
      </c>
      <c r="I980" s="109" t="s">
        <v>0</v>
      </c>
      <c r="J980" s="109" t="s">
        <v>0</v>
      </c>
      <c r="K980" s="109" t="s">
        <v>0</v>
      </c>
      <c r="L980" s="109" t="s">
        <v>0</v>
      </c>
      <c r="M980" s="109" t="s">
        <v>0</v>
      </c>
      <c r="N980" s="110" t="s">
        <v>363</v>
      </c>
      <c r="O980" s="111"/>
      <c r="P980" s="112"/>
      <c r="Q980" s="112"/>
      <c r="R980" s="112"/>
      <c r="S980" s="112"/>
      <c r="T980" s="112"/>
      <c r="U980" s="95" t="str">
        <f t="shared" si="48"/>
        <v/>
      </c>
      <c r="V980" s="112"/>
      <c r="W980" s="112"/>
      <c r="X980" s="107">
        <v>100</v>
      </c>
      <c r="Y980" s="107">
        <f t="shared" si="49"/>
        <v>100</v>
      </c>
      <c r="Z980" s="107">
        <f t="shared" si="50"/>
        <v>0</v>
      </c>
    </row>
    <row r="981" spans="1:26" x14ac:dyDescent="0.25">
      <c r="A981" s="55" t="str">
        <f>_xlfn.XLOOKUP($G981,'.Auxiliar'!$G:$G,'.Auxiliar'!A:A,"-",0)</f>
        <v>RIO/SP</v>
      </c>
      <c r="B981" s="55" t="str">
        <f>_xlfn.XLOOKUP($G981,'.Auxiliar'!$G:$G,'.Auxiliar'!B:B,"-",0)</f>
        <v>OAE</v>
      </c>
      <c r="C981" s="55" t="str">
        <f>_xlfn.XLOOKUP($G981,'.Auxiliar'!$G:$G,'.Auxiliar'!C:C,"-",0)</f>
        <v>Novas OAEs</v>
      </c>
      <c r="D981" s="55">
        <f>_xlfn.XLOOKUP($G981,'.Auxiliar'!$G:$G,'.Auxiliar'!D:D,"-",0)</f>
        <v>575.88300000000004</v>
      </c>
      <c r="E981" s="55">
        <f>_xlfn.XLOOKUP($G981,'.Auxiliar'!$G:$G,'.Auxiliar'!E:E,"-",0)</f>
        <v>575.88300000000004</v>
      </c>
      <c r="F981" s="55">
        <f>_xlfn.XLOOKUP($G981,'.Auxiliar'!$G:$G,'.Auxiliar'!F:F,"-",0)</f>
        <v>1</v>
      </c>
      <c r="G981" s="59" t="s">
        <v>1531</v>
      </c>
      <c r="H981" s="108" t="s">
        <v>0</v>
      </c>
      <c r="I981" s="109" t="s">
        <v>0</v>
      </c>
      <c r="J981" s="109" t="s">
        <v>0</v>
      </c>
      <c r="K981" s="109" t="s">
        <v>0</v>
      </c>
      <c r="L981" s="109" t="s">
        <v>0</v>
      </c>
      <c r="M981" s="109" t="s">
        <v>0</v>
      </c>
      <c r="N981" s="110" t="s">
        <v>363</v>
      </c>
      <c r="O981" s="111"/>
      <c r="P981" s="112"/>
      <c r="Q981" s="112"/>
      <c r="R981" s="112"/>
      <c r="S981" s="112"/>
      <c r="T981" s="112"/>
      <c r="U981" s="95" t="str">
        <f t="shared" si="48"/>
        <v/>
      </c>
      <c r="V981" s="112"/>
      <c r="W981" s="112"/>
      <c r="X981" s="107">
        <v>100</v>
      </c>
      <c r="Y981" s="107">
        <f t="shared" si="49"/>
        <v>100</v>
      </c>
      <c r="Z981" s="107">
        <f t="shared" si="50"/>
        <v>0</v>
      </c>
    </row>
    <row r="982" spans="1:26" x14ac:dyDescent="0.25">
      <c r="A982" s="55" t="str">
        <f>_xlfn.XLOOKUP($G982,'.Auxiliar'!$G:$G,'.Auxiliar'!A:A,"-",0)</f>
        <v>RIO/SP</v>
      </c>
      <c r="B982" s="55" t="str">
        <f>_xlfn.XLOOKUP($G982,'.Auxiliar'!$G:$G,'.Auxiliar'!B:B,"-",0)</f>
        <v>OAE</v>
      </c>
      <c r="C982" s="55" t="str">
        <f>_xlfn.XLOOKUP($G982,'.Auxiliar'!$G:$G,'.Auxiliar'!C:C,"-",0)</f>
        <v>OAE - Intersecção Diamante</v>
      </c>
      <c r="D982" s="55">
        <f>_xlfn.XLOOKUP($G982,'.Auxiliar'!$G:$G,'.Auxiliar'!D:D,"-",0)</f>
        <v>213.1</v>
      </c>
      <c r="E982" s="55">
        <f>_xlfn.XLOOKUP($G982,'.Auxiliar'!$G:$G,'.Auxiliar'!E:E,"-",0)</f>
        <v>213.1</v>
      </c>
      <c r="F982" s="55">
        <f>_xlfn.XLOOKUP($G982,'.Auxiliar'!$G:$G,'.Auxiliar'!F:F,"-",0)</f>
        <v>1</v>
      </c>
      <c r="G982" s="59" t="s">
        <v>845</v>
      </c>
      <c r="H982" s="108" t="s">
        <v>0</v>
      </c>
      <c r="I982" s="109" t="s">
        <v>368</v>
      </c>
      <c r="J982" s="109" t="s">
        <v>0</v>
      </c>
      <c r="K982" s="109" t="s">
        <v>363</v>
      </c>
      <c r="L982" s="109" t="s">
        <v>0</v>
      </c>
      <c r="M982" s="109" t="s">
        <v>0</v>
      </c>
      <c r="N982" s="110" t="s">
        <v>0</v>
      </c>
      <c r="O982" s="111"/>
      <c r="P982" s="112"/>
      <c r="Q982" s="112">
        <v>45</v>
      </c>
      <c r="R982" s="112">
        <v>41.98</v>
      </c>
      <c r="S982" s="112">
        <f>100-R982</f>
        <v>58.02</v>
      </c>
      <c r="T982" s="112">
        <v>56.07</v>
      </c>
      <c r="U982" s="95">
        <f t="shared" si="48"/>
        <v>58.02</v>
      </c>
      <c r="V982" s="112"/>
      <c r="W982" s="112"/>
      <c r="X982" s="107"/>
      <c r="Y982" s="107">
        <f t="shared" si="49"/>
        <v>100</v>
      </c>
      <c r="Z982" s="107">
        <f t="shared" si="50"/>
        <v>98.05</v>
      </c>
    </row>
    <row r="983" spans="1:26" x14ac:dyDescent="0.25">
      <c r="A983" s="55" t="str">
        <f>_xlfn.XLOOKUP($G983,'.Auxiliar'!$G:$G,'.Auxiliar'!A:A,"-",0)</f>
        <v>RIO/SP</v>
      </c>
      <c r="B983" s="55" t="str">
        <f>_xlfn.XLOOKUP($G983,'.Auxiliar'!$G:$G,'.Auxiliar'!B:B,"-",0)</f>
        <v>OAE</v>
      </c>
      <c r="C983" s="55" t="str">
        <f>_xlfn.XLOOKUP($G983,'.Auxiliar'!$G:$G,'.Auxiliar'!C:C,"-",0)</f>
        <v>OAE - Intersecção Trombeta</v>
      </c>
      <c r="D983" s="55">
        <f>_xlfn.XLOOKUP($G983,'.Auxiliar'!$G:$G,'.Auxiliar'!D:D,"-",0)</f>
        <v>157.5</v>
      </c>
      <c r="E983" s="55">
        <f>_xlfn.XLOOKUP($G983,'.Auxiliar'!$G:$G,'.Auxiliar'!E:E,"-",0)</f>
        <v>157.5</v>
      </c>
      <c r="F983" s="55">
        <f>_xlfn.XLOOKUP($G983,'.Auxiliar'!$G:$G,'.Auxiliar'!F:F,"-",0)</f>
        <v>1</v>
      </c>
      <c r="G983" s="59" t="s">
        <v>846</v>
      </c>
      <c r="H983" s="108" t="s">
        <v>0</v>
      </c>
      <c r="I983" s="109" t="s">
        <v>368</v>
      </c>
      <c r="J983" s="109" t="s">
        <v>0</v>
      </c>
      <c r="K983" s="109" t="s">
        <v>363</v>
      </c>
      <c r="L983" s="109" t="s">
        <v>0</v>
      </c>
      <c r="M983" s="109" t="s">
        <v>0</v>
      </c>
      <c r="N983" s="110" t="s">
        <v>0</v>
      </c>
      <c r="O983" s="111"/>
      <c r="P983" s="112"/>
      <c r="Q983" s="112">
        <v>39.450000000000003</v>
      </c>
      <c r="R983" s="112">
        <v>16.100000000000001</v>
      </c>
      <c r="S983" s="112">
        <v>56.52</v>
      </c>
      <c r="T983" s="112">
        <v>11.6</v>
      </c>
      <c r="U983" s="95">
        <f t="shared" si="48"/>
        <v>83.9</v>
      </c>
      <c r="V983" s="112">
        <f>100-(S983+R983)</f>
        <v>27.379999999999995</v>
      </c>
      <c r="W983" s="112"/>
      <c r="X983" s="107"/>
      <c r="Y983" s="107">
        <f t="shared" si="49"/>
        <v>100</v>
      </c>
      <c r="Z983" s="107">
        <f t="shared" si="50"/>
        <v>27.700000000000003</v>
      </c>
    </row>
    <row r="984" spans="1:26" x14ac:dyDescent="0.25">
      <c r="A984" s="55" t="str">
        <f>_xlfn.XLOOKUP($G984,'.Auxiliar'!$G:$G,'.Auxiliar'!A:A,"-",0)</f>
        <v>RIO/SP</v>
      </c>
      <c r="B984" s="55" t="str">
        <f>_xlfn.XLOOKUP($G984,'.Auxiliar'!$G:$G,'.Auxiliar'!B:B,"-",0)</f>
        <v>OAE</v>
      </c>
      <c r="C984" s="55" t="str">
        <f>_xlfn.XLOOKUP($G984,'.Auxiliar'!$G:$G,'.Auxiliar'!C:C,"-",0)</f>
        <v>Ponte</v>
      </c>
      <c r="D984" s="55">
        <f>_xlfn.XLOOKUP($G984,'.Auxiliar'!$G:$G,'.Auxiliar'!D:D,"-",0)</f>
        <v>105.62</v>
      </c>
      <c r="E984" s="55">
        <f>_xlfn.XLOOKUP($G984,'.Auxiliar'!$G:$G,'.Auxiliar'!E:E,"-",0)</f>
        <v>105.62</v>
      </c>
      <c r="F984" s="55">
        <f>_xlfn.XLOOKUP($G984,'.Auxiliar'!$G:$G,'.Auxiliar'!F:F,"-",0)</f>
        <v>2</v>
      </c>
      <c r="G984" s="59" t="s">
        <v>1402</v>
      </c>
      <c r="H984" s="108" t="s">
        <v>0</v>
      </c>
      <c r="I984" s="109" t="s">
        <v>0</v>
      </c>
      <c r="J984" s="109" t="s">
        <v>0</v>
      </c>
      <c r="K984" s="109" t="s">
        <v>0</v>
      </c>
      <c r="L984" s="109" t="s">
        <v>0</v>
      </c>
      <c r="M984" s="109" t="s">
        <v>0</v>
      </c>
      <c r="N984" s="110" t="s">
        <v>363</v>
      </c>
      <c r="O984" s="111"/>
      <c r="P984" s="112"/>
      <c r="Q984" s="112"/>
      <c r="R984" s="112"/>
      <c r="S984" s="112"/>
      <c r="T984" s="112"/>
      <c r="U984" s="95" t="str">
        <f t="shared" si="48"/>
        <v/>
      </c>
      <c r="V984" s="112"/>
      <c r="W984" s="112"/>
      <c r="X984" s="107">
        <v>100</v>
      </c>
      <c r="Y984" s="107">
        <f t="shared" si="49"/>
        <v>100</v>
      </c>
      <c r="Z984" s="107">
        <f t="shared" si="50"/>
        <v>0</v>
      </c>
    </row>
    <row r="985" spans="1:26" x14ac:dyDescent="0.25">
      <c r="A985" s="55" t="str">
        <f>_xlfn.XLOOKUP($G985,'.Auxiliar'!$G:$G,'.Auxiliar'!A:A,"-",0)</f>
        <v>RIO/SP</v>
      </c>
      <c r="B985" s="55" t="str">
        <f>_xlfn.XLOOKUP($G985,'.Auxiliar'!$G:$G,'.Auxiliar'!B:B,"-",0)</f>
        <v>OAE</v>
      </c>
      <c r="C985" s="55" t="str">
        <f>_xlfn.XLOOKUP($G985,'.Auxiliar'!$G:$G,'.Auxiliar'!C:C,"-",0)</f>
        <v>Ponte</v>
      </c>
      <c r="D985" s="55">
        <f>_xlfn.XLOOKUP($G985,'.Auxiliar'!$G:$G,'.Auxiliar'!D:D,"-",0)</f>
        <v>107.48</v>
      </c>
      <c r="E985" s="55">
        <f>_xlfn.XLOOKUP($G985,'.Auxiliar'!$G:$G,'.Auxiliar'!E:E,"-",0)</f>
        <v>107.48</v>
      </c>
      <c r="F985" s="55">
        <f>_xlfn.XLOOKUP($G985,'.Auxiliar'!$G:$G,'.Auxiliar'!F:F,"-",0)</f>
        <v>2</v>
      </c>
      <c r="G985" s="59" t="s">
        <v>1403</v>
      </c>
      <c r="H985" s="108" t="s">
        <v>0</v>
      </c>
      <c r="I985" s="109" t="s">
        <v>0</v>
      </c>
      <c r="J985" s="109" t="s">
        <v>0</v>
      </c>
      <c r="K985" s="109" t="s">
        <v>0</v>
      </c>
      <c r="L985" s="109" t="s">
        <v>0</v>
      </c>
      <c r="M985" s="109" t="s">
        <v>0</v>
      </c>
      <c r="N985" s="110" t="s">
        <v>363</v>
      </c>
      <c r="O985" s="111"/>
      <c r="P985" s="112"/>
      <c r="Q985" s="112"/>
      <c r="R985" s="112"/>
      <c r="S985" s="112"/>
      <c r="T985" s="112"/>
      <c r="U985" s="95" t="str">
        <f t="shared" si="48"/>
        <v/>
      </c>
      <c r="V985" s="112"/>
      <c r="W985" s="112"/>
      <c r="X985" s="107">
        <v>100</v>
      </c>
      <c r="Y985" s="107">
        <f t="shared" si="49"/>
        <v>100</v>
      </c>
      <c r="Z985" s="107">
        <f t="shared" si="50"/>
        <v>0</v>
      </c>
    </row>
    <row r="986" spans="1:26" x14ac:dyDescent="0.25">
      <c r="A986" s="55" t="str">
        <f>_xlfn.XLOOKUP($G986,'.Auxiliar'!$G:$G,'.Auxiliar'!A:A,"-",0)</f>
        <v>RIO/SP</v>
      </c>
      <c r="B986" s="55" t="str">
        <f>_xlfn.XLOOKUP($G986,'.Auxiliar'!$G:$G,'.Auxiliar'!B:B,"-",0)</f>
        <v>OAE</v>
      </c>
      <c r="C986" s="55" t="str">
        <f>_xlfn.XLOOKUP($G986,'.Auxiliar'!$G:$G,'.Auxiliar'!C:C,"-",0)</f>
        <v>Ponte</v>
      </c>
      <c r="D986" s="55">
        <f>_xlfn.XLOOKUP($G986,'.Auxiliar'!$G:$G,'.Auxiliar'!D:D,"-",0)</f>
        <v>107.5</v>
      </c>
      <c r="E986" s="55">
        <f>_xlfn.XLOOKUP($G986,'.Auxiliar'!$G:$G,'.Auxiliar'!E:E,"-",0)</f>
        <v>107.5</v>
      </c>
      <c r="F986" s="55">
        <f>_xlfn.XLOOKUP($G986,'.Auxiliar'!$G:$G,'.Auxiliar'!F:F,"-",0)</f>
        <v>2</v>
      </c>
      <c r="G986" s="59" t="s">
        <v>1404</v>
      </c>
      <c r="H986" s="108" t="s">
        <v>0</v>
      </c>
      <c r="I986" s="109" t="s">
        <v>0</v>
      </c>
      <c r="J986" s="109" t="s">
        <v>0</v>
      </c>
      <c r="K986" s="109" t="s">
        <v>0</v>
      </c>
      <c r="L986" s="109" t="s">
        <v>0</v>
      </c>
      <c r="M986" s="109" t="s">
        <v>0</v>
      </c>
      <c r="N986" s="110" t="s">
        <v>363</v>
      </c>
      <c r="O986" s="111"/>
      <c r="P986" s="112"/>
      <c r="Q986" s="112"/>
      <c r="R986" s="112"/>
      <c r="S986" s="112"/>
      <c r="T986" s="112"/>
      <c r="U986" s="95" t="str">
        <f t="shared" si="48"/>
        <v/>
      </c>
      <c r="V986" s="112"/>
      <c r="W986" s="112"/>
      <c r="X986" s="107">
        <v>100</v>
      </c>
      <c r="Y986" s="107">
        <f t="shared" si="49"/>
        <v>100</v>
      </c>
      <c r="Z986" s="107">
        <f t="shared" si="50"/>
        <v>0</v>
      </c>
    </row>
    <row r="987" spans="1:26" x14ac:dyDescent="0.25">
      <c r="A987" s="55" t="str">
        <f>_xlfn.XLOOKUP($G987,'.Auxiliar'!$G:$G,'.Auxiliar'!A:A,"-",0)</f>
        <v>RIO/SP</v>
      </c>
      <c r="B987" s="55" t="str">
        <f>_xlfn.XLOOKUP($G987,'.Auxiliar'!$G:$G,'.Auxiliar'!B:B,"-",0)</f>
        <v>OAE</v>
      </c>
      <c r="C987" s="55" t="str">
        <f>_xlfn.XLOOKUP($G987,'.Auxiliar'!$G:$G,'.Auxiliar'!C:C,"-",0)</f>
        <v>Ponte</v>
      </c>
      <c r="D987" s="55">
        <f>_xlfn.XLOOKUP($G987,'.Auxiliar'!$G:$G,'.Auxiliar'!D:D,"-",0)</f>
        <v>110.57</v>
      </c>
      <c r="E987" s="55">
        <f>_xlfn.XLOOKUP($G987,'.Auxiliar'!$G:$G,'.Auxiliar'!E:E,"-",0)</f>
        <v>110.57</v>
      </c>
      <c r="F987" s="55">
        <f>_xlfn.XLOOKUP($G987,'.Auxiliar'!$G:$G,'.Auxiliar'!F:F,"-",0)</f>
        <v>1</v>
      </c>
      <c r="G987" s="59" t="s">
        <v>1405</v>
      </c>
      <c r="H987" s="108" t="s">
        <v>0</v>
      </c>
      <c r="I987" s="109" t="s">
        <v>0</v>
      </c>
      <c r="J987" s="109" t="s">
        <v>0</v>
      </c>
      <c r="K987" s="109" t="s">
        <v>0</v>
      </c>
      <c r="L987" s="109" t="s">
        <v>0</v>
      </c>
      <c r="M987" s="109" t="s">
        <v>0</v>
      </c>
      <c r="N987" s="110" t="s">
        <v>363</v>
      </c>
      <c r="O987" s="111"/>
      <c r="P987" s="112"/>
      <c r="Q987" s="112"/>
      <c r="R987" s="112"/>
      <c r="S987" s="112"/>
      <c r="T987" s="112"/>
      <c r="U987" s="95" t="str">
        <f t="shared" si="48"/>
        <v/>
      </c>
      <c r="V987" s="112"/>
      <c r="W987" s="112"/>
      <c r="X987" s="107">
        <v>100</v>
      </c>
      <c r="Y987" s="107">
        <f t="shared" si="49"/>
        <v>100</v>
      </c>
      <c r="Z987" s="107">
        <f t="shared" si="50"/>
        <v>0</v>
      </c>
    </row>
    <row r="988" spans="1:26" x14ac:dyDescent="0.25">
      <c r="A988" s="55" t="str">
        <f>_xlfn.XLOOKUP($G988,'.Auxiliar'!$G:$G,'.Auxiliar'!A:A,"-",0)</f>
        <v>RIO/SP</v>
      </c>
      <c r="B988" s="55" t="str">
        <f>_xlfn.XLOOKUP($G988,'.Auxiliar'!$G:$G,'.Auxiliar'!B:B,"-",0)</f>
        <v>OAE</v>
      </c>
      <c r="C988" s="55" t="str">
        <f>_xlfn.XLOOKUP($G988,'.Auxiliar'!$G:$G,'.Auxiliar'!C:C,"-",0)</f>
        <v>Ponte</v>
      </c>
      <c r="D988" s="55">
        <f>_xlfn.XLOOKUP($G988,'.Auxiliar'!$G:$G,'.Auxiliar'!D:D,"-",0)</f>
        <v>111.13</v>
      </c>
      <c r="E988" s="55">
        <f>_xlfn.XLOOKUP($G988,'.Auxiliar'!$G:$G,'.Auxiliar'!E:E,"-",0)</f>
        <v>111.13</v>
      </c>
      <c r="F988" s="55">
        <f>_xlfn.XLOOKUP($G988,'.Auxiliar'!$G:$G,'.Auxiliar'!F:F,"-",0)</f>
        <v>2</v>
      </c>
      <c r="G988" s="59" t="s">
        <v>1299</v>
      </c>
      <c r="H988" s="108" t="s">
        <v>0</v>
      </c>
      <c r="I988" s="109" t="s">
        <v>0</v>
      </c>
      <c r="J988" s="109" t="s">
        <v>0</v>
      </c>
      <c r="K988" s="109" t="s">
        <v>0</v>
      </c>
      <c r="L988" s="109" t="s">
        <v>0</v>
      </c>
      <c r="M988" s="109" t="s">
        <v>363</v>
      </c>
      <c r="N988" s="110" t="s">
        <v>0</v>
      </c>
      <c r="O988" s="111"/>
      <c r="P988" s="112"/>
      <c r="Q988" s="112"/>
      <c r="R988" s="112"/>
      <c r="S988" s="112"/>
      <c r="T988" s="112"/>
      <c r="U988" s="95" t="str">
        <f t="shared" si="48"/>
        <v/>
      </c>
      <c r="V988" s="112"/>
      <c r="W988" s="112">
        <v>100</v>
      </c>
      <c r="X988" s="107"/>
      <c r="Y988" s="107">
        <f t="shared" si="49"/>
        <v>100</v>
      </c>
      <c r="Z988" s="107">
        <f t="shared" si="50"/>
        <v>0</v>
      </c>
    </row>
    <row r="989" spans="1:26" x14ac:dyDescent="0.25">
      <c r="A989" s="55" t="str">
        <f>_xlfn.XLOOKUP($G989,'.Auxiliar'!$G:$G,'.Auxiliar'!A:A,"-",0)</f>
        <v>RIO/SP</v>
      </c>
      <c r="B989" s="55" t="str">
        <f>_xlfn.XLOOKUP($G989,'.Auxiliar'!$G:$G,'.Auxiliar'!B:B,"-",0)</f>
        <v>OAE</v>
      </c>
      <c r="C989" s="55" t="str">
        <f>_xlfn.XLOOKUP($G989,'.Auxiliar'!$G:$G,'.Auxiliar'!C:C,"-",0)</f>
        <v>Ponte</v>
      </c>
      <c r="D989" s="55">
        <f>_xlfn.XLOOKUP($G989,'.Auxiliar'!$G:$G,'.Auxiliar'!D:D,"-",0)</f>
        <v>111.35</v>
      </c>
      <c r="E989" s="55">
        <f>_xlfn.XLOOKUP($G989,'.Auxiliar'!$G:$G,'.Auxiliar'!E:E,"-",0)</f>
        <v>111.35</v>
      </c>
      <c r="F989" s="55">
        <f>_xlfn.XLOOKUP($G989,'.Auxiliar'!$G:$G,'.Auxiliar'!F:F,"-",0)</f>
        <v>2</v>
      </c>
      <c r="G989" s="59" t="s">
        <v>1300</v>
      </c>
      <c r="H989" s="108" t="s">
        <v>0</v>
      </c>
      <c r="I989" s="109" t="s">
        <v>0</v>
      </c>
      <c r="J989" s="109" t="s">
        <v>0</v>
      </c>
      <c r="K989" s="109" t="s">
        <v>0</v>
      </c>
      <c r="L989" s="109" t="s">
        <v>0</v>
      </c>
      <c r="M989" s="109" t="s">
        <v>363</v>
      </c>
      <c r="N989" s="110" t="s">
        <v>0</v>
      </c>
      <c r="O989" s="111"/>
      <c r="P989" s="112"/>
      <c r="Q989" s="112"/>
      <c r="R989" s="112"/>
      <c r="S989" s="112"/>
      <c r="T989" s="112"/>
      <c r="U989" s="95" t="str">
        <f t="shared" si="48"/>
        <v/>
      </c>
      <c r="V989" s="112"/>
      <c r="W989" s="112">
        <v>100</v>
      </c>
      <c r="X989" s="107"/>
      <c r="Y989" s="107">
        <f t="shared" si="49"/>
        <v>100</v>
      </c>
      <c r="Z989" s="107">
        <f t="shared" si="50"/>
        <v>0</v>
      </c>
    </row>
    <row r="990" spans="1:26" x14ac:dyDescent="0.25">
      <c r="A990" s="55" t="str">
        <f>_xlfn.XLOOKUP($G990,'.Auxiliar'!$G:$G,'.Auxiliar'!A:A,"-",0)</f>
        <v>RIO/SP</v>
      </c>
      <c r="B990" s="55" t="str">
        <f>_xlfn.XLOOKUP($G990,'.Auxiliar'!$G:$G,'.Auxiliar'!B:B,"-",0)</f>
        <v>OAE</v>
      </c>
      <c r="C990" s="55" t="str">
        <f>_xlfn.XLOOKUP($G990,'.Auxiliar'!$G:$G,'.Auxiliar'!C:C,"-",0)</f>
        <v>Ponte</v>
      </c>
      <c r="D990" s="55">
        <f>_xlfn.XLOOKUP($G990,'.Auxiliar'!$G:$G,'.Auxiliar'!D:D,"-",0)</f>
        <v>113.03</v>
      </c>
      <c r="E990" s="55">
        <f>_xlfn.XLOOKUP($G990,'.Auxiliar'!$G:$G,'.Auxiliar'!E:E,"-",0)</f>
        <v>113.03</v>
      </c>
      <c r="F990" s="55">
        <f>_xlfn.XLOOKUP($G990,'.Auxiliar'!$G:$G,'.Auxiliar'!F:F,"-",0)</f>
        <v>1</v>
      </c>
      <c r="G990" s="59" t="s">
        <v>1301</v>
      </c>
      <c r="H990" s="108" t="s">
        <v>0</v>
      </c>
      <c r="I990" s="109" t="s">
        <v>0</v>
      </c>
      <c r="J990" s="109" t="s">
        <v>0</v>
      </c>
      <c r="K990" s="109" t="s">
        <v>0</v>
      </c>
      <c r="L990" s="109" t="s">
        <v>0</v>
      </c>
      <c r="M990" s="109" t="s">
        <v>363</v>
      </c>
      <c r="N990" s="110" t="s">
        <v>0</v>
      </c>
      <c r="O990" s="111"/>
      <c r="P990" s="112"/>
      <c r="Q990" s="112"/>
      <c r="R990" s="112"/>
      <c r="S990" s="112"/>
      <c r="T990" s="112"/>
      <c r="U990" s="95" t="str">
        <f t="shared" si="48"/>
        <v/>
      </c>
      <c r="V990" s="112"/>
      <c r="W990" s="112">
        <v>100</v>
      </c>
      <c r="X990" s="107"/>
      <c r="Y990" s="107">
        <f t="shared" si="49"/>
        <v>100</v>
      </c>
      <c r="Z990" s="107">
        <f t="shared" si="50"/>
        <v>0</v>
      </c>
    </row>
    <row r="991" spans="1:26" x14ac:dyDescent="0.25">
      <c r="A991" s="55" t="str">
        <f>_xlfn.XLOOKUP($G991,'.Auxiliar'!$G:$G,'.Auxiliar'!A:A,"-",0)</f>
        <v>RIO/SP</v>
      </c>
      <c r="B991" s="55" t="str">
        <f>_xlfn.XLOOKUP($G991,'.Auxiliar'!$G:$G,'.Auxiliar'!B:B,"-",0)</f>
        <v>OAE</v>
      </c>
      <c r="C991" s="55" t="str">
        <f>_xlfn.XLOOKUP($G991,'.Auxiliar'!$G:$G,'.Auxiliar'!C:C,"-",0)</f>
        <v>Ponte</v>
      </c>
      <c r="D991" s="55">
        <f>_xlfn.XLOOKUP($G991,'.Auxiliar'!$G:$G,'.Auxiliar'!D:D,"-",0)</f>
        <v>114.85</v>
      </c>
      <c r="E991" s="55">
        <f>_xlfn.XLOOKUP($G991,'.Auxiliar'!$G:$G,'.Auxiliar'!E:E,"-",0)</f>
        <v>114.85</v>
      </c>
      <c r="F991" s="55">
        <f>_xlfn.XLOOKUP($G991,'.Auxiliar'!$G:$G,'.Auxiliar'!F:F,"-",0)</f>
        <v>2</v>
      </c>
      <c r="G991" s="59" t="s">
        <v>1302</v>
      </c>
      <c r="H991" s="108" t="s">
        <v>0</v>
      </c>
      <c r="I991" s="109" t="s">
        <v>0</v>
      </c>
      <c r="J991" s="109" t="s">
        <v>0</v>
      </c>
      <c r="K991" s="109" t="s">
        <v>0</v>
      </c>
      <c r="L991" s="109" t="s">
        <v>0</v>
      </c>
      <c r="M991" s="109" t="s">
        <v>363</v>
      </c>
      <c r="N991" s="110" t="s">
        <v>0</v>
      </c>
      <c r="O991" s="111"/>
      <c r="P991" s="112"/>
      <c r="Q991" s="112"/>
      <c r="R991" s="112"/>
      <c r="S991" s="112"/>
      <c r="T991" s="112"/>
      <c r="U991" s="95" t="str">
        <f t="shared" si="48"/>
        <v/>
      </c>
      <c r="V991" s="112"/>
      <c r="W991" s="112">
        <v>100</v>
      </c>
      <c r="X991" s="107"/>
      <c r="Y991" s="107">
        <f t="shared" si="49"/>
        <v>100</v>
      </c>
      <c r="Z991" s="107">
        <f t="shared" si="50"/>
        <v>0</v>
      </c>
    </row>
    <row r="992" spans="1:26" x14ac:dyDescent="0.25">
      <c r="A992" s="55" t="str">
        <f>_xlfn.XLOOKUP($G992,'.Auxiliar'!$G:$G,'.Auxiliar'!A:A,"-",0)</f>
        <v>RIO/SP</v>
      </c>
      <c r="B992" s="55" t="str">
        <f>_xlfn.XLOOKUP($G992,'.Auxiliar'!$G:$G,'.Auxiliar'!B:B,"-",0)</f>
        <v>OAE</v>
      </c>
      <c r="C992" s="55" t="str">
        <f>_xlfn.XLOOKUP($G992,'.Auxiliar'!$G:$G,'.Auxiliar'!C:C,"-",0)</f>
        <v>Ponte</v>
      </c>
      <c r="D992" s="55">
        <f>_xlfn.XLOOKUP($G992,'.Auxiliar'!$G:$G,'.Auxiliar'!D:D,"-",0)</f>
        <v>116.07</v>
      </c>
      <c r="E992" s="55">
        <f>_xlfn.XLOOKUP($G992,'.Auxiliar'!$G:$G,'.Auxiliar'!E:E,"-",0)</f>
        <v>116.07</v>
      </c>
      <c r="F992" s="55">
        <f>_xlfn.XLOOKUP($G992,'.Auxiliar'!$G:$G,'.Auxiliar'!F:F,"-",0)</f>
        <v>2</v>
      </c>
      <c r="G992" s="59" t="s">
        <v>1303</v>
      </c>
      <c r="H992" s="108" t="s">
        <v>0</v>
      </c>
      <c r="I992" s="109" t="s">
        <v>0</v>
      </c>
      <c r="J992" s="109" t="s">
        <v>0</v>
      </c>
      <c r="K992" s="109" t="s">
        <v>0</v>
      </c>
      <c r="L992" s="109" t="s">
        <v>0</v>
      </c>
      <c r="M992" s="109" t="s">
        <v>363</v>
      </c>
      <c r="N992" s="110" t="s">
        <v>0</v>
      </c>
      <c r="O992" s="111"/>
      <c r="P992" s="112"/>
      <c r="Q992" s="112"/>
      <c r="R992" s="112"/>
      <c r="S992" s="112"/>
      <c r="T992" s="112"/>
      <c r="U992" s="95" t="str">
        <f t="shared" si="48"/>
        <v/>
      </c>
      <c r="V992" s="112"/>
      <c r="W992" s="112">
        <v>100</v>
      </c>
      <c r="X992" s="107"/>
      <c r="Y992" s="107">
        <f t="shared" si="49"/>
        <v>100</v>
      </c>
      <c r="Z992" s="107">
        <f t="shared" si="50"/>
        <v>0</v>
      </c>
    </row>
    <row r="993" spans="1:26" x14ac:dyDescent="0.25">
      <c r="A993" s="55" t="str">
        <f>_xlfn.XLOOKUP($G993,'.Auxiliar'!$G:$G,'.Auxiliar'!A:A,"-",0)</f>
        <v>RIO/SP</v>
      </c>
      <c r="B993" s="55" t="str">
        <f>_xlfn.XLOOKUP($G993,'.Auxiliar'!$G:$G,'.Auxiliar'!B:B,"-",0)</f>
        <v>OAE</v>
      </c>
      <c r="C993" s="55" t="str">
        <f>_xlfn.XLOOKUP($G993,'.Auxiliar'!$G:$G,'.Auxiliar'!C:C,"-",0)</f>
        <v>Ponte</v>
      </c>
      <c r="D993" s="55">
        <f>_xlfn.XLOOKUP($G993,'.Auxiliar'!$G:$G,'.Auxiliar'!D:D,"-",0)</f>
        <v>127.43899999999999</v>
      </c>
      <c r="E993" s="55">
        <f>_xlfn.XLOOKUP($G993,'.Auxiliar'!$G:$G,'.Auxiliar'!E:E,"-",0)</f>
        <v>127.43899999999999</v>
      </c>
      <c r="F993" s="55">
        <f>_xlfn.XLOOKUP($G993,'.Auxiliar'!$G:$G,'.Auxiliar'!F:F,"-",0)</f>
        <v>1</v>
      </c>
      <c r="G993" s="59" t="s">
        <v>915</v>
      </c>
      <c r="H993" s="108" t="s">
        <v>0</v>
      </c>
      <c r="I993" s="109" t="s">
        <v>0</v>
      </c>
      <c r="J993" s="109" t="s">
        <v>363</v>
      </c>
      <c r="K993" s="109" t="s">
        <v>0</v>
      </c>
      <c r="L993" s="109" t="s">
        <v>363</v>
      </c>
      <c r="M993" s="109" t="s">
        <v>0</v>
      </c>
      <c r="N993" s="110" t="s">
        <v>0</v>
      </c>
      <c r="O993" s="111"/>
      <c r="P993" s="112"/>
      <c r="Q993" s="112"/>
      <c r="R993" s="112"/>
      <c r="S993" s="112">
        <v>100</v>
      </c>
      <c r="T993" s="112">
        <v>0</v>
      </c>
      <c r="U993" s="95">
        <f t="shared" si="48"/>
        <v>100</v>
      </c>
      <c r="V993" s="112"/>
      <c r="W993" s="112"/>
      <c r="X993" s="107"/>
      <c r="Y993" s="107">
        <f t="shared" si="49"/>
        <v>100</v>
      </c>
      <c r="Z993" s="107">
        <f t="shared" si="50"/>
        <v>0</v>
      </c>
    </row>
    <row r="994" spans="1:26" x14ac:dyDescent="0.25">
      <c r="A994" s="55" t="str">
        <f>_xlfn.XLOOKUP($G994,'.Auxiliar'!$G:$G,'.Auxiliar'!A:A,"-",0)</f>
        <v>RIO/SP</v>
      </c>
      <c r="B994" s="55" t="str">
        <f>_xlfn.XLOOKUP($G994,'.Auxiliar'!$G:$G,'.Auxiliar'!B:B,"-",0)</f>
        <v>OAE</v>
      </c>
      <c r="C994" s="55" t="str">
        <f>_xlfn.XLOOKUP($G994,'.Auxiliar'!$G:$G,'.Auxiliar'!C:C,"-",0)</f>
        <v>Ponte</v>
      </c>
      <c r="D994" s="55">
        <f>_xlfn.XLOOKUP($G994,'.Auxiliar'!$G:$G,'.Auxiliar'!D:D,"-",0)</f>
        <v>127.52</v>
      </c>
      <c r="E994" s="55">
        <f>_xlfn.XLOOKUP($G994,'.Auxiliar'!$G:$G,'.Auxiliar'!E:E,"-",0)</f>
        <v>127.52</v>
      </c>
      <c r="F994" s="55">
        <f>_xlfn.XLOOKUP($G994,'.Auxiliar'!$G:$G,'.Auxiliar'!F:F,"-",0)</f>
        <v>1</v>
      </c>
      <c r="G994" s="59" t="s">
        <v>1266</v>
      </c>
      <c r="H994" s="108" t="s">
        <v>0</v>
      </c>
      <c r="I994" s="109" t="s">
        <v>0</v>
      </c>
      <c r="J994" s="109" t="s">
        <v>0</v>
      </c>
      <c r="K994" s="109" t="s">
        <v>0</v>
      </c>
      <c r="L994" s="109" t="s">
        <v>363</v>
      </c>
      <c r="M994" s="109" t="s">
        <v>0</v>
      </c>
      <c r="N994" s="110" t="s">
        <v>0</v>
      </c>
      <c r="O994" s="111"/>
      <c r="P994" s="112"/>
      <c r="Q994" s="112"/>
      <c r="R994" s="112"/>
      <c r="S994" s="112"/>
      <c r="T994" s="112"/>
      <c r="U994" s="95" t="str">
        <f t="shared" si="48"/>
        <v/>
      </c>
      <c r="V994" s="112">
        <v>100</v>
      </c>
      <c r="W994" s="112"/>
      <c r="X994" s="107"/>
      <c r="Y994" s="107">
        <f t="shared" si="49"/>
        <v>100</v>
      </c>
      <c r="Z994" s="107">
        <f t="shared" si="50"/>
        <v>0</v>
      </c>
    </row>
    <row r="995" spans="1:26" x14ac:dyDescent="0.25">
      <c r="A995" s="55" t="str">
        <f>_xlfn.XLOOKUP($G995,'.Auxiliar'!$G:$G,'.Auxiliar'!A:A,"-",0)</f>
        <v>RIO/SP</v>
      </c>
      <c r="B995" s="55" t="str">
        <f>_xlfn.XLOOKUP($G995,'.Auxiliar'!$G:$G,'.Auxiliar'!B:B,"-",0)</f>
        <v>OAE</v>
      </c>
      <c r="C995" s="55" t="str">
        <f>_xlfn.XLOOKUP($G995,'.Auxiliar'!$G:$G,'.Auxiliar'!C:C,"-",0)</f>
        <v>Ponte</v>
      </c>
      <c r="D995" s="55">
        <f>_xlfn.XLOOKUP($G995,'.Auxiliar'!$G:$G,'.Auxiliar'!D:D,"-",0)</f>
        <v>127.98</v>
      </c>
      <c r="E995" s="55">
        <f>_xlfn.XLOOKUP($G995,'.Auxiliar'!$G:$G,'.Auxiliar'!E:E,"-",0)</f>
        <v>127.98</v>
      </c>
      <c r="F995" s="55">
        <f>_xlfn.XLOOKUP($G995,'.Auxiliar'!$G:$G,'.Auxiliar'!F:F,"-",0)</f>
        <v>2</v>
      </c>
      <c r="G995" s="59" t="s">
        <v>1267</v>
      </c>
      <c r="H995" s="108" t="s">
        <v>0</v>
      </c>
      <c r="I995" s="109" t="s">
        <v>0</v>
      </c>
      <c r="J995" s="109" t="s">
        <v>0</v>
      </c>
      <c r="K995" s="109" t="s">
        <v>0</v>
      </c>
      <c r="L995" s="109" t="s">
        <v>363</v>
      </c>
      <c r="M995" s="109" t="s">
        <v>0</v>
      </c>
      <c r="N995" s="110" t="s">
        <v>0</v>
      </c>
      <c r="O995" s="111"/>
      <c r="P995" s="112"/>
      <c r="Q995" s="112"/>
      <c r="R995" s="112"/>
      <c r="S995" s="112"/>
      <c r="T995" s="112"/>
      <c r="U995" s="95" t="str">
        <f t="shared" si="48"/>
        <v/>
      </c>
      <c r="V995" s="112">
        <v>100</v>
      </c>
      <c r="W995" s="112"/>
      <c r="X995" s="107"/>
      <c r="Y995" s="107">
        <f t="shared" si="49"/>
        <v>100</v>
      </c>
      <c r="Z995" s="107">
        <f t="shared" si="50"/>
        <v>0</v>
      </c>
    </row>
    <row r="996" spans="1:26" x14ac:dyDescent="0.25">
      <c r="A996" s="55" t="str">
        <f>_xlfn.XLOOKUP($G996,'.Auxiliar'!$G:$G,'.Auxiliar'!A:A,"-",0)</f>
        <v>RIO/SP</v>
      </c>
      <c r="B996" s="55" t="str">
        <f>_xlfn.XLOOKUP($G996,'.Auxiliar'!$G:$G,'.Auxiliar'!B:B,"-",0)</f>
        <v>OAE</v>
      </c>
      <c r="C996" s="55" t="str">
        <f>_xlfn.XLOOKUP($G996,'.Auxiliar'!$G:$G,'.Auxiliar'!C:C,"-",0)</f>
        <v>Ponte</v>
      </c>
      <c r="D996" s="55">
        <f>_xlfn.XLOOKUP($G996,'.Auxiliar'!$G:$G,'.Auxiliar'!D:D,"-",0)</f>
        <v>128.06</v>
      </c>
      <c r="E996" s="55">
        <f>_xlfn.XLOOKUP($G996,'.Auxiliar'!$G:$G,'.Auxiliar'!E:E,"-",0)</f>
        <v>128.06</v>
      </c>
      <c r="F996" s="55">
        <f>_xlfn.XLOOKUP($G996,'.Auxiliar'!$G:$G,'.Auxiliar'!F:F,"-",0)</f>
        <v>2</v>
      </c>
      <c r="G996" s="59" t="s">
        <v>1268</v>
      </c>
      <c r="H996" s="108" t="s">
        <v>0</v>
      </c>
      <c r="I996" s="109" t="s">
        <v>0</v>
      </c>
      <c r="J996" s="109" t="s">
        <v>0</v>
      </c>
      <c r="K996" s="109" t="s">
        <v>0</v>
      </c>
      <c r="L996" s="109" t="s">
        <v>363</v>
      </c>
      <c r="M996" s="109" t="s">
        <v>0</v>
      </c>
      <c r="N996" s="110" t="s">
        <v>0</v>
      </c>
      <c r="O996" s="111"/>
      <c r="P996" s="112"/>
      <c r="Q996" s="112"/>
      <c r="R996" s="112"/>
      <c r="S996" s="112"/>
      <c r="T996" s="112"/>
      <c r="U996" s="95" t="str">
        <f t="shared" si="48"/>
        <v/>
      </c>
      <c r="V996" s="112">
        <v>100</v>
      </c>
      <c r="W996" s="112"/>
      <c r="X996" s="107"/>
      <c r="Y996" s="107">
        <f t="shared" si="49"/>
        <v>100</v>
      </c>
      <c r="Z996" s="107">
        <f t="shared" si="50"/>
        <v>0</v>
      </c>
    </row>
    <row r="997" spans="1:26" x14ac:dyDescent="0.25">
      <c r="A997" s="55" t="str">
        <f>_xlfn.XLOOKUP($G997,'.Auxiliar'!$G:$G,'.Auxiliar'!A:A,"-",0)</f>
        <v>RIO/SP</v>
      </c>
      <c r="B997" s="55" t="str">
        <f>_xlfn.XLOOKUP($G997,'.Auxiliar'!$G:$G,'.Auxiliar'!B:B,"-",0)</f>
        <v>OAE</v>
      </c>
      <c r="C997" s="55" t="str">
        <f>_xlfn.XLOOKUP($G997,'.Auxiliar'!$G:$G,'.Auxiliar'!C:C,"-",0)</f>
        <v>Ponte</v>
      </c>
      <c r="D997" s="55">
        <f>_xlfn.XLOOKUP($G997,'.Auxiliar'!$G:$G,'.Auxiliar'!D:D,"-",0)</f>
        <v>132.09</v>
      </c>
      <c r="E997" s="55">
        <f>_xlfn.XLOOKUP($G997,'.Auxiliar'!$G:$G,'.Auxiliar'!E:E,"-",0)</f>
        <v>132.09</v>
      </c>
      <c r="F997" s="55">
        <f>_xlfn.XLOOKUP($G997,'.Auxiliar'!$G:$G,'.Auxiliar'!F:F,"-",0)</f>
        <v>1</v>
      </c>
      <c r="G997" s="59" t="s">
        <v>1269</v>
      </c>
      <c r="H997" s="108" t="s">
        <v>0</v>
      </c>
      <c r="I997" s="109" t="s">
        <v>0</v>
      </c>
      <c r="J997" s="109" t="s">
        <v>0</v>
      </c>
      <c r="K997" s="109" t="s">
        <v>0</v>
      </c>
      <c r="L997" s="109" t="s">
        <v>363</v>
      </c>
      <c r="M997" s="109" t="s">
        <v>0</v>
      </c>
      <c r="N997" s="110" t="s">
        <v>0</v>
      </c>
      <c r="O997" s="111"/>
      <c r="P997" s="112"/>
      <c r="Q997" s="112"/>
      <c r="R997" s="112"/>
      <c r="S997" s="112"/>
      <c r="T997" s="112"/>
      <c r="U997" s="95" t="str">
        <f t="shared" si="48"/>
        <v/>
      </c>
      <c r="V997" s="112">
        <v>100</v>
      </c>
      <c r="W997" s="112"/>
      <c r="X997" s="107"/>
      <c r="Y997" s="107">
        <f t="shared" si="49"/>
        <v>100</v>
      </c>
      <c r="Z997" s="107">
        <f t="shared" si="50"/>
        <v>0</v>
      </c>
    </row>
    <row r="998" spans="1:26" x14ac:dyDescent="0.25">
      <c r="A998" s="55" t="str">
        <f>_xlfn.XLOOKUP($G998,'.Auxiliar'!$G:$G,'.Auxiliar'!A:A,"-",0)</f>
        <v>RIO/SP</v>
      </c>
      <c r="B998" s="55" t="str">
        <f>_xlfn.XLOOKUP($G998,'.Auxiliar'!$G:$G,'.Auxiliar'!B:B,"-",0)</f>
        <v>OAE</v>
      </c>
      <c r="C998" s="55" t="str">
        <f>_xlfn.XLOOKUP($G998,'.Auxiliar'!$G:$G,'.Auxiliar'!C:C,"-",0)</f>
        <v>Ponte</v>
      </c>
      <c r="D998" s="55">
        <f>_xlfn.XLOOKUP($G998,'.Auxiliar'!$G:$G,'.Auxiliar'!D:D,"-",0)</f>
        <v>136.33000000000001</v>
      </c>
      <c r="E998" s="55">
        <f>_xlfn.XLOOKUP($G998,'.Auxiliar'!$G:$G,'.Auxiliar'!E:E,"-",0)</f>
        <v>136.33000000000001</v>
      </c>
      <c r="F998" s="55">
        <f>_xlfn.XLOOKUP($G998,'.Auxiliar'!$G:$G,'.Auxiliar'!F:F,"-",0)</f>
        <v>1</v>
      </c>
      <c r="G998" s="59" t="s">
        <v>1270</v>
      </c>
      <c r="H998" s="108" t="s">
        <v>0</v>
      </c>
      <c r="I998" s="109" t="s">
        <v>0</v>
      </c>
      <c r="J998" s="109" t="s">
        <v>0</v>
      </c>
      <c r="K998" s="109" t="s">
        <v>0</v>
      </c>
      <c r="L998" s="109" t="s">
        <v>363</v>
      </c>
      <c r="M998" s="109" t="s">
        <v>0</v>
      </c>
      <c r="N998" s="110" t="s">
        <v>0</v>
      </c>
      <c r="O998" s="111"/>
      <c r="P998" s="112"/>
      <c r="Q998" s="112"/>
      <c r="R998" s="112"/>
      <c r="S998" s="112"/>
      <c r="T998" s="112"/>
      <c r="U998" s="95" t="str">
        <f t="shared" si="48"/>
        <v/>
      </c>
      <c r="V998" s="112">
        <v>100</v>
      </c>
      <c r="W998" s="112"/>
      <c r="X998" s="107"/>
      <c r="Y998" s="107">
        <f t="shared" si="49"/>
        <v>100</v>
      </c>
      <c r="Z998" s="107">
        <f t="shared" si="50"/>
        <v>0</v>
      </c>
    </row>
    <row r="999" spans="1:26" x14ac:dyDescent="0.25">
      <c r="A999" s="55" t="str">
        <f>_xlfn.XLOOKUP($G999,'.Auxiliar'!$G:$G,'.Auxiliar'!A:A,"-",0)</f>
        <v>RIO/SP</v>
      </c>
      <c r="B999" s="55" t="str">
        <f>_xlfn.XLOOKUP($G999,'.Auxiliar'!$G:$G,'.Auxiliar'!B:B,"-",0)</f>
        <v>OAE</v>
      </c>
      <c r="C999" s="55" t="str">
        <f>_xlfn.XLOOKUP($G999,'.Auxiliar'!$G:$G,'.Auxiliar'!C:C,"-",0)</f>
        <v>Ponte</v>
      </c>
      <c r="D999" s="55">
        <f>_xlfn.XLOOKUP($G999,'.Auxiliar'!$G:$G,'.Auxiliar'!D:D,"-",0)</f>
        <v>137.44999999999999</v>
      </c>
      <c r="E999" s="55">
        <f>_xlfn.XLOOKUP($G999,'.Auxiliar'!$G:$G,'.Auxiliar'!E:E,"-",0)</f>
        <v>137.44999999999999</v>
      </c>
      <c r="F999" s="55">
        <f>_xlfn.XLOOKUP($G999,'.Auxiliar'!$G:$G,'.Auxiliar'!F:F,"-",0)</f>
        <v>1</v>
      </c>
      <c r="G999" s="59" t="s">
        <v>1272</v>
      </c>
      <c r="H999" s="108" t="s">
        <v>0</v>
      </c>
      <c r="I999" s="109" t="s">
        <v>0</v>
      </c>
      <c r="J999" s="109" t="s">
        <v>0</v>
      </c>
      <c r="K999" s="109" t="s">
        <v>0</v>
      </c>
      <c r="L999" s="109" t="s">
        <v>363</v>
      </c>
      <c r="M999" s="109" t="s">
        <v>0</v>
      </c>
      <c r="N999" s="110" t="s">
        <v>0</v>
      </c>
      <c r="O999" s="111"/>
      <c r="P999" s="112"/>
      <c r="Q999" s="112"/>
      <c r="R999" s="112"/>
      <c r="S999" s="112"/>
      <c r="T999" s="112"/>
      <c r="U999" s="95" t="str">
        <f t="shared" si="48"/>
        <v/>
      </c>
      <c r="V999" s="112">
        <v>100</v>
      </c>
      <c r="W999" s="112"/>
      <c r="X999" s="107"/>
      <c r="Y999" s="107">
        <f t="shared" si="49"/>
        <v>100</v>
      </c>
      <c r="Z999" s="107">
        <f t="shared" si="50"/>
        <v>0</v>
      </c>
    </row>
    <row r="1000" spans="1:26" x14ac:dyDescent="0.25">
      <c r="A1000" s="55" t="str">
        <f>_xlfn.XLOOKUP($G1000,'.Auxiliar'!$G:$G,'.Auxiliar'!A:A,"-",0)</f>
        <v>RIO/SP</v>
      </c>
      <c r="B1000" s="55" t="str">
        <f>_xlfn.XLOOKUP($G1000,'.Auxiliar'!$G:$G,'.Auxiliar'!B:B,"-",0)</f>
        <v>OAE</v>
      </c>
      <c r="C1000" s="55" t="str">
        <f>_xlfn.XLOOKUP($G1000,'.Auxiliar'!$G:$G,'.Auxiliar'!C:C,"-",0)</f>
        <v>Ponte</v>
      </c>
      <c r="D1000" s="55">
        <f>_xlfn.XLOOKUP($G1000,'.Auxiliar'!$G:$G,'.Auxiliar'!D:D,"-",0)</f>
        <v>137.44999999999999</v>
      </c>
      <c r="E1000" s="55">
        <f>_xlfn.XLOOKUP($G1000,'.Auxiliar'!$G:$G,'.Auxiliar'!E:E,"-",0)</f>
        <v>137.44999999999999</v>
      </c>
      <c r="F1000" s="55">
        <f>_xlfn.XLOOKUP($G1000,'.Auxiliar'!$G:$G,'.Auxiliar'!F:F,"-",0)</f>
        <v>2</v>
      </c>
      <c r="G1000" s="59" t="s">
        <v>1271</v>
      </c>
      <c r="H1000" s="108" t="s">
        <v>0</v>
      </c>
      <c r="I1000" s="109" t="s">
        <v>0</v>
      </c>
      <c r="J1000" s="109" t="s">
        <v>0</v>
      </c>
      <c r="K1000" s="109" t="s">
        <v>0</v>
      </c>
      <c r="L1000" s="109" t="s">
        <v>363</v>
      </c>
      <c r="M1000" s="109" t="s">
        <v>0</v>
      </c>
      <c r="N1000" s="110" t="s">
        <v>0</v>
      </c>
      <c r="O1000" s="111"/>
      <c r="P1000" s="112"/>
      <c r="Q1000" s="112"/>
      <c r="R1000" s="112"/>
      <c r="S1000" s="112"/>
      <c r="T1000" s="112"/>
      <c r="U1000" s="95" t="str">
        <f t="shared" si="48"/>
        <v/>
      </c>
      <c r="V1000" s="112">
        <v>100</v>
      </c>
      <c r="W1000" s="112"/>
      <c r="X1000" s="107"/>
      <c r="Y1000" s="107">
        <f t="shared" si="49"/>
        <v>100</v>
      </c>
      <c r="Z1000" s="107">
        <f t="shared" si="50"/>
        <v>0</v>
      </c>
    </row>
    <row r="1001" spans="1:26" x14ac:dyDescent="0.25">
      <c r="A1001" s="55" t="str">
        <f>_xlfn.XLOOKUP($G1001,'.Auxiliar'!$G:$G,'.Auxiliar'!A:A,"-",0)</f>
        <v>RIO/SP</v>
      </c>
      <c r="B1001" s="55" t="str">
        <f>_xlfn.XLOOKUP($G1001,'.Auxiliar'!$G:$G,'.Auxiliar'!B:B,"-",0)</f>
        <v>OAE</v>
      </c>
      <c r="C1001" s="55" t="str">
        <f>_xlfn.XLOOKUP($G1001,'.Auxiliar'!$G:$G,'.Auxiliar'!C:C,"-",0)</f>
        <v>Ponte</v>
      </c>
      <c r="D1001" s="55">
        <f>_xlfn.XLOOKUP($G1001,'.Auxiliar'!$G:$G,'.Auxiliar'!D:D,"-",0)</f>
        <v>139.30000000000001</v>
      </c>
      <c r="E1001" s="55">
        <f>_xlfn.XLOOKUP($G1001,'.Auxiliar'!$G:$G,'.Auxiliar'!E:E,"-",0)</f>
        <v>139.30000000000001</v>
      </c>
      <c r="F1001" s="55">
        <f>_xlfn.XLOOKUP($G1001,'.Auxiliar'!$G:$G,'.Auxiliar'!F:F,"-",0)</f>
        <v>1</v>
      </c>
      <c r="G1001" s="59" t="s">
        <v>1273</v>
      </c>
      <c r="H1001" s="108" t="s">
        <v>0</v>
      </c>
      <c r="I1001" s="109" t="s">
        <v>0</v>
      </c>
      <c r="J1001" s="109" t="s">
        <v>0</v>
      </c>
      <c r="K1001" s="109" t="s">
        <v>0</v>
      </c>
      <c r="L1001" s="109" t="s">
        <v>363</v>
      </c>
      <c r="M1001" s="109" t="s">
        <v>0</v>
      </c>
      <c r="N1001" s="110" t="s">
        <v>0</v>
      </c>
      <c r="O1001" s="111"/>
      <c r="P1001" s="112"/>
      <c r="Q1001" s="112"/>
      <c r="R1001" s="112"/>
      <c r="S1001" s="112"/>
      <c r="T1001" s="112"/>
      <c r="U1001" s="95" t="str">
        <f t="shared" si="48"/>
        <v/>
      </c>
      <c r="V1001" s="112">
        <v>100</v>
      </c>
      <c r="W1001" s="112"/>
      <c r="X1001" s="107"/>
      <c r="Y1001" s="107">
        <f t="shared" si="49"/>
        <v>100</v>
      </c>
      <c r="Z1001" s="107">
        <f t="shared" si="50"/>
        <v>0</v>
      </c>
    </row>
    <row r="1002" spans="1:26" x14ac:dyDescent="0.25">
      <c r="A1002" s="55" t="str">
        <f>_xlfn.XLOOKUP($G1002,'.Auxiliar'!$G:$G,'.Auxiliar'!A:A,"-",0)</f>
        <v>RIO/SP</v>
      </c>
      <c r="B1002" s="55" t="str">
        <f>_xlfn.XLOOKUP($G1002,'.Auxiliar'!$G:$G,'.Auxiliar'!B:B,"-",0)</f>
        <v>OAE</v>
      </c>
      <c r="C1002" s="55" t="str">
        <f>_xlfn.XLOOKUP($G1002,'.Auxiliar'!$G:$G,'.Auxiliar'!C:C,"-",0)</f>
        <v>Ponte</v>
      </c>
      <c r="D1002" s="55">
        <f>_xlfn.XLOOKUP($G1002,'.Auxiliar'!$G:$G,'.Auxiliar'!D:D,"-",0)</f>
        <v>139.74</v>
      </c>
      <c r="E1002" s="55">
        <f>_xlfn.XLOOKUP($G1002,'.Auxiliar'!$G:$G,'.Auxiliar'!E:E,"-",0)</f>
        <v>139.74</v>
      </c>
      <c r="F1002" s="55">
        <f>_xlfn.XLOOKUP($G1002,'.Auxiliar'!$G:$G,'.Auxiliar'!F:F,"-",0)</f>
        <v>2</v>
      </c>
      <c r="G1002" s="59" t="s">
        <v>1274</v>
      </c>
      <c r="H1002" s="108" t="s">
        <v>0</v>
      </c>
      <c r="I1002" s="109" t="s">
        <v>0</v>
      </c>
      <c r="J1002" s="109" t="s">
        <v>0</v>
      </c>
      <c r="K1002" s="109" t="s">
        <v>0</v>
      </c>
      <c r="L1002" s="109" t="s">
        <v>363</v>
      </c>
      <c r="M1002" s="109" t="s">
        <v>0</v>
      </c>
      <c r="N1002" s="110" t="s">
        <v>0</v>
      </c>
      <c r="O1002" s="111"/>
      <c r="P1002" s="112"/>
      <c r="Q1002" s="112"/>
      <c r="R1002" s="112"/>
      <c r="S1002" s="112"/>
      <c r="T1002" s="112"/>
      <c r="U1002" s="95" t="str">
        <f t="shared" si="48"/>
        <v/>
      </c>
      <c r="V1002" s="112">
        <v>100</v>
      </c>
      <c r="W1002" s="112"/>
      <c r="X1002" s="107"/>
      <c r="Y1002" s="107">
        <f t="shared" si="49"/>
        <v>100</v>
      </c>
      <c r="Z1002" s="107">
        <f t="shared" si="50"/>
        <v>0</v>
      </c>
    </row>
    <row r="1003" spans="1:26" x14ac:dyDescent="0.25">
      <c r="A1003" s="55" t="str">
        <f>_xlfn.XLOOKUP($G1003,'.Auxiliar'!$G:$G,'.Auxiliar'!A:A,"-",0)</f>
        <v>RIO/SP</v>
      </c>
      <c r="B1003" s="55" t="str">
        <f>_xlfn.XLOOKUP($G1003,'.Auxiliar'!$G:$G,'.Auxiliar'!B:B,"-",0)</f>
        <v>OAE</v>
      </c>
      <c r="C1003" s="55" t="str">
        <f>_xlfn.XLOOKUP($G1003,'.Auxiliar'!$G:$G,'.Auxiliar'!C:C,"-",0)</f>
        <v>Ponte</v>
      </c>
      <c r="D1003" s="55">
        <f>_xlfn.XLOOKUP($G1003,'.Auxiliar'!$G:$G,'.Auxiliar'!D:D,"-",0)</f>
        <v>14.851000000000001</v>
      </c>
      <c r="E1003" s="55">
        <f>_xlfn.XLOOKUP($G1003,'.Auxiliar'!$G:$G,'.Auxiliar'!E:E,"-",0)</f>
        <v>14.851000000000001</v>
      </c>
      <c r="F1003" s="55">
        <f>_xlfn.XLOOKUP($G1003,'.Auxiliar'!$G:$G,'.Auxiliar'!F:F,"-",0)</f>
        <v>1</v>
      </c>
      <c r="G1003" s="59" t="s">
        <v>1377</v>
      </c>
      <c r="H1003" s="108" t="s">
        <v>0</v>
      </c>
      <c r="I1003" s="109" t="s">
        <v>0</v>
      </c>
      <c r="J1003" s="109" t="s">
        <v>0</v>
      </c>
      <c r="K1003" s="109" t="s">
        <v>0</v>
      </c>
      <c r="L1003" s="109" t="s">
        <v>0</v>
      </c>
      <c r="M1003" s="109" t="s">
        <v>0</v>
      </c>
      <c r="N1003" s="110" t="s">
        <v>363</v>
      </c>
      <c r="O1003" s="111"/>
      <c r="P1003" s="112"/>
      <c r="Q1003" s="112"/>
      <c r="R1003" s="112"/>
      <c r="S1003" s="112"/>
      <c r="T1003" s="112"/>
      <c r="U1003" s="95" t="str">
        <f t="shared" si="48"/>
        <v/>
      </c>
      <c r="V1003" s="112"/>
      <c r="W1003" s="112"/>
      <c r="X1003" s="107">
        <v>100</v>
      </c>
      <c r="Y1003" s="107">
        <f t="shared" si="49"/>
        <v>100</v>
      </c>
      <c r="Z1003" s="107">
        <f t="shared" si="50"/>
        <v>0</v>
      </c>
    </row>
    <row r="1004" spans="1:26" x14ac:dyDescent="0.25">
      <c r="A1004" s="55" t="str">
        <f>_xlfn.XLOOKUP($G1004,'.Auxiliar'!$G:$G,'.Auxiliar'!A:A,"-",0)</f>
        <v>RIO/SP</v>
      </c>
      <c r="B1004" s="55" t="str">
        <f>_xlfn.XLOOKUP($G1004,'.Auxiliar'!$G:$G,'.Auxiliar'!B:B,"-",0)</f>
        <v>OAE</v>
      </c>
      <c r="C1004" s="55" t="str">
        <f>_xlfn.XLOOKUP($G1004,'.Auxiliar'!$G:$G,'.Auxiliar'!C:C,"-",0)</f>
        <v>Ponte</v>
      </c>
      <c r="D1004" s="55">
        <f>_xlfn.XLOOKUP($G1004,'.Auxiliar'!$G:$G,'.Auxiliar'!D:D,"-",0)</f>
        <v>146.06</v>
      </c>
      <c r="E1004" s="55">
        <f>_xlfn.XLOOKUP($G1004,'.Auxiliar'!$G:$G,'.Auxiliar'!E:E,"-",0)</f>
        <v>146.06</v>
      </c>
      <c r="F1004" s="55">
        <f>_xlfn.XLOOKUP($G1004,'.Auxiliar'!$G:$G,'.Auxiliar'!F:F,"-",0)</f>
        <v>2</v>
      </c>
      <c r="G1004" s="59" t="s">
        <v>1275</v>
      </c>
      <c r="H1004" s="108" t="s">
        <v>0</v>
      </c>
      <c r="I1004" s="109" t="s">
        <v>0</v>
      </c>
      <c r="J1004" s="109" t="s">
        <v>0</v>
      </c>
      <c r="K1004" s="109" t="s">
        <v>0</v>
      </c>
      <c r="L1004" s="109" t="s">
        <v>363</v>
      </c>
      <c r="M1004" s="109" t="s">
        <v>0</v>
      </c>
      <c r="N1004" s="110" t="s">
        <v>0</v>
      </c>
      <c r="O1004" s="111"/>
      <c r="P1004" s="112"/>
      <c r="Q1004" s="112"/>
      <c r="R1004" s="112"/>
      <c r="S1004" s="112"/>
      <c r="T1004" s="112"/>
      <c r="U1004" s="95" t="str">
        <f t="shared" si="48"/>
        <v/>
      </c>
      <c r="V1004" s="112">
        <v>100</v>
      </c>
      <c r="W1004" s="112"/>
      <c r="X1004" s="107"/>
      <c r="Y1004" s="107">
        <f t="shared" si="49"/>
        <v>100</v>
      </c>
      <c r="Z1004" s="107">
        <f t="shared" si="50"/>
        <v>0</v>
      </c>
    </row>
    <row r="1005" spans="1:26" x14ac:dyDescent="0.25">
      <c r="A1005" s="55" t="str">
        <f>_xlfn.XLOOKUP($G1005,'.Auxiliar'!$G:$G,'.Auxiliar'!A:A,"-",0)</f>
        <v>RIO/SP</v>
      </c>
      <c r="B1005" s="55" t="str">
        <f>_xlfn.XLOOKUP($G1005,'.Auxiliar'!$G:$G,'.Auxiliar'!B:B,"-",0)</f>
        <v>OAE</v>
      </c>
      <c r="C1005" s="55" t="str">
        <f>_xlfn.XLOOKUP($G1005,'.Auxiliar'!$G:$G,'.Auxiliar'!C:C,"-",0)</f>
        <v>Ponte</v>
      </c>
      <c r="D1005" s="55">
        <f>_xlfn.XLOOKUP($G1005,'.Auxiliar'!$G:$G,'.Auxiliar'!D:D,"-",0)</f>
        <v>146.08000000000001</v>
      </c>
      <c r="E1005" s="55">
        <f>_xlfn.XLOOKUP($G1005,'.Auxiliar'!$G:$G,'.Auxiliar'!E:E,"-",0)</f>
        <v>146.08000000000001</v>
      </c>
      <c r="F1005" s="55">
        <f>_xlfn.XLOOKUP($G1005,'.Auxiliar'!$G:$G,'.Auxiliar'!F:F,"-",0)</f>
        <v>1</v>
      </c>
      <c r="G1005" s="59" t="s">
        <v>1276</v>
      </c>
      <c r="H1005" s="108" t="s">
        <v>0</v>
      </c>
      <c r="I1005" s="109" t="s">
        <v>0</v>
      </c>
      <c r="J1005" s="109" t="s">
        <v>0</v>
      </c>
      <c r="K1005" s="109" t="s">
        <v>0</v>
      </c>
      <c r="L1005" s="109" t="s">
        <v>363</v>
      </c>
      <c r="M1005" s="109" t="s">
        <v>0</v>
      </c>
      <c r="N1005" s="110" t="s">
        <v>0</v>
      </c>
      <c r="O1005" s="111"/>
      <c r="P1005" s="112"/>
      <c r="Q1005" s="112"/>
      <c r="R1005" s="112"/>
      <c r="S1005" s="112"/>
      <c r="T1005" s="112"/>
      <c r="U1005" s="95" t="str">
        <f t="shared" si="48"/>
        <v/>
      </c>
      <c r="V1005" s="112">
        <v>100</v>
      </c>
      <c r="W1005" s="112"/>
      <c r="X1005" s="107"/>
      <c r="Y1005" s="107">
        <f t="shared" si="49"/>
        <v>100</v>
      </c>
      <c r="Z1005" s="107">
        <f t="shared" si="50"/>
        <v>0</v>
      </c>
    </row>
    <row r="1006" spans="1:26" x14ac:dyDescent="0.25">
      <c r="A1006" s="55" t="str">
        <f>_xlfn.XLOOKUP($G1006,'.Auxiliar'!$G:$G,'.Auxiliar'!A:A,"-",0)</f>
        <v>RIO/SP</v>
      </c>
      <c r="B1006" s="55" t="str">
        <f>_xlfn.XLOOKUP($G1006,'.Auxiliar'!$G:$G,'.Auxiliar'!B:B,"-",0)</f>
        <v>OAE</v>
      </c>
      <c r="C1006" s="55" t="str">
        <f>_xlfn.XLOOKUP($G1006,'.Auxiliar'!$G:$G,'.Auxiliar'!C:C,"-",0)</f>
        <v>Ponte</v>
      </c>
      <c r="D1006" s="55">
        <f>_xlfn.XLOOKUP($G1006,'.Auxiliar'!$G:$G,'.Auxiliar'!D:D,"-",0)</f>
        <v>146.09</v>
      </c>
      <c r="E1006" s="55">
        <f>_xlfn.XLOOKUP($G1006,'.Auxiliar'!$G:$G,'.Auxiliar'!E:E,"-",0)</f>
        <v>146.09</v>
      </c>
      <c r="F1006" s="55">
        <f>_xlfn.XLOOKUP($G1006,'.Auxiliar'!$G:$G,'.Auxiliar'!F:F,"-",0)</f>
        <v>1</v>
      </c>
      <c r="G1006" s="59" t="s">
        <v>1277</v>
      </c>
      <c r="H1006" s="108" t="s">
        <v>0</v>
      </c>
      <c r="I1006" s="109" t="s">
        <v>0</v>
      </c>
      <c r="J1006" s="109" t="s">
        <v>0</v>
      </c>
      <c r="K1006" s="109" t="s">
        <v>0</v>
      </c>
      <c r="L1006" s="109" t="s">
        <v>363</v>
      </c>
      <c r="M1006" s="109" t="s">
        <v>0</v>
      </c>
      <c r="N1006" s="110" t="s">
        <v>0</v>
      </c>
      <c r="O1006" s="111"/>
      <c r="P1006" s="112"/>
      <c r="Q1006" s="112"/>
      <c r="R1006" s="112"/>
      <c r="S1006" s="112"/>
      <c r="T1006" s="112"/>
      <c r="U1006" s="95" t="str">
        <f t="shared" si="48"/>
        <v/>
      </c>
      <c r="V1006" s="112">
        <v>100</v>
      </c>
      <c r="W1006" s="112"/>
      <c r="X1006" s="107"/>
      <c r="Y1006" s="107">
        <f t="shared" si="49"/>
        <v>100</v>
      </c>
      <c r="Z1006" s="107">
        <f t="shared" si="50"/>
        <v>0</v>
      </c>
    </row>
    <row r="1007" spans="1:26" x14ac:dyDescent="0.25">
      <c r="A1007" s="55" t="str">
        <f>_xlfn.XLOOKUP($G1007,'.Auxiliar'!$G:$G,'.Auxiliar'!A:A,"-",0)</f>
        <v>RIO/SP</v>
      </c>
      <c r="B1007" s="55" t="str">
        <f>_xlfn.XLOOKUP($G1007,'.Auxiliar'!$G:$G,'.Auxiliar'!B:B,"-",0)</f>
        <v>OAE</v>
      </c>
      <c r="C1007" s="55" t="str">
        <f>_xlfn.XLOOKUP($G1007,'.Auxiliar'!$G:$G,'.Auxiliar'!C:C,"-",0)</f>
        <v>Ponte</v>
      </c>
      <c r="D1007" s="55">
        <f>_xlfn.XLOOKUP($G1007,'.Auxiliar'!$G:$G,'.Auxiliar'!D:D,"-",0)</f>
        <v>146.72</v>
      </c>
      <c r="E1007" s="55">
        <f>_xlfn.XLOOKUP($G1007,'.Auxiliar'!$G:$G,'.Auxiliar'!E:E,"-",0)</f>
        <v>146.72</v>
      </c>
      <c r="F1007" s="55">
        <f>_xlfn.XLOOKUP($G1007,'.Auxiliar'!$G:$G,'.Auxiliar'!F:F,"-",0)</f>
        <v>1</v>
      </c>
      <c r="G1007" s="59" t="s">
        <v>1278</v>
      </c>
      <c r="H1007" s="108" t="s">
        <v>0</v>
      </c>
      <c r="I1007" s="109" t="s">
        <v>0</v>
      </c>
      <c r="J1007" s="109" t="s">
        <v>0</v>
      </c>
      <c r="K1007" s="109" t="s">
        <v>0</v>
      </c>
      <c r="L1007" s="109" t="s">
        <v>363</v>
      </c>
      <c r="M1007" s="109" t="s">
        <v>0</v>
      </c>
      <c r="N1007" s="110" t="s">
        <v>0</v>
      </c>
      <c r="O1007" s="111"/>
      <c r="P1007" s="112"/>
      <c r="Q1007" s="112"/>
      <c r="R1007" s="112"/>
      <c r="S1007" s="112"/>
      <c r="T1007" s="112"/>
      <c r="U1007" s="95" t="str">
        <f t="shared" si="48"/>
        <v/>
      </c>
      <c r="V1007" s="112">
        <v>100</v>
      </c>
      <c r="W1007" s="112"/>
      <c r="X1007" s="107"/>
      <c r="Y1007" s="107">
        <f t="shared" si="49"/>
        <v>100</v>
      </c>
      <c r="Z1007" s="107">
        <f t="shared" si="50"/>
        <v>0</v>
      </c>
    </row>
    <row r="1008" spans="1:26" x14ac:dyDescent="0.25">
      <c r="A1008" s="55" t="str">
        <f>_xlfn.XLOOKUP($G1008,'.Auxiliar'!$G:$G,'.Auxiliar'!A:A,"-",0)</f>
        <v>RIO/SP</v>
      </c>
      <c r="B1008" s="55" t="str">
        <f>_xlfn.XLOOKUP($G1008,'.Auxiliar'!$G:$G,'.Auxiliar'!B:B,"-",0)</f>
        <v>OAE</v>
      </c>
      <c r="C1008" s="55" t="str">
        <f>_xlfn.XLOOKUP($G1008,'.Auxiliar'!$G:$G,'.Auxiliar'!C:C,"-",0)</f>
        <v>Ponte</v>
      </c>
      <c r="D1008" s="55">
        <f>_xlfn.XLOOKUP($G1008,'.Auxiliar'!$G:$G,'.Auxiliar'!D:D,"-",0)</f>
        <v>146.76</v>
      </c>
      <c r="E1008" s="55">
        <f>_xlfn.XLOOKUP($G1008,'.Auxiliar'!$G:$G,'.Auxiliar'!E:E,"-",0)</f>
        <v>146.76</v>
      </c>
      <c r="F1008" s="55">
        <f>_xlfn.XLOOKUP($G1008,'.Auxiliar'!$G:$G,'.Auxiliar'!F:F,"-",0)</f>
        <v>1</v>
      </c>
      <c r="G1008" s="59" t="s">
        <v>1279</v>
      </c>
      <c r="H1008" s="108" t="s">
        <v>0</v>
      </c>
      <c r="I1008" s="109" t="s">
        <v>0</v>
      </c>
      <c r="J1008" s="109" t="s">
        <v>0</v>
      </c>
      <c r="K1008" s="109" t="s">
        <v>0</v>
      </c>
      <c r="L1008" s="109" t="s">
        <v>363</v>
      </c>
      <c r="M1008" s="109" t="s">
        <v>0</v>
      </c>
      <c r="N1008" s="110" t="s">
        <v>0</v>
      </c>
      <c r="O1008" s="111"/>
      <c r="P1008" s="112"/>
      <c r="Q1008" s="112"/>
      <c r="R1008" s="112"/>
      <c r="S1008" s="112"/>
      <c r="T1008" s="112"/>
      <c r="U1008" s="95" t="str">
        <f t="shared" si="48"/>
        <v/>
      </c>
      <c r="V1008" s="112">
        <v>100</v>
      </c>
      <c r="W1008" s="112"/>
      <c r="X1008" s="107"/>
      <c r="Y1008" s="107">
        <f t="shared" si="49"/>
        <v>100</v>
      </c>
      <c r="Z1008" s="107">
        <f t="shared" si="50"/>
        <v>0</v>
      </c>
    </row>
    <row r="1009" spans="1:26" x14ac:dyDescent="0.25">
      <c r="A1009" s="55" t="str">
        <f>_xlfn.XLOOKUP($G1009,'.Auxiliar'!$G:$G,'.Auxiliar'!A:A,"-",0)</f>
        <v>RIO/SP</v>
      </c>
      <c r="B1009" s="55" t="str">
        <f>_xlfn.XLOOKUP($G1009,'.Auxiliar'!$G:$G,'.Auxiliar'!B:B,"-",0)</f>
        <v>OAE</v>
      </c>
      <c r="C1009" s="55" t="str">
        <f>_xlfn.XLOOKUP($G1009,'.Auxiliar'!$G:$G,'.Auxiliar'!C:C,"-",0)</f>
        <v>Ponte</v>
      </c>
      <c r="D1009" s="55">
        <f>_xlfn.XLOOKUP($G1009,'.Auxiliar'!$G:$G,'.Auxiliar'!D:D,"-",0)</f>
        <v>153.44999999999999</v>
      </c>
      <c r="E1009" s="55">
        <f>_xlfn.XLOOKUP($G1009,'.Auxiliar'!$G:$G,'.Auxiliar'!E:E,"-",0)</f>
        <v>153.44999999999999</v>
      </c>
      <c r="F1009" s="55">
        <f>_xlfn.XLOOKUP($G1009,'.Auxiliar'!$G:$G,'.Auxiliar'!F:F,"-",0)</f>
        <v>1</v>
      </c>
      <c r="G1009" s="59" t="s">
        <v>916</v>
      </c>
      <c r="H1009" s="108" t="s">
        <v>0</v>
      </c>
      <c r="I1009" s="109" t="s">
        <v>0</v>
      </c>
      <c r="J1009" s="109" t="s">
        <v>363</v>
      </c>
      <c r="K1009" s="109" t="s">
        <v>0</v>
      </c>
      <c r="L1009" s="109" t="s">
        <v>0</v>
      </c>
      <c r="M1009" s="109" t="s">
        <v>0</v>
      </c>
      <c r="N1009" s="110" t="s">
        <v>0</v>
      </c>
      <c r="O1009" s="111"/>
      <c r="P1009" s="112"/>
      <c r="Q1009" s="112"/>
      <c r="R1009" s="112"/>
      <c r="S1009" s="112">
        <v>100</v>
      </c>
      <c r="T1009" s="112">
        <v>0</v>
      </c>
      <c r="U1009" s="95">
        <f t="shared" si="48"/>
        <v>100</v>
      </c>
      <c r="V1009" s="112"/>
      <c r="W1009" s="112"/>
      <c r="X1009" s="107"/>
      <c r="Y1009" s="107">
        <f t="shared" si="49"/>
        <v>100</v>
      </c>
      <c r="Z1009" s="107">
        <f t="shared" si="50"/>
        <v>0</v>
      </c>
    </row>
    <row r="1010" spans="1:26" x14ac:dyDescent="0.25">
      <c r="A1010" s="55" t="str">
        <f>_xlfn.XLOOKUP($G1010,'.Auxiliar'!$G:$G,'.Auxiliar'!A:A,"-",0)</f>
        <v>RIO/SP</v>
      </c>
      <c r="B1010" s="55" t="str">
        <f>_xlfn.XLOOKUP($G1010,'.Auxiliar'!$G:$G,'.Auxiliar'!B:B,"-",0)</f>
        <v>OAE</v>
      </c>
      <c r="C1010" s="55" t="str">
        <f>_xlfn.XLOOKUP($G1010,'.Auxiliar'!$G:$G,'.Auxiliar'!C:C,"-",0)</f>
        <v>Ponte</v>
      </c>
      <c r="D1010" s="55">
        <f>_xlfn.XLOOKUP($G1010,'.Auxiliar'!$G:$G,'.Auxiliar'!D:D,"-",0)</f>
        <v>157.59</v>
      </c>
      <c r="E1010" s="55">
        <f>_xlfn.XLOOKUP($G1010,'.Auxiliar'!$G:$G,'.Auxiliar'!E:E,"-",0)</f>
        <v>157.59</v>
      </c>
      <c r="F1010" s="55">
        <f>_xlfn.XLOOKUP($G1010,'.Auxiliar'!$G:$G,'.Auxiliar'!F:F,"-",0)</f>
        <v>1</v>
      </c>
      <c r="G1010" s="59" t="s">
        <v>917</v>
      </c>
      <c r="H1010" s="108" t="s">
        <v>0</v>
      </c>
      <c r="I1010" s="109" t="s">
        <v>0</v>
      </c>
      <c r="J1010" s="109" t="s">
        <v>363</v>
      </c>
      <c r="K1010" s="109" t="s">
        <v>0</v>
      </c>
      <c r="L1010" s="109" t="s">
        <v>0</v>
      </c>
      <c r="M1010" s="109" t="s">
        <v>0</v>
      </c>
      <c r="N1010" s="110" t="s">
        <v>0</v>
      </c>
      <c r="O1010" s="111"/>
      <c r="P1010" s="112"/>
      <c r="Q1010" s="112"/>
      <c r="R1010" s="112"/>
      <c r="S1010" s="112">
        <v>100</v>
      </c>
      <c r="T1010" s="112">
        <v>0</v>
      </c>
      <c r="U1010" s="95">
        <f t="shared" si="48"/>
        <v>100</v>
      </c>
      <c r="V1010" s="112"/>
      <c r="W1010" s="112"/>
      <c r="X1010" s="107"/>
      <c r="Y1010" s="107">
        <f t="shared" si="49"/>
        <v>100</v>
      </c>
      <c r="Z1010" s="107">
        <f t="shared" si="50"/>
        <v>0</v>
      </c>
    </row>
    <row r="1011" spans="1:26" x14ac:dyDescent="0.25">
      <c r="A1011" s="55" t="str">
        <f>_xlfn.XLOOKUP($G1011,'.Auxiliar'!$G:$G,'.Auxiliar'!A:A,"-",0)</f>
        <v>RIO/SP</v>
      </c>
      <c r="B1011" s="55" t="str">
        <f>_xlfn.XLOOKUP($G1011,'.Auxiliar'!$G:$G,'.Auxiliar'!B:B,"-",0)</f>
        <v>OAE</v>
      </c>
      <c r="C1011" s="55" t="str">
        <f>_xlfn.XLOOKUP($G1011,'.Auxiliar'!$G:$G,'.Auxiliar'!C:C,"-",0)</f>
        <v>Ponte</v>
      </c>
      <c r="D1011" s="55">
        <f>_xlfn.XLOOKUP($G1011,'.Auxiliar'!$G:$G,'.Auxiliar'!D:D,"-",0)</f>
        <v>157.63999999999999</v>
      </c>
      <c r="E1011" s="55">
        <f>_xlfn.XLOOKUP($G1011,'.Auxiliar'!$G:$G,'.Auxiliar'!E:E,"-",0)</f>
        <v>157.63999999999999</v>
      </c>
      <c r="F1011" s="55">
        <f>_xlfn.XLOOKUP($G1011,'.Auxiliar'!$G:$G,'.Auxiliar'!F:F,"-",0)</f>
        <v>1</v>
      </c>
      <c r="G1011" s="59" t="s">
        <v>918</v>
      </c>
      <c r="H1011" s="108" t="s">
        <v>0</v>
      </c>
      <c r="I1011" s="109" t="s">
        <v>0</v>
      </c>
      <c r="J1011" s="109" t="s">
        <v>363</v>
      </c>
      <c r="K1011" s="109" t="s">
        <v>0</v>
      </c>
      <c r="L1011" s="109" t="s">
        <v>0</v>
      </c>
      <c r="M1011" s="109" t="s">
        <v>0</v>
      </c>
      <c r="N1011" s="110" t="s">
        <v>0</v>
      </c>
      <c r="O1011" s="111"/>
      <c r="P1011" s="112"/>
      <c r="Q1011" s="112"/>
      <c r="R1011" s="112"/>
      <c r="S1011" s="112">
        <v>100</v>
      </c>
      <c r="T1011" s="112">
        <v>0</v>
      </c>
      <c r="U1011" s="95">
        <f t="shared" si="48"/>
        <v>100</v>
      </c>
      <c r="V1011" s="112"/>
      <c r="W1011" s="112"/>
      <c r="X1011" s="107"/>
      <c r="Y1011" s="107">
        <f t="shared" si="49"/>
        <v>100</v>
      </c>
      <c r="Z1011" s="107">
        <f t="shared" si="50"/>
        <v>0</v>
      </c>
    </row>
    <row r="1012" spans="1:26" x14ac:dyDescent="0.25">
      <c r="A1012" s="55" t="str">
        <f>_xlfn.XLOOKUP($G1012,'.Auxiliar'!$G:$G,'.Auxiliar'!A:A,"-",0)</f>
        <v>RIO/SP</v>
      </c>
      <c r="B1012" s="55" t="str">
        <f>_xlfn.XLOOKUP($G1012,'.Auxiliar'!$G:$G,'.Auxiliar'!B:B,"-",0)</f>
        <v>OAE</v>
      </c>
      <c r="C1012" s="55" t="str">
        <f>_xlfn.XLOOKUP($G1012,'.Auxiliar'!$G:$G,'.Auxiliar'!C:C,"-",0)</f>
        <v>Ponte</v>
      </c>
      <c r="D1012" s="55">
        <f>_xlfn.XLOOKUP($G1012,'.Auxiliar'!$G:$G,'.Auxiliar'!D:D,"-",0)</f>
        <v>166.81</v>
      </c>
      <c r="E1012" s="55">
        <f>_xlfn.XLOOKUP($G1012,'.Auxiliar'!$G:$G,'.Auxiliar'!E:E,"-",0)</f>
        <v>166.81</v>
      </c>
      <c r="F1012" s="55">
        <f>_xlfn.XLOOKUP($G1012,'.Auxiliar'!$G:$G,'.Auxiliar'!F:F,"-",0)</f>
        <v>1</v>
      </c>
      <c r="G1012" s="59" t="s">
        <v>1406</v>
      </c>
      <c r="H1012" s="108" t="s">
        <v>0</v>
      </c>
      <c r="I1012" s="109" t="s">
        <v>0</v>
      </c>
      <c r="J1012" s="109" t="s">
        <v>0</v>
      </c>
      <c r="K1012" s="109" t="s">
        <v>0</v>
      </c>
      <c r="L1012" s="109" t="s">
        <v>0</v>
      </c>
      <c r="M1012" s="109" t="s">
        <v>0</v>
      </c>
      <c r="N1012" s="110" t="s">
        <v>363</v>
      </c>
      <c r="O1012" s="111"/>
      <c r="P1012" s="112"/>
      <c r="Q1012" s="112"/>
      <c r="R1012" s="112"/>
      <c r="S1012" s="112"/>
      <c r="T1012" s="112"/>
      <c r="U1012" s="95" t="str">
        <f t="shared" si="48"/>
        <v/>
      </c>
      <c r="V1012" s="112"/>
      <c r="W1012" s="112"/>
      <c r="X1012" s="107">
        <v>100</v>
      </c>
      <c r="Y1012" s="107">
        <f t="shared" si="49"/>
        <v>100</v>
      </c>
      <c r="Z1012" s="107">
        <f t="shared" si="50"/>
        <v>0</v>
      </c>
    </row>
    <row r="1013" spans="1:26" x14ac:dyDescent="0.25">
      <c r="A1013" s="55" t="str">
        <f>_xlfn.XLOOKUP($G1013,'.Auxiliar'!$G:$G,'.Auxiliar'!A:A,"-",0)</f>
        <v>RIO/SP</v>
      </c>
      <c r="B1013" s="55" t="str">
        <f>_xlfn.XLOOKUP($G1013,'.Auxiliar'!$G:$G,'.Auxiliar'!B:B,"-",0)</f>
        <v>OAE</v>
      </c>
      <c r="C1013" s="55" t="str">
        <f>_xlfn.XLOOKUP($G1013,'.Auxiliar'!$G:$G,'.Auxiliar'!C:C,"-",0)</f>
        <v>Ponte</v>
      </c>
      <c r="D1013" s="55">
        <f>_xlfn.XLOOKUP($G1013,'.Auxiliar'!$G:$G,'.Auxiliar'!D:D,"-",0)</f>
        <v>178.84</v>
      </c>
      <c r="E1013" s="55">
        <f>_xlfn.XLOOKUP($G1013,'.Auxiliar'!$G:$G,'.Auxiliar'!E:E,"-",0)</f>
        <v>178.84</v>
      </c>
      <c r="F1013" s="55">
        <f>_xlfn.XLOOKUP($G1013,'.Auxiliar'!$G:$G,'.Auxiliar'!F:F,"-",0)</f>
        <v>1</v>
      </c>
      <c r="G1013" s="59" t="s">
        <v>1407</v>
      </c>
      <c r="H1013" s="108" t="s">
        <v>0</v>
      </c>
      <c r="I1013" s="109" t="s">
        <v>0</v>
      </c>
      <c r="J1013" s="109" t="s">
        <v>0</v>
      </c>
      <c r="K1013" s="109" t="s">
        <v>0</v>
      </c>
      <c r="L1013" s="109" t="s">
        <v>0</v>
      </c>
      <c r="M1013" s="109" t="s">
        <v>0</v>
      </c>
      <c r="N1013" s="110" t="s">
        <v>363</v>
      </c>
      <c r="O1013" s="111"/>
      <c r="P1013" s="112"/>
      <c r="Q1013" s="112"/>
      <c r="R1013" s="112"/>
      <c r="S1013" s="112"/>
      <c r="T1013" s="112"/>
      <c r="U1013" s="95" t="str">
        <f t="shared" si="48"/>
        <v/>
      </c>
      <c r="V1013" s="112"/>
      <c r="W1013" s="112"/>
      <c r="X1013" s="107">
        <v>100</v>
      </c>
      <c r="Y1013" s="107">
        <f t="shared" si="49"/>
        <v>100</v>
      </c>
      <c r="Z1013" s="107">
        <f t="shared" si="50"/>
        <v>0</v>
      </c>
    </row>
    <row r="1014" spans="1:26" x14ac:dyDescent="0.25">
      <c r="A1014" s="55" t="str">
        <f>_xlfn.XLOOKUP($G1014,'.Auxiliar'!$G:$G,'.Auxiliar'!A:A,"-",0)</f>
        <v>RIO/SP</v>
      </c>
      <c r="B1014" s="55" t="str">
        <f>_xlfn.XLOOKUP($G1014,'.Auxiliar'!$G:$G,'.Auxiliar'!B:B,"-",0)</f>
        <v>OAE</v>
      </c>
      <c r="C1014" s="55" t="str">
        <f>_xlfn.XLOOKUP($G1014,'.Auxiliar'!$G:$G,'.Auxiliar'!C:C,"-",0)</f>
        <v>Ponte</v>
      </c>
      <c r="D1014" s="55">
        <f>_xlfn.XLOOKUP($G1014,'.Auxiliar'!$G:$G,'.Auxiliar'!D:D,"-",0)</f>
        <v>185.62</v>
      </c>
      <c r="E1014" s="55">
        <f>_xlfn.XLOOKUP($G1014,'.Auxiliar'!$G:$G,'.Auxiliar'!E:E,"-",0)</f>
        <v>185.62</v>
      </c>
      <c r="F1014" s="55">
        <f>_xlfn.XLOOKUP($G1014,'.Auxiliar'!$G:$G,'.Auxiliar'!F:F,"-",0)</f>
        <v>1</v>
      </c>
      <c r="G1014" s="59" t="s">
        <v>1408</v>
      </c>
      <c r="H1014" s="108" t="s">
        <v>0</v>
      </c>
      <c r="I1014" s="109" t="s">
        <v>0</v>
      </c>
      <c r="J1014" s="109" t="s">
        <v>0</v>
      </c>
      <c r="K1014" s="109" t="s">
        <v>0</v>
      </c>
      <c r="L1014" s="109" t="s">
        <v>0</v>
      </c>
      <c r="M1014" s="109" t="s">
        <v>0</v>
      </c>
      <c r="N1014" s="110" t="s">
        <v>363</v>
      </c>
      <c r="O1014" s="111"/>
      <c r="P1014" s="112"/>
      <c r="Q1014" s="112"/>
      <c r="R1014" s="112"/>
      <c r="S1014" s="112"/>
      <c r="T1014" s="112"/>
      <c r="U1014" s="95" t="str">
        <f t="shared" si="48"/>
        <v/>
      </c>
      <c r="V1014" s="112"/>
      <c r="W1014" s="112"/>
      <c r="X1014" s="107">
        <v>100</v>
      </c>
      <c r="Y1014" s="107">
        <f t="shared" si="49"/>
        <v>100</v>
      </c>
      <c r="Z1014" s="107">
        <f t="shared" si="50"/>
        <v>0</v>
      </c>
    </row>
    <row r="1015" spans="1:26" x14ac:dyDescent="0.25">
      <c r="A1015" s="55" t="str">
        <f>_xlfn.XLOOKUP($G1015,'.Auxiliar'!$G:$G,'.Auxiliar'!A:A,"-",0)</f>
        <v>RIO/SP</v>
      </c>
      <c r="B1015" s="55" t="str">
        <f>_xlfn.XLOOKUP($G1015,'.Auxiliar'!$G:$G,'.Auxiliar'!B:B,"-",0)</f>
        <v>OAE</v>
      </c>
      <c r="C1015" s="55" t="str">
        <f>_xlfn.XLOOKUP($G1015,'.Auxiliar'!$G:$G,'.Auxiliar'!C:C,"-",0)</f>
        <v>Ponte</v>
      </c>
      <c r="D1015" s="55">
        <f>_xlfn.XLOOKUP($G1015,'.Auxiliar'!$G:$G,'.Auxiliar'!D:D,"-",0)</f>
        <v>186.11</v>
      </c>
      <c r="E1015" s="55">
        <f>_xlfn.XLOOKUP($G1015,'.Auxiliar'!$G:$G,'.Auxiliar'!E:E,"-",0)</f>
        <v>186.11</v>
      </c>
      <c r="F1015" s="55">
        <f>_xlfn.XLOOKUP($G1015,'.Auxiliar'!$G:$G,'.Auxiliar'!F:F,"-",0)</f>
        <v>1</v>
      </c>
      <c r="G1015" s="59" t="s">
        <v>1409</v>
      </c>
      <c r="H1015" s="108" t="s">
        <v>0</v>
      </c>
      <c r="I1015" s="109" t="s">
        <v>0</v>
      </c>
      <c r="J1015" s="109" t="s">
        <v>0</v>
      </c>
      <c r="K1015" s="109" t="s">
        <v>0</v>
      </c>
      <c r="L1015" s="109" t="s">
        <v>0</v>
      </c>
      <c r="M1015" s="109" t="s">
        <v>0</v>
      </c>
      <c r="N1015" s="110" t="s">
        <v>363</v>
      </c>
      <c r="O1015" s="111"/>
      <c r="P1015" s="112"/>
      <c r="Q1015" s="112"/>
      <c r="R1015" s="112"/>
      <c r="S1015" s="112"/>
      <c r="T1015" s="112"/>
      <c r="U1015" s="95" t="str">
        <f t="shared" si="48"/>
        <v/>
      </c>
      <c r="V1015" s="112"/>
      <c r="W1015" s="112"/>
      <c r="X1015" s="107">
        <v>100</v>
      </c>
      <c r="Y1015" s="107">
        <f t="shared" si="49"/>
        <v>100</v>
      </c>
      <c r="Z1015" s="107">
        <f t="shared" si="50"/>
        <v>0</v>
      </c>
    </row>
    <row r="1016" spans="1:26" x14ac:dyDescent="0.25">
      <c r="A1016" s="55" t="str">
        <f>_xlfn.XLOOKUP($G1016,'.Auxiliar'!$G:$G,'.Auxiliar'!A:A,"-",0)</f>
        <v>RIO/SP</v>
      </c>
      <c r="B1016" s="55" t="str">
        <f>_xlfn.XLOOKUP($G1016,'.Auxiliar'!$G:$G,'.Auxiliar'!B:B,"-",0)</f>
        <v>OAE</v>
      </c>
      <c r="C1016" s="55" t="str">
        <f>_xlfn.XLOOKUP($G1016,'.Auxiliar'!$G:$G,'.Auxiliar'!C:C,"-",0)</f>
        <v>Ponte</v>
      </c>
      <c r="D1016" s="55">
        <f>_xlfn.XLOOKUP($G1016,'.Auxiliar'!$G:$G,'.Auxiliar'!D:D,"-",0)</f>
        <v>188.22499999999999</v>
      </c>
      <c r="E1016" s="55">
        <f>_xlfn.XLOOKUP($G1016,'.Auxiliar'!$G:$G,'.Auxiliar'!E:E,"-",0)</f>
        <v>188.22499999999999</v>
      </c>
      <c r="F1016" s="55">
        <f>_xlfn.XLOOKUP($G1016,'.Auxiliar'!$G:$G,'.Auxiliar'!F:F,"-",0)</f>
        <v>1</v>
      </c>
      <c r="G1016" s="59" t="s">
        <v>1410</v>
      </c>
      <c r="H1016" s="108" t="s">
        <v>0</v>
      </c>
      <c r="I1016" s="109" t="s">
        <v>0</v>
      </c>
      <c r="J1016" s="109" t="s">
        <v>0</v>
      </c>
      <c r="K1016" s="109" t="s">
        <v>0</v>
      </c>
      <c r="L1016" s="109" t="s">
        <v>0</v>
      </c>
      <c r="M1016" s="109" t="s">
        <v>0</v>
      </c>
      <c r="N1016" s="110" t="s">
        <v>363</v>
      </c>
      <c r="O1016" s="111"/>
      <c r="P1016" s="112"/>
      <c r="Q1016" s="112"/>
      <c r="R1016" s="112"/>
      <c r="S1016" s="112"/>
      <c r="T1016" s="112"/>
      <c r="U1016" s="95" t="str">
        <f t="shared" si="48"/>
        <v/>
      </c>
      <c r="V1016" s="112"/>
      <c r="W1016" s="112"/>
      <c r="X1016" s="107">
        <v>100</v>
      </c>
      <c r="Y1016" s="107">
        <f t="shared" si="49"/>
        <v>100</v>
      </c>
      <c r="Z1016" s="107">
        <f t="shared" si="50"/>
        <v>0</v>
      </c>
    </row>
    <row r="1017" spans="1:26" x14ac:dyDescent="0.25">
      <c r="A1017" s="55" t="str">
        <f>_xlfn.XLOOKUP($G1017,'.Auxiliar'!$G:$G,'.Auxiliar'!A:A,"-",0)</f>
        <v>RIO/SP</v>
      </c>
      <c r="B1017" s="55" t="str">
        <f>_xlfn.XLOOKUP($G1017,'.Auxiliar'!$G:$G,'.Auxiliar'!B:B,"-",0)</f>
        <v>OAE</v>
      </c>
      <c r="C1017" s="55" t="str">
        <f>_xlfn.XLOOKUP($G1017,'.Auxiliar'!$G:$G,'.Auxiliar'!C:C,"-",0)</f>
        <v>Ponte</v>
      </c>
      <c r="D1017" s="55">
        <f>_xlfn.XLOOKUP($G1017,'.Auxiliar'!$G:$G,'.Auxiliar'!D:D,"-",0)</f>
        <v>193.87</v>
      </c>
      <c r="E1017" s="55">
        <f>_xlfn.XLOOKUP($G1017,'.Auxiliar'!$G:$G,'.Auxiliar'!E:E,"-",0)</f>
        <v>193.87</v>
      </c>
      <c r="F1017" s="55">
        <f>_xlfn.XLOOKUP($G1017,'.Auxiliar'!$G:$G,'.Auxiliar'!F:F,"-",0)</f>
        <v>1</v>
      </c>
      <c r="G1017" s="59" t="s">
        <v>1411</v>
      </c>
      <c r="H1017" s="108" t="s">
        <v>0</v>
      </c>
      <c r="I1017" s="109" t="s">
        <v>0</v>
      </c>
      <c r="J1017" s="109" t="s">
        <v>0</v>
      </c>
      <c r="K1017" s="109" t="s">
        <v>0</v>
      </c>
      <c r="L1017" s="109" t="s">
        <v>0</v>
      </c>
      <c r="M1017" s="109" t="s">
        <v>0</v>
      </c>
      <c r="N1017" s="110" t="s">
        <v>363</v>
      </c>
      <c r="O1017" s="111"/>
      <c r="P1017" s="112"/>
      <c r="Q1017" s="112"/>
      <c r="R1017" s="112"/>
      <c r="S1017" s="112"/>
      <c r="T1017" s="112"/>
      <c r="U1017" s="95" t="str">
        <f t="shared" si="48"/>
        <v/>
      </c>
      <c r="V1017" s="112"/>
      <c r="W1017" s="112"/>
      <c r="X1017" s="107">
        <v>100</v>
      </c>
      <c r="Y1017" s="107">
        <f t="shared" si="49"/>
        <v>100</v>
      </c>
      <c r="Z1017" s="107">
        <f t="shared" si="50"/>
        <v>0</v>
      </c>
    </row>
    <row r="1018" spans="1:26" x14ac:dyDescent="0.25">
      <c r="A1018" s="55" t="str">
        <f>_xlfn.XLOOKUP($G1018,'.Auxiliar'!$G:$G,'.Auxiliar'!A:A,"-",0)</f>
        <v>RIO/SP</v>
      </c>
      <c r="B1018" s="55" t="str">
        <f>_xlfn.XLOOKUP($G1018,'.Auxiliar'!$G:$G,'.Auxiliar'!B:B,"-",0)</f>
        <v>OAE</v>
      </c>
      <c r="C1018" s="55" t="str">
        <f>_xlfn.XLOOKUP($G1018,'.Auxiliar'!$G:$G,'.Auxiliar'!C:C,"-",0)</f>
        <v>Ponte</v>
      </c>
      <c r="D1018" s="55">
        <f>_xlfn.XLOOKUP($G1018,'.Auxiliar'!$G:$G,'.Auxiliar'!D:D,"-",0)</f>
        <v>199.07</v>
      </c>
      <c r="E1018" s="55">
        <f>_xlfn.XLOOKUP($G1018,'.Auxiliar'!$G:$G,'.Auxiliar'!E:E,"-",0)</f>
        <v>199.07</v>
      </c>
      <c r="F1018" s="55">
        <f>_xlfn.XLOOKUP($G1018,'.Auxiliar'!$G:$G,'.Auxiliar'!F:F,"-",0)</f>
        <v>1</v>
      </c>
      <c r="G1018" s="59" t="s">
        <v>1412</v>
      </c>
      <c r="H1018" s="108" t="s">
        <v>0</v>
      </c>
      <c r="I1018" s="109" t="s">
        <v>0</v>
      </c>
      <c r="J1018" s="109" t="s">
        <v>0</v>
      </c>
      <c r="K1018" s="109" t="s">
        <v>0</v>
      </c>
      <c r="L1018" s="109" t="s">
        <v>0</v>
      </c>
      <c r="M1018" s="109" t="s">
        <v>0</v>
      </c>
      <c r="N1018" s="110" t="s">
        <v>363</v>
      </c>
      <c r="O1018" s="111"/>
      <c r="P1018" s="112"/>
      <c r="Q1018" s="112"/>
      <c r="R1018" s="112"/>
      <c r="S1018" s="112"/>
      <c r="T1018" s="112"/>
      <c r="U1018" s="95" t="str">
        <f t="shared" si="48"/>
        <v/>
      </c>
      <c r="V1018" s="112"/>
      <c r="W1018" s="112"/>
      <c r="X1018" s="107">
        <v>100</v>
      </c>
      <c r="Y1018" s="107">
        <f t="shared" si="49"/>
        <v>100</v>
      </c>
      <c r="Z1018" s="107">
        <f t="shared" si="50"/>
        <v>0</v>
      </c>
    </row>
    <row r="1019" spans="1:26" x14ac:dyDescent="0.25">
      <c r="A1019" s="55" t="str">
        <f>_xlfn.XLOOKUP($G1019,'.Auxiliar'!$G:$G,'.Auxiliar'!A:A,"-",0)</f>
        <v>RIO/SP</v>
      </c>
      <c r="B1019" s="55" t="str">
        <f>_xlfn.XLOOKUP($G1019,'.Auxiliar'!$G:$G,'.Auxiliar'!B:B,"-",0)</f>
        <v>OAE</v>
      </c>
      <c r="C1019" s="55" t="str">
        <f>_xlfn.XLOOKUP($G1019,'.Auxiliar'!$G:$G,'.Auxiliar'!C:C,"-",0)</f>
        <v>Ponte</v>
      </c>
      <c r="D1019" s="55">
        <f>_xlfn.XLOOKUP($G1019,'.Auxiliar'!$G:$G,'.Auxiliar'!D:D,"-",0)</f>
        <v>199.55</v>
      </c>
      <c r="E1019" s="55">
        <f>_xlfn.XLOOKUP($G1019,'.Auxiliar'!$G:$G,'.Auxiliar'!E:E,"-",0)</f>
        <v>199.55</v>
      </c>
      <c r="F1019" s="55">
        <f>_xlfn.XLOOKUP($G1019,'.Auxiliar'!$G:$G,'.Auxiliar'!F:F,"-",0)</f>
        <v>1</v>
      </c>
      <c r="G1019" s="59" t="s">
        <v>1413</v>
      </c>
      <c r="H1019" s="108" t="s">
        <v>0</v>
      </c>
      <c r="I1019" s="109" t="s">
        <v>0</v>
      </c>
      <c r="J1019" s="109" t="s">
        <v>0</v>
      </c>
      <c r="K1019" s="109" t="s">
        <v>0</v>
      </c>
      <c r="L1019" s="109" t="s">
        <v>0</v>
      </c>
      <c r="M1019" s="109" t="s">
        <v>0</v>
      </c>
      <c r="N1019" s="110" t="s">
        <v>363</v>
      </c>
      <c r="O1019" s="111"/>
      <c r="P1019" s="112"/>
      <c r="Q1019" s="112"/>
      <c r="R1019" s="112"/>
      <c r="S1019" s="112"/>
      <c r="T1019" s="112"/>
      <c r="U1019" s="95" t="str">
        <f t="shared" si="48"/>
        <v/>
      </c>
      <c r="V1019" s="112"/>
      <c r="W1019" s="112"/>
      <c r="X1019" s="107">
        <v>100</v>
      </c>
      <c r="Y1019" s="107">
        <f t="shared" si="49"/>
        <v>100</v>
      </c>
      <c r="Z1019" s="107">
        <f t="shared" si="50"/>
        <v>0</v>
      </c>
    </row>
    <row r="1020" spans="1:26" x14ac:dyDescent="0.25">
      <c r="A1020" s="55" t="str">
        <f>_xlfn.XLOOKUP($G1020,'.Auxiliar'!$G:$G,'.Auxiliar'!A:A,"-",0)</f>
        <v>RIO/SP</v>
      </c>
      <c r="B1020" s="55" t="str">
        <f>_xlfn.XLOOKUP($G1020,'.Auxiliar'!$G:$G,'.Auxiliar'!B:B,"-",0)</f>
        <v>OAE</v>
      </c>
      <c r="C1020" s="55" t="str">
        <f>_xlfn.XLOOKUP($G1020,'.Auxiliar'!$G:$G,'.Auxiliar'!C:C,"-",0)</f>
        <v>Ponte</v>
      </c>
      <c r="D1020" s="55">
        <f>_xlfn.XLOOKUP($G1020,'.Auxiliar'!$G:$G,'.Auxiliar'!D:D,"-",0)</f>
        <v>199.59</v>
      </c>
      <c r="E1020" s="55">
        <f>_xlfn.XLOOKUP($G1020,'.Auxiliar'!$G:$G,'.Auxiliar'!E:E,"-",0)</f>
        <v>199.59</v>
      </c>
      <c r="F1020" s="55">
        <f>_xlfn.XLOOKUP($G1020,'.Auxiliar'!$G:$G,'.Auxiliar'!F:F,"-",0)</f>
        <v>1</v>
      </c>
      <c r="G1020" s="59" t="s">
        <v>1414</v>
      </c>
      <c r="H1020" s="108" t="s">
        <v>0</v>
      </c>
      <c r="I1020" s="109" t="s">
        <v>0</v>
      </c>
      <c r="J1020" s="109" t="s">
        <v>0</v>
      </c>
      <c r="K1020" s="109" t="s">
        <v>0</v>
      </c>
      <c r="L1020" s="109" t="s">
        <v>0</v>
      </c>
      <c r="M1020" s="109" t="s">
        <v>0</v>
      </c>
      <c r="N1020" s="110" t="s">
        <v>363</v>
      </c>
      <c r="O1020" s="111"/>
      <c r="P1020" s="112"/>
      <c r="Q1020" s="112"/>
      <c r="R1020" s="112"/>
      <c r="S1020" s="112"/>
      <c r="T1020" s="112"/>
      <c r="U1020" s="95" t="str">
        <f t="shared" si="48"/>
        <v/>
      </c>
      <c r="V1020" s="112"/>
      <c r="W1020" s="112"/>
      <c r="X1020" s="107">
        <v>100</v>
      </c>
      <c r="Y1020" s="107">
        <f t="shared" si="49"/>
        <v>100</v>
      </c>
      <c r="Z1020" s="107">
        <f t="shared" si="50"/>
        <v>0</v>
      </c>
    </row>
    <row r="1021" spans="1:26" x14ac:dyDescent="0.25">
      <c r="A1021" s="55" t="str">
        <f>_xlfn.XLOOKUP($G1021,'.Auxiliar'!$G:$G,'.Auxiliar'!A:A,"-",0)</f>
        <v>RIO/SP</v>
      </c>
      <c r="B1021" s="55" t="str">
        <f>_xlfn.XLOOKUP($G1021,'.Auxiliar'!$G:$G,'.Auxiliar'!B:B,"-",0)</f>
        <v>OAE</v>
      </c>
      <c r="C1021" s="55" t="str">
        <f>_xlfn.XLOOKUP($G1021,'.Auxiliar'!$G:$G,'.Auxiliar'!C:C,"-",0)</f>
        <v>Ponte</v>
      </c>
      <c r="D1021" s="55">
        <f>_xlfn.XLOOKUP($G1021,'.Auxiliar'!$G:$G,'.Auxiliar'!D:D,"-",0)</f>
        <v>200.94</v>
      </c>
      <c r="E1021" s="55">
        <f>_xlfn.XLOOKUP($G1021,'.Auxiliar'!$G:$G,'.Auxiliar'!E:E,"-",0)</f>
        <v>200.94</v>
      </c>
      <c r="F1021" s="55">
        <f>_xlfn.XLOOKUP($G1021,'.Auxiliar'!$G:$G,'.Auxiliar'!F:F,"-",0)</f>
        <v>1</v>
      </c>
      <c r="G1021" s="59" t="s">
        <v>1415</v>
      </c>
      <c r="H1021" s="108" t="s">
        <v>0</v>
      </c>
      <c r="I1021" s="109" t="s">
        <v>0</v>
      </c>
      <c r="J1021" s="109" t="s">
        <v>0</v>
      </c>
      <c r="K1021" s="109" t="s">
        <v>0</v>
      </c>
      <c r="L1021" s="109" t="s">
        <v>0</v>
      </c>
      <c r="M1021" s="109" t="s">
        <v>0</v>
      </c>
      <c r="N1021" s="110" t="s">
        <v>363</v>
      </c>
      <c r="O1021" s="111"/>
      <c r="P1021" s="112"/>
      <c r="Q1021" s="112"/>
      <c r="R1021" s="112"/>
      <c r="S1021" s="112"/>
      <c r="T1021" s="112"/>
      <c r="U1021" s="95" t="str">
        <f t="shared" si="48"/>
        <v/>
      </c>
      <c r="V1021" s="112"/>
      <c r="W1021" s="112"/>
      <c r="X1021" s="107">
        <v>100</v>
      </c>
      <c r="Y1021" s="107">
        <f t="shared" si="49"/>
        <v>100</v>
      </c>
      <c r="Z1021" s="107">
        <f t="shared" si="50"/>
        <v>0</v>
      </c>
    </row>
    <row r="1022" spans="1:26" x14ac:dyDescent="0.25">
      <c r="A1022" s="55" t="str">
        <f>_xlfn.XLOOKUP($G1022,'.Auxiliar'!$G:$G,'.Auxiliar'!A:A,"-",0)</f>
        <v>RIO/SP</v>
      </c>
      <c r="B1022" s="55" t="str">
        <f>_xlfn.XLOOKUP($G1022,'.Auxiliar'!$G:$G,'.Auxiliar'!B:B,"-",0)</f>
        <v>OAE</v>
      </c>
      <c r="C1022" s="55" t="str">
        <f>_xlfn.XLOOKUP($G1022,'.Auxiliar'!$G:$G,'.Auxiliar'!C:C,"-",0)</f>
        <v>Ponte</v>
      </c>
      <c r="D1022" s="55">
        <f>_xlfn.XLOOKUP($G1022,'.Auxiliar'!$G:$G,'.Auxiliar'!D:D,"-",0)</f>
        <v>21.47</v>
      </c>
      <c r="E1022" s="55">
        <f>_xlfn.XLOOKUP($G1022,'.Auxiliar'!$G:$G,'.Auxiliar'!E:E,"-",0)</f>
        <v>21.47</v>
      </c>
      <c r="F1022" s="55">
        <f>_xlfn.XLOOKUP($G1022,'.Auxiliar'!$G:$G,'.Auxiliar'!F:F,"-",0)</f>
        <v>1</v>
      </c>
      <c r="G1022" s="59" t="s">
        <v>1378</v>
      </c>
      <c r="H1022" s="108" t="s">
        <v>0</v>
      </c>
      <c r="I1022" s="109" t="s">
        <v>0</v>
      </c>
      <c r="J1022" s="109" t="s">
        <v>0</v>
      </c>
      <c r="K1022" s="109" t="s">
        <v>0</v>
      </c>
      <c r="L1022" s="109" t="s">
        <v>0</v>
      </c>
      <c r="M1022" s="109" t="s">
        <v>0</v>
      </c>
      <c r="N1022" s="110" t="s">
        <v>363</v>
      </c>
      <c r="O1022" s="111"/>
      <c r="P1022" s="112"/>
      <c r="Q1022" s="112"/>
      <c r="R1022" s="112"/>
      <c r="S1022" s="112"/>
      <c r="T1022" s="112"/>
      <c r="U1022" s="95" t="str">
        <f t="shared" si="48"/>
        <v/>
      </c>
      <c r="V1022" s="112"/>
      <c r="W1022" s="112"/>
      <c r="X1022" s="107">
        <v>100</v>
      </c>
      <c r="Y1022" s="107">
        <f t="shared" si="49"/>
        <v>100</v>
      </c>
      <c r="Z1022" s="107">
        <f t="shared" si="50"/>
        <v>0</v>
      </c>
    </row>
    <row r="1023" spans="1:26" x14ac:dyDescent="0.25">
      <c r="A1023" s="55" t="str">
        <f>_xlfn.XLOOKUP($G1023,'.Auxiliar'!$G:$G,'.Auxiliar'!A:A,"-",0)</f>
        <v>RIO/SP</v>
      </c>
      <c r="B1023" s="55" t="str">
        <f>_xlfn.XLOOKUP($G1023,'.Auxiliar'!$G:$G,'.Auxiliar'!B:B,"-",0)</f>
        <v>OAE</v>
      </c>
      <c r="C1023" s="55" t="str">
        <f>_xlfn.XLOOKUP($G1023,'.Auxiliar'!$G:$G,'.Auxiliar'!C:C,"-",0)</f>
        <v>Ponte</v>
      </c>
      <c r="D1023" s="55">
        <f>_xlfn.XLOOKUP($G1023,'.Auxiliar'!$G:$G,'.Auxiliar'!D:D,"-",0)</f>
        <v>222.84</v>
      </c>
      <c r="E1023" s="55">
        <f>_xlfn.XLOOKUP($G1023,'.Auxiliar'!$G:$G,'.Auxiliar'!E:E,"-",0)</f>
        <v>222.84</v>
      </c>
      <c r="F1023" s="55">
        <f>_xlfn.XLOOKUP($G1023,'.Auxiliar'!$G:$G,'.Auxiliar'!F:F,"-",0)</f>
        <v>1</v>
      </c>
      <c r="G1023" s="59" t="s">
        <v>919</v>
      </c>
      <c r="H1023" s="108" t="s">
        <v>0</v>
      </c>
      <c r="I1023" s="109" t="s">
        <v>0</v>
      </c>
      <c r="J1023" s="109" t="s">
        <v>363</v>
      </c>
      <c r="K1023" s="109" t="s">
        <v>0</v>
      </c>
      <c r="L1023" s="109" t="s">
        <v>0</v>
      </c>
      <c r="M1023" s="109" t="s">
        <v>0</v>
      </c>
      <c r="N1023" s="110" t="s">
        <v>0</v>
      </c>
      <c r="O1023" s="111"/>
      <c r="P1023" s="112"/>
      <c r="Q1023" s="112"/>
      <c r="R1023" s="112"/>
      <c r="S1023" s="112">
        <v>100</v>
      </c>
      <c r="T1023" s="112">
        <v>0</v>
      </c>
      <c r="U1023" s="95">
        <f t="shared" si="48"/>
        <v>100</v>
      </c>
      <c r="V1023" s="112"/>
      <c r="W1023" s="112"/>
      <c r="X1023" s="107"/>
      <c r="Y1023" s="107">
        <f t="shared" si="49"/>
        <v>100</v>
      </c>
      <c r="Z1023" s="107">
        <f t="shared" si="50"/>
        <v>0</v>
      </c>
    </row>
    <row r="1024" spans="1:26" x14ac:dyDescent="0.25">
      <c r="A1024" s="55" t="str">
        <f>_xlfn.XLOOKUP($G1024,'.Auxiliar'!$G:$G,'.Auxiliar'!A:A,"-",0)</f>
        <v>RIO/SP</v>
      </c>
      <c r="B1024" s="55" t="str">
        <f>_xlfn.XLOOKUP($G1024,'.Auxiliar'!$G:$G,'.Auxiliar'!B:B,"-",0)</f>
        <v>OAE</v>
      </c>
      <c r="C1024" s="55" t="str">
        <f>_xlfn.XLOOKUP($G1024,'.Auxiliar'!$G:$G,'.Auxiliar'!C:C,"-",0)</f>
        <v>Ponte</v>
      </c>
      <c r="D1024" s="55">
        <f>_xlfn.XLOOKUP($G1024,'.Auxiliar'!$G:$G,'.Auxiliar'!D:D,"-",0)</f>
        <v>222.95</v>
      </c>
      <c r="E1024" s="55">
        <f>_xlfn.XLOOKUP($G1024,'.Auxiliar'!$G:$G,'.Auxiliar'!E:E,"-",0)</f>
        <v>222.95</v>
      </c>
      <c r="F1024" s="55">
        <f>_xlfn.XLOOKUP($G1024,'.Auxiliar'!$G:$G,'.Auxiliar'!F:F,"-",0)</f>
        <v>1</v>
      </c>
      <c r="G1024" s="59" t="s">
        <v>920</v>
      </c>
      <c r="H1024" s="108" t="s">
        <v>0</v>
      </c>
      <c r="I1024" s="109" t="s">
        <v>0</v>
      </c>
      <c r="J1024" s="109" t="s">
        <v>363</v>
      </c>
      <c r="K1024" s="109" t="s">
        <v>0</v>
      </c>
      <c r="L1024" s="109" t="s">
        <v>0</v>
      </c>
      <c r="M1024" s="109" t="s">
        <v>0</v>
      </c>
      <c r="N1024" s="110" t="s">
        <v>0</v>
      </c>
      <c r="O1024" s="111"/>
      <c r="P1024" s="112"/>
      <c r="Q1024" s="112"/>
      <c r="R1024" s="112"/>
      <c r="S1024" s="112">
        <v>100</v>
      </c>
      <c r="T1024" s="112">
        <v>0</v>
      </c>
      <c r="U1024" s="95">
        <f t="shared" si="48"/>
        <v>100</v>
      </c>
      <c r="V1024" s="112"/>
      <c r="W1024" s="112"/>
      <c r="X1024" s="107"/>
      <c r="Y1024" s="107">
        <f t="shared" si="49"/>
        <v>100</v>
      </c>
      <c r="Z1024" s="107">
        <f t="shared" si="50"/>
        <v>0</v>
      </c>
    </row>
    <row r="1025" spans="1:26" x14ac:dyDescent="0.25">
      <c r="A1025" s="55" t="str">
        <f>_xlfn.XLOOKUP($G1025,'.Auxiliar'!$G:$G,'.Auxiliar'!A:A,"-",0)</f>
        <v>RIO/SP</v>
      </c>
      <c r="B1025" s="55" t="str">
        <f>_xlfn.XLOOKUP($G1025,'.Auxiliar'!$G:$G,'.Auxiliar'!B:B,"-",0)</f>
        <v>OAE</v>
      </c>
      <c r="C1025" s="55" t="str">
        <f>_xlfn.XLOOKUP($G1025,'.Auxiliar'!$G:$G,'.Auxiliar'!C:C,"-",0)</f>
        <v>Ponte</v>
      </c>
      <c r="D1025" s="55">
        <f>_xlfn.XLOOKUP($G1025,'.Auxiliar'!$G:$G,'.Auxiliar'!D:D,"-",0)</f>
        <v>226.47</v>
      </c>
      <c r="E1025" s="55">
        <f>_xlfn.XLOOKUP($G1025,'.Auxiliar'!$G:$G,'.Auxiliar'!E:E,"-",0)</f>
        <v>226.47</v>
      </c>
      <c r="F1025" s="55">
        <f>_xlfn.XLOOKUP($G1025,'.Auxiliar'!$G:$G,'.Auxiliar'!F:F,"-",0)</f>
        <v>1</v>
      </c>
      <c r="G1025" s="59" t="s">
        <v>1439</v>
      </c>
      <c r="H1025" s="108" t="s">
        <v>0</v>
      </c>
      <c r="I1025" s="109" t="s">
        <v>0</v>
      </c>
      <c r="J1025" s="109" t="s">
        <v>0</v>
      </c>
      <c r="K1025" s="109" t="s">
        <v>0</v>
      </c>
      <c r="L1025" s="109" t="s">
        <v>0</v>
      </c>
      <c r="M1025" s="109" t="s">
        <v>0</v>
      </c>
      <c r="N1025" s="110" t="s">
        <v>363</v>
      </c>
      <c r="O1025" s="111"/>
      <c r="P1025" s="112"/>
      <c r="Q1025" s="112"/>
      <c r="R1025" s="112"/>
      <c r="S1025" s="112"/>
      <c r="T1025" s="112"/>
      <c r="U1025" s="95" t="str">
        <f t="shared" si="48"/>
        <v/>
      </c>
      <c r="V1025" s="112"/>
      <c r="W1025" s="112"/>
      <c r="X1025" s="107">
        <v>100</v>
      </c>
      <c r="Y1025" s="107">
        <f t="shared" si="49"/>
        <v>100</v>
      </c>
      <c r="Z1025" s="107">
        <f t="shared" si="50"/>
        <v>0</v>
      </c>
    </row>
    <row r="1026" spans="1:26" x14ac:dyDescent="0.25">
      <c r="A1026" s="55" t="str">
        <f>_xlfn.XLOOKUP($G1026,'.Auxiliar'!$G:$G,'.Auxiliar'!A:A,"-",0)</f>
        <v>RIO/SP</v>
      </c>
      <c r="B1026" s="55" t="str">
        <f>_xlfn.XLOOKUP($G1026,'.Auxiliar'!$G:$G,'.Auxiliar'!B:B,"-",0)</f>
        <v>OAE</v>
      </c>
      <c r="C1026" s="55" t="str">
        <f>_xlfn.XLOOKUP($G1026,'.Auxiliar'!$G:$G,'.Auxiliar'!C:C,"-",0)</f>
        <v>Ponte</v>
      </c>
      <c r="D1026" s="55">
        <f>_xlfn.XLOOKUP($G1026,'.Auxiliar'!$G:$G,'.Auxiliar'!D:D,"-",0)</f>
        <v>231.85</v>
      </c>
      <c r="E1026" s="55">
        <f>_xlfn.XLOOKUP($G1026,'.Auxiliar'!$G:$G,'.Auxiliar'!E:E,"-",0)</f>
        <v>231.85</v>
      </c>
      <c r="F1026" s="55">
        <f>_xlfn.XLOOKUP($G1026,'.Auxiliar'!$G:$G,'.Auxiliar'!F:F,"-",0)</f>
        <v>1</v>
      </c>
      <c r="G1026" s="59" t="s">
        <v>1440</v>
      </c>
      <c r="H1026" s="108" t="s">
        <v>0</v>
      </c>
      <c r="I1026" s="109" t="s">
        <v>0</v>
      </c>
      <c r="J1026" s="109" t="s">
        <v>0</v>
      </c>
      <c r="K1026" s="109" t="s">
        <v>0</v>
      </c>
      <c r="L1026" s="109" t="s">
        <v>0</v>
      </c>
      <c r="M1026" s="109" t="s">
        <v>0</v>
      </c>
      <c r="N1026" s="110" t="s">
        <v>363</v>
      </c>
      <c r="O1026" s="111"/>
      <c r="P1026" s="112"/>
      <c r="Q1026" s="112"/>
      <c r="R1026" s="112"/>
      <c r="S1026" s="112"/>
      <c r="T1026" s="112"/>
      <c r="U1026" s="95" t="str">
        <f t="shared" si="48"/>
        <v/>
      </c>
      <c r="V1026" s="112"/>
      <c r="W1026" s="112"/>
      <c r="X1026" s="107">
        <v>100</v>
      </c>
      <c r="Y1026" s="107">
        <f t="shared" si="49"/>
        <v>100</v>
      </c>
      <c r="Z1026" s="107">
        <f t="shared" si="50"/>
        <v>0</v>
      </c>
    </row>
    <row r="1027" spans="1:26" x14ac:dyDescent="0.25">
      <c r="A1027" s="55" t="str">
        <f>_xlfn.XLOOKUP($G1027,'.Auxiliar'!$G:$G,'.Auxiliar'!A:A,"-",0)</f>
        <v>RIO/SP</v>
      </c>
      <c r="B1027" s="55" t="str">
        <f>_xlfn.XLOOKUP($G1027,'.Auxiliar'!$G:$G,'.Auxiliar'!B:B,"-",0)</f>
        <v>OAE</v>
      </c>
      <c r="C1027" s="55" t="str">
        <f>_xlfn.XLOOKUP($G1027,'.Auxiliar'!$G:$G,'.Auxiliar'!C:C,"-",0)</f>
        <v>Ponte</v>
      </c>
      <c r="D1027" s="55">
        <f>_xlfn.XLOOKUP($G1027,'.Auxiliar'!$G:$G,'.Auxiliar'!D:D,"-",0)</f>
        <v>234.4</v>
      </c>
      <c r="E1027" s="55">
        <f>_xlfn.XLOOKUP($G1027,'.Auxiliar'!$G:$G,'.Auxiliar'!E:E,"-",0)</f>
        <v>234.4</v>
      </c>
      <c r="F1027" s="55">
        <f>_xlfn.XLOOKUP($G1027,'.Auxiliar'!$G:$G,'.Auxiliar'!F:F,"-",0)</f>
        <v>1</v>
      </c>
      <c r="G1027" s="59" t="s">
        <v>1441</v>
      </c>
      <c r="H1027" s="108" t="s">
        <v>0</v>
      </c>
      <c r="I1027" s="109" t="s">
        <v>0</v>
      </c>
      <c r="J1027" s="109" t="s">
        <v>0</v>
      </c>
      <c r="K1027" s="109" t="s">
        <v>0</v>
      </c>
      <c r="L1027" s="109" t="s">
        <v>0</v>
      </c>
      <c r="M1027" s="109" t="s">
        <v>0</v>
      </c>
      <c r="N1027" s="110" t="s">
        <v>363</v>
      </c>
      <c r="O1027" s="111"/>
      <c r="P1027" s="112"/>
      <c r="Q1027" s="112"/>
      <c r="R1027" s="112"/>
      <c r="S1027" s="112"/>
      <c r="T1027" s="112"/>
      <c r="U1027" s="95" t="str">
        <f t="shared" ref="U1027:U1090" si="51">IF(SUM(V1027:X1027)=100,"",100-(P1027+R1027))</f>
        <v/>
      </c>
      <c r="V1027" s="112"/>
      <c r="W1027" s="112"/>
      <c r="X1027" s="107">
        <v>100</v>
      </c>
      <c r="Y1027" s="107">
        <f t="shared" ref="Y1027:Y1090" si="52">SUM(P1027,R1027,S1027,V1027,W1027,X1027)</f>
        <v>100</v>
      </c>
      <c r="Z1027" s="107">
        <f t="shared" ref="Z1027:Z1090" si="53">SUM(P1027,R1027,T1027)</f>
        <v>0</v>
      </c>
    </row>
    <row r="1028" spans="1:26" x14ac:dyDescent="0.25">
      <c r="A1028" s="55" t="str">
        <f>_xlfn.XLOOKUP($G1028,'.Auxiliar'!$G:$G,'.Auxiliar'!A:A,"-",0)</f>
        <v>RIO/SP</v>
      </c>
      <c r="B1028" s="55" t="str">
        <f>_xlfn.XLOOKUP($G1028,'.Auxiliar'!$G:$G,'.Auxiliar'!B:B,"-",0)</f>
        <v>OAE</v>
      </c>
      <c r="C1028" s="55" t="str">
        <f>_xlfn.XLOOKUP($G1028,'.Auxiliar'!$G:$G,'.Auxiliar'!C:C,"-",0)</f>
        <v>Ponte</v>
      </c>
      <c r="D1028" s="55">
        <f>_xlfn.XLOOKUP($G1028,'.Auxiliar'!$G:$G,'.Auxiliar'!D:D,"-",0)</f>
        <v>241.05</v>
      </c>
      <c r="E1028" s="55">
        <f>_xlfn.XLOOKUP($G1028,'.Auxiliar'!$G:$G,'.Auxiliar'!E:E,"-",0)</f>
        <v>241.05</v>
      </c>
      <c r="F1028" s="55">
        <f>_xlfn.XLOOKUP($G1028,'.Auxiliar'!$G:$G,'.Auxiliar'!F:F,"-",0)</f>
        <v>2</v>
      </c>
      <c r="G1028" s="59" t="s">
        <v>1437</v>
      </c>
      <c r="H1028" s="108" t="s">
        <v>0</v>
      </c>
      <c r="I1028" s="109" t="s">
        <v>0</v>
      </c>
      <c r="J1028" s="109" t="s">
        <v>0</v>
      </c>
      <c r="K1028" s="109" t="s">
        <v>0</v>
      </c>
      <c r="L1028" s="109" t="s">
        <v>0</v>
      </c>
      <c r="M1028" s="109" t="s">
        <v>0</v>
      </c>
      <c r="N1028" s="110" t="s">
        <v>363</v>
      </c>
      <c r="O1028" s="111"/>
      <c r="P1028" s="112"/>
      <c r="Q1028" s="112"/>
      <c r="R1028" s="112"/>
      <c r="S1028" s="112"/>
      <c r="T1028" s="112"/>
      <c r="U1028" s="95" t="str">
        <f t="shared" si="51"/>
        <v/>
      </c>
      <c r="V1028" s="112"/>
      <c r="W1028" s="112"/>
      <c r="X1028" s="107">
        <v>100</v>
      </c>
      <c r="Y1028" s="107">
        <f t="shared" si="52"/>
        <v>100</v>
      </c>
      <c r="Z1028" s="107">
        <f t="shared" si="53"/>
        <v>0</v>
      </c>
    </row>
    <row r="1029" spans="1:26" x14ac:dyDescent="0.25">
      <c r="A1029" s="55" t="str">
        <f>_xlfn.XLOOKUP($G1029,'.Auxiliar'!$G:$G,'.Auxiliar'!A:A,"-",0)</f>
        <v>RIO/SP</v>
      </c>
      <c r="B1029" s="55" t="str">
        <f>_xlfn.XLOOKUP($G1029,'.Auxiliar'!$G:$G,'.Auxiliar'!B:B,"-",0)</f>
        <v>OAE</v>
      </c>
      <c r="C1029" s="55" t="str">
        <f>_xlfn.XLOOKUP($G1029,'.Auxiliar'!$G:$G,'.Auxiliar'!C:C,"-",0)</f>
        <v>Ponte</v>
      </c>
      <c r="D1029" s="55">
        <f>_xlfn.XLOOKUP($G1029,'.Auxiliar'!$G:$G,'.Auxiliar'!D:D,"-",0)</f>
        <v>245.11</v>
      </c>
      <c r="E1029" s="55">
        <f>_xlfn.XLOOKUP($G1029,'.Auxiliar'!$G:$G,'.Auxiliar'!E:E,"-",0)</f>
        <v>245.11</v>
      </c>
      <c r="F1029" s="55">
        <f>_xlfn.XLOOKUP($G1029,'.Auxiliar'!$G:$G,'.Auxiliar'!F:F,"-",0)</f>
        <v>1</v>
      </c>
      <c r="G1029" s="59" t="s">
        <v>1438</v>
      </c>
      <c r="H1029" s="108" t="s">
        <v>0</v>
      </c>
      <c r="I1029" s="109" t="s">
        <v>0</v>
      </c>
      <c r="J1029" s="109" t="s">
        <v>0</v>
      </c>
      <c r="K1029" s="109" t="s">
        <v>0</v>
      </c>
      <c r="L1029" s="109" t="s">
        <v>0</v>
      </c>
      <c r="M1029" s="109" t="s">
        <v>0</v>
      </c>
      <c r="N1029" s="110" t="s">
        <v>363</v>
      </c>
      <c r="O1029" s="111"/>
      <c r="P1029" s="112"/>
      <c r="Q1029" s="112"/>
      <c r="R1029" s="112"/>
      <c r="S1029" s="112"/>
      <c r="T1029" s="112"/>
      <c r="U1029" s="95" t="str">
        <f t="shared" si="51"/>
        <v/>
      </c>
      <c r="V1029" s="112"/>
      <c r="W1029" s="112"/>
      <c r="X1029" s="107">
        <v>100</v>
      </c>
      <c r="Y1029" s="107">
        <f t="shared" si="52"/>
        <v>100</v>
      </c>
      <c r="Z1029" s="107">
        <f t="shared" si="53"/>
        <v>0</v>
      </c>
    </row>
    <row r="1030" spans="1:26" x14ac:dyDescent="0.25">
      <c r="A1030" s="55" t="str">
        <f>_xlfn.XLOOKUP($G1030,'.Auxiliar'!$G:$G,'.Auxiliar'!A:A,"-",0)</f>
        <v>RIO/SP</v>
      </c>
      <c r="B1030" s="55" t="str">
        <f>_xlfn.XLOOKUP($G1030,'.Auxiliar'!$G:$G,'.Auxiliar'!B:B,"-",0)</f>
        <v>OAE</v>
      </c>
      <c r="C1030" s="55" t="str">
        <f>_xlfn.XLOOKUP($G1030,'.Auxiliar'!$G:$G,'.Auxiliar'!C:C,"-",0)</f>
        <v>Ponte</v>
      </c>
      <c r="D1030" s="55">
        <f>_xlfn.XLOOKUP($G1030,'.Auxiliar'!$G:$G,'.Auxiliar'!D:D,"-",0)</f>
        <v>26.411000000000001</v>
      </c>
      <c r="E1030" s="55">
        <f>_xlfn.XLOOKUP($G1030,'.Auxiliar'!$G:$G,'.Auxiliar'!E:E,"-",0)</f>
        <v>26.411000000000001</v>
      </c>
      <c r="F1030" s="55">
        <f>_xlfn.XLOOKUP($G1030,'.Auxiliar'!$G:$G,'.Auxiliar'!F:F,"-",0)</f>
        <v>1</v>
      </c>
      <c r="G1030" s="59" t="s">
        <v>1379</v>
      </c>
      <c r="H1030" s="108" t="s">
        <v>0</v>
      </c>
      <c r="I1030" s="109" t="s">
        <v>0</v>
      </c>
      <c r="J1030" s="109" t="s">
        <v>0</v>
      </c>
      <c r="K1030" s="109" t="s">
        <v>0</v>
      </c>
      <c r="L1030" s="109" t="s">
        <v>0</v>
      </c>
      <c r="M1030" s="109" t="s">
        <v>0</v>
      </c>
      <c r="N1030" s="110" t="s">
        <v>363</v>
      </c>
      <c r="O1030" s="111"/>
      <c r="P1030" s="112"/>
      <c r="Q1030" s="112"/>
      <c r="R1030" s="112"/>
      <c r="S1030" s="112"/>
      <c r="T1030" s="112"/>
      <c r="U1030" s="95" t="str">
        <f t="shared" si="51"/>
        <v/>
      </c>
      <c r="V1030" s="112"/>
      <c r="W1030" s="112"/>
      <c r="X1030" s="107">
        <v>100</v>
      </c>
      <c r="Y1030" s="107">
        <f t="shared" si="52"/>
        <v>100</v>
      </c>
      <c r="Z1030" s="107">
        <f t="shared" si="53"/>
        <v>0</v>
      </c>
    </row>
    <row r="1031" spans="1:26" x14ac:dyDescent="0.25">
      <c r="A1031" s="55" t="str">
        <f>_xlfn.XLOOKUP($G1031,'.Auxiliar'!$G:$G,'.Auxiliar'!A:A,"-",0)</f>
        <v>RIO/SP</v>
      </c>
      <c r="B1031" s="55" t="str">
        <f>_xlfn.XLOOKUP($G1031,'.Auxiliar'!$G:$G,'.Auxiliar'!B:B,"-",0)</f>
        <v>OAE</v>
      </c>
      <c r="C1031" s="55" t="str">
        <f>_xlfn.XLOOKUP($G1031,'.Auxiliar'!$G:$G,'.Auxiliar'!C:C,"-",0)</f>
        <v>Ponte</v>
      </c>
      <c r="D1031" s="55">
        <f>_xlfn.XLOOKUP($G1031,'.Auxiliar'!$G:$G,'.Auxiliar'!D:D,"-",0)</f>
        <v>263.58</v>
      </c>
      <c r="E1031" s="55">
        <f>_xlfn.XLOOKUP($G1031,'.Auxiliar'!$G:$G,'.Auxiliar'!E:E,"-",0)</f>
        <v>263.58</v>
      </c>
      <c r="F1031" s="55">
        <f>_xlfn.XLOOKUP($G1031,'.Auxiliar'!$G:$G,'.Auxiliar'!F:F,"-",0)</f>
        <v>1</v>
      </c>
      <c r="G1031" s="59" t="s">
        <v>1431</v>
      </c>
      <c r="H1031" s="108" t="s">
        <v>0</v>
      </c>
      <c r="I1031" s="109" t="s">
        <v>0</v>
      </c>
      <c r="J1031" s="109" t="s">
        <v>0</v>
      </c>
      <c r="K1031" s="109" t="s">
        <v>0</v>
      </c>
      <c r="L1031" s="109" t="s">
        <v>0</v>
      </c>
      <c r="M1031" s="109" t="s">
        <v>0</v>
      </c>
      <c r="N1031" s="110" t="s">
        <v>363</v>
      </c>
      <c r="O1031" s="111"/>
      <c r="P1031" s="112"/>
      <c r="Q1031" s="112"/>
      <c r="R1031" s="112"/>
      <c r="S1031" s="112"/>
      <c r="T1031" s="112"/>
      <c r="U1031" s="95" t="str">
        <f t="shared" si="51"/>
        <v/>
      </c>
      <c r="V1031" s="112"/>
      <c r="W1031" s="112"/>
      <c r="X1031" s="107">
        <v>100</v>
      </c>
      <c r="Y1031" s="107">
        <f t="shared" si="52"/>
        <v>100</v>
      </c>
      <c r="Z1031" s="107">
        <f t="shared" si="53"/>
        <v>0</v>
      </c>
    </row>
    <row r="1032" spans="1:26" x14ac:dyDescent="0.25">
      <c r="A1032" s="55" t="str">
        <f>_xlfn.XLOOKUP($G1032,'.Auxiliar'!$G:$G,'.Auxiliar'!A:A,"-",0)</f>
        <v>RIO/SP</v>
      </c>
      <c r="B1032" s="55" t="str">
        <f>_xlfn.XLOOKUP($G1032,'.Auxiliar'!$G:$G,'.Auxiliar'!B:B,"-",0)</f>
        <v>OAE</v>
      </c>
      <c r="C1032" s="55" t="str">
        <f>_xlfn.XLOOKUP($G1032,'.Auxiliar'!$G:$G,'.Auxiliar'!C:C,"-",0)</f>
        <v>Ponte</v>
      </c>
      <c r="D1032" s="55">
        <f>_xlfn.XLOOKUP($G1032,'.Auxiliar'!$G:$G,'.Auxiliar'!D:D,"-",0)</f>
        <v>268.08999999999997</v>
      </c>
      <c r="E1032" s="55">
        <f>_xlfn.XLOOKUP($G1032,'.Auxiliar'!$G:$G,'.Auxiliar'!E:E,"-",0)</f>
        <v>268.08999999999997</v>
      </c>
      <c r="F1032" s="55">
        <f>_xlfn.XLOOKUP($G1032,'.Auxiliar'!$G:$G,'.Auxiliar'!F:F,"-",0)</f>
        <v>1</v>
      </c>
      <c r="G1032" s="59" t="s">
        <v>1432</v>
      </c>
      <c r="H1032" s="108" t="s">
        <v>0</v>
      </c>
      <c r="I1032" s="109" t="s">
        <v>0</v>
      </c>
      <c r="J1032" s="109" t="s">
        <v>0</v>
      </c>
      <c r="K1032" s="109" t="s">
        <v>0</v>
      </c>
      <c r="L1032" s="109" t="s">
        <v>0</v>
      </c>
      <c r="M1032" s="109" t="s">
        <v>0</v>
      </c>
      <c r="N1032" s="110" t="s">
        <v>363</v>
      </c>
      <c r="O1032" s="111"/>
      <c r="P1032" s="112"/>
      <c r="Q1032" s="112"/>
      <c r="R1032" s="112"/>
      <c r="S1032" s="112"/>
      <c r="T1032" s="112"/>
      <c r="U1032" s="95" t="str">
        <f t="shared" si="51"/>
        <v/>
      </c>
      <c r="V1032" s="112"/>
      <c r="W1032" s="112"/>
      <c r="X1032" s="107">
        <v>100</v>
      </c>
      <c r="Y1032" s="107">
        <f t="shared" si="52"/>
        <v>100</v>
      </c>
      <c r="Z1032" s="107">
        <f t="shared" si="53"/>
        <v>0</v>
      </c>
    </row>
    <row r="1033" spans="1:26" x14ac:dyDescent="0.25">
      <c r="A1033" s="55" t="str">
        <f>_xlfn.XLOOKUP($G1033,'.Auxiliar'!$G:$G,'.Auxiliar'!A:A,"-",0)</f>
        <v>RIO/SP</v>
      </c>
      <c r="B1033" s="55" t="str">
        <f>_xlfn.XLOOKUP($G1033,'.Auxiliar'!$G:$G,'.Auxiliar'!B:B,"-",0)</f>
        <v>OAE</v>
      </c>
      <c r="C1033" s="55" t="str">
        <f>_xlfn.XLOOKUP($G1033,'.Auxiliar'!$G:$G,'.Auxiliar'!C:C,"-",0)</f>
        <v>Ponte</v>
      </c>
      <c r="D1033" s="55">
        <f>_xlfn.XLOOKUP($G1033,'.Auxiliar'!$G:$G,'.Auxiliar'!D:D,"-",0)</f>
        <v>268.89999999999998</v>
      </c>
      <c r="E1033" s="55">
        <f>_xlfn.XLOOKUP($G1033,'.Auxiliar'!$G:$G,'.Auxiliar'!E:E,"-",0)</f>
        <v>268.89999999999998</v>
      </c>
      <c r="F1033" s="55">
        <f>_xlfn.XLOOKUP($G1033,'.Auxiliar'!$G:$G,'.Auxiliar'!F:F,"-",0)</f>
        <v>1</v>
      </c>
      <c r="G1033" s="59" t="s">
        <v>1433</v>
      </c>
      <c r="H1033" s="108" t="s">
        <v>0</v>
      </c>
      <c r="I1033" s="109" t="s">
        <v>0</v>
      </c>
      <c r="J1033" s="109" t="s">
        <v>0</v>
      </c>
      <c r="K1033" s="109" t="s">
        <v>0</v>
      </c>
      <c r="L1033" s="109" t="s">
        <v>0</v>
      </c>
      <c r="M1033" s="109" t="s">
        <v>0</v>
      </c>
      <c r="N1033" s="110" t="s">
        <v>363</v>
      </c>
      <c r="O1033" s="111"/>
      <c r="P1033" s="112"/>
      <c r="Q1033" s="112"/>
      <c r="R1033" s="112"/>
      <c r="S1033" s="112"/>
      <c r="T1033" s="112"/>
      <c r="U1033" s="95" t="str">
        <f t="shared" si="51"/>
        <v/>
      </c>
      <c r="V1033" s="112"/>
      <c r="W1033" s="112"/>
      <c r="X1033" s="107">
        <v>100</v>
      </c>
      <c r="Y1033" s="107">
        <f t="shared" si="52"/>
        <v>100</v>
      </c>
      <c r="Z1033" s="107">
        <f t="shared" si="53"/>
        <v>0</v>
      </c>
    </row>
    <row r="1034" spans="1:26" x14ac:dyDescent="0.25">
      <c r="A1034" s="55" t="str">
        <f>_xlfn.XLOOKUP($G1034,'.Auxiliar'!$G:$G,'.Auxiliar'!A:A,"-",0)</f>
        <v>RIO/SP</v>
      </c>
      <c r="B1034" s="55" t="str">
        <f>_xlfn.XLOOKUP($G1034,'.Auxiliar'!$G:$G,'.Auxiliar'!B:B,"-",0)</f>
        <v>OAE</v>
      </c>
      <c r="C1034" s="55" t="str">
        <f>_xlfn.XLOOKUP($G1034,'.Auxiliar'!$G:$G,'.Auxiliar'!C:C,"-",0)</f>
        <v>Ponte</v>
      </c>
      <c r="D1034" s="55">
        <f>_xlfn.XLOOKUP($G1034,'.Auxiliar'!$G:$G,'.Auxiliar'!D:D,"-",0)</f>
        <v>283.64</v>
      </c>
      <c r="E1034" s="55">
        <f>_xlfn.XLOOKUP($G1034,'.Auxiliar'!$G:$G,'.Auxiliar'!E:E,"-",0)</f>
        <v>283.64</v>
      </c>
      <c r="F1034" s="55">
        <f>_xlfn.XLOOKUP($G1034,'.Auxiliar'!$G:$G,'.Auxiliar'!F:F,"-",0)</f>
        <v>1</v>
      </c>
      <c r="G1034" s="59" t="s">
        <v>1435</v>
      </c>
      <c r="H1034" s="108" t="s">
        <v>0</v>
      </c>
      <c r="I1034" s="109" t="s">
        <v>0</v>
      </c>
      <c r="J1034" s="109" t="s">
        <v>0</v>
      </c>
      <c r="K1034" s="109" t="s">
        <v>0</v>
      </c>
      <c r="L1034" s="109" t="s">
        <v>0</v>
      </c>
      <c r="M1034" s="109" t="s">
        <v>0</v>
      </c>
      <c r="N1034" s="110" t="s">
        <v>363</v>
      </c>
      <c r="O1034" s="111"/>
      <c r="P1034" s="112"/>
      <c r="Q1034" s="112"/>
      <c r="R1034" s="112"/>
      <c r="S1034" s="112"/>
      <c r="T1034" s="112"/>
      <c r="U1034" s="95" t="str">
        <f t="shared" si="51"/>
        <v/>
      </c>
      <c r="V1034" s="112"/>
      <c r="W1034" s="112"/>
      <c r="X1034" s="107">
        <v>100</v>
      </c>
      <c r="Y1034" s="107">
        <f t="shared" si="52"/>
        <v>100</v>
      </c>
      <c r="Z1034" s="107">
        <f t="shared" si="53"/>
        <v>0</v>
      </c>
    </row>
    <row r="1035" spans="1:26" x14ac:dyDescent="0.25">
      <c r="A1035" s="55" t="str">
        <f>_xlfn.XLOOKUP($G1035,'.Auxiliar'!$G:$G,'.Auxiliar'!A:A,"-",0)</f>
        <v>RIO/SP</v>
      </c>
      <c r="B1035" s="55" t="str">
        <f>_xlfn.XLOOKUP($G1035,'.Auxiliar'!$G:$G,'.Auxiliar'!B:B,"-",0)</f>
        <v>OAE</v>
      </c>
      <c r="C1035" s="55" t="str">
        <f>_xlfn.XLOOKUP($G1035,'.Auxiliar'!$G:$G,'.Auxiliar'!C:C,"-",0)</f>
        <v>Ponte</v>
      </c>
      <c r="D1035" s="55">
        <f>_xlfn.XLOOKUP($G1035,'.Auxiliar'!$G:$G,'.Auxiliar'!D:D,"-",0)</f>
        <v>294.39</v>
      </c>
      <c r="E1035" s="55">
        <f>_xlfn.XLOOKUP($G1035,'.Auxiliar'!$G:$G,'.Auxiliar'!E:E,"-",0)</f>
        <v>294.39</v>
      </c>
      <c r="F1035" s="55">
        <f>_xlfn.XLOOKUP($G1035,'.Auxiliar'!$G:$G,'.Auxiliar'!F:F,"-",0)</f>
        <v>1</v>
      </c>
      <c r="G1035" s="59" t="s">
        <v>1305</v>
      </c>
      <c r="H1035" s="108" t="s">
        <v>0</v>
      </c>
      <c r="I1035" s="109" t="s">
        <v>0</v>
      </c>
      <c r="J1035" s="109" t="s">
        <v>0</v>
      </c>
      <c r="K1035" s="109" t="s">
        <v>0</v>
      </c>
      <c r="L1035" s="109" t="s">
        <v>0</v>
      </c>
      <c r="M1035" s="109" t="s">
        <v>363</v>
      </c>
      <c r="N1035" s="110" t="s">
        <v>0</v>
      </c>
      <c r="O1035" s="111"/>
      <c r="P1035" s="112"/>
      <c r="Q1035" s="112"/>
      <c r="R1035" s="112"/>
      <c r="S1035" s="112"/>
      <c r="T1035" s="112"/>
      <c r="U1035" s="95" t="str">
        <f t="shared" si="51"/>
        <v/>
      </c>
      <c r="V1035" s="112"/>
      <c r="W1035" s="112">
        <v>100</v>
      </c>
      <c r="X1035" s="107"/>
      <c r="Y1035" s="107">
        <f t="shared" si="52"/>
        <v>100</v>
      </c>
      <c r="Z1035" s="107">
        <f t="shared" si="53"/>
        <v>0</v>
      </c>
    </row>
    <row r="1036" spans="1:26" x14ac:dyDescent="0.25">
      <c r="A1036" s="55" t="str">
        <f>_xlfn.XLOOKUP($G1036,'.Auxiliar'!$G:$G,'.Auxiliar'!A:A,"-",0)</f>
        <v>RIO/SP</v>
      </c>
      <c r="B1036" s="55" t="str">
        <f>_xlfn.XLOOKUP($G1036,'.Auxiliar'!$G:$G,'.Auxiliar'!B:B,"-",0)</f>
        <v>OAE</v>
      </c>
      <c r="C1036" s="55" t="str">
        <f>_xlfn.XLOOKUP($G1036,'.Auxiliar'!$G:$G,'.Auxiliar'!C:C,"-",0)</f>
        <v>Ponte</v>
      </c>
      <c r="D1036" s="55">
        <f>_xlfn.XLOOKUP($G1036,'.Auxiliar'!$G:$G,'.Auxiliar'!D:D,"-",0)</f>
        <v>303.27</v>
      </c>
      <c r="E1036" s="55">
        <f>_xlfn.XLOOKUP($G1036,'.Auxiliar'!$G:$G,'.Auxiliar'!E:E,"-",0)</f>
        <v>303.27</v>
      </c>
      <c r="F1036" s="55">
        <f>_xlfn.XLOOKUP($G1036,'.Auxiliar'!$G:$G,'.Auxiliar'!F:F,"-",0)</f>
        <v>2</v>
      </c>
      <c r="G1036" s="59" t="s">
        <v>1306</v>
      </c>
      <c r="H1036" s="108" t="s">
        <v>0</v>
      </c>
      <c r="I1036" s="109" t="s">
        <v>0</v>
      </c>
      <c r="J1036" s="109" t="s">
        <v>0</v>
      </c>
      <c r="K1036" s="109" t="s">
        <v>0</v>
      </c>
      <c r="L1036" s="109" t="s">
        <v>0</v>
      </c>
      <c r="M1036" s="109" t="s">
        <v>363</v>
      </c>
      <c r="N1036" s="110" t="s">
        <v>0</v>
      </c>
      <c r="O1036" s="111"/>
      <c r="P1036" s="112"/>
      <c r="Q1036" s="112"/>
      <c r="R1036" s="112"/>
      <c r="S1036" s="112"/>
      <c r="T1036" s="112"/>
      <c r="U1036" s="95" t="str">
        <f t="shared" si="51"/>
        <v/>
      </c>
      <c r="V1036" s="112"/>
      <c r="W1036" s="112">
        <v>100</v>
      </c>
      <c r="X1036" s="107"/>
      <c r="Y1036" s="107">
        <f t="shared" si="52"/>
        <v>100</v>
      </c>
      <c r="Z1036" s="107">
        <f t="shared" si="53"/>
        <v>0</v>
      </c>
    </row>
    <row r="1037" spans="1:26" x14ac:dyDescent="0.25">
      <c r="A1037" s="55" t="str">
        <f>_xlfn.XLOOKUP($G1037,'.Auxiliar'!$G:$G,'.Auxiliar'!A:A,"-",0)</f>
        <v>RIO/SP</v>
      </c>
      <c r="B1037" s="55" t="str">
        <f>_xlfn.XLOOKUP($G1037,'.Auxiliar'!$G:$G,'.Auxiliar'!B:B,"-",0)</f>
        <v>OAE</v>
      </c>
      <c r="C1037" s="55" t="str">
        <f>_xlfn.XLOOKUP($G1037,'.Auxiliar'!$G:$G,'.Auxiliar'!C:C,"-",0)</f>
        <v>Ponte</v>
      </c>
      <c r="D1037" s="55">
        <f>_xlfn.XLOOKUP($G1037,'.Auxiliar'!$G:$G,'.Auxiliar'!D:D,"-",0)</f>
        <v>308.27999999999997</v>
      </c>
      <c r="E1037" s="55">
        <f>_xlfn.XLOOKUP($G1037,'.Auxiliar'!$G:$G,'.Auxiliar'!E:E,"-",0)</f>
        <v>308.27999999999997</v>
      </c>
      <c r="F1037" s="55">
        <f>_xlfn.XLOOKUP($G1037,'.Auxiliar'!$G:$G,'.Auxiliar'!F:F,"-",0)</f>
        <v>1</v>
      </c>
      <c r="G1037" s="59" t="s">
        <v>1434</v>
      </c>
      <c r="H1037" s="108" t="s">
        <v>0</v>
      </c>
      <c r="I1037" s="109" t="s">
        <v>0</v>
      </c>
      <c r="J1037" s="109" t="s">
        <v>0</v>
      </c>
      <c r="K1037" s="109" t="s">
        <v>0</v>
      </c>
      <c r="L1037" s="109" t="s">
        <v>0</v>
      </c>
      <c r="M1037" s="109" t="s">
        <v>0</v>
      </c>
      <c r="N1037" s="110" t="s">
        <v>363</v>
      </c>
      <c r="O1037" s="111"/>
      <c r="P1037" s="112"/>
      <c r="Q1037" s="112"/>
      <c r="R1037" s="112"/>
      <c r="S1037" s="112"/>
      <c r="T1037" s="112"/>
      <c r="U1037" s="95" t="str">
        <f t="shared" si="51"/>
        <v/>
      </c>
      <c r="V1037" s="112"/>
      <c r="W1037" s="112"/>
      <c r="X1037" s="107">
        <v>100</v>
      </c>
      <c r="Y1037" s="107">
        <f t="shared" si="52"/>
        <v>100</v>
      </c>
      <c r="Z1037" s="107">
        <f t="shared" si="53"/>
        <v>0</v>
      </c>
    </row>
    <row r="1038" spans="1:26" x14ac:dyDescent="0.25">
      <c r="A1038" s="55" t="str">
        <f>_xlfn.XLOOKUP($G1038,'.Auxiliar'!$G:$G,'.Auxiliar'!A:A,"-",0)</f>
        <v>RIO/SP</v>
      </c>
      <c r="B1038" s="55" t="str">
        <f>_xlfn.XLOOKUP($G1038,'.Auxiliar'!$G:$G,'.Auxiliar'!B:B,"-",0)</f>
        <v>OAE</v>
      </c>
      <c r="C1038" s="55" t="str">
        <f>_xlfn.XLOOKUP($G1038,'.Auxiliar'!$G:$G,'.Auxiliar'!C:C,"-",0)</f>
        <v>Ponte</v>
      </c>
      <c r="D1038" s="55">
        <f>_xlfn.XLOOKUP($G1038,'.Auxiliar'!$G:$G,'.Auxiliar'!D:D,"-",0)</f>
        <v>310.67</v>
      </c>
      <c r="E1038" s="55">
        <f>_xlfn.XLOOKUP($G1038,'.Auxiliar'!$G:$G,'.Auxiliar'!E:E,"-",0)</f>
        <v>310.67</v>
      </c>
      <c r="F1038" s="55">
        <f>_xlfn.XLOOKUP($G1038,'.Auxiliar'!$G:$G,'.Auxiliar'!F:F,"-",0)</f>
        <v>1</v>
      </c>
      <c r="G1038" s="59" t="s">
        <v>1436</v>
      </c>
      <c r="H1038" s="108" t="s">
        <v>0</v>
      </c>
      <c r="I1038" s="109" t="s">
        <v>0</v>
      </c>
      <c r="J1038" s="109" t="s">
        <v>0</v>
      </c>
      <c r="K1038" s="109" t="s">
        <v>0</v>
      </c>
      <c r="L1038" s="109" t="s">
        <v>0</v>
      </c>
      <c r="M1038" s="109" t="s">
        <v>0</v>
      </c>
      <c r="N1038" s="110" t="s">
        <v>363</v>
      </c>
      <c r="O1038" s="111"/>
      <c r="P1038" s="112"/>
      <c r="Q1038" s="112"/>
      <c r="R1038" s="112"/>
      <c r="S1038" s="112"/>
      <c r="T1038" s="112"/>
      <c r="U1038" s="95" t="str">
        <f t="shared" si="51"/>
        <v/>
      </c>
      <c r="V1038" s="112"/>
      <c r="W1038" s="112"/>
      <c r="X1038" s="107">
        <v>100</v>
      </c>
      <c r="Y1038" s="107">
        <f t="shared" si="52"/>
        <v>100</v>
      </c>
      <c r="Z1038" s="107">
        <f t="shared" si="53"/>
        <v>0</v>
      </c>
    </row>
    <row r="1039" spans="1:26" x14ac:dyDescent="0.25">
      <c r="A1039" s="55" t="str">
        <f>_xlfn.XLOOKUP($G1039,'.Auxiliar'!$G:$G,'.Auxiliar'!A:A,"-",0)</f>
        <v>RIO/SP</v>
      </c>
      <c r="B1039" s="55" t="str">
        <f>_xlfn.XLOOKUP($G1039,'.Auxiliar'!$G:$G,'.Auxiliar'!B:B,"-",0)</f>
        <v>OAE</v>
      </c>
      <c r="C1039" s="55" t="str">
        <f>_xlfn.XLOOKUP($G1039,'.Auxiliar'!$G:$G,'.Auxiliar'!C:C,"-",0)</f>
        <v>Ponte</v>
      </c>
      <c r="D1039" s="55">
        <f>_xlfn.XLOOKUP($G1039,'.Auxiliar'!$G:$G,'.Auxiliar'!D:D,"-",0)</f>
        <v>316.51</v>
      </c>
      <c r="E1039" s="55">
        <f>_xlfn.XLOOKUP($G1039,'.Auxiliar'!$G:$G,'.Auxiliar'!E:E,"-",0)</f>
        <v>316.51</v>
      </c>
      <c r="F1039" s="55">
        <f>_xlfn.XLOOKUP($G1039,'.Auxiliar'!$G:$G,'.Auxiliar'!F:F,"-",0)</f>
        <v>1</v>
      </c>
      <c r="G1039" s="59" t="s">
        <v>1442</v>
      </c>
      <c r="H1039" s="108" t="s">
        <v>0</v>
      </c>
      <c r="I1039" s="109" t="s">
        <v>0</v>
      </c>
      <c r="J1039" s="109" t="s">
        <v>0</v>
      </c>
      <c r="K1039" s="109" t="s">
        <v>0</v>
      </c>
      <c r="L1039" s="109" t="s">
        <v>0</v>
      </c>
      <c r="M1039" s="109" t="s">
        <v>0</v>
      </c>
      <c r="N1039" s="110" t="s">
        <v>363</v>
      </c>
      <c r="O1039" s="111"/>
      <c r="P1039" s="112"/>
      <c r="Q1039" s="112"/>
      <c r="R1039" s="112"/>
      <c r="S1039" s="112"/>
      <c r="T1039" s="112"/>
      <c r="U1039" s="95" t="str">
        <f t="shared" si="51"/>
        <v/>
      </c>
      <c r="V1039" s="112"/>
      <c r="W1039" s="112"/>
      <c r="X1039" s="107">
        <v>100</v>
      </c>
      <c r="Y1039" s="107">
        <f t="shared" si="52"/>
        <v>100</v>
      </c>
      <c r="Z1039" s="107">
        <f t="shared" si="53"/>
        <v>0</v>
      </c>
    </row>
    <row r="1040" spans="1:26" x14ac:dyDescent="0.25">
      <c r="A1040" s="55" t="str">
        <f>_xlfn.XLOOKUP($G1040,'.Auxiliar'!$G:$G,'.Auxiliar'!A:A,"-",0)</f>
        <v>RIO/SP</v>
      </c>
      <c r="B1040" s="55" t="str">
        <f>_xlfn.XLOOKUP($G1040,'.Auxiliar'!$G:$G,'.Auxiliar'!B:B,"-",0)</f>
        <v>OAE</v>
      </c>
      <c r="C1040" s="55" t="str">
        <f>_xlfn.XLOOKUP($G1040,'.Auxiliar'!$G:$G,'.Auxiliar'!C:C,"-",0)</f>
        <v>Ponte</v>
      </c>
      <c r="D1040" s="55">
        <f>_xlfn.XLOOKUP($G1040,'.Auxiliar'!$G:$G,'.Auxiliar'!D:D,"-",0)</f>
        <v>323.58999999999997</v>
      </c>
      <c r="E1040" s="55">
        <f>_xlfn.XLOOKUP($G1040,'.Auxiliar'!$G:$G,'.Auxiliar'!E:E,"-",0)</f>
        <v>323.58999999999997</v>
      </c>
      <c r="F1040" s="55">
        <f>_xlfn.XLOOKUP($G1040,'.Auxiliar'!$G:$G,'.Auxiliar'!F:F,"-",0)</f>
        <v>1</v>
      </c>
      <c r="G1040" s="59" t="s">
        <v>1443</v>
      </c>
      <c r="H1040" s="108" t="s">
        <v>0</v>
      </c>
      <c r="I1040" s="109" t="s">
        <v>0</v>
      </c>
      <c r="J1040" s="109" t="s">
        <v>0</v>
      </c>
      <c r="K1040" s="109" t="s">
        <v>0</v>
      </c>
      <c r="L1040" s="109" t="s">
        <v>0</v>
      </c>
      <c r="M1040" s="109" t="s">
        <v>0</v>
      </c>
      <c r="N1040" s="110" t="s">
        <v>363</v>
      </c>
      <c r="O1040" s="111"/>
      <c r="P1040" s="112"/>
      <c r="Q1040" s="112"/>
      <c r="R1040" s="112"/>
      <c r="S1040" s="112"/>
      <c r="T1040" s="112"/>
      <c r="U1040" s="95" t="str">
        <f t="shared" si="51"/>
        <v/>
      </c>
      <c r="V1040" s="112"/>
      <c r="W1040" s="112"/>
      <c r="X1040" s="107">
        <v>100</v>
      </c>
      <c r="Y1040" s="107">
        <f t="shared" si="52"/>
        <v>100</v>
      </c>
      <c r="Z1040" s="107">
        <f t="shared" si="53"/>
        <v>0</v>
      </c>
    </row>
    <row r="1041" spans="1:26" x14ac:dyDescent="0.25">
      <c r="A1041" s="55" t="str">
        <f>_xlfn.XLOOKUP($G1041,'.Auxiliar'!$G:$G,'.Auxiliar'!A:A,"-",0)</f>
        <v>RIO/SP</v>
      </c>
      <c r="B1041" s="55" t="str">
        <f>_xlfn.XLOOKUP($G1041,'.Auxiliar'!$G:$G,'.Auxiliar'!B:B,"-",0)</f>
        <v>OAE</v>
      </c>
      <c r="C1041" s="55" t="str">
        <f>_xlfn.XLOOKUP($G1041,'.Auxiliar'!$G:$G,'.Auxiliar'!C:C,"-",0)</f>
        <v>Ponte</v>
      </c>
      <c r="D1041" s="55">
        <f>_xlfn.XLOOKUP($G1041,'.Auxiliar'!$G:$G,'.Auxiliar'!D:D,"-",0)</f>
        <v>328.65</v>
      </c>
      <c r="E1041" s="55">
        <f>_xlfn.XLOOKUP($G1041,'.Auxiliar'!$G:$G,'.Auxiliar'!E:E,"-",0)</f>
        <v>328.65</v>
      </c>
      <c r="F1041" s="55">
        <f>_xlfn.XLOOKUP($G1041,'.Auxiliar'!$G:$G,'.Auxiliar'!F:F,"-",0)</f>
        <v>1</v>
      </c>
      <c r="G1041" s="59" t="s">
        <v>1444</v>
      </c>
      <c r="H1041" s="108" t="s">
        <v>0</v>
      </c>
      <c r="I1041" s="109" t="s">
        <v>0</v>
      </c>
      <c r="J1041" s="109" t="s">
        <v>0</v>
      </c>
      <c r="K1041" s="109" t="s">
        <v>0</v>
      </c>
      <c r="L1041" s="109" t="s">
        <v>0</v>
      </c>
      <c r="M1041" s="109" t="s">
        <v>0</v>
      </c>
      <c r="N1041" s="110" t="s">
        <v>363</v>
      </c>
      <c r="O1041" s="111"/>
      <c r="P1041" s="112"/>
      <c r="Q1041" s="112"/>
      <c r="R1041" s="112"/>
      <c r="S1041" s="112"/>
      <c r="T1041" s="112"/>
      <c r="U1041" s="95" t="str">
        <f t="shared" si="51"/>
        <v/>
      </c>
      <c r="V1041" s="112"/>
      <c r="W1041" s="112"/>
      <c r="X1041" s="107">
        <v>100</v>
      </c>
      <c r="Y1041" s="107">
        <f t="shared" si="52"/>
        <v>100</v>
      </c>
      <c r="Z1041" s="107">
        <f t="shared" si="53"/>
        <v>0</v>
      </c>
    </row>
    <row r="1042" spans="1:26" x14ac:dyDescent="0.25">
      <c r="A1042" s="55" t="str">
        <f>_xlfn.XLOOKUP($G1042,'.Auxiliar'!$G:$G,'.Auxiliar'!A:A,"-",0)</f>
        <v>RIO/SP</v>
      </c>
      <c r="B1042" s="55" t="str">
        <f>_xlfn.XLOOKUP($G1042,'.Auxiliar'!$G:$G,'.Auxiliar'!B:B,"-",0)</f>
        <v>OAE</v>
      </c>
      <c r="C1042" s="55" t="str">
        <f>_xlfn.XLOOKUP($G1042,'.Auxiliar'!$G:$G,'.Auxiliar'!C:C,"-",0)</f>
        <v>Ponte</v>
      </c>
      <c r="D1042" s="55">
        <f>_xlfn.XLOOKUP($G1042,'.Auxiliar'!$G:$G,'.Auxiliar'!D:D,"-",0)</f>
        <v>329.00799999999998</v>
      </c>
      <c r="E1042" s="55">
        <f>_xlfn.XLOOKUP($G1042,'.Auxiliar'!$G:$G,'.Auxiliar'!E:E,"-",0)</f>
        <v>329.00799999999998</v>
      </c>
      <c r="F1042" s="55">
        <f>_xlfn.XLOOKUP($G1042,'.Auxiliar'!$G:$G,'.Auxiliar'!F:F,"-",0)</f>
        <v>1</v>
      </c>
      <c r="G1042" s="59" t="s">
        <v>1445</v>
      </c>
      <c r="H1042" s="108" t="s">
        <v>0</v>
      </c>
      <c r="I1042" s="109" t="s">
        <v>0</v>
      </c>
      <c r="J1042" s="109" t="s">
        <v>0</v>
      </c>
      <c r="K1042" s="109" t="s">
        <v>0</v>
      </c>
      <c r="L1042" s="109" t="s">
        <v>0</v>
      </c>
      <c r="M1042" s="109" t="s">
        <v>0</v>
      </c>
      <c r="N1042" s="110" t="s">
        <v>363</v>
      </c>
      <c r="O1042" s="111"/>
      <c r="P1042" s="112"/>
      <c r="Q1042" s="112"/>
      <c r="R1042" s="112"/>
      <c r="S1042" s="112"/>
      <c r="T1042" s="112"/>
      <c r="U1042" s="95" t="str">
        <f t="shared" si="51"/>
        <v/>
      </c>
      <c r="V1042" s="112"/>
      <c r="W1042" s="112"/>
      <c r="X1042" s="107">
        <v>100</v>
      </c>
      <c r="Y1042" s="107">
        <f t="shared" si="52"/>
        <v>100</v>
      </c>
      <c r="Z1042" s="107">
        <f t="shared" si="53"/>
        <v>0</v>
      </c>
    </row>
    <row r="1043" spans="1:26" x14ac:dyDescent="0.25">
      <c r="A1043" s="55" t="str">
        <f>_xlfn.XLOOKUP($G1043,'.Auxiliar'!$G:$G,'.Auxiliar'!A:A,"-",0)</f>
        <v>RIO/SP</v>
      </c>
      <c r="B1043" s="55" t="str">
        <f>_xlfn.XLOOKUP($G1043,'.Auxiliar'!$G:$G,'.Auxiliar'!B:B,"-",0)</f>
        <v>OAE</v>
      </c>
      <c r="C1043" s="55" t="str">
        <f>_xlfn.XLOOKUP($G1043,'.Auxiliar'!$G:$G,'.Auxiliar'!C:C,"-",0)</f>
        <v>Ponte</v>
      </c>
      <c r="D1043" s="55">
        <f>_xlfn.XLOOKUP($G1043,'.Auxiliar'!$G:$G,'.Auxiliar'!D:D,"-",0)</f>
        <v>329.85</v>
      </c>
      <c r="E1043" s="55">
        <f>_xlfn.XLOOKUP($G1043,'.Auxiliar'!$G:$G,'.Auxiliar'!E:E,"-",0)</f>
        <v>329.85</v>
      </c>
      <c r="F1043" s="55">
        <f>_xlfn.XLOOKUP($G1043,'.Auxiliar'!$G:$G,'.Auxiliar'!F:F,"-",0)</f>
        <v>1</v>
      </c>
      <c r="G1043" s="59" t="s">
        <v>1446</v>
      </c>
      <c r="H1043" s="108" t="s">
        <v>0</v>
      </c>
      <c r="I1043" s="109" t="s">
        <v>0</v>
      </c>
      <c r="J1043" s="109" t="s">
        <v>0</v>
      </c>
      <c r="K1043" s="109" t="s">
        <v>0</v>
      </c>
      <c r="L1043" s="109" t="s">
        <v>0</v>
      </c>
      <c r="M1043" s="109" t="s">
        <v>0</v>
      </c>
      <c r="N1043" s="110" t="s">
        <v>363</v>
      </c>
      <c r="O1043" s="111"/>
      <c r="P1043" s="112"/>
      <c r="Q1043" s="112"/>
      <c r="R1043" s="112"/>
      <c r="S1043" s="112"/>
      <c r="T1043" s="112"/>
      <c r="U1043" s="95" t="str">
        <f t="shared" si="51"/>
        <v/>
      </c>
      <c r="V1043" s="112"/>
      <c r="W1043" s="112"/>
      <c r="X1043" s="107">
        <v>100</v>
      </c>
      <c r="Y1043" s="107">
        <f t="shared" si="52"/>
        <v>100</v>
      </c>
      <c r="Z1043" s="107">
        <f t="shared" si="53"/>
        <v>0</v>
      </c>
    </row>
    <row r="1044" spans="1:26" x14ac:dyDescent="0.25">
      <c r="A1044" s="55" t="str">
        <f>_xlfn.XLOOKUP($G1044,'.Auxiliar'!$G:$G,'.Auxiliar'!A:A,"-",0)</f>
        <v>RIO/SP</v>
      </c>
      <c r="B1044" s="55" t="str">
        <f>_xlfn.XLOOKUP($G1044,'.Auxiliar'!$G:$G,'.Auxiliar'!B:B,"-",0)</f>
        <v>OAE</v>
      </c>
      <c r="C1044" s="55" t="str">
        <f>_xlfn.XLOOKUP($G1044,'.Auxiliar'!$G:$G,'.Auxiliar'!C:C,"-",0)</f>
        <v>Ponte</v>
      </c>
      <c r="D1044" s="55">
        <f>_xlfn.XLOOKUP($G1044,'.Auxiliar'!$G:$G,'.Auxiliar'!D:D,"-",0)</f>
        <v>39.090000000000003</v>
      </c>
      <c r="E1044" s="55">
        <f>_xlfn.XLOOKUP($G1044,'.Auxiliar'!$G:$G,'.Auxiliar'!E:E,"-",0)</f>
        <v>39.090000000000003</v>
      </c>
      <c r="F1044" s="55">
        <f>_xlfn.XLOOKUP($G1044,'.Auxiliar'!$G:$G,'.Auxiliar'!F:F,"-",0)</f>
        <v>1</v>
      </c>
      <c r="G1044" s="59" t="s">
        <v>1380</v>
      </c>
      <c r="H1044" s="108" t="s">
        <v>0</v>
      </c>
      <c r="I1044" s="109" t="s">
        <v>0</v>
      </c>
      <c r="J1044" s="109" t="s">
        <v>0</v>
      </c>
      <c r="K1044" s="109" t="s">
        <v>0</v>
      </c>
      <c r="L1044" s="109" t="s">
        <v>0</v>
      </c>
      <c r="M1044" s="109" t="s">
        <v>0</v>
      </c>
      <c r="N1044" s="110" t="s">
        <v>363</v>
      </c>
      <c r="O1044" s="111"/>
      <c r="P1044" s="112"/>
      <c r="Q1044" s="112"/>
      <c r="R1044" s="112"/>
      <c r="S1044" s="112"/>
      <c r="T1044" s="112"/>
      <c r="U1044" s="95" t="str">
        <f t="shared" si="51"/>
        <v/>
      </c>
      <c r="V1044" s="112"/>
      <c r="W1044" s="112"/>
      <c r="X1044" s="107">
        <v>100</v>
      </c>
      <c r="Y1044" s="107">
        <f t="shared" si="52"/>
        <v>100</v>
      </c>
      <c r="Z1044" s="107">
        <f t="shared" si="53"/>
        <v>0</v>
      </c>
    </row>
    <row r="1045" spans="1:26" x14ac:dyDescent="0.25">
      <c r="A1045" s="55" t="str">
        <f>_xlfn.XLOOKUP($G1045,'.Auxiliar'!$G:$G,'.Auxiliar'!A:A,"-",0)</f>
        <v>RIO/SP</v>
      </c>
      <c r="B1045" s="55" t="str">
        <f>_xlfn.XLOOKUP($G1045,'.Auxiliar'!$G:$G,'.Auxiliar'!B:B,"-",0)</f>
        <v>OAE</v>
      </c>
      <c r="C1045" s="55" t="str">
        <f>_xlfn.XLOOKUP($G1045,'.Auxiliar'!$G:$G,'.Auxiliar'!C:C,"-",0)</f>
        <v>Ponte</v>
      </c>
      <c r="D1045" s="55">
        <f>_xlfn.XLOOKUP($G1045,'.Auxiliar'!$G:$G,'.Auxiliar'!D:D,"-",0)</f>
        <v>43.6</v>
      </c>
      <c r="E1045" s="55">
        <f>_xlfn.XLOOKUP($G1045,'.Auxiliar'!$G:$G,'.Auxiliar'!E:E,"-",0)</f>
        <v>43.6</v>
      </c>
      <c r="F1045" s="55">
        <f>_xlfn.XLOOKUP($G1045,'.Auxiliar'!$G:$G,'.Auxiliar'!F:F,"-",0)</f>
        <v>1</v>
      </c>
      <c r="G1045" s="59" t="s">
        <v>1419</v>
      </c>
      <c r="H1045" s="108" t="s">
        <v>0</v>
      </c>
      <c r="I1045" s="109" t="s">
        <v>0</v>
      </c>
      <c r="J1045" s="109" t="s">
        <v>0</v>
      </c>
      <c r="K1045" s="109" t="s">
        <v>0</v>
      </c>
      <c r="L1045" s="109" t="s">
        <v>0</v>
      </c>
      <c r="M1045" s="109" t="s">
        <v>0</v>
      </c>
      <c r="N1045" s="110" t="s">
        <v>363</v>
      </c>
      <c r="O1045" s="111"/>
      <c r="P1045" s="112"/>
      <c r="Q1045" s="112"/>
      <c r="R1045" s="112"/>
      <c r="S1045" s="112"/>
      <c r="T1045" s="112"/>
      <c r="U1045" s="95" t="str">
        <f t="shared" si="51"/>
        <v/>
      </c>
      <c r="V1045" s="112"/>
      <c r="W1045" s="112"/>
      <c r="X1045" s="107">
        <v>100</v>
      </c>
      <c r="Y1045" s="107">
        <f t="shared" si="52"/>
        <v>100</v>
      </c>
      <c r="Z1045" s="107">
        <f t="shared" si="53"/>
        <v>0</v>
      </c>
    </row>
    <row r="1046" spans="1:26" x14ac:dyDescent="0.25">
      <c r="A1046" s="55" t="str">
        <f>_xlfn.XLOOKUP($G1046,'.Auxiliar'!$G:$G,'.Auxiliar'!A:A,"-",0)</f>
        <v>RIO/SP</v>
      </c>
      <c r="B1046" s="55" t="str">
        <f>_xlfn.XLOOKUP($G1046,'.Auxiliar'!$G:$G,'.Auxiliar'!B:B,"-",0)</f>
        <v>OAE</v>
      </c>
      <c r="C1046" s="55" t="str">
        <f>_xlfn.XLOOKUP($G1046,'.Auxiliar'!$G:$G,'.Auxiliar'!C:C,"-",0)</f>
        <v>Ponte</v>
      </c>
      <c r="D1046" s="55">
        <f>_xlfn.XLOOKUP($G1046,'.Auxiliar'!$G:$G,'.Auxiliar'!D:D,"-",0)</f>
        <v>44.26</v>
      </c>
      <c r="E1046" s="55">
        <f>_xlfn.XLOOKUP($G1046,'.Auxiliar'!$G:$G,'.Auxiliar'!E:E,"-",0)</f>
        <v>44.26</v>
      </c>
      <c r="F1046" s="55">
        <f>_xlfn.XLOOKUP($G1046,'.Auxiliar'!$G:$G,'.Auxiliar'!F:F,"-",0)</f>
        <v>1</v>
      </c>
      <c r="G1046" s="59" t="s">
        <v>1381</v>
      </c>
      <c r="H1046" s="108" t="s">
        <v>0</v>
      </c>
      <c r="I1046" s="109" t="s">
        <v>0</v>
      </c>
      <c r="J1046" s="109" t="s">
        <v>0</v>
      </c>
      <c r="K1046" s="109" t="s">
        <v>0</v>
      </c>
      <c r="L1046" s="109" t="s">
        <v>0</v>
      </c>
      <c r="M1046" s="109" t="s">
        <v>0</v>
      </c>
      <c r="N1046" s="110" t="s">
        <v>363</v>
      </c>
      <c r="O1046" s="111"/>
      <c r="P1046" s="112"/>
      <c r="Q1046" s="112"/>
      <c r="R1046" s="112"/>
      <c r="S1046" s="112"/>
      <c r="T1046" s="112"/>
      <c r="U1046" s="95" t="str">
        <f t="shared" si="51"/>
        <v/>
      </c>
      <c r="V1046" s="112"/>
      <c r="W1046" s="112"/>
      <c r="X1046" s="107">
        <v>100</v>
      </c>
      <c r="Y1046" s="107">
        <f t="shared" si="52"/>
        <v>100</v>
      </c>
      <c r="Z1046" s="107">
        <f t="shared" si="53"/>
        <v>0</v>
      </c>
    </row>
    <row r="1047" spans="1:26" x14ac:dyDescent="0.25">
      <c r="A1047" s="55" t="str">
        <f>_xlfn.XLOOKUP($G1047,'.Auxiliar'!$G:$G,'.Auxiliar'!A:A,"-",0)</f>
        <v>RIO/SP</v>
      </c>
      <c r="B1047" s="55" t="str">
        <f>_xlfn.XLOOKUP($G1047,'.Auxiliar'!$G:$G,'.Auxiliar'!B:B,"-",0)</f>
        <v>OAE</v>
      </c>
      <c r="C1047" s="55" t="str">
        <f>_xlfn.XLOOKUP($G1047,'.Auxiliar'!$G:$G,'.Auxiliar'!C:C,"-",0)</f>
        <v>Ponte</v>
      </c>
      <c r="D1047" s="55">
        <f>_xlfn.XLOOKUP($G1047,'.Auxiliar'!$G:$G,'.Auxiliar'!D:D,"-",0)</f>
        <v>47.9</v>
      </c>
      <c r="E1047" s="55">
        <f>_xlfn.XLOOKUP($G1047,'.Auxiliar'!$G:$G,'.Auxiliar'!E:E,"-",0)</f>
        <v>47.9</v>
      </c>
      <c r="F1047" s="55">
        <f>_xlfn.XLOOKUP($G1047,'.Auxiliar'!$G:$G,'.Auxiliar'!F:F,"-",0)</f>
        <v>1</v>
      </c>
      <c r="G1047" s="59" t="s">
        <v>1420</v>
      </c>
      <c r="H1047" s="108" t="s">
        <v>0</v>
      </c>
      <c r="I1047" s="109" t="s">
        <v>0</v>
      </c>
      <c r="J1047" s="109" t="s">
        <v>0</v>
      </c>
      <c r="K1047" s="109" t="s">
        <v>0</v>
      </c>
      <c r="L1047" s="109" t="s">
        <v>0</v>
      </c>
      <c r="M1047" s="109" t="s">
        <v>0</v>
      </c>
      <c r="N1047" s="110" t="s">
        <v>363</v>
      </c>
      <c r="O1047" s="111"/>
      <c r="P1047" s="112"/>
      <c r="Q1047" s="112"/>
      <c r="R1047" s="112"/>
      <c r="S1047" s="112"/>
      <c r="T1047" s="112"/>
      <c r="U1047" s="95" t="str">
        <f t="shared" si="51"/>
        <v/>
      </c>
      <c r="V1047" s="112"/>
      <c r="W1047" s="112"/>
      <c r="X1047" s="107">
        <v>100</v>
      </c>
      <c r="Y1047" s="107">
        <f t="shared" si="52"/>
        <v>100</v>
      </c>
      <c r="Z1047" s="107">
        <f t="shared" si="53"/>
        <v>0</v>
      </c>
    </row>
    <row r="1048" spans="1:26" x14ac:dyDescent="0.25">
      <c r="A1048" s="55" t="str">
        <f>_xlfn.XLOOKUP($G1048,'.Auxiliar'!$G:$G,'.Auxiliar'!A:A,"-",0)</f>
        <v>RIO/SP</v>
      </c>
      <c r="B1048" s="55" t="str">
        <f>_xlfn.XLOOKUP($G1048,'.Auxiliar'!$G:$G,'.Auxiliar'!B:B,"-",0)</f>
        <v>OAE</v>
      </c>
      <c r="C1048" s="55" t="str">
        <f>_xlfn.XLOOKUP($G1048,'.Auxiliar'!$G:$G,'.Auxiliar'!C:C,"-",0)</f>
        <v>Ponte</v>
      </c>
      <c r="D1048" s="55">
        <f>_xlfn.XLOOKUP($G1048,'.Auxiliar'!$G:$G,'.Auxiliar'!D:D,"-",0)</f>
        <v>48.35</v>
      </c>
      <c r="E1048" s="55">
        <f>_xlfn.XLOOKUP($G1048,'.Auxiliar'!$G:$G,'.Auxiliar'!E:E,"-",0)</f>
        <v>48.35</v>
      </c>
      <c r="F1048" s="55">
        <f>_xlfn.XLOOKUP($G1048,'.Auxiliar'!$G:$G,'.Auxiliar'!F:F,"-",0)</f>
        <v>1</v>
      </c>
      <c r="G1048" s="59" t="s">
        <v>1382</v>
      </c>
      <c r="H1048" s="108" t="s">
        <v>0</v>
      </c>
      <c r="I1048" s="109" t="s">
        <v>0</v>
      </c>
      <c r="J1048" s="109" t="s">
        <v>0</v>
      </c>
      <c r="K1048" s="109" t="s">
        <v>0</v>
      </c>
      <c r="L1048" s="109" t="s">
        <v>0</v>
      </c>
      <c r="M1048" s="109" t="s">
        <v>0</v>
      </c>
      <c r="N1048" s="110" t="s">
        <v>363</v>
      </c>
      <c r="O1048" s="111"/>
      <c r="P1048" s="112"/>
      <c r="Q1048" s="112"/>
      <c r="R1048" s="112"/>
      <c r="S1048" s="112"/>
      <c r="T1048" s="112"/>
      <c r="U1048" s="95" t="str">
        <f t="shared" si="51"/>
        <v/>
      </c>
      <c r="V1048" s="112"/>
      <c r="W1048" s="112"/>
      <c r="X1048" s="107">
        <v>100</v>
      </c>
      <c r="Y1048" s="107">
        <f t="shared" si="52"/>
        <v>100</v>
      </c>
      <c r="Z1048" s="107">
        <f t="shared" si="53"/>
        <v>0</v>
      </c>
    </row>
    <row r="1049" spans="1:26" x14ac:dyDescent="0.25">
      <c r="A1049" s="55" t="str">
        <f>_xlfn.XLOOKUP($G1049,'.Auxiliar'!$G:$G,'.Auxiliar'!A:A,"-",0)</f>
        <v>RIO/SP</v>
      </c>
      <c r="B1049" s="55" t="str">
        <f>_xlfn.XLOOKUP($G1049,'.Auxiliar'!$G:$G,'.Auxiliar'!B:B,"-",0)</f>
        <v>OAE</v>
      </c>
      <c r="C1049" s="55" t="str">
        <f>_xlfn.XLOOKUP($G1049,'.Auxiliar'!$G:$G,'.Auxiliar'!C:C,"-",0)</f>
        <v>Ponte</v>
      </c>
      <c r="D1049" s="55">
        <f>_xlfn.XLOOKUP($G1049,'.Auxiliar'!$G:$G,'.Auxiliar'!D:D,"-",0)</f>
        <v>50.2</v>
      </c>
      <c r="E1049" s="55">
        <f>_xlfn.XLOOKUP($G1049,'.Auxiliar'!$G:$G,'.Auxiliar'!E:E,"-",0)</f>
        <v>50.2</v>
      </c>
      <c r="F1049" s="55">
        <f>_xlfn.XLOOKUP($G1049,'.Auxiliar'!$G:$G,'.Auxiliar'!F:F,"-",0)</f>
        <v>1</v>
      </c>
      <c r="G1049" s="59" t="s">
        <v>1421</v>
      </c>
      <c r="H1049" s="108" t="s">
        <v>0</v>
      </c>
      <c r="I1049" s="109" t="s">
        <v>0</v>
      </c>
      <c r="J1049" s="109" t="s">
        <v>0</v>
      </c>
      <c r="K1049" s="109" t="s">
        <v>0</v>
      </c>
      <c r="L1049" s="109" t="s">
        <v>0</v>
      </c>
      <c r="M1049" s="109" t="s">
        <v>0</v>
      </c>
      <c r="N1049" s="110" t="s">
        <v>363</v>
      </c>
      <c r="O1049" s="111"/>
      <c r="P1049" s="112"/>
      <c r="Q1049" s="112"/>
      <c r="R1049" s="112"/>
      <c r="S1049" s="112"/>
      <c r="T1049" s="112"/>
      <c r="U1049" s="95" t="str">
        <f t="shared" si="51"/>
        <v/>
      </c>
      <c r="V1049" s="112"/>
      <c r="W1049" s="112"/>
      <c r="X1049" s="107">
        <v>100</v>
      </c>
      <c r="Y1049" s="107">
        <f t="shared" si="52"/>
        <v>100</v>
      </c>
      <c r="Z1049" s="107">
        <f t="shared" si="53"/>
        <v>0</v>
      </c>
    </row>
    <row r="1050" spans="1:26" x14ac:dyDescent="0.25">
      <c r="A1050" s="55" t="str">
        <f>_xlfn.XLOOKUP($G1050,'.Auxiliar'!$G:$G,'.Auxiliar'!A:A,"-",0)</f>
        <v>RIO/SP</v>
      </c>
      <c r="B1050" s="55" t="str">
        <f>_xlfn.XLOOKUP($G1050,'.Auxiliar'!$G:$G,'.Auxiliar'!B:B,"-",0)</f>
        <v>OAE</v>
      </c>
      <c r="C1050" s="55" t="str">
        <f>_xlfn.XLOOKUP($G1050,'.Auxiliar'!$G:$G,'.Auxiliar'!C:C,"-",0)</f>
        <v>Ponte</v>
      </c>
      <c r="D1050" s="55">
        <f>_xlfn.XLOOKUP($G1050,'.Auxiliar'!$G:$G,'.Auxiliar'!D:D,"-",0)</f>
        <v>51.13</v>
      </c>
      <c r="E1050" s="55">
        <f>_xlfn.XLOOKUP($G1050,'.Auxiliar'!$G:$G,'.Auxiliar'!E:E,"-",0)</f>
        <v>51.13</v>
      </c>
      <c r="F1050" s="55">
        <f>_xlfn.XLOOKUP($G1050,'.Auxiliar'!$G:$G,'.Auxiliar'!F:F,"-",0)</f>
        <v>1</v>
      </c>
      <c r="G1050" s="59" t="s">
        <v>1383</v>
      </c>
      <c r="H1050" s="108" t="s">
        <v>0</v>
      </c>
      <c r="I1050" s="109" t="s">
        <v>0</v>
      </c>
      <c r="J1050" s="109" t="s">
        <v>0</v>
      </c>
      <c r="K1050" s="109" t="s">
        <v>0</v>
      </c>
      <c r="L1050" s="109" t="s">
        <v>0</v>
      </c>
      <c r="M1050" s="109" t="s">
        <v>0</v>
      </c>
      <c r="N1050" s="110" t="s">
        <v>363</v>
      </c>
      <c r="O1050" s="111"/>
      <c r="P1050" s="112"/>
      <c r="Q1050" s="112"/>
      <c r="R1050" s="112"/>
      <c r="S1050" s="112"/>
      <c r="T1050" s="112"/>
      <c r="U1050" s="95" t="str">
        <f t="shared" si="51"/>
        <v/>
      </c>
      <c r="V1050" s="112"/>
      <c r="W1050" s="112"/>
      <c r="X1050" s="107">
        <v>100</v>
      </c>
      <c r="Y1050" s="107">
        <f t="shared" si="52"/>
        <v>100</v>
      </c>
      <c r="Z1050" s="107">
        <f t="shared" si="53"/>
        <v>0</v>
      </c>
    </row>
    <row r="1051" spans="1:26" x14ac:dyDescent="0.25">
      <c r="A1051" s="55" t="str">
        <f>_xlfn.XLOOKUP($G1051,'.Auxiliar'!$G:$G,'.Auxiliar'!A:A,"-",0)</f>
        <v>RIO/SP</v>
      </c>
      <c r="B1051" s="55" t="str">
        <f>_xlfn.XLOOKUP($G1051,'.Auxiliar'!$G:$G,'.Auxiliar'!B:B,"-",0)</f>
        <v>OAE</v>
      </c>
      <c r="C1051" s="55" t="str">
        <f>_xlfn.XLOOKUP($G1051,'.Auxiliar'!$G:$G,'.Auxiliar'!C:C,"-",0)</f>
        <v>Ponte</v>
      </c>
      <c r="D1051" s="55">
        <f>_xlfn.XLOOKUP($G1051,'.Auxiliar'!$G:$G,'.Auxiliar'!D:D,"-",0)</f>
        <v>56.56</v>
      </c>
      <c r="E1051" s="55">
        <f>_xlfn.XLOOKUP($G1051,'.Auxiliar'!$G:$G,'.Auxiliar'!E:E,"-",0)</f>
        <v>56.56</v>
      </c>
      <c r="F1051" s="55">
        <f>_xlfn.XLOOKUP($G1051,'.Auxiliar'!$G:$G,'.Auxiliar'!F:F,"-",0)</f>
        <v>1</v>
      </c>
      <c r="G1051" s="59" t="s">
        <v>1384</v>
      </c>
      <c r="H1051" s="108" t="s">
        <v>0</v>
      </c>
      <c r="I1051" s="109" t="s">
        <v>0</v>
      </c>
      <c r="J1051" s="109" t="s">
        <v>0</v>
      </c>
      <c r="K1051" s="109" t="s">
        <v>0</v>
      </c>
      <c r="L1051" s="109" t="s">
        <v>0</v>
      </c>
      <c r="M1051" s="109" t="s">
        <v>0</v>
      </c>
      <c r="N1051" s="110" t="s">
        <v>363</v>
      </c>
      <c r="O1051" s="111"/>
      <c r="P1051" s="112"/>
      <c r="Q1051" s="112"/>
      <c r="R1051" s="112"/>
      <c r="S1051" s="112"/>
      <c r="T1051" s="112"/>
      <c r="U1051" s="95" t="str">
        <f t="shared" si="51"/>
        <v/>
      </c>
      <c r="V1051" s="112"/>
      <c r="W1051" s="112"/>
      <c r="X1051" s="107">
        <v>100</v>
      </c>
      <c r="Y1051" s="107">
        <f t="shared" si="52"/>
        <v>100</v>
      </c>
      <c r="Z1051" s="107">
        <f t="shared" si="53"/>
        <v>0</v>
      </c>
    </row>
    <row r="1052" spans="1:26" x14ac:dyDescent="0.25">
      <c r="A1052" s="55" t="str">
        <f>_xlfn.XLOOKUP($G1052,'.Auxiliar'!$G:$G,'.Auxiliar'!A:A,"-",0)</f>
        <v>RIO/SP</v>
      </c>
      <c r="B1052" s="55" t="str">
        <f>_xlfn.XLOOKUP($G1052,'.Auxiliar'!$G:$G,'.Auxiliar'!B:B,"-",0)</f>
        <v>OAE</v>
      </c>
      <c r="C1052" s="55" t="str">
        <f>_xlfn.XLOOKUP($G1052,'.Auxiliar'!$G:$G,'.Auxiliar'!C:C,"-",0)</f>
        <v>Ponte</v>
      </c>
      <c r="D1052" s="55">
        <f>_xlfn.XLOOKUP($G1052,'.Auxiliar'!$G:$G,'.Auxiliar'!D:D,"-",0)</f>
        <v>57.1</v>
      </c>
      <c r="E1052" s="55">
        <f>_xlfn.XLOOKUP($G1052,'.Auxiliar'!$G:$G,'.Auxiliar'!E:E,"-",0)</f>
        <v>57.1</v>
      </c>
      <c r="F1052" s="55">
        <f>_xlfn.XLOOKUP($G1052,'.Auxiliar'!$G:$G,'.Auxiliar'!F:F,"-",0)</f>
        <v>1</v>
      </c>
      <c r="G1052" s="59" t="s">
        <v>1385</v>
      </c>
      <c r="H1052" s="108" t="s">
        <v>0</v>
      </c>
      <c r="I1052" s="109" t="s">
        <v>0</v>
      </c>
      <c r="J1052" s="109" t="s">
        <v>0</v>
      </c>
      <c r="K1052" s="109" t="s">
        <v>0</v>
      </c>
      <c r="L1052" s="109" t="s">
        <v>0</v>
      </c>
      <c r="M1052" s="109" t="s">
        <v>0</v>
      </c>
      <c r="N1052" s="110" t="s">
        <v>363</v>
      </c>
      <c r="O1052" s="111"/>
      <c r="P1052" s="112"/>
      <c r="Q1052" s="112"/>
      <c r="R1052" s="112"/>
      <c r="S1052" s="112"/>
      <c r="T1052" s="112"/>
      <c r="U1052" s="95" t="str">
        <f t="shared" si="51"/>
        <v/>
      </c>
      <c r="V1052" s="112"/>
      <c r="W1052" s="112"/>
      <c r="X1052" s="107">
        <v>100</v>
      </c>
      <c r="Y1052" s="107">
        <f t="shared" si="52"/>
        <v>100</v>
      </c>
      <c r="Z1052" s="107">
        <f t="shared" si="53"/>
        <v>0</v>
      </c>
    </row>
    <row r="1053" spans="1:26" x14ac:dyDescent="0.25">
      <c r="A1053" s="55" t="str">
        <f>_xlfn.XLOOKUP($G1053,'.Auxiliar'!$G:$G,'.Auxiliar'!A:A,"-",0)</f>
        <v>RIO/SP</v>
      </c>
      <c r="B1053" s="55" t="str">
        <f>_xlfn.XLOOKUP($G1053,'.Auxiliar'!$G:$G,'.Auxiliar'!B:B,"-",0)</f>
        <v>OAE</v>
      </c>
      <c r="C1053" s="55" t="str">
        <f>_xlfn.XLOOKUP($G1053,'.Auxiliar'!$G:$G,'.Auxiliar'!C:C,"-",0)</f>
        <v>Ponte</v>
      </c>
      <c r="D1053" s="55">
        <f>_xlfn.XLOOKUP($G1053,'.Auxiliar'!$G:$G,'.Auxiliar'!D:D,"-",0)</f>
        <v>58.16</v>
      </c>
      <c r="E1053" s="55">
        <f>_xlfn.XLOOKUP($G1053,'.Auxiliar'!$G:$G,'.Auxiliar'!E:E,"-",0)</f>
        <v>58.16</v>
      </c>
      <c r="F1053" s="55">
        <f>_xlfn.XLOOKUP($G1053,'.Auxiliar'!$G:$G,'.Auxiliar'!F:F,"-",0)</f>
        <v>1</v>
      </c>
      <c r="G1053" s="59" t="s">
        <v>1386</v>
      </c>
      <c r="H1053" s="108" t="s">
        <v>0</v>
      </c>
      <c r="I1053" s="109" t="s">
        <v>0</v>
      </c>
      <c r="J1053" s="109" t="s">
        <v>0</v>
      </c>
      <c r="K1053" s="109" t="s">
        <v>0</v>
      </c>
      <c r="L1053" s="109" t="s">
        <v>0</v>
      </c>
      <c r="M1053" s="109" t="s">
        <v>0</v>
      </c>
      <c r="N1053" s="110" t="s">
        <v>363</v>
      </c>
      <c r="O1053" s="111"/>
      <c r="P1053" s="112"/>
      <c r="Q1053" s="112"/>
      <c r="R1053" s="112"/>
      <c r="S1053" s="112"/>
      <c r="T1053" s="112"/>
      <c r="U1053" s="95" t="str">
        <f t="shared" si="51"/>
        <v/>
      </c>
      <c r="V1053" s="112"/>
      <c r="W1053" s="112"/>
      <c r="X1053" s="107">
        <v>100</v>
      </c>
      <c r="Y1053" s="107">
        <f t="shared" si="52"/>
        <v>100</v>
      </c>
      <c r="Z1053" s="107">
        <f t="shared" si="53"/>
        <v>0</v>
      </c>
    </row>
    <row r="1054" spans="1:26" x14ac:dyDescent="0.25">
      <c r="A1054" s="55" t="str">
        <f>_xlfn.XLOOKUP($G1054,'.Auxiliar'!$G:$G,'.Auxiliar'!A:A,"-",0)</f>
        <v>RIO/SP</v>
      </c>
      <c r="B1054" s="55" t="str">
        <f>_xlfn.XLOOKUP($G1054,'.Auxiliar'!$G:$G,'.Auxiliar'!B:B,"-",0)</f>
        <v>OAE</v>
      </c>
      <c r="C1054" s="55" t="str">
        <f>_xlfn.XLOOKUP($G1054,'.Auxiliar'!$G:$G,'.Auxiliar'!C:C,"-",0)</f>
        <v>Ponte</v>
      </c>
      <c r="D1054" s="55">
        <f>_xlfn.XLOOKUP($G1054,'.Auxiliar'!$G:$G,'.Auxiliar'!D:D,"-",0)</f>
        <v>60.33</v>
      </c>
      <c r="E1054" s="55">
        <f>_xlfn.XLOOKUP($G1054,'.Auxiliar'!$G:$G,'.Auxiliar'!E:E,"-",0)</f>
        <v>60.33</v>
      </c>
      <c r="F1054" s="55">
        <f>_xlfn.XLOOKUP($G1054,'.Auxiliar'!$G:$G,'.Auxiliar'!F:F,"-",0)</f>
        <v>1</v>
      </c>
      <c r="G1054" s="59" t="s">
        <v>1387</v>
      </c>
      <c r="H1054" s="108" t="s">
        <v>0</v>
      </c>
      <c r="I1054" s="109" t="s">
        <v>0</v>
      </c>
      <c r="J1054" s="109" t="s">
        <v>0</v>
      </c>
      <c r="K1054" s="109" t="s">
        <v>0</v>
      </c>
      <c r="L1054" s="109" t="s">
        <v>0</v>
      </c>
      <c r="M1054" s="109" t="s">
        <v>0</v>
      </c>
      <c r="N1054" s="110" t="s">
        <v>363</v>
      </c>
      <c r="O1054" s="111"/>
      <c r="P1054" s="112"/>
      <c r="Q1054" s="112"/>
      <c r="R1054" s="112"/>
      <c r="S1054" s="112"/>
      <c r="T1054" s="112"/>
      <c r="U1054" s="95" t="str">
        <f t="shared" si="51"/>
        <v/>
      </c>
      <c r="V1054" s="112"/>
      <c r="W1054" s="112"/>
      <c r="X1054" s="107">
        <v>100</v>
      </c>
      <c r="Y1054" s="107">
        <f t="shared" si="52"/>
        <v>100</v>
      </c>
      <c r="Z1054" s="107">
        <f t="shared" si="53"/>
        <v>0</v>
      </c>
    </row>
    <row r="1055" spans="1:26" x14ac:dyDescent="0.25">
      <c r="A1055" s="55" t="str">
        <f>_xlfn.XLOOKUP($G1055,'.Auxiliar'!$G:$G,'.Auxiliar'!A:A,"-",0)</f>
        <v>RIO/SP</v>
      </c>
      <c r="B1055" s="55" t="str">
        <f>_xlfn.XLOOKUP($G1055,'.Auxiliar'!$G:$G,'.Auxiliar'!B:B,"-",0)</f>
        <v>OAE</v>
      </c>
      <c r="C1055" s="55" t="str">
        <f>_xlfn.XLOOKUP($G1055,'.Auxiliar'!$G:$G,'.Auxiliar'!C:C,"-",0)</f>
        <v>Ponte</v>
      </c>
      <c r="D1055" s="55">
        <f>_xlfn.XLOOKUP($G1055,'.Auxiliar'!$G:$G,'.Auxiliar'!D:D,"-",0)</f>
        <v>63.66</v>
      </c>
      <c r="E1055" s="55">
        <f>_xlfn.XLOOKUP($G1055,'.Auxiliar'!$G:$G,'.Auxiliar'!E:E,"-",0)</f>
        <v>63.66</v>
      </c>
      <c r="F1055" s="55">
        <f>_xlfn.XLOOKUP($G1055,'.Auxiliar'!$G:$G,'.Auxiliar'!F:F,"-",0)</f>
        <v>1</v>
      </c>
      <c r="G1055" s="59" t="s">
        <v>1388</v>
      </c>
      <c r="H1055" s="108" t="s">
        <v>0</v>
      </c>
      <c r="I1055" s="109" t="s">
        <v>0</v>
      </c>
      <c r="J1055" s="109" t="s">
        <v>0</v>
      </c>
      <c r="K1055" s="109" t="s">
        <v>0</v>
      </c>
      <c r="L1055" s="109" t="s">
        <v>0</v>
      </c>
      <c r="M1055" s="109" t="s">
        <v>0</v>
      </c>
      <c r="N1055" s="110" t="s">
        <v>363</v>
      </c>
      <c r="O1055" s="111"/>
      <c r="P1055" s="112"/>
      <c r="Q1055" s="112"/>
      <c r="R1055" s="112"/>
      <c r="S1055" s="112"/>
      <c r="T1055" s="112"/>
      <c r="U1055" s="95" t="str">
        <f t="shared" si="51"/>
        <v/>
      </c>
      <c r="V1055" s="112"/>
      <c r="W1055" s="112"/>
      <c r="X1055" s="107">
        <v>100</v>
      </c>
      <c r="Y1055" s="107">
        <f t="shared" si="52"/>
        <v>100</v>
      </c>
      <c r="Z1055" s="107">
        <f t="shared" si="53"/>
        <v>0</v>
      </c>
    </row>
    <row r="1056" spans="1:26" x14ac:dyDescent="0.25">
      <c r="A1056" s="55" t="str">
        <f>_xlfn.XLOOKUP($G1056,'.Auxiliar'!$G:$G,'.Auxiliar'!A:A,"-",0)</f>
        <v>RIO/SP</v>
      </c>
      <c r="B1056" s="55" t="str">
        <f>_xlfn.XLOOKUP($G1056,'.Auxiliar'!$G:$G,'.Auxiliar'!B:B,"-",0)</f>
        <v>OAE</v>
      </c>
      <c r="C1056" s="55" t="str">
        <f>_xlfn.XLOOKUP($G1056,'.Auxiliar'!$G:$G,'.Auxiliar'!C:C,"-",0)</f>
        <v>Ponte</v>
      </c>
      <c r="D1056" s="55">
        <f>_xlfn.XLOOKUP($G1056,'.Auxiliar'!$G:$G,'.Auxiliar'!D:D,"-",0)</f>
        <v>64.3</v>
      </c>
      <c r="E1056" s="55">
        <f>_xlfn.XLOOKUP($G1056,'.Auxiliar'!$G:$G,'.Auxiliar'!E:E,"-",0)</f>
        <v>64.3</v>
      </c>
      <c r="F1056" s="55">
        <f>_xlfn.XLOOKUP($G1056,'.Auxiliar'!$G:$G,'.Auxiliar'!F:F,"-",0)</f>
        <v>1</v>
      </c>
      <c r="G1056" s="59" t="s">
        <v>1389</v>
      </c>
      <c r="H1056" s="108" t="s">
        <v>0</v>
      </c>
      <c r="I1056" s="109" t="s">
        <v>0</v>
      </c>
      <c r="J1056" s="109" t="s">
        <v>0</v>
      </c>
      <c r="K1056" s="109" t="s">
        <v>0</v>
      </c>
      <c r="L1056" s="109" t="s">
        <v>0</v>
      </c>
      <c r="M1056" s="109" t="s">
        <v>0</v>
      </c>
      <c r="N1056" s="110" t="s">
        <v>363</v>
      </c>
      <c r="O1056" s="111"/>
      <c r="P1056" s="112"/>
      <c r="Q1056" s="112"/>
      <c r="R1056" s="112"/>
      <c r="S1056" s="112"/>
      <c r="T1056" s="112"/>
      <c r="U1056" s="95" t="str">
        <f t="shared" si="51"/>
        <v/>
      </c>
      <c r="V1056" s="112"/>
      <c r="W1056" s="112"/>
      <c r="X1056" s="107">
        <v>100</v>
      </c>
      <c r="Y1056" s="107">
        <f t="shared" si="52"/>
        <v>100</v>
      </c>
      <c r="Z1056" s="107">
        <f t="shared" si="53"/>
        <v>0</v>
      </c>
    </row>
    <row r="1057" spans="1:26" x14ac:dyDescent="0.25">
      <c r="A1057" s="55" t="str">
        <f>_xlfn.XLOOKUP($G1057,'.Auxiliar'!$G:$G,'.Auxiliar'!A:A,"-",0)</f>
        <v>RIO/SP</v>
      </c>
      <c r="B1057" s="55" t="str">
        <f>_xlfn.XLOOKUP($G1057,'.Auxiliar'!$G:$G,'.Auxiliar'!B:B,"-",0)</f>
        <v>OAE</v>
      </c>
      <c r="C1057" s="55" t="str">
        <f>_xlfn.XLOOKUP($G1057,'.Auxiliar'!$G:$G,'.Auxiliar'!C:C,"-",0)</f>
        <v>Ponte</v>
      </c>
      <c r="D1057" s="55">
        <f>_xlfn.XLOOKUP($G1057,'.Auxiliar'!$G:$G,'.Auxiliar'!D:D,"-",0)</f>
        <v>64.903000000000006</v>
      </c>
      <c r="E1057" s="55">
        <f>_xlfn.XLOOKUP($G1057,'.Auxiliar'!$G:$G,'.Auxiliar'!E:E,"-",0)</f>
        <v>64.903000000000006</v>
      </c>
      <c r="F1057" s="55">
        <f>_xlfn.XLOOKUP($G1057,'.Auxiliar'!$G:$G,'.Auxiliar'!F:F,"-",0)</f>
        <v>1</v>
      </c>
      <c r="G1057" s="59" t="s">
        <v>1390</v>
      </c>
      <c r="H1057" s="108" t="s">
        <v>0</v>
      </c>
      <c r="I1057" s="109" t="s">
        <v>0</v>
      </c>
      <c r="J1057" s="109" t="s">
        <v>0</v>
      </c>
      <c r="K1057" s="109" t="s">
        <v>0</v>
      </c>
      <c r="L1057" s="109" t="s">
        <v>0</v>
      </c>
      <c r="M1057" s="109" t="s">
        <v>0</v>
      </c>
      <c r="N1057" s="110" t="s">
        <v>363</v>
      </c>
      <c r="O1057" s="111"/>
      <c r="P1057" s="112"/>
      <c r="Q1057" s="112"/>
      <c r="R1057" s="112"/>
      <c r="S1057" s="112"/>
      <c r="T1057" s="112"/>
      <c r="U1057" s="95" t="str">
        <f t="shared" si="51"/>
        <v/>
      </c>
      <c r="V1057" s="112"/>
      <c r="W1057" s="112"/>
      <c r="X1057" s="107">
        <v>100</v>
      </c>
      <c r="Y1057" s="107">
        <f t="shared" si="52"/>
        <v>100</v>
      </c>
      <c r="Z1057" s="107">
        <f t="shared" si="53"/>
        <v>0</v>
      </c>
    </row>
    <row r="1058" spans="1:26" x14ac:dyDescent="0.25">
      <c r="A1058" s="55" t="str">
        <f>_xlfn.XLOOKUP($G1058,'.Auxiliar'!$G:$G,'.Auxiliar'!A:A,"-",0)</f>
        <v>RIO/SP</v>
      </c>
      <c r="B1058" s="55" t="str">
        <f>_xlfn.XLOOKUP($G1058,'.Auxiliar'!$G:$G,'.Auxiliar'!B:B,"-",0)</f>
        <v>OAE</v>
      </c>
      <c r="C1058" s="55" t="str">
        <f>_xlfn.XLOOKUP($G1058,'.Auxiliar'!$G:$G,'.Auxiliar'!C:C,"-",0)</f>
        <v>Ponte</v>
      </c>
      <c r="D1058" s="55">
        <f>_xlfn.XLOOKUP($G1058,'.Auxiliar'!$G:$G,'.Auxiliar'!D:D,"-",0)</f>
        <v>65.25</v>
      </c>
      <c r="E1058" s="55">
        <f>_xlfn.XLOOKUP($G1058,'.Auxiliar'!$G:$G,'.Auxiliar'!E:E,"-",0)</f>
        <v>65.25</v>
      </c>
      <c r="F1058" s="55">
        <f>_xlfn.XLOOKUP($G1058,'.Auxiliar'!$G:$G,'.Auxiliar'!F:F,"-",0)</f>
        <v>1</v>
      </c>
      <c r="G1058" s="59" t="s">
        <v>1391</v>
      </c>
      <c r="H1058" s="108" t="s">
        <v>0</v>
      </c>
      <c r="I1058" s="109" t="s">
        <v>0</v>
      </c>
      <c r="J1058" s="109" t="s">
        <v>0</v>
      </c>
      <c r="K1058" s="109" t="s">
        <v>0</v>
      </c>
      <c r="L1058" s="109" t="s">
        <v>0</v>
      </c>
      <c r="M1058" s="109" t="s">
        <v>0</v>
      </c>
      <c r="N1058" s="110" t="s">
        <v>363</v>
      </c>
      <c r="O1058" s="111"/>
      <c r="P1058" s="112"/>
      <c r="Q1058" s="112"/>
      <c r="R1058" s="112"/>
      <c r="S1058" s="112"/>
      <c r="T1058" s="112"/>
      <c r="U1058" s="95" t="str">
        <f t="shared" si="51"/>
        <v/>
      </c>
      <c r="V1058" s="112"/>
      <c r="W1058" s="112"/>
      <c r="X1058" s="107">
        <v>100</v>
      </c>
      <c r="Y1058" s="107">
        <f t="shared" si="52"/>
        <v>100</v>
      </c>
      <c r="Z1058" s="107">
        <f t="shared" si="53"/>
        <v>0</v>
      </c>
    </row>
    <row r="1059" spans="1:26" x14ac:dyDescent="0.25">
      <c r="A1059" s="55" t="str">
        <f>_xlfn.XLOOKUP($G1059,'.Auxiliar'!$G:$G,'.Auxiliar'!A:A,"-",0)</f>
        <v>RIO/SP</v>
      </c>
      <c r="B1059" s="55" t="str">
        <f>_xlfn.XLOOKUP($G1059,'.Auxiliar'!$G:$G,'.Auxiliar'!B:B,"-",0)</f>
        <v>OAE</v>
      </c>
      <c r="C1059" s="55" t="str">
        <f>_xlfn.XLOOKUP($G1059,'.Auxiliar'!$G:$G,'.Auxiliar'!C:C,"-",0)</f>
        <v>Ponte</v>
      </c>
      <c r="D1059" s="55">
        <f>_xlfn.XLOOKUP($G1059,'.Auxiliar'!$G:$G,'.Auxiliar'!D:D,"-",0)</f>
        <v>67.150000000000006</v>
      </c>
      <c r="E1059" s="55">
        <f>_xlfn.XLOOKUP($G1059,'.Auxiliar'!$G:$G,'.Auxiliar'!E:E,"-",0)</f>
        <v>67.150000000000006</v>
      </c>
      <c r="F1059" s="55">
        <f>_xlfn.XLOOKUP($G1059,'.Auxiliar'!$G:$G,'.Auxiliar'!F:F,"-",0)</f>
        <v>1</v>
      </c>
      <c r="G1059" s="59" t="s">
        <v>1392</v>
      </c>
      <c r="H1059" s="108" t="s">
        <v>0</v>
      </c>
      <c r="I1059" s="109" t="s">
        <v>0</v>
      </c>
      <c r="J1059" s="109" t="s">
        <v>0</v>
      </c>
      <c r="K1059" s="109" t="s">
        <v>0</v>
      </c>
      <c r="L1059" s="109" t="s">
        <v>0</v>
      </c>
      <c r="M1059" s="109" t="s">
        <v>0</v>
      </c>
      <c r="N1059" s="110" t="s">
        <v>363</v>
      </c>
      <c r="O1059" s="111"/>
      <c r="P1059" s="112"/>
      <c r="Q1059" s="112"/>
      <c r="R1059" s="112"/>
      <c r="S1059" s="112"/>
      <c r="T1059" s="112"/>
      <c r="U1059" s="95" t="str">
        <f t="shared" si="51"/>
        <v/>
      </c>
      <c r="V1059" s="112"/>
      <c r="W1059" s="112"/>
      <c r="X1059" s="107">
        <v>100</v>
      </c>
      <c r="Y1059" s="107">
        <f t="shared" si="52"/>
        <v>100</v>
      </c>
      <c r="Z1059" s="107">
        <f t="shared" si="53"/>
        <v>0</v>
      </c>
    </row>
    <row r="1060" spans="1:26" x14ac:dyDescent="0.25">
      <c r="A1060" s="55" t="str">
        <f>_xlfn.XLOOKUP($G1060,'.Auxiliar'!$G:$G,'.Auxiliar'!A:A,"-",0)</f>
        <v>RIO/SP</v>
      </c>
      <c r="B1060" s="55" t="str">
        <f>_xlfn.XLOOKUP($G1060,'.Auxiliar'!$G:$G,'.Auxiliar'!B:B,"-",0)</f>
        <v>OAE</v>
      </c>
      <c r="C1060" s="55" t="str">
        <f>_xlfn.XLOOKUP($G1060,'.Auxiliar'!$G:$G,'.Auxiliar'!C:C,"-",0)</f>
        <v>Ponte</v>
      </c>
      <c r="D1060" s="55">
        <f>_xlfn.XLOOKUP($G1060,'.Auxiliar'!$G:$G,'.Auxiliar'!D:D,"-",0)</f>
        <v>70.180000000000007</v>
      </c>
      <c r="E1060" s="55">
        <f>_xlfn.XLOOKUP($G1060,'.Auxiliar'!$G:$G,'.Auxiliar'!E:E,"-",0)</f>
        <v>70.180000000000007</v>
      </c>
      <c r="F1060" s="55">
        <f>_xlfn.XLOOKUP($G1060,'.Auxiliar'!$G:$G,'.Auxiliar'!F:F,"-",0)</f>
        <v>1</v>
      </c>
      <c r="G1060" s="59" t="s">
        <v>1393</v>
      </c>
      <c r="H1060" s="108" t="s">
        <v>0</v>
      </c>
      <c r="I1060" s="109" t="s">
        <v>0</v>
      </c>
      <c r="J1060" s="109" t="s">
        <v>0</v>
      </c>
      <c r="K1060" s="109" t="s">
        <v>0</v>
      </c>
      <c r="L1060" s="109" t="s">
        <v>0</v>
      </c>
      <c r="M1060" s="109" t="s">
        <v>0</v>
      </c>
      <c r="N1060" s="110" t="s">
        <v>363</v>
      </c>
      <c r="O1060" s="111"/>
      <c r="P1060" s="112"/>
      <c r="Q1060" s="112"/>
      <c r="R1060" s="112"/>
      <c r="S1060" s="112"/>
      <c r="T1060" s="112"/>
      <c r="U1060" s="95" t="str">
        <f t="shared" si="51"/>
        <v/>
      </c>
      <c r="V1060" s="112"/>
      <c r="W1060" s="112"/>
      <c r="X1060" s="107">
        <v>100</v>
      </c>
      <c r="Y1060" s="107">
        <f t="shared" si="52"/>
        <v>100</v>
      </c>
      <c r="Z1060" s="107">
        <f t="shared" si="53"/>
        <v>0</v>
      </c>
    </row>
    <row r="1061" spans="1:26" x14ac:dyDescent="0.25">
      <c r="A1061" s="55" t="str">
        <f>_xlfn.XLOOKUP($G1061,'.Auxiliar'!$G:$G,'.Auxiliar'!A:A,"-",0)</f>
        <v>RIO/SP</v>
      </c>
      <c r="B1061" s="55" t="str">
        <f>_xlfn.XLOOKUP($G1061,'.Auxiliar'!$G:$G,'.Auxiliar'!B:B,"-",0)</f>
        <v>OAE</v>
      </c>
      <c r="C1061" s="55" t="str">
        <f>_xlfn.XLOOKUP($G1061,'.Auxiliar'!$G:$G,'.Auxiliar'!C:C,"-",0)</f>
        <v>Ponte</v>
      </c>
      <c r="D1061" s="55">
        <f>_xlfn.XLOOKUP($G1061,'.Auxiliar'!$G:$G,'.Auxiliar'!D:D,"-",0)</f>
        <v>70.56</v>
      </c>
      <c r="E1061" s="55">
        <f>_xlfn.XLOOKUP($G1061,'.Auxiliar'!$G:$G,'.Auxiliar'!E:E,"-",0)</f>
        <v>70.56</v>
      </c>
      <c r="F1061" s="55">
        <f>_xlfn.XLOOKUP($G1061,'.Auxiliar'!$G:$G,'.Auxiliar'!F:F,"-",0)</f>
        <v>1</v>
      </c>
      <c r="G1061" s="59" t="s">
        <v>1394</v>
      </c>
      <c r="H1061" s="108" t="s">
        <v>0</v>
      </c>
      <c r="I1061" s="109" t="s">
        <v>0</v>
      </c>
      <c r="J1061" s="109" t="s">
        <v>0</v>
      </c>
      <c r="K1061" s="109" t="s">
        <v>0</v>
      </c>
      <c r="L1061" s="109" t="s">
        <v>0</v>
      </c>
      <c r="M1061" s="109" t="s">
        <v>0</v>
      </c>
      <c r="N1061" s="110" t="s">
        <v>363</v>
      </c>
      <c r="O1061" s="111"/>
      <c r="P1061" s="112"/>
      <c r="Q1061" s="112"/>
      <c r="R1061" s="112"/>
      <c r="S1061" s="112"/>
      <c r="T1061" s="112"/>
      <c r="U1061" s="95" t="str">
        <f t="shared" si="51"/>
        <v/>
      </c>
      <c r="V1061" s="112"/>
      <c r="W1061" s="112"/>
      <c r="X1061" s="107">
        <v>100</v>
      </c>
      <c r="Y1061" s="107">
        <f t="shared" si="52"/>
        <v>100</v>
      </c>
      <c r="Z1061" s="107">
        <f t="shared" si="53"/>
        <v>0</v>
      </c>
    </row>
    <row r="1062" spans="1:26" x14ac:dyDescent="0.25">
      <c r="A1062" s="55" t="str">
        <f>_xlfn.XLOOKUP($G1062,'.Auxiliar'!$G:$G,'.Auxiliar'!A:A,"-",0)</f>
        <v>RIO/SP</v>
      </c>
      <c r="B1062" s="55" t="str">
        <f>_xlfn.XLOOKUP($G1062,'.Auxiliar'!$G:$G,'.Auxiliar'!B:B,"-",0)</f>
        <v>OAE</v>
      </c>
      <c r="C1062" s="55" t="str">
        <f>_xlfn.XLOOKUP($G1062,'.Auxiliar'!$G:$G,'.Auxiliar'!C:C,"-",0)</f>
        <v>Ponte</v>
      </c>
      <c r="D1062" s="55">
        <f>_xlfn.XLOOKUP($G1062,'.Auxiliar'!$G:$G,'.Auxiliar'!D:D,"-",0)</f>
        <v>71.36</v>
      </c>
      <c r="E1062" s="55">
        <f>_xlfn.XLOOKUP($G1062,'.Auxiliar'!$G:$G,'.Auxiliar'!E:E,"-",0)</f>
        <v>71.36</v>
      </c>
      <c r="F1062" s="55">
        <f>_xlfn.XLOOKUP($G1062,'.Auxiliar'!$G:$G,'.Auxiliar'!F:F,"-",0)</f>
        <v>1</v>
      </c>
      <c r="G1062" s="59" t="s">
        <v>1395</v>
      </c>
      <c r="H1062" s="108" t="s">
        <v>0</v>
      </c>
      <c r="I1062" s="109" t="s">
        <v>0</v>
      </c>
      <c r="J1062" s="109" t="s">
        <v>0</v>
      </c>
      <c r="K1062" s="109" t="s">
        <v>0</v>
      </c>
      <c r="L1062" s="109" t="s">
        <v>0</v>
      </c>
      <c r="M1062" s="109" t="s">
        <v>0</v>
      </c>
      <c r="N1062" s="110" t="s">
        <v>363</v>
      </c>
      <c r="O1062" s="111"/>
      <c r="P1062" s="112"/>
      <c r="Q1062" s="112"/>
      <c r="R1062" s="112"/>
      <c r="S1062" s="112"/>
      <c r="T1062" s="112"/>
      <c r="U1062" s="95" t="str">
        <f t="shared" si="51"/>
        <v/>
      </c>
      <c r="V1062" s="112"/>
      <c r="W1062" s="112"/>
      <c r="X1062" s="107">
        <v>100</v>
      </c>
      <c r="Y1062" s="107">
        <f t="shared" si="52"/>
        <v>100</v>
      </c>
      <c r="Z1062" s="107">
        <f t="shared" si="53"/>
        <v>0</v>
      </c>
    </row>
    <row r="1063" spans="1:26" x14ac:dyDescent="0.25">
      <c r="A1063" s="55" t="str">
        <f>_xlfn.XLOOKUP($G1063,'.Auxiliar'!$G:$G,'.Auxiliar'!A:A,"-",0)</f>
        <v>RIO/SP</v>
      </c>
      <c r="B1063" s="55" t="str">
        <f>_xlfn.XLOOKUP($G1063,'.Auxiliar'!$G:$G,'.Auxiliar'!B:B,"-",0)</f>
        <v>OAE</v>
      </c>
      <c r="C1063" s="55" t="str">
        <f>_xlfn.XLOOKUP($G1063,'.Auxiliar'!$G:$G,'.Auxiliar'!C:C,"-",0)</f>
        <v>Ponte</v>
      </c>
      <c r="D1063" s="55">
        <f>_xlfn.XLOOKUP($G1063,'.Auxiliar'!$G:$G,'.Auxiliar'!D:D,"-",0)</f>
        <v>71.430000000000007</v>
      </c>
      <c r="E1063" s="55">
        <f>_xlfn.XLOOKUP($G1063,'.Auxiliar'!$G:$G,'.Auxiliar'!E:E,"-",0)</f>
        <v>71.430000000000007</v>
      </c>
      <c r="F1063" s="55">
        <f>_xlfn.XLOOKUP($G1063,'.Auxiliar'!$G:$G,'.Auxiliar'!F:F,"-",0)</f>
        <v>1</v>
      </c>
      <c r="G1063" s="59" t="s">
        <v>1396</v>
      </c>
      <c r="H1063" s="108" t="s">
        <v>0</v>
      </c>
      <c r="I1063" s="109" t="s">
        <v>0</v>
      </c>
      <c r="J1063" s="109" t="s">
        <v>0</v>
      </c>
      <c r="K1063" s="109" t="s">
        <v>0</v>
      </c>
      <c r="L1063" s="109" t="s">
        <v>0</v>
      </c>
      <c r="M1063" s="109" t="s">
        <v>0</v>
      </c>
      <c r="N1063" s="110" t="s">
        <v>363</v>
      </c>
      <c r="O1063" s="111"/>
      <c r="P1063" s="112"/>
      <c r="Q1063" s="112"/>
      <c r="R1063" s="112"/>
      <c r="S1063" s="112"/>
      <c r="T1063" s="112"/>
      <c r="U1063" s="95" t="str">
        <f t="shared" si="51"/>
        <v/>
      </c>
      <c r="V1063" s="112"/>
      <c r="W1063" s="112"/>
      <c r="X1063" s="107">
        <v>100</v>
      </c>
      <c r="Y1063" s="107">
        <f t="shared" si="52"/>
        <v>100</v>
      </c>
      <c r="Z1063" s="107">
        <f t="shared" si="53"/>
        <v>0</v>
      </c>
    </row>
    <row r="1064" spans="1:26" x14ac:dyDescent="0.25">
      <c r="A1064" s="55" t="str">
        <f>_xlfn.XLOOKUP($G1064,'.Auxiliar'!$G:$G,'.Auxiliar'!A:A,"-",0)</f>
        <v>RIO/SP</v>
      </c>
      <c r="B1064" s="55" t="str">
        <f>_xlfn.XLOOKUP($G1064,'.Auxiliar'!$G:$G,'.Auxiliar'!B:B,"-",0)</f>
        <v>OAE</v>
      </c>
      <c r="C1064" s="55" t="str">
        <f>_xlfn.XLOOKUP($G1064,'.Auxiliar'!$G:$G,'.Auxiliar'!C:C,"-",0)</f>
        <v>Ponte</v>
      </c>
      <c r="D1064" s="55">
        <f>_xlfn.XLOOKUP($G1064,'.Auxiliar'!$G:$G,'.Auxiliar'!D:D,"-",0)</f>
        <v>74.45</v>
      </c>
      <c r="E1064" s="55">
        <f>_xlfn.XLOOKUP($G1064,'.Auxiliar'!$G:$G,'.Auxiliar'!E:E,"-",0)</f>
        <v>74.45</v>
      </c>
      <c r="F1064" s="55">
        <f>_xlfn.XLOOKUP($G1064,'.Auxiliar'!$G:$G,'.Auxiliar'!F:F,"-",0)</f>
        <v>1</v>
      </c>
      <c r="G1064" s="59" t="s">
        <v>1397</v>
      </c>
      <c r="H1064" s="108" t="s">
        <v>0</v>
      </c>
      <c r="I1064" s="109" t="s">
        <v>0</v>
      </c>
      <c r="J1064" s="109" t="s">
        <v>0</v>
      </c>
      <c r="K1064" s="109" t="s">
        <v>0</v>
      </c>
      <c r="L1064" s="109" t="s">
        <v>0</v>
      </c>
      <c r="M1064" s="109" t="s">
        <v>0</v>
      </c>
      <c r="N1064" s="110" t="s">
        <v>363</v>
      </c>
      <c r="O1064" s="111"/>
      <c r="P1064" s="112"/>
      <c r="Q1064" s="112"/>
      <c r="R1064" s="112"/>
      <c r="S1064" s="112"/>
      <c r="T1064" s="112"/>
      <c r="U1064" s="95" t="str">
        <f t="shared" si="51"/>
        <v/>
      </c>
      <c r="V1064" s="112"/>
      <c r="W1064" s="112"/>
      <c r="X1064" s="107">
        <v>100</v>
      </c>
      <c r="Y1064" s="107">
        <f t="shared" si="52"/>
        <v>100</v>
      </c>
      <c r="Z1064" s="107">
        <f t="shared" si="53"/>
        <v>0</v>
      </c>
    </row>
    <row r="1065" spans="1:26" x14ac:dyDescent="0.25">
      <c r="A1065" s="55" t="str">
        <f>_xlfn.XLOOKUP($G1065,'.Auxiliar'!$G:$G,'.Auxiliar'!A:A,"-",0)</f>
        <v>RIO/SP</v>
      </c>
      <c r="B1065" s="55" t="str">
        <f>_xlfn.XLOOKUP($G1065,'.Auxiliar'!$G:$G,'.Auxiliar'!B:B,"-",0)</f>
        <v>OAE</v>
      </c>
      <c r="C1065" s="55" t="str">
        <f>_xlfn.XLOOKUP($G1065,'.Auxiliar'!$G:$G,'.Auxiliar'!C:C,"-",0)</f>
        <v>Ponte</v>
      </c>
      <c r="D1065" s="55">
        <f>_xlfn.XLOOKUP($G1065,'.Auxiliar'!$G:$G,'.Auxiliar'!D:D,"-",0)</f>
        <v>74.459999999999994</v>
      </c>
      <c r="E1065" s="55">
        <f>_xlfn.XLOOKUP($G1065,'.Auxiliar'!$G:$G,'.Auxiliar'!E:E,"-",0)</f>
        <v>74.459999999999994</v>
      </c>
      <c r="F1065" s="55">
        <f>_xlfn.XLOOKUP($G1065,'.Auxiliar'!$G:$G,'.Auxiliar'!F:F,"-",0)</f>
        <v>1</v>
      </c>
      <c r="G1065" s="59" t="s">
        <v>1398</v>
      </c>
      <c r="H1065" s="108" t="s">
        <v>0</v>
      </c>
      <c r="I1065" s="109" t="s">
        <v>0</v>
      </c>
      <c r="J1065" s="109" t="s">
        <v>0</v>
      </c>
      <c r="K1065" s="109" t="s">
        <v>0</v>
      </c>
      <c r="L1065" s="109" t="s">
        <v>0</v>
      </c>
      <c r="M1065" s="109" t="s">
        <v>0</v>
      </c>
      <c r="N1065" s="110" t="s">
        <v>363</v>
      </c>
      <c r="O1065" s="111"/>
      <c r="P1065" s="112"/>
      <c r="Q1065" s="112"/>
      <c r="R1065" s="112"/>
      <c r="S1065" s="112"/>
      <c r="T1065" s="112"/>
      <c r="U1065" s="95" t="str">
        <f t="shared" si="51"/>
        <v/>
      </c>
      <c r="V1065" s="112"/>
      <c r="W1065" s="112"/>
      <c r="X1065" s="107">
        <v>100</v>
      </c>
      <c r="Y1065" s="107">
        <f t="shared" si="52"/>
        <v>100</v>
      </c>
      <c r="Z1065" s="107">
        <f t="shared" si="53"/>
        <v>0</v>
      </c>
    </row>
    <row r="1066" spans="1:26" x14ac:dyDescent="0.25">
      <c r="A1066" s="55" t="str">
        <f>_xlfn.XLOOKUP($G1066,'.Auxiliar'!$G:$G,'.Auxiliar'!A:A,"-",0)</f>
        <v>RIO/SP</v>
      </c>
      <c r="B1066" s="55" t="str">
        <f>_xlfn.XLOOKUP($G1066,'.Auxiliar'!$G:$G,'.Auxiliar'!B:B,"-",0)</f>
        <v>OAE</v>
      </c>
      <c r="C1066" s="55" t="str">
        <f>_xlfn.XLOOKUP($G1066,'.Auxiliar'!$G:$G,'.Auxiliar'!C:C,"-",0)</f>
        <v>Ponte</v>
      </c>
      <c r="D1066" s="55">
        <f>_xlfn.XLOOKUP($G1066,'.Auxiliar'!$G:$G,'.Auxiliar'!D:D,"-",0)</f>
        <v>80.91</v>
      </c>
      <c r="E1066" s="55">
        <f>_xlfn.XLOOKUP($G1066,'.Auxiliar'!$G:$G,'.Auxiliar'!E:E,"-",0)</f>
        <v>80.91</v>
      </c>
      <c r="F1066" s="55">
        <f>_xlfn.XLOOKUP($G1066,'.Auxiliar'!$G:$G,'.Auxiliar'!F:F,"-",0)</f>
        <v>1</v>
      </c>
      <c r="G1066" s="59" t="s">
        <v>1399</v>
      </c>
      <c r="H1066" s="108" t="s">
        <v>0</v>
      </c>
      <c r="I1066" s="109" t="s">
        <v>0</v>
      </c>
      <c r="J1066" s="109" t="s">
        <v>0</v>
      </c>
      <c r="K1066" s="109" t="s">
        <v>0</v>
      </c>
      <c r="L1066" s="109" t="s">
        <v>0</v>
      </c>
      <c r="M1066" s="109" t="s">
        <v>0</v>
      </c>
      <c r="N1066" s="110" t="s">
        <v>363</v>
      </c>
      <c r="O1066" s="111"/>
      <c r="P1066" s="112"/>
      <c r="Q1066" s="112"/>
      <c r="R1066" s="112"/>
      <c r="S1066" s="112"/>
      <c r="T1066" s="112"/>
      <c r="U1066" s="95" t="str">
        <f t="shared" si="51"/>
        <v/>
      </c>
      <c r="V1066" s="112"/>
      <c r="W1066" s="112"/>
      <c r="X1066" s="107">
        <v>100</v>
      </c>
      <c r="Y1066" s="107">
        <f t="shared" si="52"/>
        <v>100</v>
      </c>
      <c r="Z1066" s="107">
        <f t="shared" si="53"/>
        <v>0</v>
      </c>
    </row>
    <row r="1067" spans="1:26" x14ac:dyDescent="0.25">
      <c r="A1067" s="55" t="str">
        <f>_xlfn.XLOOKUP($G1067,'.Auxiliar'!$G:$G,'.Auxiliar'!A:A,"-",0)</f>
        <v>RIO/SP</v>
      </c>
      <c r="B1067" s="55" t="str">
        <f>_xlfn.XLOOKUP($G1067,'.Auxiliar'!$G:$G,'.Auxiliar'!B:B,"-",0)</f>
        <v>OAE</v>
      </c>
      <c r="C1067" s="55" t="str">
        <f>_xlfn.XLOOKUP($G1067,'.Auxiliar'!$G:$G,'.Auxiliar'!C:C,"-",0)</f>
        <v>Ponte</v>
      </c>
      <c r="D1067" s="55">
        <f>_xlfn.XLOOKUP($G1067,'.Auxiliar'!$G:$G,'.Auxiliar'!D:D,"-",0)</f>
        <v>88.94</v>
      </c>
      <c r="E1067" s="55">
        <f>_xlfn.XLOOKUP($G1067,'.Auxiliar'!$G:$G,'.Auxiliar'!E:E,"-",0)</f>
        <v>88.94</v>
      </c>
      <c r="F1067" s="55">
        <f>_xlfn.XLOOKUP($G1067,'.Auxiliar'!$G:$G,'.Auxiliar'!F:F,"-",0)</f>
        <v>1</v>
      </c>
      <c r="G1067" s="59" t="s">
        <v>1400</v>
      </c>
      <c r="H1067" s="108" t="s">
        <v>0</v>
      </c>
      <c r="I1067" s="109" t="s">
        <v>0</v>
      </c>
      <c r="J1067" s="109" t="s">
        <v>0</v>
      </c>
      <c r="K1067" s="109" t="s">
        <v>0</v>
      </c>
      <c r="L1067" s="109" t="s">
        <v>0</v>
      </c>
      <c r="M1067" s="109" t="s">
        <v>0</v>
      </c>
      <c r="N1067" s="110" t="s">
        <v>363</v>
      </c>
      <c r="O1067" s="111"/>
      <c r="P1067" s="112"/>
      <c r="Q1067" s="112"/>
      <c r="R1067" s="112"/>
      <c r="S1067" s="112"/>
      <c r="T1067" s="112"/>
      <c r="U1067" s="95" t="str">
        <f t="shared" si="51"/>
        <v/>
      </c>
      <c r="V1067" s="112"/>
      <c r="W1067" s="112"/>
      <c r="X1067" s="107">
        <v>100</v>
      </c>
      <c r="Y1067" s="107">
        <f t="shared" si="52"/>
        <v>100</v>
      </c>
      <c r="Z1067" s="107">
        <f t="shared" si="53"/>
        <v>0</v>
      </c>
    </row>
    <row r="1068" spans="1:26" x14ac:dyDescent="0.25">
      <c r="A1068" s="55" t="str">
        <f>_xlfn.XLOOKUP($G1068,'.Auxiliar'!$G:$G,'.Auxiliar'!A:A,"-",0)</f>
        <v>RIO/SP</v>
      </c>
      <c r="B1068" s="55" t="str">
        <f>_xlfn.XLOOKUP($G1068,'.Auxiliar'!$G:$G,'.Auxiliar'!B:B,"-",0)</f>
        <v>OAE</v>
      </c>
      <c r="C1068" s="55" t="str">
        <f>_xlfn.XLOOKUP($G1068,'.Auxiliar'!$G:$G,'.Auxiliar'!C:C,"-",0)</f>
        <v>Ponte</v>
      </c>
      <c r="D1068" s="55">
        <f>_xlfn.XLOOKUP($G1068,'.Auxiliar'!$G:$G,'.Auxiliar'!D:D,"-",0)</f>
        <v>98.87</v>
      </c>
      <c r="E1068" s="55">
        <f>_xlfn.XLOOKUP($G1068,'.Auxiliar'!$G:$G,'.Auxiliar'!E:E,"-",0)</f>
        <v>98.87</v>
      </c>
      <c r="F1068" s="55">
        <f>_xlfn.XLOOKUP($G1068,'.Auxiliar'!$G:$G,'.Auxiliar'!F:F,"-",0)</f>
        <v>1</v>
      </c>
      <c r="G1068" s="59" t="s">
        <v>1401</v>
      </c>
      <c r="H1068" s="108" t="s">
        <v>0</v>
      </c>
      <c r="I1068" s="109" t="s">
        <v>0</v>
      </c>
      <c r="J1068" s="109" t="s">
        <v>0</v>
      </c>
      <c r="K1068" s="109" t="s">
        <v>0</v>
      </c>
      <c r="L1068" s="109" t="s">
        <v>0</v>
      </c>
      <c r="M1068" s="109" t="s">
        <v>0</v>
      </c>
      <c r="N1068" s="110" t="s">
        <v>363</v>
      </c>
      <c r="O1068" s="111"/>
      <c r="P1068" s="112"/>
      <c r="Q1068" s="112"/>
      <c r="R1068" s="112"/>
      <c r="S1068" s="112"/>
      <c r="T1068" s="112"/>
      <c r="U1068" s="95" t="str">
        <f t="shared" si="51"/>
        <v/>
      </c>
      <c r="V1068" s="112"/>
      <c r="W1068" s="112"/>
      <c r="X1068" s="107">
        <v>100</v>
      </c>
      <c r="Y1068" s="107">
        <f t="shared" si="52"/>
        <v>100</v>
      </c>
      <c r="Z1068" s="107">
        <f t="shared" si="53"/>
        <v>0</v>
      </c>
    </row>
    <row r="1069" spans="1:26" x14ac:dyDescent="0.25">
      <c r="A1069" s="55" t="str">
        <f>_xlfn.XLOOKUP($G1069,'.Auxiliar'!$G:$G,'.Auxiliar'!A:A,"-",0)</f>
        <v>RIO/SP</v>
      </c>
      <c r="B1069" s="55" t="str">
        <f>_xlfn.XLOOKUP($G1069,'.Auxiliar'!$G:$G,'.Auxiliar'!B:B,"-",0)</f>
        <v>OAE</v>
      </c>
      <c r="C1069" s="55" t="str">
        <f>_xlfn.XLOOKUP($G1069,'.Auxiliar'!$G:$G,'.Auxiliar'!C:C,"-",0)</f>
        <v>Ponte Pista Norte (Serra das Araras)</v>
      </c>
      <c r="D1069" s="55">
        <f>_xlfn.XLOOKUP($G1069,'.Auxiliar'!$G:$G,'.Auxiliar'!D:D,"-",0)</f>
        <v>218.35</v>
      </c>
      <c r="E1069" s="55">
        <f>_xlfn.XLOOKUP($G1069,'.Auxiliar'!$G:$G,'.Auxiliar'!E:E,"-",0)</f>
        <v>218.35</v>
      </c>
      <c r="F1069" s="55">
        <f>_xlfn.XLOOKUP($G1069,'.Auxiliar'!$G:$G,'.Auxiliar'!F:F,"-",0)</f>
        <v>1</v>
      </c>
      <c r="G1069" s="59" t="s">
        <v>1447</v>
      </c>
      <c r="H1069" s="108" t="s">
        <v>0</v>
      </c>
      <c r="I1069" s="109" t="s">
        <v>0</v>
      </c>
      <c r="J1069" s="109" t="s">
        <v>0</v>
      </c>
      <c r="K1069" s="109" t="s">
        <v>0</v>
      </c>
      <c r="L1069" s="109" t="s">
        <v>0</v>
      </c>
      <c r="M1069" s="109" t="s">
        <v>0</v>
      </c>
      <c r="N1069" s="110" t="s">
        <v>363</v>
      </c>
      <c r="O1069" s="111"/>
      <c r="P1069" s="112"/>
      <c r="Q1069" s="112"/>
      <c r="R1069" s="112"/>
      <c r="S1069" s="112"/>
      <c r="T1069" s="112"/>
      <c r="U1069" s="95" t="str">
        <f t="shared" si="51"/>
        <v/>
      </c>
      <c r="V1069" s="112"/>
      <c r="W1069" s="112"/>
      <c r="X1069" s="107">
        <v>100</v>
      </c>
      <c r="Y1069" s="107">
        <f t="shared" si="52"/>
        <v>100</v>
      </c>
      <c r="Z1069" s="107">
        <f t="shared" si="53"/>
        <v>0</v>
      </c>
    </row>
    <row r="1070" spans="1:26" x14ac:dyDescent="0.25">
      <c r="A1070" s="55" t="str">
        <f>_xlfn.XLOOKUP($G1070,'.Auxiliar'!$G:$G,'.Auxiliar'!A:A,"-",0)</f>
        <v>RIO/SP</v>
      </c>
      <c r="B1070" s="55" t="str">
        <f>_xlfn.XLOOKUP($G1070,'.Auxiliar'!$G:$G,'.Auxiliar'!B:B,"-",0)</f>
        <v>OAE</v>
      </c>
      <c r="C1070" s="55" t="str">
        <f>_xlfn.XLOOKUP($G1070,'.Auxiliar'!$G:$G,'.Auxiliar'!C:C,"-",0)</f>
        <v>Ponte Pista Norte (Serra das Araras)</v>
      </c>
      <c r="D1070" s="55">
        <f>_xlfn.XLOOKUP($G1070,'.Auxiliar'!$G:$G,'.Auxiliar'!D:D,"-",0)</f>
        <v>219.25</v>
      </c>
      <c r="E1070" s="55">
        <f>_xlfn.XLOOKUP($G1070,'.Auxiliar'!$G:$G,'.Auxiliar'!E:E,"-",0)</f>
        <v>219.25</v>
      </c>
      <c r="F1070" s="55">
        <f>_xlfn.XLOOKUP($G1070,'.Auxiliar'!$G:$G,'.Auxiliar'!F:F,"-",0)</f>
        <v>1</v>
      </c>
      <c r="G1070" s="59" t="s">
        <v>1448</v>
      </c>
      <c r="H1070" s="108" t="s">
        <v>0</v>
      </c>
      <c r="I1070" s="109" t="s">
        <v>0</v>
      </c>
      <c r="J1070" s="109" t="s">
        <v>0</v>
      </c>
      <c r="K1070" s="109" t="s">
        <v>0</v>
      </c>
      <c r="L1070" s="109" t="s">
        <v>0</v>
      </c>
      <c r="M1070" s="109" t="s">
        <v>0</v>
      </c>
      <c r="N1070" s="110" t="s">
        <v>363</v>
      </c>
      <c r="O1070" s="111"/>
      <c r="P1070" s="112"/>
      <c r="Q1070" s="112"/>
      <c r="R1070" s="112"/>
      <c r="S1070" s="112"/>
      <c r="T1070" s="112"/>
      <c r="U1070" s="95" t="str">
        <f t="shared" si="51"/>
        <v/>
      </c>
      <c r="V1070" s="112"/>
      <c r="W1070" s="112"/>
      <c r="X1070" s="107">
        <v>100</v>
      </c>
      <c r="Y1070" s="107">
        <f t="shared" si="52"/>
        <v>100</v>
      </c>
      <c r="Z1070" s="107">
        <f t="shared" si="53"/>
        <v>0</v>
      </c>
    </row>
    <row r="1071" spans="1:26" x14ac:dyDescent="0.25">
      <c r="A1071" s="55" t="str">
        <f>_xlfn.XLOOKUP($G1071,'.Auxiliar'!$G:$G,'.Auxiliar'!A:A,"-",0)</f>
        <v>RIO/SP</v>
      </c>
      <c r="B1071" s="55" t="str">
        <f>_xlfn.XLOOKUP($G1071,'.Auxiliar'!$G:$G,'.Auxiliar'!B:B,"-",0)</f>
        <v>OAE</v>
      </c>
      <c r="C1071" s="55" t="str">
        <f>_xlfn.XLOOKUP($G1071,'.Auxiliar'!$G:$G,'.Auxiliar'!C:C,"-",0)</f>
        <v>Ponte Pista Norte (Serra das Araras)</v>
      </c>
      <c r="D1071" s="55">
        <f>_xlfn.XLOOKUP($G1071,'.Auxiliar'!$G:$G,'.Auxiliar'!D:D,"-",0)</f>
        <v>219.7</v>
      </c>
      <c r="E1071" s="55">
        <f>_xlfn.XLOOKUP($G1071,'.Auxiliar'!$G:$G,'.Auxiliar'!E:E,"-",0)</f>
        <v>219.7</v>
      </c>
      <c r="F1071" s="55">
        <f>_xlfn.XLOOKUP($G1071,'.Auxiliar'!$G:$G,'.Auxiliar'!F:F,"-",0)</f>
        <v>1</v>
      </c>
      <c r="G1071" s="59" t="s">
        <v>1449</v>
      </c>
      <c r="H1071" s="108" t="s">
        <v>0</v>
      </c>
      <c r="I1071" s="109" t="s">
        <v>0</v>
      </c>
      <c r="J1071" s="109" t="s">
        <v>0</v>
      </c>
      <c r="K1071" s="109" t="s">
        <v>0</v>
      </c>
      <c r="L1071" s="109" t="s">
        <v>0</v>
      </c>
      <c r="M1071" s="109" t="s">
        <v>0</v>
      </c>
      <c r="N1071" s="110" t="s">
        <v>363</v>
      </c>
      <c r="O1071" s="111"/>
      <c r="P1071" s="112"/>
      <c r="Q1071" s="112"/>
      <c r="R1071" s="112"/>
      <c r="S1071" s="112"/>
      <c r="T1071" s="112"/>
      <c r="U1071" s="95" t="str">
        <f t="shared" si="51"/>
        <v/>
      </c>
      <c r="V1071" s="112"/>
      <c r="W1071" s="112"/>
      <c r="X1071" s="107">
        <v>100</v>
      </c>
      <c r="Y1071" s="107">
        <f t="shared" si="52"/>
        <v>100</v>
      </c>
      <c r="Z1071" s="107">
        <f t="shared" si="53"/>
        <v>0</v>
      </c>
    </row>
    <row r="1072" spans="1:26" x14ac:dyDescent="0.25">
      <c r="A1072" s="55" t="str">
        <f>_xlfn.XLOOKUP($G1072,'.Auxiliar'!$G:$G,'.Auxiliar'!A:A,"-",0)</f>
        <v>RIO/SP</v>
      </c>
      <c r="B1072" s="55" t="str">
        <f>_xlfn.XLOOKUP($G1072,'.Auxiliar'!$G:$G,'.Auxiliar'!B:B,"-",0)</f>
        <v>OAE</v>
      </c>
      <c r="C1072" s="55" t="str">
        <f>_xlfn.XLOOKUP($G1072,'.Auxiliar'!$G:$G,'.Auxiliar'!C:C,"-",0)</f>
        <v>Ponte Pista Norte (Serra das Araras)</v>
      </c>
      <c r="D1072" s="55">
        <f>_xlfn.XLOOKUP($G1072,'.Auxiliar'!$G:$G,'.Auxiliar'!D:D,"-",0)</f>
        <v>220.1</v>
      </c>
      <c r="E1072" s="55">
        <f>_xlfn.XLOOKUP($G1072,'.Auxiliar'!$G:$G,'.Auxiliar'!E:E,"-",0)</f>
        <v>220.1</v>
      </c>
      <c r="F1072" s="55">
        <f>_xlfn.XLOOKUP($G1072,'.Auxiliar'!$G:$G,'.Auxiliar'!F:F,"-",0)</f>
        <v>1</v>
      </c>
      <c r="G1072" s="59" t="s">
        <v>1450</v>
      </c>
      <c r="H1072" s="108" t="s">
        <v>0</v>
      </c>
      <c r="I1072" s="109" t="s">
        <v>0</v>
      </c>
      <c r="J1072" s="109" t="s">
        <v>0</v>
      </c>
      <c r="K1072" s="109" t="s">
        <v>0</v>
      </c>
      <c r="L1072" s="109" t="s">
        <v>0</v>
      </c>
      <c r="M1072" s="109" t="s">
        <v>0</v>
      </c>
      <c r="N1072" s="110" t="s">
        <v>363</v>
      </c>
      <c r="O1072" s="111"/>
      <c r="P1072" s="112"/>
      <c r="Q1072" s="112"/>
      <c r="R1072" s="112"/>
      <c r="S1072" s="112"/>
      <c r="T1072" s="112"/>
      <c r="U1072" s="95" t="str">
        <f t="shared" si="51"/>
        <v/>
      </c>
      <c r="V1072" s="112"/>
      <c r="W1072" s="112"/>
      <c r="X1072" s="107">
        <v>100</v>
      </c>
      <c r="Y1072" s="107">
        <f t="shared" si="52"/>
        <v>100</v>
      </c>
      <c r="Z1072" s="107">
        <f t="shared" si="53"/>
        <v>0</v>
      </c>
    </row>
    <row r="1073" spans="1:26" x14ac:dyDescent="0.25">
      <c r="A1073" s="55" t="str">
        <f>_xlfn.XLOOKUP($G1073,'.Auxiliar'!$G:$G,'.Auxiliar'!A:A,"-",0)</f>
        <v>RIO/SP</v>
      </c>
      <c r="B1073" s="55" t="str">
        <f>_xlfn.XLOOKUP($G1073,'.Auxiliar'!$G:$G,'.Auxiliar'!B:B,"-",0)</f>
        <v>OAE</v>
      </c>
      <c r="C1073" s="55" t="str">
        <f>_xlfn.XLOOKUP($G1073,'.Auxiliar'!$G:$G,'.Auxiliar'!C:C,"-",0)</f>
        <v>Ponte Pista Norte (Serra das Araras)</v>
      </c>
      <c r="D1073" s="55">
        <f>_xlfn.XLOOKUP($G1073,'.Auxiliar'!$G:$G,'.Auxiliar'!D:D,"-",0)</f>
        <v>220.84</v>
      </c>
      <c r="E1073" s="55">
        <f>_xlfn.XLOOKUP($G1073,'.Auxiliar'!$G:$G,'.Auxiliar'!E:E,"-",0)</f>
        <v>220.84</v>
      </c>
      <c r="F1073" s="55">
        <f>_xlfn.XLOOKUP($G1073,'.Auxiliar'!$G:$G,'.Auxiliar'!F:F,"-",0)</f>
        <v>1</v>
      </c>
      <c r="G1073" s="59" t="s">
        <v>1451</v>
      </c>
      <c r="H1073" s="108" t="s">
        <v>0</v>
      </c>
      <c r="I1073" s="109" t="s">
        <v>0</v>
      </c>
      <c r="J1073" s="109" t="s">
        <v>0</v>
      </c>
      <c r="K1073" s="109" t="s">
        <v>0</v>
      </c>
      <c r="L1073" s="109" t="s">
        <v>0</v>
      </c>
      <c r="M1073" s="109" t="s">
        <v>0</v>
      </c>
      <c r="N1073" s="110" t="s">
        <v>363</v>
      </c>
      <c r="O1073" s="111"/>
      <c r="P1073" s="112"/>
      <c r="Q1073" s="112"/>
      <c r="R1073" s="112"/>
      <c r="S1073" s="112"/>
      <c r="T1073" s="112"/>
      <c r="U1073" s="95" t="str">
        <f t="shared" si="51"/>
        <v/>
      </c>
      <c r="V1073" s="112"/>
      <c r="W1073" s="112"/>
      <c r="X1073" s="107">
        <v>100</v>
      </c>
      <c r="Y1073" s="107">
        <f t="shared" si="52"/>
        <v>100</v>
      </c>
      <c r="Z1073" s="107">
        <f t="shared" si="53"/>
        <v>0</v>
      </c>
    </row>
    <row r="1074" spans="1:26" x14ac:dyDescent="0.25">
      <c r="A1074" s="55" t="str">
        <f>_xlfn.XLOOKUP($G1074,'.Auxiliar'!$G:$G,'.Auxiliar'!A:A,"-",0)</f>
        <v>RIO/SP</v>
      </c>
      <c r="B1074" s="55" t="str">
        <f>_xlfn.XLOOKUP($G1074,'.Auxiliar'!$G:$G,'.Auxiliar'!B:B,"-",0)</f>
        <v>OAE</v>
      </c>
      <c r="C1074" s="55" t="str">
        <f>_xlfn.XLOOKUP($G1074,'.Auxiliar'!$G:$G,'.Auxiliar'!C:C,"-",0)</f>
        <v>Ponte Pista Norte (Serra das Araras)</v>
      </c>
      <c r="D1074" s="55">
        <f>_xlfn.XLOOKUP($G1074,'.Auxiliar'!$G:$G,'.Auxiliar'!D:D,"-",0)</f>
        <v>220.85</v>
      </c>
      <c r="E1074" s="55">
        <f>_xlfn.XLOOKUP($G1074,'.Auxiliar'!$G:$G,'.Auxiliar'!E:E,"-",0)</f>
        <v>220.85</v>
      </c>
      <c r="F1074" s="55">
        <f>_xlfn.XLOOKUP($G1074,'.Auxiliar'!$G:$G,'.Auxiliar'!F:F,"-",0)</f>
        <v>2</v>
      </c>
      <c r="G1074" s="59" t="s">
        <v>1452</v>
      </c>
      <c r="H1074" s="108" t="s">
        <v>0</v>
      </c>
      <c r="I1074" s="109" t="s">
        <v>0</v>
      </c>
      <c r="J1074" s="109" t="s">
        <v>0</v>
      </c>
      <c r="K1074" s="109" t="s">
        <v>0</v>
      </c>
      <c r="L1074" s="109" t="s">
        <v>0</v>
      </c>
      <c r="M1074" s="109" t="s">
        <v>0</v>
      </c>
      <c r="N1074" s="110" t="s">
        <v>363</v>
      </c>
      <c r="O1074" s="111"/>
      <c r="P1074" s="112"/>
      <c r="Q1074" s="112"/>
      <c r="R1074" s="112"/>
      <c r="S1074" s="112"/>
      <c r="T1074" s="112"/>
      <c r="U1074" s="95" t="str">
        <f t="shared" si="51"/>
        <v/>
      </c>
      <c r="V1074" s="112"/>
      <c r="W1074" s="112"/>
      <c r="X1074" s="107">
        <v>100</v>
      </c>
      <c r="Y1074" s="107">
        <f t="shared" si="52"/>
        <v>100</v>
      </c>
      <c r="Z1074" s="107">
        <f t="shared" si="53"/>
        <v>0</v>
      </c>
    </row>
    <row r="1075" spans="1:26" x14ac:dyDescent="0.25">
      <c r="A1075" s="55" t="str">
        <f>_xlfn.XLOOKUP($G1075,'.Auxiliar'!$G:$G,'.Auxiliar'!A:A,"-",0)</f>
        <v>RIO/SP</v>
      </c>
      <c r="B1075" s="55" t="str">
        <f>_xlfn.XLOOKUP($G1075,'.Auxiliar'!$G:$G,'.Auxiliar'!B:B,"-",0)</f>
        <v>OAE</v>
      </c>
      <c r="C1075" s="55" t="str">
        <f>_xlfn.XLOOKUP($G1075,'.Auxiliar'!$G:$G,'.Auxiliar'!C:C,"-",0)</f>
        <v>Ponte Pista Norte (Serra das Araras)</v>
      </c>
      <c r="D1075" s="55">
        <f>_xlfn.XLOOKUP($G1075,'.Auxiliar'!$G:$G,'.Auxiliar'!D:D,"-",0)</f>
        <v>221.43</v>
      </c>
      <c r="E1075" s="55">
        <f>_xlfn.XLOOKUP($G1075,'.Auxiliar'!$G:$G,'.Auxiliar'!E:E,"-",0)</f>
        <v>221.43</v>
      </c>
      <c r="F1075" s="55">
        <f>_xlfn.XLOOKUP($G1075,'.Auxiliar'!$G:$G,'.Auxiliar'!F:F,"-",0)</f>
        <v>1</v>
      </c>
      <c r="G1075" s="59" t="s">
        <v>1453</v>
      </c>
      <c r="H1075" s="108" t="s">
        <v>0</v>
      </c>
      <c r="I1075" s="109" t="s">
        <v>0</v>
      </c>
      <c r="J1075" s="109" t="s">
        <v>0</v>
      </c>
      <c r="K1075" s="109" t="s">
        <v>0</v>
      </c>
      <c r="L1075" s="109" t="s">
        <v>0</v>
      </c>
      <c r="M1075" s="109" t="s">
        <v>0</v>
      </c>
      <c r="N1075" s="110" t="s">
        <v>363</v>
      </c>
      <c r="O1075" s="111"/>
      <c r="P1075" s="112"/>
      <c r="Q1075" s="112"/>
      <c r="R1075" s="112"/>
      <c r="S1075" s="112"/>
      <c r="T1075" s="112"/>
      <c r="U1075" s="95" t="str">
        <f t="shared" si="51"/>
        <v/>
      </c>
      <c r="V1075" s="112"/>
      <c r="W1075" s="112"/>
      <c r="X1075" s="107">
        <v>100</v>
      </c>
      <c r="Y1075" s="107">
        <f t="shared" si="52"/>
        <v>100</v>
      </c>
      <c r="Z1075" s="107">
        <f t="shared" si="53"/>
        <v>0</v>
      </c>
    </row>
    <row r="1076" spans="1:26" x14ac:dyDescent="0.25">
      <c r="A1076" s="55" t="str">
        <f>_xlfn.XLOOKUP($G1076,'.Auxiliar'!$G:$G,'.Auxiliar'!A:A,"-",0)</f>
        <v>RIO/SP</v>
      </c>
      <c r="B1076" s="55" t="str">
        <f>_xlfn.XLOOKUP($G1076,'.Auxiliar'!$G:$G,'.Auxiliar'!B:B,"-",0)</f>
        <v>OAE</v>
      </c>
      <c r="C1076" s="55" t="str">
        <f>_xlfn.XLOOKUP($G1076,'.Auxiliar'!$G:$G,'.Auxiliar'!C:C,"-",0)</f>
        <v>Ponte Pista Norte (Serra das Araras)</v>
      </c>
      <c r="D1076" s="55">
        <f>_xlfn.XLOOKUP($G1076,'.Auxiliar'!$G:$G,'.Auxiliar'!D:D,"-",0)</f>
        <v>222</v>
      </c>
      <c r="E1076" s="55">
        <f>_xlfn.XLOOKUP($G1076,'.Auxiliar'!$G:$G,'.Auxiliar'!E:E,"-",0)</f>
        <v>222</v>
      </c>
      <c r="F1076" s="55">
        <f>_xlfn.XLOOKUP($G1076,'.Auxiliar'!$G:$G,'.Auxiliar'!F:F,"-",0)</f>
        <v>1</v>
      </c>
      <c r="G1076" s="59" t="s">
        <v>1454</v>
      </c>
      <c r="H1076" s="108" t="s">
        <v>0</v>
      </c>
      <c r="I1076" s="109" t="s">
        <v>0</v>
      </c>
      <c r="J1076" s="109" t="s">
        <v>0</v>
      </c>
      <c r="K1076" s="109" t="s">
        <v>0</v>
      </c>
      <c r="L1076" s="109" t="s">
        <v>0</v>
      </c>
      <c r="M1076" s="109" t="s">
        <v>0</v>
      </c>
      <c r="N1076" s="110" t="s">
        <v>363</v>
      </c>
      <c r="O1076" s="111"/>
      <c r="P1076" s="112"/>
      <c r="Q1076" s="112"/>
      <c r="R1076" s="112"/>
      <c r="S1076" s="112"/>
      <c r="T1076" s="112"/>
      <c r="U1076" s="95" t="str">
        <f t="shared" si="51"/>
        <v/>
      </c>
      <c r="V1076" s="112"/>
      <c r="W1076" s="112"/>
      <c r="X1076" s="107">
        <v>100</v>
      </c>
      <c r="Y1076" s="107">
        <f t="shared" si="52"/>
        <v>100</v>
      </c>
      <c r="Z1076" s="107">
        <f t="shared" si="53"/>
        <v>0</v>
      </c>
    </row>
    <row r="1077" spans="1:26" x14ac:dyDescent="0.25">
      <c r="A1077" s="55" t="str">
        <f>_xlfn.XLOOKUP($G1077,'.Auxiliar'!$G:$G,'.Auxiliar'!A:A,"-",0)</f>
        <v>RIO/SP</v>
      </c>
      <c r="B1077" s="55" t="str">
        <f>_xlfn.XLOOKUP($G1077,'.Auxiliar'!$G:$G,'.Auxiliar'!B:B,"-",0)</f>
        <v>OAE</v>
      </c>
      <c r="C1077" s="55" t="str">
        <f>_xlfn.XLOOKUP($G1077,'.Auxiliar'!$G:$G,'.Auxiliar'!C:C,"-",0)</f>
        <v>Ponte Pista Norte (Serra das Araras)</v>
      </c>
      <c r="D1077" s="55">
        <f>_xlfn.XLOOKUP($G1077,'.Auxiliar'!$G:$G,'.Auxiliar'!D:D,"-",0)</f>
        <v>222.49</v>
      </c>
      <c r="E1077" s="55">
        <f>_xlfn.XLOOKUP($G1077,'.Auxiliar'!$G:$G,'.Auxiliar'!E:E,"-",0)</f>
        <v>222.49</v>
      </c>
      <c r="F1077" s="55">
        <f>_xlfn.XLOOKUP($G1077,'.Auxiliar'!$G:$G,'.Auxiliar'!F:F,"-",0)</f>
        <v>1</v>
      </c>
      <c r="G1077" s="59" t="s">
        <v>1455</v>
      </c>
      <c r="H1077" s="108" t="s">
        <v>0</v>
      </c>
      <c r="I1077" s="109" t="s">
        <v>0</v>
      </c>
      <c r="J1077" s="109" t="s">
        <v>0</v>
      </c>
      <c r="K1077" s="109" t="s">
        <v>0</v>
      </c>
      <c r="L1077" s="109" t="s">
        <v>0</v>
      </c>
      <c r="M1077" s="109" t="s">
        <v>0</v>
      </c>
      <c r="N1077" s="110" t="s">
        <v>363</v>
      </c>
      <c r="O1077" s="111"/>
      <c r="P1077" s="112"/>
      <c r="Q1077" s="112"/>
      <c r="R1077" s="112"/>
      <c r="S1077" s="112"/>
      <c r="T1077" s="112"/>
      <c r="U1077" s="95" t="str">
        <f t="shared" si="51"/>
        <v/>
      </c>
      <c r="V1077" s="112"/>
      <c r="W1077" s="112"/>
      <c r="X1077" s="107">
        <v>100</v>
      </c>
      <c r="Y1077" s="107">
        <f t="shared" si="52"/>
        <v>100</v>
      </c>
      <c r="Z1077" s="107">
        <f t="shared" si="53"/>
        <v>0</v>
      </c>
    </row>
    <row r="1078" spans="1:26" x14ac:dyDescent="0.25">
      <c r="A1078" s="55" t="str">
        <f>_xlfn.XLOOKUP($G1078,'.Auxiliar'!$G:$G,'.Auxiliar'!A:A,"-",0)</f>
        <v>RIO/SP</v>
      </c>
      <c r="B1078" s="55" t="str">
        <f>_xlfn.XLOOKUP($G1078,'.Auxiliar'!$G:$G,'.Auxiliar'!B:B,"-",0)</f>
        <v>OAE</v>
      </c>
      <c r="C1078" s="55" t="str">
        <f>_xlfn.XLOOKUP($G1078,'.Auxiliar'!$G:$G,'.Auxiliar'!C:C,"-",0)</f>
        <v>Ponte Pista Norte (Serra das Araras)</v>
      </c>
      <c r="D1078" s="55">
        <f>_xlfn.XLOOKUP($G1078,'.Auxiliar'!$G:$G,'.Auxiliar'!D:D,"-",0)</f>
        <v>223.14</v>
      </c>
      <c r="E1078" s="55">
        <f>_xlfn.XLOOKUP($G1078,'.Auxiliar'!$G:$G,'.Auxiliar'!E:E,"-",0)</f>
        <v>223.14</v>
      </c>
      <c r="F1078" s="55">
        <f>_xlfn.XLOOKUP($G1078,'.Auxiliar'!$G:$G,'.Auxiliar'!F:F,"-",0)</f>
        <v>1</v>
      </c>
      <c r="G1078" s="59" t="s">
        <v>1456</v>
      </c>
      <c r="H1078" s="108" t="s">
        <v>0</v>
      </c>
      <c r="I1078" s="109" t="s">
        <v>0</v>
      </c>
      <c r="J1078" s="109" t="s">
        <v>0</v>
      </c>
      <c r="K1078" s="109" t="s">
        <v>0</v>
      </c>
      <c r="L1078" s="109" t="s">
        <v>0</v>
      </c>
      <c r="M1078" s="109" t="s">
        <v>0</v>
      </c>
      <c r="N1078" s="110" t="s">
        <v>363</v>
      </c>
      <c r="O1078" s="111"/>
      <c r="P1078" s="112"/>
      <c r="Q1078" s="112"/>
      <c r="R1078" s="112"/>
      <c r="S1078" s="112"/>
      <c r="T1078" s="112"/>
      <c r="U1078" s="95" t="str">
        <f t="shared" si="51"/>
        <v/>
      </c>
      <c r="V1078" s="112"/>
      <c r="W1078" s="112"/>
      <c r="X1078" s="107">
        <v>100</v>
      </c>
      <c r="Y1078" s="107">
        <f t="shared" si="52"/>
        <v>100</v>
      </c>
      <c r="Z1078" s="107">
        <f t="shared" si="53"/>
        <v>0</v>
      </c>
    </row>
    <row r="1079" spans="1:26" x14ac:dyDescent="0.25">
      <c r="A1079" s="55" t="str">
        <f>_xlfn.XLOOKUP($G1079,'.Auxiliar'!$G:$G,'.Auxiliar'!A:A,"-",0)</f>
        <v>RIO/SP</v>
      </c>
      <c r="B1079" s="55" t="str">
        <f>_xlfn.XLOOKUP($G1079,'.Auxiliar'!$G:$G,'.Auxiliar'!B:B,"-",0)</f>
        <v>OAE</v>
      </c>
      <c r="C1079" s="55" t="str">
        <f>_xlfn.XLOOKUP($G1079,'.Auxiliar'!$G:$G,'.Auxiliar'!C:C,"-",0)</f>
        <v>Ponte Pista Norte (Serra das Araras)</v>
      </c>
      <c r="D1079" s="55">
        <f>_xlfn.XLOOKUP($G1079,'.Auxiliar'!$G:$G,'.Auxiliar'!D:D,"-",0)</f>
        <v>224.09</v>
      </c>
      <c r="E1079" s="55">
        <f>_xlfn.XLOOKUP($G1079,'.Auxiliar'!$G:$G,'.Auxiliar'!E:E,"-",0)</f>
        <v>224.09</v>
      </c>
      <c r="F1079" s="55">
        <f>_xlfn.XLOOKUP($G1079,'.Auxiliar'!$G:$G,'.Auxiliar'!F:F,"-",0)</f>
        <v>1</v>
      </c>
      <c r="G1079" s="59" t="s">
        <v>1457</v>
      </c>
      <c r="H1079" s="108" t="s">
        <v>0</v>
      </c>
      <c r="I1079" s="109" t="s">
        <v>0</v>
      </c>
      <c r="J1079" s="109" t="s">
        <v>0</v>
      </c>
      <c r="K1079" s="109" t="s">
        <v>0</v>
      </c>
      <c r="L1079" s="109" t="s">
        <v>0</v>
      </c>
      <c r="M1079" s="109" t="s">
        <v>0</v>
      </c>
      <c r="N1079" s="110" t="s">
        <v>363</v>
      </c>
      <c r="O1079" s="111"/>
      <c r="P1079" s="112"/>
      <c r="Q1079" s="112"/>
      <c r="R1079" s="112"/>
      <c r="S1079" s="112"/>
      <c r="T1079" s="112"/>
      <c r="U1079" s="95" t="str">
        <f t="shared" si="51"/>
        <v/>
      </c>
      <c r="V1079" s="112"/>
      <c r="W1079" s="112"/>
      <c r="X1079" s="107">
        <v>100</v>
      </c>
      <c r="Y1079" s="107">
        <f t="shared" si="52"/>
        <v>100</v>
      </c>
      <c r="Z1079" s="107">
        <f t="shared" si="53"/>
        <v>0</v>
      </c>
    </row>
    <row r="1080" spans="1:26" x14ac:dyDescent="0.25">
      <c r="A1080" s="55" t="str">
        <f>_xlfn.XLOOKUP($G1080,'.Auxiliar'!$G:$G,'.Auxiliar'!A:A,"-",0)</f>
        <v>RIO/SP</v>
      </c>
      <c r="B1080" s="55" t="str">
        <f>_xlfn.XLOOKUP($G1080,'.Auxiliar'!$G:$G,'.Auxiliar'!B:B,"-",0)</f>
        <v>OAE</v>
      </c>
      <c r="C1080" s="55" t="str">
        <f>_xlfn.XLOOKUP($G1080,'.Auxiliar'!$G:$G,'.Auxiliar'!C:C,"-",0)</f>
        <v>Ponte Pista Norte (Serra das Araras)</v>
      </c>
      <c r="D1080" s="55">
        <f>_xlfn.XLOOKUP($G1080,'.Auxiliar'!$G:$G,'.Auxiliar'!D:D,"-",0)</f>
        <v>224.88</v>
      </c>
      <c r="E1080" s="55">
        <f>_xlfn.XLOOKUP($G1080,'.Auxiliar'!$G:$G,'.Auxiliar'!E:E,"-",0)</f>
        <v>224.88</v>
      </c>
      <c r="F1080" s="55">
        <f>_xlfn.XLOOKUP($G1080,'.Auxiliar'!$G:$G,'.Auxiliar'!F:F,"-",0)</f>
        <v>1</v>
      </c>
      <c r="G1080" s="59" t="s">
        <v>1458</v>
      </c>
      <c r="H1080" s="108" t="s">
        <v>0</v>
      </c>
      <c r="I1080" s="109" t="s">
        <v>0</v>
      </c>
      <c r="J1080" s="109" t="s">
        <v>0</v>
      </c>
      <c r="K1080" s="109" t="s">
        <v>0</v>
      </c>
      <c r="L1080" s="109" t="s">
        <v>0</v>
      </c>
      <c r="M1080" s="109" t="s">
        <v>0</v>
      </c>
      <c r="N1080" s="110" t="s">
        <v>363</v>
      </c>
      <c r="O1080" s="111"/>
      <c r="P1080" s="112"/>
      <c r="Q1080" s="112"/>
      <c r="R1080" s="112"/>
      <c r="S1080" s="112"/>
      <c r="T1080" s="112"/>
      <c r="U1080" s="95" t="str">
        <f t="shared" si="51"/>
        <v/>
      </c>
      <c r="V1080" s="112"/>
      <c r="W1080" s="112"/>
      <c r="X1080" s="107">
        <v>100</v>
      </c>
      <c r="Y1080" s="107">
        <f t="shared" si="52"/>
        <v>100</v>
      </c>
      <c r="Z1080" s="107">
        <f t="shared" si="53"/>
        <v>0</v>
      </c>
    </row>
    <row r="1081" spans="1:26" x14ac:dyDescent="0.25">
      <c r="A1081" s="55" t="str">
        <f>_xlfn.XLOOKUP($G1081,'.Auxiliar'!$G:$G,'.Auxiliar'!A:A,"-",0)</f>
        <v>RIO/SP</v>
      </c>
      <c r="B1081" s="55" t="str">
        <f>_xlfn.XLOOKUP($G1081,'.Auxiliar'!$G:$G,'.Auxiliar'!B:B,"-",0)</f>
        <v>OAE</v>
      </c>
      <c r="C1081" s="55" t="str">
        <f>_xlfn.XLOOKUP($G1081,'.Auxiliar'!$G:$G,'.Auxiliar'!C:C,"-",0)</f>
        <v>Ponte Pista Norte (Serra das Araras)</v>
      </c>
      <c r="D1081" s="55">
        <f>_xlfn.XLOOKUP($G1081,'.Auxiliar'!$G:$G,'.Auxiliar'!D:D,"-",0)</f>
        <v>225.35</v>
      </c>
      <c r="E1081" s="55">
        <f>_xlfn.XLOOKUP($G1081,'.Auxiliar'!$G:$G,'.Auxiliar'!E:E,"-",0)</f>
        <v>225.35</v>
      </c>
      <c r="F1081" s="55">
        <f>_xlfn.XLOOKUP($G1081,'.Auxiliar'!$G:$G,'.Auxiliar'!F:F,"-",0)</f>
        <v>1</v>
      </c>
      <c r="G1081" s="59" t="s">
        <v>1459</v>
      </c>
      <c r="H1081" s="108" t="s">
        <v>0</v>
      </c>
      <c r="I1081" s="109" t="s">
        <v>0</v>
      </c>
      <c r="J1081" s="109" t="s">
        <v>0</v>
      </c>
      <c r="K1081" s="109" t="s">
        <v>0</v>
      </c>
      <c r="L1081" s="109" t="s">
        <v>0</v>
      </c>
      <c r="M1081" s="109" t="s">
        <v>0</v>
      </c>
      <c r="N1081" s="110" t="s">
        <v>363</v>
      </c>
      <c r="O1081" s="111"/>
      <c r="P1081" s="112"/>
      <c r="Q1081" s="112"/>
      <c r="R1081" s="112"/>
      <c r="S1081" s="112"/>
      <c r="T1081" s="112"/>
      <c r="U1081" s="95" t="str">
        <f t="shared" si="51"/>
        <v/>
      </c>
      <c r="V1081" s="112"/>
      <c r="W1081" s="112"/>
      <c r="X1081" s="107">
        <v>100</v>
      </c>
      <c r="Y1081" s="107">
        <f t="shared" si="52"/>
        <v>100</v>
      </c>
      <c r="Z1081" s="107">
        <f t="shared" si="53"/>
        <v>0</v>
      </c>
    </row>
    <row r="1082" spans="1:26" x14ac:dyDescent="0.25">
      <c r="A1082" s="55" t="str">
        <f>_xlfn.XLOOKUP($G1082,'.Auxiliar'!$G:$G,'.Auxiliar'!A:A,"-",0)</f>
        <v>RIO/SP</v>
      </c>
      <c r="B1082" s="55" t="str">
        <f>_xlfn.XLOOKUP($G1082,'.Auxiliar'!$G:$G,'.Auxiliar'!B:B,"-",0)</f>
        <v>OAE</v>
      </c>
      <c r="C1082" s="55" t="str">
        <f>_xlfn.XLOOKUP($G1082,'.Auxiliar'!$G:$G,'.Auxiliar'!C:C,"-",0)</f>
        <v>Ponte Pista Norte (Serra das Araras)</v>
      </c>
      <c r="D1082" s="55">
        <f>_xlfn.XLOOKUP($G1082,'.Auxiliar'!$G:$G,'.Auxiliar'!D:D,"-",0)</f>
        <v>225.64</v>
      </c>
      <c r="E1082" s="55">
        <f>_xlfn.XLOOKUP($G1082,'.Auxiliar'!$G:$G,'.Auxiliar'!E:E,"-",0)</f>
        <v>225.64</v>
      </c>
      <c r="F1082" s="55">
        <f>_xlfn.XLOOKUP($G1082,'.Auxiliar'!$G:$G,'.Auxiliar'!F:F,"-",0)</f>
        <v>1</v>
      </c>
      <c r="G1082" s="59" t="s">
        <v>1460</v>
      </c>
      <c r="H1082" s="108" t="s">
        <v>0</v>
      </c>
      <c r="I1082" s="109" t="s">
        <v>0</v>
      </c>
      <c r="J1082" s="109" t="s">
        <v>0</v>
      </c>
      <c r="K1082" s="109" t="s">
        <v>0</v>
      </c>
      <c r="L1082" s="109" t="s">
        <v>0</v>
      </c>
      <c r="M1082" s="109" t="s">
        <v>0</v>
      </c>
      <c r="N1082" s="110" t="s">
        <v>363</v>
      </c>
      <c r="O1082" s="111"/>
      <c r="P1082" s="112"/>
      <c r="Q1082" s="112"/>
      <c r="R1082" s="112"/>
      <c r="S1082" s="112"/>
      <c r="T1082" s="112"/>
      <c r="U1082" s="95" t="str">
        <f t="shared" si="51"/>
        <v/>
      </c>
      <c r="V1082" s="112"/>
      <c r="W1082" s="112"/>
      <c r="X1082" s="107">
        <v>100</v>
      </c>
      <c r="Y1082" s="107">
        <f t="shared" si="52"/>
        <v>100</v>
      </c>
      <c r="Z1082" s="107">
        <f t="shared" si="53"/>
        <v>0</v>
      </c>
    </row>
    <row r="1083" spans="1:26" x14ac:dyDescent="0.25">
      <c r="A1083" s="55" t="str">
        <f>_xlfn.XLOOKUP($G1083,'.Auxiliar'!$G:$G,'.Auxiliar'!A:A,"-",0)</f>
        <v>RIO/SP</v>
      </c>
      <c r="B1083" s="55" t="str">
        <f>_xlfn.XLOOKUP($G1083,'.Auxiliar'!$G:$G,'.Auxiliar'!B:B,"-",0)</f>
        <v>OAE</v>
      </c>
      <c r="C1083" s="55" t="str">
        <f>_xlfn.XLOOKUP($G1083,'.Auxiliar'!$G:$G,'.Auxiliar'!C:C,"-",0)</f>
        <v>Ponte Pista Sul (Serra das Araras)</v>
      </c>
      <c r="D1083" s="55">
        <f>_xlfn.XLOOKUP($G1083,'.Auxiliar'!$G:$G,'.Auxiliar'!D:D,"-",0)</f>
        <v>219.25</v>
      </c>
      <c r="E1083" s="55">
        <f>_xlfn.XLOOKUP($G1083,'.Auxiliar'!$G:$G,'.Auxiliar'!E:E,"-",0)</f>
        <v>219.25</v>
      </c>
      <c r="F1083" s="55">
        <f>_xlfn.XLOOKUP($G1083,'.Auxiliar'!$G:$G,'.Auxiliar'!F:F,"-",0)</f>
        <v>1</v>
      </c>
      <c r="G1083" s="59" t="s">
        <v>1461</v>
      </c>
      <c r="H1083" s="108" t="s">
        <v>0</v>
      </c>
      <c r="I1083" s="109" t="s">
        <v>0</v>
      </c>
      <c r="J1083" s="109" t="s">
        <v>0</v>
      </c>
      <c r="K1083" s="109" t="s">
        <v>0</v>
      </c>
      <c r="L1083" s="109" t="s">
        <v>0</v>
      </c>
      <c r="M1083" s="109" t="s">
        <v>0</v>
      </c>
      <c r="N1083" s="110" t="s">
        <v>363</v>
      </c>
      <c r="O1083" s="111"/>
      <c r="P1083" s="112"/>
      <c r="Q1083" s="112"/>
      <c r="R1083" s="112"/>
      <c r="S1083" s="112"/>
      <c r="T1083" s="112"/>
      <c r="U1083" s="95" t="str">
        <f t="shared" si="51"/>
        <v/>
      </c>
      <c r="V1083" s="112"/>
      <c r="W1083" s="112"/>
      <c r="X1083" s="107">
        <v>100</v>
      </c>
      <c r="Y1083" s="107">
        <f t="shared" si="52"/>
        <v>100</v>
      </c>
      <c r="Z1083" s="107">
        <f t="shared" si="53"/>
        <v>0</v>
      </c>
    </row>
    <row r="1084" spans="1:26" x14ac:dyDescent="0.25">
      <c r="A1084" s="55" t="str">
        <f>_xlfn.XLOOKUP($G1084,'.Auxiliar'!$G:$G,'.Auxiliar'!A:A,"-",0)</f>
        <v>RIO/SP</v>
      </c>
      <c r="B1084" s="55" t="str">
        <f>_xlfn.XLOOKUP($G1084,'.Auxiliar'!$G:$G,'.Auxiliar'!B:B,"-",0)</f>
        <v>OAE</v>
      </c>
      <c r="C1084" s="55" t="str">
        <f>_xlfn.XLOOKUP($G1084,'.Auxiliar'!$G:$G,'.Auxiliar'!C:C,"-",0)</f>
        <v>Ponte Pista Sul (Serra das Araras)</v>
      </c>
      <c r="D1084" s="55">
        <f>_xlfn.XLOOKUP($G1084,'.Auxiliar'!$G:$G,'.Auxiliar'!D:D,"-",0)</f>
        <v>220.85</v>
      </c>
      <c r="E1084" s="55">
        <f>_xlfn.XLOOKUP($G1084,'.Auxiliar'!$G:$G,'.Auxiliar'!E:E,"-",0)</f>
        <v>220.85</v>
      </c>
      <c r="F1084" s="55">
        <f>_xlfn.XLOOKUP($G1084,'.Auxiliar'!$G:$G,'.Auxiliar'!F:F,"-",0)</f>
        <v>1</v>
      </c>
      <c r="G1084" s="59" t="s">
        <v>1462</v>
      </c>
      <c r="H1084" s="108" t="s">
        <v>0</v>
      </c>
      <c r="I1084" s="109" t="s">
        <v>0</v>
      </c>
      <c r="J1084" s="109" t="s">
        <v>0</v>
      </c>
      <c r="K1084" s="109" t="s">
        <v>0</v>
      </c>
      <c r="L1084" s="109" t="s">
        <v>0</v>
      </c>
      <c r="M1084" s="109" t="s">
        <v>0</v>
      </c>
      <c r="N1084" s="110" t="s">
        <v>363</v>
      </c>
      <c r="O1084" s="111"/>
      <c r="P1084" s="112"/>
      <c r="Q1084" s="112"/>
      <c r="R1084" s="112"/>
      <c r="S1084" s="112"/>
      <c r="T1084" s="112"/>
      <c r="U1084" s="95" t="str">
        <f t="shared" si="51"/>
        <v/>
      </c>
      <c r="V1084" s="112"/>
      <c r="W1084" s="112"/>
      <c r="X1084" s="107">
        <v>100</v>
      </c>
      <c r="Y1084" s="107">
        <f t="shared" si="52"/>
        <v>100</v>
      </c>
      <c r="Z1084" s="107">
        <f t="shared" si="53"/>
        <v>0</v>
      </c>
    </row>
    <row r="1085" spans="1:26" x14ac:dyDescent="0.25">
      <c r="A1085" s="55" t="str">
        <f>_xlfn.XLOOKUP($G1085,'.Auxiliar'!$G:$G,'.Auxiliar'!A:A,"-",0)</f>
        <v>RIO/SP</v>
      </c>
      <c r="B1085" s="55" t="str">
        <f>_xlfn.XLOOKUP($G1085,'.Auxiliar'!$G:$G,'.Auxiliar'!B:B,"-",0)</f>
        <v>OAE</v>
      </c>
      <c r="C1085" s="55" t="str">
        <f>_xlfn.XLOOKUP($G1085,'.Auxiliar'!$G:$G,'.Auxiliar'!C:C,"-",0)</f>
        <v>Ponte Pista Sul (Serra das Araras)</v>
      </c>
      <c r="D1085" s="55">
        <f>_xlfn.XLOOKUP($G1085,'.Auxiliar'!$G:$G,'.Auxiliar'!D:D,"-",0)</f>
        <v>222.14</v>
      </c>
      <c r="E1085" s="55">
        <f>_xlfn.XLOOKUP($G1085,'.Auxiliar'!$G:$G,'.Auxiliar'!E:E,"-",0)</f>
        <v>222.14</v>
      </c>
      <c r="F1085" s="55">
        <f>_xlfn.XLOOKUP($G1085,'.Auxiliar'!$G:$G,'.Auxiliar'!F:F,"-",0)</f>
        <v>1</v>
      </c>
      <c r="G1085" s="59" t="s">
        <v>1463</v>
      </c>
      <c r="H1085" s="108" t="s">
        <v>0</v>
      </c>
      <c r="I1085" s="109" t="s">
        <v>0</v>
      </c>
      <c r="J1085" s="109" t="s">
        <v>0</v>
      </c>
      <c r="K1085" s="109" t="s">
        <v>0</v>
      </c>
      <c r="L1085" s="109" t="s">
        <v>0</v>
      </c>
      <c r="M1085" s="109" t="s">
        <v>0</v>
      </c>
      <c r="N1085" s="110" t="s">
        <v>363</v>
      </c>
      <c r="O1085" s="111"/>
      <c r="P1085" s="112"/>
      <c r="Q1085" s="112"/>
      <c r="R1085" s="112"/>
      <c r="S1085" s="112"/>
      <c r="T1085" s="112"/>
      <c r="U1085" s="95" t="str">
        <f t="shared" si="51"/>
        <v/>
      </c>
      <c r="V1085" s="112"/>
      <c r="W1085" s="112"/>
      <c r="X1085" s="107">
        <v>100</v>
      </c>
      <c r="Y1085" s="107">
        <f t="shared" si="52"/>
        <v>100</v>
      </c>
      <c r="Z1085" s="107">
        <f t="shared" si="53"/>
        <v>0</v>
      </c>
    </row>
    <row r="1086" spans="1:26" x14ac:dyDescent="0.25">
      <c r="A1086" s="55" t="str">
        <f>_xlfn.XLOOKUP($G1086,'.Auxiliar'!$G:$G,'.Auxiliar'!A:A,"-",0)</f>
        <v>RIO/SP</v>
      </c>
      <c r="B1086" s="55" t="str">
        <f>_xlfn.XLOOKUP($G1086,'.Auxiliar'!$G:$G,'.Auxiliar'!B:B,"-",0)</f>
        <v>OAE</v>
      </c>
      <c r="C1086" s="55" t="str">
        <f>_xlfn.XLOOKUP($G1086,'.Auxiliar'!$G:$G,'.Auxiliar'!C:C,"-",0)</f>
        <v>Ponte Pista Sul (Serra das Araras)</v>
      </c>
      <c r="D1086" s="55">
        <f>_xlfn.XLOOKUP($G1086,'.Auxiliar'!$G:$G,'.Auxiliar'!D:D,"-",0)</f>
        <v>222.37</v>
      </c>
      <c r="E1086" s="55">
        <f>_xlfn.XLOOKUP($G1086,'.Auxiliar'!$G:$G,'.Auxiliar'!E:E,"-",0)</f>
        <v>222.37</v>
      </c>
      <c r="F1086" s="55">
        <f>_xlfn.XLOOKUP($G1086,'.Auxiliar'!$G:$G,'.Auxiliar'!F:F,"-",0)</f>
        <v>1</v>
      </c>
      <c r="G1086" s="59" t="s">
        <v>1464</v>
      </c>
      <c r="H1086" s="108" t="s">
        <v>0</v>
      </c>
      <c r="I1086" s="109" t="s">
        <v>0</v>
      </c>
      <c r="J1086" s="109" t="s">
        <v>0</v>
      </c>
      <c r="K1086" s="109" t="s">
        <v>0</v>
      </c>
      <c r="L1086" s="109" t="s">
        <v>0</v>
      </c>
      <c r="M1086" s="109" t="s">
        <v>0</v>
      </c>
      <c r="N1086" s="110" t="s">
        <v>363</v>
      </c>
      <c r="O1086" s="111"/>
      <c r="P1086" s="112"/>
      <c r="Q1086" s="112"/>
      <c r="R1086" s="112"/>
      <c r="S1086" s="112"/>
      <c r="T1086" s="112"/>
      <c r="U1086" s="95" t="str">
        <f t="shared" si="51"/>
        <v/>
      </c>
      <c r="V1086" s="112"/>
      <c r="W1086" s="112"/>
      <c r="X1086" s="107">
        <v>100</v>
      </c>
      <c r="Y1086" s="107">
        <f t="shared" si="52"/>
        <v>100</v>
      </c>
      <c r="Z1086" s="107">
        <f t="shared" si="53"/>
        <v>0</v>
      </c>
    </row>
    <row r="1087" spans="1:26" x14ac:dyDescent="0.25">
      <c r="A1087" s="55" t="str">
        <f>_xlfn.XLOOKUP($G1087,'.Auxiliar'!$G:$G,'.Auxiliar'!A:A,"-",0)</f>
        <v>RIO/SP</v>
      </c>
      <c r="B1087" s="55" t="str">
        <f>_xlfn.XLOOKUP($G1087,'.Auxiliar'!$G:$G,'.Auxiliar'!B:B,"-",0)</f>
        <v>OAE</v>
      </c>
      <c r="C1087" s="55" t="str">
        <f>_xlfn.XLOOKUP($G1087,'.Auxiliar'!$G:$G,'.Auxiliar'!C:C,"-",0)</f>
        <v>Ponte Pista Sul (Serra das Araras)</v>
      </c>
      <c r="D1087" s="55">
        <f>_xlfn.XLOOKUP($G1087,'.Auxiliar'!$G:$G,'.Auxiliar'!D:D,"-",0)</f>
        <v>222.5</v>
      </c>
      <c r="E1087" s="55">
        <f>_xlfn.XLOOKUP($G1087,'.Auxiliar'!$G:$G,'.Auxiliar'!E:E,"-",0)</f>
        <v>222.5</v>
      </c>
      <c r="F1087" s="55">
        <f>_xlfn.XLOOKUP($G1087,'.Auxiliar'!$G:$G,'.Auxiliar'!F:F,"-",0)</f>
        <v>1</v>
      </c>
      <c r="G1087" s="59" t="s">
        <v>1465</v>
      </c>
      <c r="H1087" s="108" t="s">
        <v>0</v>
      </c>
      <c r="I1087" s="109" t="s">
        <v>0</v>
      </c>
      <c r="J1087" s="109" t="s">
        <v>0</v>
      </c>
      <c r="K1087" s="109" t="s">
        <v>0</v>
      </c>
      <c r="L1087" s="109" t="s">
        <v>0</v>
      </c>
      <c r="M1087" s="109" t="s">
        <v>0</v>
      </c>
      <c r="N1087" s="110" t="s">
        <v>363</v>
      </c>
      <c r="O1087" s="111"/>
      <c r="P1087" s="112"/>
      <c r="Q1087" s="112"/>
      <c r="R1087" s="112"/>
      <c r="S1087" s="112"/>
      <c r="T1087" s="112"/>
      <c r="U1087" s="95" t="str">
        <f t="shared" si="51"/>
        <v/>
      </c>
      <c r="V1087" s="112"/>
      <c r="W1087" s="112"/>
      <c r="X1087" s="107">
        <v>100</v>
      </c>
      <c r="Y1087" s="107">
        <f t="shared" si="52"/>
        <v>100</v>
      </c>
      <c r="Z1087" s="107">
        <f t="shared" si="53"/>
        <v>0</v>
      </c>
    </row>
    <row r="1088" spans="1:26" x14ac:dyDescent="0.25">
      <c r="A1088" s="55" t="str">
        <f>_xlfn.XLOOKUP($G1088,'.Auxiliar'!$G:$G,'.Auxiliar'!A:A,"-",0)</f>
        <v>RIO/SP</v>
      </c>
      <c r="B1088" s="55" t="str">
        <f>_xlfn.XLOOKUP($G1088,'.Auxiliar'!$G:$G,'.Auxiliar'!B:B,"-",0)</f>
        <v>OAE</v>
      </c>
      <c r="C1088" s="55" t="str">
        <f>_xlfn.XLOOKUP($G1088,'.Auxiliar'!$G:$G,'.Auxiliar'!C:C,"-",0)</f>
        <v>Ponte Pista Sul (Serra das Araras)</v>
      </c>
      <c r="D1088" s="55">
        <f>_xlfn.XLOOKUP($G1088,'.Auxiliar'!$G:$G,'.Auxiliar'!D:D,"-",0)</f>
        <v>223.285</v>
      </c>
      <c r="E1088" s="55">
        <f>_xlfn.XLOOKUP($G1088,'.Auxiliar'!$G:$G,'.Auxiliar'!E:E,"-",0)</f>
        <v>223.285</v>
      </c>
      <c r="F1088" s="55">
        <f>_xlfn.XLOOKUP($G1088,'.Auxiliar'!$G:$G,'.Auxiliar'!F:F,"-",0)</f>
        <v>1</v>
      </c>
      <c r="G1088" s="59" t="s">
        <v>1466</v>
      </c>
      <c r="H1088" s="108" t="s">
        <v>0</v>
      </c>
      <c r="I1088" s="109" t="s">
        <v>0</v>
      </c>
      <c r="J1088" s="109" t="s">
        <v>0</v>
      </c>
      <c r="K1088" s="109" t="s">
        <v>0</v>
      </c>
      <c r="L1088" s="109" t="s">
        <v>0</v>
      </c>
      <c r="M1088" s="109" t="s">
        <v>0</v>
      </c>
      <c r="N1088" s="110" t="s">
        <v>363</v>
      </c>
      <c r="O1088" s="111"/>
      <c r="P1088" s="112"/>
      <c r="Q1088" s="112"/>
      <c r="R1088" s="112"/>
      <c r="S1088" s="112"/>
      <c r="T1088" s="112"/>
      <c r="U1088" s="95" t="str">
        <f t="shared" si="51"/>
        <v/>
      </c>
      <c r="V1088" s="112"/>
      <c r="W1088" s="112"/>
      <c r="X1088" s="107">
        <v>100</v>
      </c>
      <c r="Y1088" s="107">
        <f t="shared" si="52"/>
        <v>100</v>
      </c>
      <c r="Z1088" s="107">
        <f t="shared" si="53"/>
        <v>0</v>
      </c>
    </row>
    <row r="1089" spans="1:26" x14ac:dyDescent="0.25">
      <c r="A1089" s="55" t="str">
        <f>_xlfn.XLOOKUP($G1089,'.Auxiliar'!$G:$G,'.Auxiliar'!A:A,"-",0)</f>
        <v>RIO/SP</v>
      </c>
      <c r="B1089" s="55" t="str">
        <f>_xlfn.XLOOKUP($G1089,'.Auxiliar'!$G:$G,'.Auxiliar'!B:B,"-",0)</f>
        <v>OAE</v>
      </c>
      <c r="C1089" s="55" t="str">
        <f>_xlfn.XLOOKUP($G1089,'.Auxiliar'!$G:$G,'.Auxiliar'!C:C,"-",0)</f>
        <v>Ponte Pista Sul (Serra das Araras)</v>
      </c>
      <c r="D1089" s="55">
        <f>_xlfn.XLOOKUP($G1089,'.Auxiliar'!$G:$G,'.Auxiliar'!D:D,"-",0)</f>
        <v>223.98</v>
      </c>
      <c r="E1089" s="55">
        <f>_xlfn.XLOOKUP($G1089,'.Auxiliar'!$G:$G,'.Auxiliar'!E:E,"-",0)</f>
        <v>223.98</v>
      </c>
      <c r="F1089" s="55">
        <f>_xlfn.XLOOKUP($G1089,'.Auxiliar'!$G:$G,'.Auxiliar'!F:F,"-",0)</f>
        <v>1</v>
      </c>
      <c r="G1089" s="59" t="s">
        <v>1467</v>
      </c>
      <c r="H1089" s="108" t="s">
        <v>0</v>
      </c>
      <c r="I1089" s="109" t="s">
        <v>0</v>
      </c>
      <c r="J1089" s="109" t="s">
        <v>0</v>
      </c>
      <c r="K1089" s="109" t="s">
        <v>0</v>
      </c>
      <c r="L1089" s="109" t="s">
        <v>0</v>
      </c>
      <c r="M1089" s="109" t="s">
        <v>0</v>
      </c>
      <c r="N1089" s="110" t="s">
        <v>363</v>
      </c>
      <c r="O1089" s="111"/>
      <c r="P1089" s="112"/>
      <c r="Q1089" s="112"/>
      <c r="R1089" s="112"/>
      <c r="S1089" s="112"/>
      <c r="T1089" s="112"/>
      <c r="U1089" s="95" t="str">
        <f t="shared" si="51"/>
        <v/>
      </c>
      <c r="V1089" s="112"/>
      <c r="W1089" s="112"/>
      <c r="X1089" s="107">
        <v>100</v>
      </c>
      <c r="Y1089" s="107">
        <f t="shared" si="52"/>
        <v>100</v>
      </c>
      <c r="Z1089" s="107">
        <f t="shared" si="53"/>
        <v>0</v>
      </c>
    </row>
    <row r="1090" spans="1:26" x14ac:dyDescent="0.25">
      <c r="A1090" s="55" t="str">
        <f>_xlfn.XLOOKUP($G1090,'.Auxiliar'!$G:$G,'.Auxiliar'!A:A,"-",0)</f>
        <v>RIO/SP</v>
      </c>
      <c r="B1090" s="55" t="str">
        <f>_xlfn.XLOOKUP($G1090,'.Auxiliar'!$G:$G,'.Auxiliar'!B:B,"-",0)</f>
        <v>OAE</v>
      </c>
      <c r="C1090" s="55" t="str">
        <f>_xlfn.XLOOKUP($G1090,'.Auxiliar'!$G:$G,'.Auxiliar'!C:C,"-",0)</f>
        <v>Ponte Pista Sul (Serra das Araras)</v>
      </c>
      <c r="D1090" s="55">
        <f>_xlfn.XLOOKUP($G1090,'.Auxiliar'!$G:$G,'.Auxiliar'!D:D,"-",0)</f>
        <v>224.09</v>
      </c>
      <c r="E1090" s="55">
        <f>_xlfn.XLOOKUP($G1090,'.Auxiliar'!$G:$G,'.Auxiliar'!E:E,"-",0)</f>
        <v>224.09</v>
      </c>
      <c r="F1090" s="55">
        <f>_xlfn.XLOOKUP($G1090,'.Auxiliar'!$G:$G,'.Auxiliar'!F:F,"-",0)</f>
        <v>1</v>
      </c>
      <c r="G1090" s="59" t="s">
        <v>1468</v>
      </c>
      <c r="H1090" s="108" t="s">
        <v>0</v>
      </c>
      <c r="I1090" s="109" t="s">
        <v>0</v>
      </c>
      <c r="J1090" s="109" t="s">
        <v>0</v>
      </c>
      <c r="K1090" s="109" t="s">
        <v>0</v>
      </c>
      <c r="L1090" s="109" t="s">
        <v>0</v>
      </c>
      <c r="M1090" s="109" t="s">
        <v>0</v>
      </c>
      <c r="N1090" s="110" t="s">
        <v>363</v>
      </c>
      <c r="O1090" s="111"/>
      <c r="P1090" s="112"/>
      <c r="Q1090" s="112"/>
      <c r="R1090" s="112"/>
      <c r="S1090" s="112"/>
      <c r="T1090" s="112"/>
      <c r="U1090" s="95" t="str">
        <f t="shared" si="51"/>
        <v/>
      </c>
      <c r="V1090" s="112"/>
      <c r="W1090" s="112"/>
      <c r="X1090" s="107">
        <v>100</v>
      </c>
      <c r="Y1090" s="107">
        <f t="shared" si="52"/>
        <v>100</v>
      </c>
      <c r="Z1090" s="107">
        <f t="shared" si="53"/>
        <v>0</v>
      </c>
    </row>
    <row r="1091" spans="1:26" x14ac:dyDescent="0.25">
      <c r="A1091" s="55" t="str">
        <f>_xlfn.XLOOKUP($G1091,'.Auxiliar'!$G:$G,'.Auxiliar'!A:A,"-",0)</f>
        <v>RIO/SP</v>
      </c>
      <c r="B1091" s="55" t="str">
        <f>_xlfn.XLOOKUP($G1091,'.Auxiliar'!$G:$G,'.Auxiliar'!B:B,"-",0)</f>
        <v>OAE</v>
      </c>
      <c r="C1091" s="55" t="str">
        <f>_xlfn.XLOOKUP($G1091,'.Auxiliar'!$G:$G,'.Auxiliar'!C:C,"-",0)</f>
        <v>Ponte Pista Sul (Serra das Araras)</v>
      </c>
      <c r="D1091" s="55">
        <f>_xlfn.XLOOKUP($G1091,'.Auxiliar'!$G:$G,'.Auxiliar'!D:D,"-",0)</f>
        <v>224.32</v>
      </c>
      <c r="E1091" s="55">
        <f>_xlfn.XLOOKUP($G1091,'.Auxiliar'!$G:$G,'.Auxiliar'!E:E,"-",0)</f>
        <v>224.32</v>
      </c>
      <c r="F1091" s="55">
        <f>_xlfn.XLOOKUP($G1091,'.Auxiliar'!$G:$G,'.Auxiliar'!F:F,"-",0)</f>
        <v>1</v>
      </c>
      <c r="G1091" s="59" t="s">
        <v>1469</v>
      </c>
      <c r="H1091" s="108" t="s">
        <v>0</v>
      </c>
      <c r="I1091" s="109" t="s">
        <v>0</v>
      </c>
      <c r="J1091" s="109" t="s">
        <v>0</v>
      </c>
      <c r="K1091" s="109" t="s">
        <v>0</v>
      </c>
      <c r="L1091" s="109" t="s">
        <v>0</v>
      </c>
      <c r="M1091" s="109" t="s">
        <v>0</v>
      </c>
      <c r="N1091" s="110" t="s">
        <v>363</v>
      </c>
      <c r="O1091" s="111"/>
      <c r="P1091" s="112"/>
      <c r="Q1091" s="112"/>
      <c r="R1091" s="112"/>
      <c r="S1091" s="112"/>
      <c r="T1091" s="112"/>
      <c r="U1091" s="95" t="str">
        <f t="shared" ref="U1091:U1154" si="54">IF(SUM(V1091:X1091)=100,"",100-(P1091+R1091))</f>
        <v/>
      </c>
      <c r="V1091" s="112"/>
      <c r="W1091" s="112"/>
      <c r="X1091" s="107">
        <v>100</v>
      </c>
      <c r="Y1091" s="107">
        <f t="shared" ref="Y1091:Y1154" si="55">SUM(P1091,R1091,S1091,V1091,W1091,X1091)</f>
        <v>100</v>
      </c>
      <c r="Z1091" s="107">
        <f t="shared" ref="Z1091:Z1154" si="56">SUM(P1091,R1091,T1091)</f>
        <v>0</v>
      </c>
    </row>
    <row r="1092" spans="1:26" x14ac:dyDescent="0.25">
      <c r="A1092" s="55" t="str">
        <f>_xlfn.XLOOKUP($G1092,'.Auxiliar'!$G:$G,'.Auxiliar'!A:A,"-",0)</f>
        <v>RIO/SP</v>
      </c>
      <c r="B1092" s="55" t="str">
        <f>_xlfn.XLOOKUP($G1092,'.Auxiliar'!$G:$G,'.Auxiliar'!B:B,"-",0)</f>
        <v>OAE</v>
      </c>
      <c r="C1092" s="55" t="str">
        <f>_xlfn.XLOOKUP($G1092,'.Auxiliar'!$G:$G,'.Auxiliar'!C:C,"-",0)</f>
        <v>Ponte Pista Sul (Serra das Araras)</v>
      </c>
      <c r="D1092" s="55">
        <f>_xlfn.XLOOKUP($G1092,'.Auxiliar'!$G:$G,'.Auxiliar'!D:D,"-",0)</f>
        <v>225.02</v>
      </c>
      <c r="E1092" s="55">
        <f>_xlfn.XLOOKUP($G1092,'.Auxiliar'!$G:$G,'.Auxiliar'!E:E,"-",0)</f>
        <v>225.02</v>
      </c>
      <c r="F1092" s="55">
        <f>_xlfn.XLOOKUP($G1092,'.Auxiliar'!$G:$G,'.Auxiliar'!F:F,"-",0)</f>
        <v>1</v>
      </c>
      <c r="G1092" s="59" t="s">
        <v>1470</v>
      </c>
      <c r="H1092" s="108" t="s">
        <v>0</v>
      </c>
      <c r="I1092" s="109" t="s">
        <v>0</v>
      </c>
      <c r="J1092" s="109" t="s">
        <v>0</v>
      </c>
      <c r="K1092" s="109" t="s">
        <v>0</v>
      </c>
      <c r="L1092" s="109" t="s">
        <v>0</v>
      </c>
      <c r="M1092" s="109" t="s">
        <v>0</v>
      </c>
      <c r="N1092" s="110" t="s">
        <v>363</v>
      </c>
      <c r="O1092" s="111"/>
      <c r="P1092" s="112"/>
      <c r="Q1092" s="112"/>
      <c r="R1092" s="112"/>
      <c r="S1092" s="112"/>
      <c r="T1092" s="112"/>
      <c r="U1092" s="95" t="str">
        <f t="shared" si="54"/>
        <v/>
      </c>
      <c r="V1092" s="112"/>
      <c r="W1092" s="112"/>
      <c r="X1092" s="107">
        <v>100</v>
      </c>
      <c r="Y1092" s="107">
        <f t="shared" si="55"/>
        <v>100</v>
      </c>
      <c r="Z1092" s="107">
        <f t="shared" si="56"/>
        <v>0</v>
      </c>
    </row>
    <row r="1093" spans="1:26" x14ac:dyDescent="0.25">
      <c r="A1093" s="55" t="str">
        <f>_xlfn.XLOOKUP($G1093,'.Auxiliar'!$G:$G,'.Auxiliar'!A:A,"-",0)</f>
        <v>RIO/SP</v>
      </c>
      <c r="B1093" s="55" t="str">
        <f>_xlfn.XLOOKUP($G1093,'.Auxiliar'!$G:$G,'.Auxiliar'!B:B,"-",0)</f>
        <v>OAE</v>
      </c>
      <c r="C1093" s="55" t="str">
        <f>_xlfn.XLOOKUP($G1093,'.Auxiliar'!$G:$G,'.Auxiliar'!C:C,"-",0)</f>
        <v>Ponte Pista Sul (Serra das Araras)</v>
      </c>
      <c r="D1093" s="55">
        <f>_xlfn.XLOOKUP($G1093,'.Auxiliar'!$G:$G,'.Auxiliar'!D:D,"-",0)</f>
        <v>225.66</v>
      </c>
      <c r="E1093" s="55">
        <f>_xlfn.XLOOKUP($G1093,'.Auxiliar'!$G:$G,'.Auxiliar'!E:E,"-",0)</f>
        <v>225.66</v>
      </c>
      <c r="F1093" s="55">
        <f>_xlfn.XLOOKUP($G1093,'.Auxiliar'!$G:$G,'.Auxiliar'!F:F,"-",0)</f>
        <v>1</v>
      </c>
      <c r="G1093" s="59" t="s">
        <v>1471</v>
      </c>
      <c r="H1093" s="108" t="s">
        <v>0</v>
      </c>
      <c r="I1093" s="109" t="s">
        <v>0</v>
      </c>
      <c r="J1093" s="109" t="s">
        <v>0</v>
      </c>
      <c r="K1093" s="109" t="s">
        <v>0</v>
      </c>
      <c r="L1093" s="109" t="s">
        <v>0</v>
      </c>
      <c r="M1093" s="109" t="s">
        <v>0</v>
      </c>
      <c r="N1093" s="110" t="s">
        <v>363</v>
      </c>
      <c r="O1093" s="111"/>
      <c r="P1093" s="112"/>
      <c r="Q1093" s="112"/>
      <c r="R1093" s="112"/>
      <c r="S1093" s="112"/>
      <c r="T1093" s="112"/>
      <c r="U1093" s="95" t="str">
        <f t="shared" si="54"/>
        <v/>
      </c>
      <c r="V1093" s="112"/>
      <c r="W1093" s="112"/>
      <c r="X1093" s="107">
        <v>100</v>
      </c>
      <c r="Y1093" s="107">
        <f t="shared" si="55"/>
        <v>100</v>
      </c>
      <c r="Z1093" s="107">
        <f t="shared" si="56"/>
        <v>0</v>
      </c>
    </row>
    <row r="1094" spans="1:26" x14ac:dyDescent="0.25">
      <c r="A1094" s="55" t="str">
        <f>_xlfn.XLOOKUP($G1094,'.Auxiliar'!$G:$G,'.Auxiliar'!A:A,"-",0)</f>
        <v>RIO/SP</v>
      </c>
      <c r="B1094" s="55" t="str">
        <f>_xlfn.XLOOKUP($G1094,'.Auxiliar'!$G:$G,'.Auxiliar'!B:B,"-",0)</f>
        <v>OAE</v>
      </c>
      <c r="C1094" s="55" t="str">
        <f>_xlfn.XLOOKUP($G1094,'.Auxiliar'!$G:$G,'.Auxiliar'!C:C,"-",0)</f>
        <v>Túnel BR 101 RJ (Mangaratiba Externo)</v>
      </c>
      <c r="D1094" s="55">
        <f>_xlfn.XLOOKUP($G1094,'.Auxiliar'!$G:$G,'.Auxiliar'!D:D,"-",0)</f>
        <v>429.8</v>
      </c>
      <c r="E1094" s="55">
        <f>_xlfn.XLOOKUP($G1094,'.Auxiliar'!$G:$G,'.Auxiliar'!E:E,"-",0)</f>
        <v>430.6</v>
      </c>
      <c r="F1094" s="55">
        <f>_xlfn.XLOOKUP($G1094,'.Auxiliar'!$G:$G,'.Auxiliar'!F:F,"-",0)</f>
        <v>0.80000000000001137</v>
      </c>
      <c r="G1094" s="59" t="s">
        <v>1534</v>
      </c>
      <c r="H1094" s="108" t="s">
        <v>0</v>
      </c>
      <c r="I1094" s="109" t="s">
        <v>0</v>
      </c>
      <c r="J1094" s="109" t="s">
        <v>0</v>
      </c>
      <c r="K1094" s="109" t="s">
        <v>0</v>
      </c>
      <c r="L1094" s="109" t="s">
        <v>0</v>
      </c>
      <c r="M1094" s="109" t="s">
        <v>0</v>
      </c>
      <c r="N1094" s="110" t="s">
        <v>363</v>
      </c>
      <c r="O1094" s="111"/>
      <c r="P1094" s="112"/>
      <c r="Q1094" s="112"/>
      <c r="R1094" s="112"/>
      <c r="S1094" s="112"/>
      <c r="T1094" s="112"/>
      <c r="U1094" s="95" t="str">
        <f t="shared" si="54"/>
        <v/>
      </c>
      <c r="V1094" s="112"/>
      <c r="W1094" s="112"/>
      <c r="X1094" s="107">
        <v>100</v>
      </c>
      <c r="Y1094" s="107">
        <f t="shared" si="55"/>
        <v>100</v>
      </c>
      <c r="Z1094" s="107">
        <f t="shared" si="56"/>
        <v>0</v>
      </c>
    </row>
    <row r="1095" spans="1:26" x14ac:dyDescent="0.25">
      <c r="A1095" s="55" t="str">
        <f>_xlfn.XLOOKUP($G1095,'.Auxiliar'!$G:$G,'.Auxiliar'!A:A,"-",0)</f>
        <v>RIO/SP</v>
      </c>
      <c r="B1095" s="55" t="str">
        <f>_xlfn.XLOOKUP($G1095,'.Auxiliar'!$G:$G,'.Auxiliar'!B:B,"-",0)</f>
        <v>OAE</v>
      </c>
      <c r="C1095" s="55" t="str">
        <f>_xlfn.XLOOKUP($G1095,'.Auxiliar'!$G:$G,'.Auxiliar'!C:C,"-",0)</f>
        <v>Túnel BR 101 RJ (Mangaratiba Interno)</v>
      </c>
      <c r="D1095" s="55">
        <f>_xlfn.XLOOKUP($G1095,'.Auxiliar'!$G:$G,'.Auxiliar'!D:D,"-",0)</f>
        <v>429.8</v>
      </c>
      <c r="E1095" s="55">
        <f>_xlfn.XLOOKUP($G1095,'.Auxiliar'!$G:$G,'.Auxiliar'!E:E,"-",0)</f>
        <v>430.6</v>
      </c>
      <c r="F1095" s="55">
        <f>_xlfn.XLOOKUP($G1095,'.Auxiliar'!$G:$G,'.Auxiliar'!F:F,"-",0)</f>
        <v>0.80000000000001137</v>
      </c>
      <c r="G1095" s="59" t="s">
        <v>1533</v>
      </c>
      <c r="H1095" s="108" t="s">
        <v>0</v>
      </c>
      <c r="I1095" s="109" t="s">
        <v>0</v>
      </c>
      <c r="J1095" s="109" t="s">
        <v>0</v>
      </c>
      <c r="K1095" s="109" t="s">
        <v>0</v>
      </c>
      <c r="L1095" s="109" t="s">
        <v>0</v>
      </c>
      <c r="M1095" s="109" t="s">
        <v>0</v>
      </c>
      <c r="N1095" s="110" t="s">
        <v>363</v>
      </c>
      <c r="O1095" s="111"/>
      <c r="P1095" s="112"/>
      <c r="Q1095" s="112"/>
      <c r="R1095" s="112"/>
      <c r="S1095" s="112"/>
      <c r="T1095" s="112"/>
      <c r="U1095" s="95" t="str">
        <f t="shared" si="54"/>
        <v/>
      </c>
      <c r="V1095" s="112"/>
      <c r="W1095" s="112"/>
      <c r="X1095" s="107">
        <v>100</v>
      </c>
      <c r="Y1095" s="107">
        <f t="shared" si="55"/>
        <v>100</v>
      </c>
      <c r="Z1095" s="107">
        <f t="shared" si="56"/>
        <v>0</v>
      </c>
    </row>
    <row r="1096" spans="1:26" x14ac:dyDescent="0.25">
      <c r="A1096" s="55" t="str">
        <f>_xlfn.XLOOKUP($G1096,'.Auxiliar'!$G:$G,'.Auxiliar'!A:A,"-",0)</f>
        <v>RIO/SP</v>
      </c>
      <c r="B1096" s="55" t="str">
        <f>_xlfn.XLOOKUP($G1096,'.Auxiliar'!$G:$G,'.Auxiliar'!B:B,"-",0)</f>
        <v>OAE</v>
      </c>
      <c r="C1096" s="55" t="str">
        <f>_xlfn.XLOOKUP($G1096,'.Auxiliar'!$G:$G,'.Auxiliar'!C:C,"-",0)</f>
        <v>Túnel BR 101 RJ (Muriqui)</v>
      </c>
      <c r="D1096" s="55">
        <f>_xlfn.XLOOKUP($G1096,'.Auxiliar'!$G:$G,'.Auxiliar'!D:D,"-",0)</f>
        <v>418.2</v>
      </c>
      <c r="E1096" s="55">
        <f>_xlfn.XLOOKUP($G1096,'.Auxiliar'!$G:$G,'.Auxiliar'!E:E,"-",0)</f>
        <v>418.8</v>
      </c>
      <c r="F1096" s="55">
        <f>_xlfn.XLOOKUP($G1096,'.Auxiliar'!$G:$G,'.Auxiliar'!F:F,"-",0)</f>
        <v>0.60000000000002274</v>
      </c>
      <c r="G1096" s="59" t="s">
        <v>1532</v>
      </c>
      <c r="H1096" s="108" t="s">
        <v>0</v>
      </c>
      <c r="I1096" s="109" t="s">
        <v>0</v>
      </c>
      <c r="J1096" s="109" t="s">
        <v>0</v>
      </c>
      <c r="K1096" s="109" t="s">
        <v>0</v>
      </c>
      <c r="L1096" s="109" t="s">
        <v>0</v>
      </c>
      <c r="M1096" s="109" t="s">
        <v>0</v>
      </c>
      <c r="N1096" s="110" t="s">
        <v>363</v>
      </c>
      <c r="O1096" s="111"/>
      <c r="P1096" s="112"/>
      <c r="Q1096" s="112"/>
      <c r="R1096" s="112"/>
      <c r="S1096" s="112"/>
      <c r="T1096" s="112"/>
      <c r="U1096" s="95" t="str">
        <f t="shared" si="54"/>
        <v/>
      </c>
      <c r="V1096" s="112"/>
      <c r="W1096" s="112"/>
      <c r="X1096" s="107">
        <v>100</v>
      </c>
      <c r="Y1096" s="107">
        <f t="shared" si="55"/>
        <v>100</v>
      </c>
      <c r="Z1096" s="107">
        <f t="shared" si="56"/>
        <v>0</v>
      </c>
    </row>
    <row r="1097" spans="1:26" x14ac:dyDescent="0.25">
      <c r="A1097" s="55" t="str">
        <f>_xlfn.XLOOKUP($G1097,'.Auxiliar'!$G:$G,'.Auxiliar'!A:A,"-",0)</f>
        <v>RIO/SP</v>
      </c>
      <c r="B1097" s="55" t="str">
        <f>_xlfn.XLOOKUP($G1097,'.Auxiliar'!$G:$G,'.Auxiliar'!B:B,"-",0)</f>
        <v>OAE</v>
      </c>
      <c r="C1097" s="55" t="str">
        <f>_xlfn.XLOOKUP($G1097,'.Auxiliar'!$G:$G,'.Auxiliar'!C:C,"-",0)</f>
        <v>Túnel BR 116 RJ (Serra das Araras)</v>
      </c>
      <c r="D1097" s="55">
        <f>_xlfn.XLOOKUP($G1097,'.Auxiliar'!$G:$G,'.Auxiliar'!D:D,"-",0)</f>
        <v>222.6</v>
      </c>
      <c r="E1097" s="55">
        <f>_xlfn.XLOOKUP($G1097,'.Auxiliar'!$G:$G,'.Auxiliar'!E:E,"-",0)</f>
        <v>223</v>
      </c>
      <c r="F1097" s="55">
        <f>_xlfn.XLOOKUP($G1097,'.Auxiliar'!$G:$G,'.Auxiliar'!F:F,"-",0)</f>
        <v>0.40000000000000568</v>
      </c>
      <c r="G1097" s="59" t="s">
        <v>1472</v>
      </c>
      <c r="H1097" s="108" t="s">
        <v>0</v>
      </c>
      <c r="I1097" s="109" t="s">
        <v>0</v>
      </c>
      <c r="J1097" s="109" t="s">
        <v>0</v>
      </c>
      <c r="K1097" s="109" t="s">
        <v>0</v>
      </c>
      <c r="L1097" s="109" t="s">
        <v>0</v>
      </c>
      <c r="M1097" s="109" t="s">
        <v>0</v>
      </c>
      <c r="N1097" s="110" t="s">
        <v>363</v>
      </c>
      <c r="O1097" s="111"/>
      <c r="P1097" s="112"/>
      <c r="Q1097" s="112"/>
      <c r="R1097" s="112"/>
      <c r="S1097" s="112"/>
      <c r="T1097" s="112"/>
      <c r="U1097" s="95" t="str">
        <f t="shared" si="54"/>
        <v/>
      </c>
      <c r="V1097" s="112"/>
      <c r="W1097" s="112"/>
      <c r="X1097" s="107">
        <v>100</v>
      </c>
      <c r="Y1097" s="107">
        <f t="shared" si="55"/>
        <v>100</v>
      </c>
      <c r="Z1097" s="107">
        <f t="shared" si="56"/>
        <v>0</v>
      </c>
    </row>
    <row r="1098" spans="1:26" x14ac:dyDescent="0.25">
      <c r="A1098" s="55" t="str">
        <f>_xlfn.XLOOKUP($G1098,'.Auxiliar'!$G:$G,'.Auxiliar'!A:A,"-",0)</f>
        <v>RIO/SP</v>
      </c>
      <c r="B1098" s="55" t="str">
        <f>_xlfn.XLOOKUP($G1098,'.Auxiliar'!$G:$G,'.Auxiliar'!B:B,"-",0)</f>
        <v>PAVIMENTAÇÃO</v>
      </c>
      <c r="C1098" s="55" t="str">
        <f>_xlfn.XLOOKUP($G1098,'.Auxiliar'!$G:$G,'.Auxiliar'!C:C,"-",0)</f>
        <v>Direito</v>
      </c>
      <c r="D1098" s="55">
        <f>_xlfn.XLOOKUP($G1098,'.Auxiliar'!$G:$G,'.Auxiliar'!D:D,"-",0)</f>
        <v>105</v>
      </c>
      <c r="E1098" s="55">
        <f>_xlfn.XLOOKUP($G1098,'.Auxiliar'!$G:$G,'.Auxiliar'!E:E,"-",0)</f>
        <v>109.12</v>
      </c>
      <c r="F1098" s="55">
        <f>_xlfn.XLOOKUP($G1098,'.Auxiliar'!$G:$G,'.Auxiliar'!F:F,"-",0)</f>
        <v>4.1200000000000045</v>
      </c>
      <c r="G1098" s="59" t="s">
        <v>1153</v>
      </c>
      <c r="H1098" s="108" t="s">
        <v>0</v>
      </c>
      <c r="I1098" s="109" t="s">
        <v>0</v>
      </c>
      <c r="J1098" s="109" t="s">
        <v>0</v>
      </c>
      <c r="K1098" s="109" t="s">
        <v>0</v>
      </c>
      <c r="L1098" s="109" t="s">
        <v>0</v>
      </c>
      <c r="M1098" s="109" t="s">
        <v>0</v>
      </c>
      <c r="N1098" s="110" t="s">
        <v>363</v>
      </c>
      <c r="O1098" s="111"/>
      <c r="P1098" s="112"/>
      <c r="Q1098" s="112"/>
      <c r="R1098" s="112"/>
      <c r="S1098" s="112"/>
      <c r="T1098" s="112"/>
      <c r="U1098" s="95" t="str">
        <f t="shared" si="54"/>
        <v/>
      </c>
      <c r="V1098" s="112"/>
      <c r="W1098" s="112"/>
      <c r="X1098" s="107">
        <v>100</v>
      </c>
      <c r="Y1098" s="107">
        <f t="shared" si="55"/>
        <v>100</v>
      </c>
      <c r="Z1098" s="107">
        <f t="shared" si="56"/>
        <v>0</v>
      </c>
    </row>
    <row r="1099" spans="1:26" x14ac:dyDescent="0.25">
      <c r="A1099" s="55" t="str">
        <f>_xlfn.XLOOKUP($G1099,'.Auxiliar'!$G:$G,'.Auxiliar'!A:A,"-",0)</f>
        <v>RIO/SP</v>
      </c>
      <c r="B1099" s="55" t="str">
        <f>_xlfn.XLOOKUP($G1099,'.Auxiliar'!$G:$G,'.Auxiliar'!B:B,"-",0)</f>
        <v>PAVIMENTAÇÃO</v>
      </c>
      <c r="C1099" s="55" t="str">
        <f>_xlfn.XLOOKUP($G1099,'.Auxiliar'!$G:$G,'.Auxiliar'!C:C,"-",0)</f>
        <v>Direito</v>
      </c>
      <c r="D1099" s="55">
        <f>_xlfn.XLOOKUP($G1099,'.Auxiliar'!$G:$G,'.Auxiliar'!D:D,"-",0)</f>
        <v>109.6</v>
      </c>
      <c r="E1099" s="55">
        <f>_xlfn.XLOOKUP($G1099,'.Auxiliar'!$G:$G,'.Auxiliar'!E:E,"-",0)</f>
        <v>117.33</v>
      </c>
      <c r="F1099" s="55">
        <f>_xlfn.XLOOKUP($G1099,'.Auxiliar'!$G:$G,'.Auxiliar'!F:F,"-",0)</f>
        <v>7.730000000000004</v>
      </c>
      <c r="G1099" s="59" t="s">
        <v>1155</v>
      </c>
      <c r="H1099" s="108" t="s">
        <v>0</v>
      </c>
      <c r="I1099" s="109" t="s">
        <v>0</v>
      </c>
      <c r="J1099" s="109" t="s">
        <v>0</v>
      </c>
      <c r="K1099" s="109" t="s">
        <v>0</v>
      </c>
      <c r="L1099" s="109" t="s">
        <v>0</v>
      </c>
      <c r="M1099" s="109" t="s">
        <v>0</v>
      </c>
      <c r="N1099" s="110" t="s">
        <v>363</v>
      </c>
      <c r="O1099" s="111"/>
      <c r="P1099" s="112"/>
      <c r="Q1099" s="112"/>
      <c r="R1099" s="112"/>
      <c r="S1099" s="112"/>
      <c r="T1099" s="112"/>
      <c r="U1099" s="95" t="str">
        <f t="shared" si="54"/>
        <v/>
      </c>
      <c r="V1099" s="112"/>
      <c r="W1099" s="112"/>
      <c r="X1099" s="107">
        <v>100</v>
      </c>
      <c r="Y1099" s="107">
        <f t="shared" si="55"/>
        <v>100</v>
      </c>
      <c r="Z1099" s="107">
        <f t="shared" si="56"/>
        <v>0</v>
      </c>
    </row>
    <row r="1100" spans="1:26" x14ac:dyDescent="0.25">
      <c r="A1100" s="55" t="str">
        <f>_xlfn.XLOOKUP($G1100,'.Auxiliar'!$G:$G,'.Auxiliar'!A:A,"-",0)</f>
        <v>RIO/SP</v>
      </c>
      <c r="B1100" s="55" t="str">
        <f>_xlfn.XLOOKUP($G1100,'.Auxiliar'!$G:$G,'.Auxiliar'!B:B,"-",0)</f>
        <v>PAVIMENTAÇÃO</v>
      </c>
      <c r="C1100" s="55" t="str">
        <f>_xlfn.XLOOKUP($G1100,'.Auxiliar'!$G:$G,'.Auxiliar'!C:C,"-",0)</f>
        <v>Direito</v>
      </c>
      <c r="D1100" s="55">
        <f>_xlfn.XLOOKUP($G1100,'.Auxiliar'!$G:$G,'.Auxiliar'!D:D,"-",0)</f>
        <v>127.75</v>
      </c>
      <c r="E1100" s="55">
        <f>_xlfn.XLOOKUP($G1100,'.Auxiliar'!$G:$G,'.Auxiliar'!E:E,"-",0)</f>
        <v>131.09</v>
      </c>
      <c r="F1100" s="55">
        <f>_xlfn.XLOOKUP($G1100,'.Auxiliar'!$G:$G,'.Auxiliar'!F:F,"-",0)</f>
        <v>3.3400000000000034</v>
      </c>
      <c r="G1100" s="59" t="s">
        <v>1007</v>
      </c>
      <c r="H1100" s="108" t="s">
        <v>0</v>
      </c>
      <c r="I1100" s="109" t="s">
        <v>0</v>
      </c>
      <c r="J1100" s="109" t="s">
        <v>0</v>
      </c>
      <c r="K1100" s="109" t="s">
        <v>0</v>
      </c>
      <c r="L1100" s="109" t="s">
        <v>363</v>
      </c>
      <c r="M1100" s="109" t="s">
        <v>0</v>
      </c>
      <c r="N1100" s="110" t="s">
        <v>0</v>
      </c>
      <c r="O1100" s="111"/>
      <c r="P1100" s="112"/>
      <c r="Q1100" s="112"/>
      <c r="R1100" s="112"/>
      <c r="S1100" s="112"/>
      <c r="T1100" s="112"/>
      <c r="U1100" s="95" t="str">
        <f t="shared" si="54"/>
        <v/>
      </c>
      <c r="V1100" s="112">
        <v>100</v>
      </c>
      <c r="W1100" s="112"/>
      <c r="X1100" s="107"/>
      <c r="Y1100" s="107">
        <f t="shared" si="55"/>
        <v>100</v>
      </c>
      <c r="Z1100" s="107">
        <f t="shared" si="56"/>
        <v>0</v>
      </c>
    </row>
    <row r="1101" spans="1:26" x14ac:dyDescent="0.25">
      <c r="A1101" s="55" t="str">
        <f>_xlfn.XLOOKUP($G1101,'.Auxiliar'!$G:$G,'.Auxiliar'!A:A,"-",0)</f>
        <v>RIO/SP</v>
      </c>
      <c r="B1101" s="55" t="str">
        <f>_xlfn.XLOOKUP($G1101,'.Auxiliar'!$G:$G,'.Auxiliar'!B:B,"-",0)</f>
        <v>PAVIMENTAÇÃO</v>
      </c>
      <c r="C1101" s="55" t="str">
        <f>_xlfn.XLOOKUP($G1101,'.Auxiliar'!$G:$G,'.Auxiliar'!C:C,"-",0)</f>
        <v>Direito</v>
      </c>
      <c r="D1101" s="55">
        <f>_xlfn.XLOOKUP($G1101,'.Auxiliar'!$G:$G,'.Auxiliar'!D:D,"-",0)</f>
        <v>133.11000000000001</v>
      </c>
      <c r="E1101" s="55">
        <f>_xlfn.XLOOKUP($G1101,'.Auxiliar'!$G:$G,'.Auxiliar'!E:E,"-",0)</f>
        <v>139.19999999999999</v>
      </c>
      <c r="F1101" s="55">
        <f>_xlfn.XLOOKUP($G1101,'.Auxiliar'!$G:$G,'.Auxiliar'!F:F,"-",0)</f>
        <v>6.089999999999975</v>
      </c>
      <c r="G1101" s="59" t="s">
        <v>1013</v>
      </c>
      <c r="H1101" s="108" t="s">
        <v>0</v>
      </c>
      <c r="I1101" s="109" t="s">
        <v>0</v>
      </c>
      <c r="J1101" s="109" t="s">
        <v>0</v>
      </c>
      <c r="K1101" s="109" t="s">
        <v>0</v>
      </c>
      <c r="L1101" s="109" t="s">
        <v>363</v>
      </c>
      <c r="M1101" s="109" t="s">
        <v>0</v>
      </c>
      <c r="N1101" s="110" t="s">
        <v>0</v>
      </c>
      <c r="O1101" s="111"/>
      <c r="P1101" s="112"/>
      <c r="Q1101" s="112"/>
      <c r="R1101" s="112"/>
      <c r="S1101" s="112"/>
      <c r="T1101" s="112"/>
      <c r="U1101" s="95" t="str">
        <f t="shared" si="54"/>
        <v/>
      </c>
      <c r="V1101" s="112">
        <v>100</v>
      </c>
      <c r="W1101" s="112"/>
      <c r="X1101" s="107"/>
      <c r="Y1101" s="107">
        <f t="shared" si="55"/>
        <v>100</v>
      </c>
      <c r="Z1101" s="107">
        <f t="shared" si="56"/>
        <v>0</v>
      </c>
    </row>
    <row r="1102" spans="1:26" x14ac:dyDescent="0.25">
      <c r="A1102" s="55" t="str">
        <f>_xlfn.XLOOKUP($G1102,'.Auxiliar'!$G:$G,'.Auxiliar'!A:A,"-",0)</f>
        <v>RIO/SP</v>
      </c>
      <c r="B1102" s="55" t="str">
        <f>_xlfn.XLOOKUP($G1102,'.Auxiliar'!$G:$G,'.Auxiliar'!B:B,"-",0)</f>
        <v>PAVIMENTAÇÃO</v>
      </c>
      <c r="C1102" s="55" t="str">
        <f>_xlfn.XLOOKUP($G1102,'.Auxiliar'!$G:$G,'.Auxiliar'!C:C,"-",0)</f>
        <v>Direito</v>
      </c>
      <c r="D1102" s="55">
        <f>_xlfn.XLOOKUP($G1102,'.Auxiliar'!$G:$G,'.Auxiliar'!D:D,"-",0)</f>
        <v>139.19999999999999</v>
      </c>
      <c r="E1102" s="55">
        <f>_xlfn.XLOOKUP($G1102,'.Auxiliar'!$G:$G,'.Auxiliar'!E:E,"-",0)</f>
        <v>143.4</v>
      </c>
      <c r="F1102" s="55">
        <f>_xlfn.XLOOKUP($G1102,'.Auxiliar'!$G:$G,'.Auxiliar'!F:F,"-",0)</f>
        <v>4.2000000000000171</v>
      </c>
      <c r="G1102" s="59" t="s">
        <v>1014</v>
      </c>
      <c r="H1102" s="108" t="s">
        <v>0</v>
      </c>
      <c r="I1102" s="109" t="s">
        <v>0</v>
      </c>
      <c r="J1102" s="109" t="s">
        <v>0</v>
      </c>
      <c r="K1102" s="109" t="s">
        <v>0</v>
      </c>
      <c r="L1102" s="109" t="s">
        <v>363</v>
      </c>
      <c r="M1102" s="109" t="s">
        <v>0</v>
      </c>
      <c r="N1102" s="110" t="s">
        <v>0</v>
      </c>
      <c r="O1102" s="111"/>
      <c r="P1102" s="112"/>
      <c r="Q1102" s="112"/>
      <c r="R1102" s="112"/>
      <c r="S1102" s="112"/>
      <c r="T1102" s="112"/>
      <c r="U1102" s="95" t="str">
        <f t="shared" si="54"/>
        <v/>
      </c>
      <c r="V1102" s="112">
        <v>100</v>
      </c>
      <c r="W1102" s="112"/>
      <c r="X1102" s="107"/>
      <c r="Y1102" s="107">
        <f t="shared" si="55"/>
        <v>100</v>
      </c>
      <c r="Z1102" s="107">
        <f t="shared" si="56"/>
        <v>0</v>
      </c>
    </row>
    <row r="1103" spans="1:26" x14ac:dyDescent="0.25">
      <c r="A1103" s="55" t="str">
        <f>_xlfn.XLOOKUP($G1103,'.Auxiliar'!$G:$G,'.Auxiliar'!A:A,"-",0)</f>
        <v>RIO/SP</v>
      </c>
      <c r="B1103" s="55" t="str">
        <f>_xlfn.XLOOKUP($G1103,'.Auxiliar'!$G:$G,'.Auxiliar'!B:B,"-",0)</f>
        <v>PAVIMENTAÇÃO</v>
      </c>
      <c r="C1103" s="55" t="str">
        <f>_xlfn.XLOOKUP($G1103,'.Auxiliar'!$G:$G,'.Auxiliar'!C:C,"-",0)</f>
        <v>Direito</v>
      </c>
      <c r="D1103" s="55">
        <f>_xlfn.XLOOKUP($G1103,'.Auxiliar'!$G:$G,'.Auxiliar'!D:D,"-",0)</f>
        <v>143.4</v>
      </c>
      <c r="E1103" s="55">
        <f>_xlfn.XLOOKUP($G1103,'.Auxiliar'!$G:$G,'.Auxiliar'!E:E,"-",0)</f>
        <v>146.69999999999999</v>
      </c>
      <c r="F1103" s="55">
        <f>_xlfn.XLOOKUP($G1103,'.Auxiliar'!$G:$G,'.Auxiliar'!F:F,"-",0)</f>
        <v>3.2999999999999829</v>
      </c>
      <c r="G1103" s="59" t="s">
        <v>1015</v>
      </c>
      <c r="H1103" s="108" t="s">
        <v>0</v>
      </c>
      <c r="I1103" s="109" t="s">
        <v>0</v>
      </c>
      <c r="J1103" s="109" t="s">
        <v>0</v>
      </c>
      <c r="K1103" s="109" t="s">
        <v>0</v>
      </c>
      <c r="L1103" s="109" t="s">
        <v>363</v>
      </c>
      <c r="M1103" s="109" t="s">
        <v>0</v>
      </c>
      <c r="N1103" s="110" t="s">
        <v>0</v>
      </c>
      <c r="O1103" s="111"/>
      <c r="P1103" s="112"/>
      <c r="Q1103" s="112"/>
      <c r="R1103" s="112"/>
      <c r="S1103" s="112"/>
      <c r="T1103" s="112"/>
      <c r="U1103" s="95" t="str">
        <f t="shared" si="54"/>
        <v/>
      </c>
      <c r="V1103" s="112">
        <v>100</v>
      </c>
      <c r="W1103" s="112"/>
      <c r="X1103" s="107"/>
      <c r="Y1103" s="107">
        <f t="shared" si="55"/>
        <v>100</v>
      </c>
      <c r="Z1103" s="107">
        <f t="shared" si="56"/>
        <v>0</v>
      </c>
    </row>
    <row r="1104" spans="1:26" x14ac:dyDescent="0.25">
      <c r="A1104" s="55" t="str">
        <f>_xlfn.XLOOKUP($G1104,'.Auxiliar'!$G:$G,'.Auxiliar'!A:A,"-",0)</f>
        <v>RIO/SP</v>
      </c>
      <c r="B1104" s="55" t="str">
        <f>_xlfn.XLOOKUP($G1104,'.Auxiliar'!$G:$G,'.Auxiliar'!B:B,"-",0)</f>
        <v>PAVIMENTAÇÃO</v>
      </c>
      <c r="C1104" s="55" t="str">
        <f>_xlfn.XLOOKUP($G1104,'.Auxiliar'!$G:$G,'.Auxiliar'!C:C,"-",0)</f>
        <v>Direito</v>
      </c>
      <c r="D1104" s="55">
        <f>_xlfn.XLOOKUP($G1104,'.Auxiliar'!$G:$G,'.Auxiliar'!D:D,"-",0)</f>
        <v>146.69999999999999</v>
      </c>
      <c r="E1104" s="55">
        <f>_xlfn.XLOOKUP($G1104,'.Auxiliar'!$G:$G,'.Auxiliar'!E:E,"-",0)</f>
        <v>149.9</v>
      </c>
      <c r="F1104" s="55">
        <f>_xlfn.XLOOKUP($G1104,'.Auxiliar'!$G:$G,'.Auxiliar'!F:F,"-",0)</f>
        <v>3.2000000000000171</v>
      </c>
      <c r="G1104" s="59" t="s">
        <v>1016</v>
      </c>
      <c r="H1104" s="108" t="s">
        <v>0</v>
      </c>
      <c r="I1104" s="109" t="s">
        <v>0</v>
      </c>
      <c r="J1104" s="109" t="s">
        <v>0</v>
      </c>
      <c r="K1104" s="109" t="s">
        <v>0</v>
      </c>
      <c r="L1104" s="109" t="s">
        <v>363</v>
      </c>
      <c r="M1104" s="109" t="s">
        <v>0</v>
      </c>
      <c r="N1104" s="110" t="s">
        <v>0</v>
      </c>
      <c r="O1104" s="111"/>
      <c r="P1104" s="112"/>
      <c r="Q1104" s="112"/>
      <c r="R1104" s="112"/>
      <c r="S1104" s="112"/>
      <c r="T1104" s="112"/>
      <c r="U1104" s="95" t="str">
        <f t="shared" si="54"/>
        <v/>
      </c>
      <c r="V1104" s="112">
        <v>100</v>
      </c>
      <c r="W1104" s="112"/>
      <c r="X1104" s="107"/>
      <c r="Y1104" s="107">
        <f t="shared" si="55"/>
        <v>100</v>
      </c>
      <c r="Z1104" s="107">
        <f t="shared" si="56"/>
        <v>0</v>
      </c>
    </row>
    <row r="1105" spans="1:26" x14ac:dyDescent="0.25">
      <c r="A1105" s="55" t="str">
        <f>_xlfn.XLOOKUP($G1105,'.Auxiliar'!$G:$G,'.Auxiliar'!A:A,"-",0)</f>
        <v>RIO/SP</v>
      </c>
      <c r="B1105" s="55" t="str">
        <f>_xlfn.XLOOKUP($G1105,'.Auxiliar'!$G:$G,'.Auxiliar'!B:B,"-",0)</f>
        <v>PAVIMENTAÇÃO</v>
      </c>
      <c r="C1105" s="55" t="str">
        <f>_xlfn.XLOOKUP($G1105,'.Auxiliar'!$G:$G,'.Auxiliar'!C:C,"-",0)</f>
        <v>Direito</v>
      </c>
      <c r="D1105" s="55">
        <f>_xlfn.XLOOKUP($G1105,'.Auxiliar'!$G:$G,'.Auxiliar'!D:D,"-",0)</f>
        <v>149.9</v>
      </c>
      <c r="E1105" s="55">
        <f>_xlfn.XLOOKUP($G1105,'.Auxiliar'!$G:$G,'.Auxiliar'!E:E,"-",0)</f>
        <v>151.30000000000001</v>
      </c>
      <c r="F1105" s="55">
        <f>_xlfn.XLOOKUP($G1105,'.Auxiliar'!$G:$G,'.Auxiliar'!F:F,"-",0)</f>
        <v>1.4000000000000057</v>
      </c>
      <c r="G1105" s="59" t="s">
        <v>1017</v>
      </c>
      <c r="H1105" s="108" t="s">
        <v>0</v>
      </c>
      <c r="I1105" s="109" t="s">
        <v>0</v>
      </c>
      <c r="J1105" s="109" t="s">
        <v>0</v>
      </c>
      <c r="K1105" s="109" t="s">
        <v>0</v>
      </c>
      <c r="L1105" s="109" t="s">
        <v>363</v>
      </c>
      <c r="M1105" s="109" t="s">
        <v>0</v>
      </c>
      <c r="N1105" s="110" t="s">
        <v>0</v>
      </c>
      <c r="O1105" s="111"/>
      <c r="P1105" s="112"/>
      <c r="Q1105" s="112"/>
      <c r="R1105" s="112"/>
      <c r="S1105" s="112"/>
      <c r="T1105" s="112"/>
      <c r="U1105" s="95" t="str">
        <f t="shared" si="54"/>
        <v/>
      </c>
      <c r="V1105" s="112">
        <v>100</v>
      </c>
      <c r="W1105" s="112"/>
      <c r="X1105" s="107"/>
      <c r="Y1105" s="107">
        <f t="shared" si="55"/>
        <v>100</v>
      </c>
      <c r="Z1105" s="107">
        <f t="shared" si="56"/>
        <v>0</v>
      </c>
    </row>
    <row r="1106" spans="1:26" x14ac:dyDescent="0.25">
      <c r="A1106" s="55" t="str">
        <f>_xlfn.XLOOKUP($G1106,'.Auxiliar'!$G:$G,'.Auxiliar'!A:A,"-",0)</f>
        <v>RIO/SP</v>
      </c>
      <c r="B1106" s="55" t="str">
        <f>_xlfn.XLOOKUP($G1106,'.Auxiliar'!$G:$G,'.Auxiliar'!B:B,"-",0)</f>
        <v>PAVIMENTAÇÃO</v>
      </c>
      <c r="C1106" s="55" t="str">
        <f>_xlfn.XLOOKUP($G1106,'.Auxiliar'!$G:$G,'.Auxiliar'!C:C,"-",0)</f>
        <v>Direito</v>
      </c>
      <c r="D1106" s="55">
        <f>_xlfn.XLOOKUP($G1106,'.Auxiliar'!$G:$G,'.Auxiliar'!D:D,"-",0)</f>
        <v>151.30000000000001</v>
      </c>
      <c r="E1106" s="55">
        <f>_xlfn.XLOOKUP($G1106,'.Auxiliar'!$G:$G,'.Auxiliar'!E:E,"-",0)</f>
        <v>152.16</v>
      </c>
      <c r="F1106" s="55">
        <f>_xlfn.XLOOKUP($G1106,'.Auxiliar'!$G:$G,'.Auxiliar'!F:F,"-",0)</f>
        <v>0.85999999999998522</v>
      </c>
      <c r="G1106" s="59" t="s">
        <v>888</v>
      </c>
      <c r="H1106" s="108" t="s">
        <v>0</v>
      </c>
      <c r="I1106" s="109" t="s">
        <v>0</v>
      </c>
      <c r="J1106" s="109" t="s">
        <v>363</v>
      </c>
      <c r="K1106" s="109" t="s">
        <v>0</v>
      </c>
      <c r="L1106" s="109" t="s">
        <v>0</v>
      </c>
      <c r="M1106" s="109" t="s">
        <v>0</v>
      </c>
      <c r="N1106" s="110" t="s">
        <v>0</v>
      </c>
      <c r="O1106" s="111"/>
      <c r="P1106" s="112"/>
      <c r="Q1106" s="112"/>
      <c r="R1106" s="112"/>
      <c r="S1106" s="112">
        <v>70</v>
      </c>
      <c r="T1106" s="112">
        <v>22.9</v>
      </c>
      <c r="U1106" s="95">
        <f t="shared" si="54"/>
        <v>100</v>
      </c>
      <c r="V1106" s="112">
        <f>100-(S1106+R1106)</f>
        <v>30</v>
      </c>
      <c r="W1106" s="112"/>
      <c r="X1106" s="107"/>
      <c r="Y1106" s="107">
        <f t="shared" si="55"/>
        <v>100</v>
      </c>
      <c r="Z1106" s="107">
        <f t="shared" si="56"/>
        <v>22.9</v>
      </c>
    </row>
    <row r="1107" spans="1:26" x14ac:dyDescent="0.25">
      <c r="A1107" s="55" t="str">
        <f>_xlfn.XLOOKUP($G1107,'.Auxiliar'!$G:$G,'.Auxiliar'!A:A,"-",0)</f>
        <v>RIO/SP</v>
      </c>
      <c r="B1107" s="55" t="str">
        <f>_xlfn.XLOOKUP($G1107,'.Auxiliar'!$G:$G,'.Auxiliar'!B:B,"-",0)</f>
        <v>PAVIMENTAÇÃO</v>
      </c>
      <c r="C1107" s="55" t="str">
        <f>_xlfn.XLOOKUP($G1107,'.Auxiliar'!$G:$G,'.Auxiliar'!C:C,"-",0)</f>
        <v>Direito</v>
      </c>
      <c r="D1107" s="55">
        <f>_xlfn.XLOOKUP($G1107,'.Auxiliar'!$G:$G,'.Auxiliar'!D:D,"-",0)</f>
        <v>199.17</v>
      </c>
      <c r="E1107" s="55">
        <f>_xlfn.XLOOKUP($G1107,'.Auxiliar'!$G:$G,'.Auxiliar'!E:E,"-",0)</f>
        <v>203.77</v>
      </c>
      <c r="F1107" s="55">
        <f>_xlfn.XLOOKUP($G1107,'.Auxiliar'!$G:$G,'.Auxiliar'!F:F,"-",0)</f>
        <v>4.6000000000000227</v>
      </c>
      <c r="G1107" s="59" t="s">
        <v>1158</v>
      </c>
      <c r="H1107" s="108" t="s">
        <v>0</v>
      </c>
      <c r="I1107" s="109" t="s">
        <v>0</v>
      </c>
      <c r="J1107" s="109" t="s">
        <v>0</v>
      </c>
      <c r="K1107" s="109" t="s">
        <v>0</v>
      </c>
      <c r="L1107" s="109" t="s">
        <v>0</v>
      </c>
      <c r="M1107" s="109" t="s">
        <v>0</v>
      </c>
      <c r="N1107" s="110" t="s">
        <v>363</v>
      </c>
      <c r="O1107" s="111"/>
      <c r="P1107" s="112"/>
      <c r="Q1107" s="112"/>
      <c r="R1107" s="112"/>
      <c r="S1107" s="112"/>
      <c r="T1107" s="112"/>
      <c r="U1107" s="95" t="str">
        <f t="shared" si="54"/>
        <v/>
      </c>
      <c r="V1107" s="112"/>
      <c r="W1107" s="112"/>
      <c r="X1107" s="107">
        <v>100</v>
      </c>
      <c r="Y1107" s="107">
        <f t="shared" si="55"/>
        <v>100</v>
      </c>
      <c r="Z1107" s="107">
        <f t="shared" si="56"/>
        <v>0</v>
      </c>
    </row>
    <row r="1108" spans="1:26" x14ac:dyDescent="0.25">
      <c r="A1108" s="55" t="str">
        <f>_xlfn.XLOOKUP($G1108,'.Auxiliar'!$G:$G,'.Auxiliar'!A:A,"-",0)</f>
        <v>RIO/SP</v>
      </c>
      <c r="B1108" s="55" t="str">
        <f>_xlfn.XLOOKUP($G1108,'.Auxiliar'!$G:$G,'.Auxiliar'!B:B,"-",0)</f>
        <v>PAVIMENTAÇÃO</v>
      </c>
      <c r="C1108" s="55" t="str">
        <f>_xlfn.XLOOKUP($G1108,'.Auxiliar'!$G:$G,'.Auxiliar'!C:C,"-",0)</f>
        <v>Direito</v>
      </c>
      <c r="D1108" s="55">
        <f>_xlfn.XLOOKUP($G1108,'.Auxiliar'!$G:$G,'.Auxiliar'!D:D,"-",0)</f>
        <v>204.74</v>
      </c>
      <c r="E1108" s="55">
        <f>_xlfn.XLOOKUP($G1108,'.Auxiliar'!$G:$G,'.Auxiliar'!E:E,"-",0)</f>
        <v>206.327</v>
      </c>
      <c r="F1108" s="55">
        <f>_xlfn.XLOOKUP($G1108,'.Auxiliar'!$G:$G,'.Auxiliar'!F:F,"-",0)</f>
        <v>1.5869999999999891</v>
      </c>
      <c r="G1108" s="59" t="s">
        <v>889</v>
      </c>
      <c r="H1108" s="108" t="s">
        <v>0</v>
      </c>
      <c r="I1108" s="109" t="s">
        <v>0</v>
      </c>
      <c r="J1108" s="109" t="s">
        <v>363</v>
      </c>
      <c r="K1108" s="109" t="s">
        <v>0</v>
      </c>
      <c r="L1108" s="109" t="s">
        <v>0</v>
      </c>
      <c r="M1108" s="109" t="s">
        <v>0</v>
      </c>
      <c r="N1108" s="110" t="s">
        <v>0</v>
      </c>
      <c r="O1108" s="111"/>
      <c r="P1108" s="112"/>
      <c r="Q1108" s="112">
        <v>14.5</v>
      </c>
      <c r="R1108" s="112">
        <v>13.25</v>
      </c>
      <c r="S1108" s="112">
        <v>86.75</v>
      </c>
      <c r="T1108" s="112">
        <v>72.849999999999994</v>
      </c>
      <c r="U1108" s="95">
        <f t="shared" si="54"/>
        <v>86.75</v>
      </c>
      <c r="V1108" s="112"/>
      <c r="W1108" s="112"/>
      <c r="X1108" s="107"/>
      <c r="Y1108" s="107">
        <f t="shared" si="55"/>
        <v>100</v>
      </c>
      <c r="Z1108" s="107">
        <f t="shared" si="56"/>
        <v>86.1</v>
      </c>
    </row>
    <row r="1109" spans="1:26" x14ac:dyDescent="0.25">
      <c r="A1109" s="55" t="str">
        <f>_xlfn.XLOOKUP($G1109,'.Auxiliar'!$G:$G,'.Auxiliar'!A:A,"-",0)</f>
        <v>RIO/SP</v>
      </c>
      <c r="B1109" s="55" t="str">
        <f>_xlfn.XLOOKUP($G1109,'.Auxiliar'!$G:$G,'.Auxiliar'!B:B,"-",0)</f>
        <v>PAVIMENTAÇÃO</v>
      </c>
      <c r="C1109" s="55" t="str">
        <f>_xlfn.XLOOKUP($G1109,'.Auxiliar'!$G:$G,'.Auxiliar'!C:C,"-",0)</f>
        <v>Direito</v>
      </c>
      <c r="D1109" s="55">
        <f>_xlfn.XLOOKUP($G1109,'.Auxiliar'!$G:$G,'.Auxiliar'!D:D,"-",0)</f>
        <v>206.327</v>
      </c>
      <c r="E1109" s="55">
        <f>_xlfn.XLOOKUP($G1109,'.Auxiliar'!$G:$G,'.Auxiliar'!E:E,"-",0)</f>
        <v>208</v>
      </c>
      <c r="F1109" s="55">
        <f>_xlfn.XLOOKUP($G1109,'.Auxiliar'!$G:$G,'.Auxiliar'!F:F,"-",0)</f>
        <v>1.6730000000000018</v>
      </c>
      <c r="G1109" s="59" t="s">
        <v>890</v>
      </c>
      <c r="H1109" s="108" t="s">
        <v>0</v>
      </c>
      <c r="I1109" s="109" t="s">
        <v>0</v>
      </c>
      <c r="J1109" s="109" t="s">
        <v>363</v>
      </c>
      <c r="K1109" s="109" t="s">
        <v>0</v>
      </c>
      <c r="L1109" s="109" t="s">
        <v>0</v>
      </c>
      <c r="M1109" s="109" t="s">
        <v>0</v>
      </c>
      <c r="N1109" s="110" t="s">
        <v>0</v>
      </c>
      <c r="O1109" s="111"/>
      <c r="P1109" s="112"/>
      <c r="Q1109" s="112"/>
      <c r="R1109" s="112"/>
      <c r="S1109" s="112">
        <v>100</v>
      </c>
      <c r="T1109" s="112">
        <v>93.2</v>
      </c>
      <c r="U1109" s="95">
        <f t="shared" si="54"/>
        <v>100</v>
      </c>
      <c r="V1109" s="112"/>
      <c r="W1109" s="112"/>
      <c r="X1109" s="107"/>
      <c r="Y1109" s="107">
        <f t="shared" si="55"/>
        <v>100</v>
      </c>
      <c r="Z1109" s="107">
        <f t="shared" si="56"/>
        <v>93.2</v>
      </c>
    </row>
    <row r="1110" spans="1:26" x14ac:dyDescent="0.25">
      <c r="A1110" s="55" t="str">
        <f>_xlfn.XLOOKUP($G1110,'.Auxiliar'!$G:$G,'.Auxiliar'!A:A,"-",0)</f>
        <v>RIO/SP</v>
      </c>
      <c r="B1110" s="55" t="str">
        <f>_xlfn.XLOOKUP($G1110,'.Auxiliar'!$G:$G,'.Auxiliar'!B:B,"-",0)</f>
        <v>PAVIMENTAÇÃO</v>
      </c>
      <c r="C1110" s="55" t="str">
        <f>_xlfn.XLOOKUP($G1110,'.Auxiliar'!$G:$G,'.Auxiliar'!C:C,"-",0)</f>
        <v>Direito</v>
      </c>
      <c r="D1110" s="55">
        <f>_xlfn.XLOOKUP($G1110,'.Auxiliar'!$G:$G,'.Auxiliar'!D:D,"-",0)</f>
        <v>208</v>
      </c>
      <c r="E1110" s="55">
        <f>_xlfn.XLOOKUP($G1110,'.Auxiliar'!$G:$G,'.Auxiliar'!E:E,"-",0)</f>
        <v>209.95</v>
      </c>
      <c r="F1110" s="55">
        <f>_xlfn.XLOOKUP($G1110,'.Auxiliar'!$G:$G,'.Auxiliar'!F:F,"-",0)</f>
        <v>1.9499999999999886</v>
      </c>
      <c r="G1110" s="59" t="s">
        <v>891</v>
      </c>
      <c r="H1110" s="108" t="s">
        <v>0</v>
      </c>
      <c r="I1110" s="109" t="s">
        <v>0</v>
      </c>
      <c r="J1110" s="109" t="s">
        <v>363</v>
      </c>
      <c r="K1110" s="109" t="s">
        <v>0</v>
      </c>
      <c r="L1110" s="109" t="s">
        <v>0</v>
      </c>
      <c r="M1110" s="109" t="s">
        <v>0</v>
      </c>
      <c r="N1110" s="110" t="s">
        <v>0</v>
      </c>
      <c r="O1110" s="111"/>
      <c r="P1110" s="112"/>
      <c r="Q1110" s="112">
        <v>12</v>
      </c>
      <c r="R1110" s="112">
        <v>21.5</v>
      </c>
      <c r="S1110" s="112">
        <v>78.5</v>
      </c>
      <c r="T1110" s="112">
        <v>74.150000000000006</v>
      </c>
      <c r="U1110" s="95">
        <f t="shared" si="54"/>
        <v>78.5</v>
      </c>
      <c r="V1110" s="112"/>
      <c r="W1110" s="112"/>
      <c r="X1110" s="107"/>
      <c r="Y1110" s="107">
        <f t="shared" si="55"/>
        <v>100</v>
      </c>
      <c r="Z1110" s="107">
        <f t="shared" si="56"/>
        <v>95.65</v>
      </c>
    </row>
    <row r="1111" spans="1:26" x14ac:dyDescent="0.25">
      <c r="A1111" s="55" t="str">
        <f>_xlfn.XLOOKUP($G1111,'.Auxiliar'!$G:$G,'.Auxiliar'!A:A,"-",0)</f>
        <v>RIO/SP</v>
      </c>
      <c r="B1111" s="55" t="str">
        <f>_xlfn.XLOOKUP($G1111,'.Auxiliar'!$G:$G,'.Auxiliar'!B:B,"-",0)</f>
        <v>PAVIMENTAÇÃO</v>
      </c>
      <c r="C1111" s="55" t="str">
        <f>_xlfn.XLOOKUP($G1111,'.Auxiliar'!$G:$G,'.Auxiliar'!C:C,"-",0)</f>
        <v>Direito</v>
      </c>
      <c r="D1111" s="55">
        <f>_xlfn.XLOOKUP($G1111,'.Auxiliar'!$G:$G,'.Auxiliar'!D:D,"-",0)</f>
        <v>217.75</v>
      </c>
      <c r="E1111" s="55">
        <f>_xlfn.XLOOKUP($G1111,'.Auxiliar'!$G:$G,'.Auxiliar'!E:E,"-",0)</f>
        <v>218.66</v>
      </c>
      <c r="F1111" s="55">
        <f>_xlfn.XLOOKUP($G1111,'.Auxiliar'!$G:$G,'.Auxiliar'!F:F,"-",0)</f>
        <v>0.90999999999999659</v>
      </c>
      <c r="G1111" s="59" t="s">
        <v>1160</v>
      </c>
      <c r="H1111" s="108" t="s">
        <v>0</v>
      </c>
      <c r="I1111" s="109" t="s">
        <v>0</v>
      </c>
      <c r="J1111" s="109" t="s">
        <v>0</v>
      </c>
      <c r="K1111" s="109" t="s">
        <v>0</v>
      </c>
      <c r="L1111" s="109" t="s">
        <v>0</v>
      </c>
      <c r="M1111" s="109" t="s">
        <v>0</v>
      </c>
      <c r="N1111" s="110" t="s">
        <v>363</v>
      </c>
      <c r="O1111" s="111"/>
      <c r="P1111" s="112"/>
      <c r="Q1111" s="112"/>
      <c r="R1111" s="112"/>
      <c r="S1111" s="112"/>
      <c r="T1111" s="112"/>
      <c r="U1111" s="95" t="str">
        <f t="shared" si="54"/>
        <v/>
      </c>
      <c r="V1111" s="112"/>
      <c r="W1111" s="112"/>
      <c r="X1111" s="107">
        <v>100</v>
      </c>
      <c r="Y1111" s="107">
        <f t="shared" si="55"/>
        <v>100</v>
      </c>
      <c r="Z1111" s="107">
        <f t="shared" si="56"/>
        <v>0</v>
      </c>
    </row>
    <row r="1112" spans="1:26" x14ac:dyDescent="0.25">
      <c r="A1112" s="55" t="str">
        <f>_xlfn.XLOOKUP($G1112,'.Auxiliar'!$G:$G,'.Auxiliar'!A:A,"-",0)</f>
        <v>RIO/SP</v>
      </c>
      <c r="B1112" s="55" t="str">
        <f>_xlfn.XLOOKUP($G1112,'.Auxiliar'!$G:$G,'.Auxiliar'!B:B,"-",0)</f>
        <v>PAVIMENTAÇÃO</v>
      </c>
      <c r="C1112" s="55" t="str">
        <f>_xlfn.XLOOKUP($G1112,'.Auxiliar'!$G:$G,'.Auxiliar'!C:C,"-",0)</f>
        <v>Direito</v>
      </c>
      <c r="D1112" s="55">
        <f>_xlfn.XLOOKUP($G1112,'.Auxiliar'!$G:$G,'.Auxiliar'!D:D,"-",0)</f>
        <v>255.85</v>
      </c>
      <c r="E1112" s="55">
        <f>_xlfn.XLOOKUP($G1112,'.Auxiliar'!$G:$G,'.Auxiliar'!E:E,"-",0)</f>
        <v>257.05</v>
      </c>
      <c r="F1112" s="55">
        <f>_xlfn.XLOOKUP($G1112,'.Auxiliar'!$G:$G,'.Auxiliar'!F:F,"-",0)</f>
        <v>1.2000000000000171</v>
      </c>
      <c r="G1112" s="59" t="s">
        <v>1162</v>
      </c>
      <c r="H1112" s="108" t="s">
        <v>0</v>
      </c>
      <c r="I1112" s="109" t="s">
        <v>0</v>
      </c>
      <c r="J1112" s="109" t="s">
        <v>0</v>
      </c>
      <c r="K1112" s="109" t="s">
        <v>0</v>
      </c>
      <c r="L1112" s="109" t="s">
        <v>0</v>
      </c>
      <c r="M1112" s="109" t="s">
        <v>0</v>
      </c>
      <c r="N1112" s="110" t="s">
        <v>363</v>
      </c>
      <c r="O1112" s="111"/>
      <c r="P1112" s="112"/>
      <c r="Q1112" s="112"/>
      <c r="R1112" s="112"/>
      <c r="S1112" s="112"/>
      <c r="T1112" s="112"/>
      <c r="U1112" s="95" t="str">
        <f t="shared" si="54"/>
        <v/>
      </c>
      <c r="V1112" s="112"/>
      <c r="W1112" s="112"/>
      <c r="X1112" s="107">
        <v>100</v>
      </c>
      <c r="Y1112" s="107">
        <f t="shared" si="55"/>
        <v>100</v>
      </c>
      <c r="Z1112" s="107">
        <f t="shared" si="56"/>
        <v>0</v>
      </c>
    </row>
    <row r="1113" spans="1:26" x14ac:dyDescent="0.25">
      <c r="A1113" s="55" t="str">
        <f>_xlfn.XLOOKUP($G1113,'.Auxiliar'!$G:$G,'.Auxiliar'!A:A,"-",0)</f>
        <v>RIO/SP</v>
      </c>
      <c r="B1113" s="55" t="str">
        <f>_xlfn.XLOOKUP($G1113,'.Auxiliar'!$G:$G,'.Auxiliar'!B:B,"-",0)</f>
        <v>PAVIMENTAÇÃO</v>
      </c>
      <c r="C1113" s="55" t="str">
        <f>_xlfn.XLOOKUP($G1113,'.Auxiliar'!$G:$G,'.Auxiliar'!C:C,"-",0)</f>
        <v>Direito</v>
      </c>
      <c r="D1113" s="55">
        <f>_xlfn.XLOOKUP($G1113,'.Auxiliar'!$G:$G,'.Auxiliar'!D:D,"-",0)</f>
        <v>266.7</v>
      </c>
      <c r="E1113" s="55">
        <f>_xlfn.XLOOKUP($G1113,'.Auxiliar'!$G:$G,'.Auxiliar'!E:E,"-",0)</f>
        <v>269</v>
      </c>
      <c r="F1113" s="55">
        <f>_xlfn.XLOOKUP($G1113,'.Auxiliar'!$G:$G,'.Auxiliar'!F:F,"-",0)</f>
        <v>2.3000000000000114</v>
      </c>
      <c r="G1113" s="59" t="s">
        <v>1163</v>
      </c>
      <c r="H1113" s="108" t="s">
        <v>0</v>
      </c>
      <c r="I1113" s="109" t="s">
        <v>0</v>
      </c>
      <c r="J1113" s="109" t="s">
        <v>0</v>
      </c>
      <c r="K1113" s="109" t="s">
        <v>0</v>
      </c>
      <c r="L1113" s="109" t="s">
        <v>0</v>
      </c>
      <c r="M1113" s="109" t="s">
        <v>0</v>
      </c>
      <c r="N1113" s="110" t="s">
        <v>363</v>
      </c>
      <c r="O1113" s="111"/>
      <c r="P1113" s="112"/>
      <c r="Q1113" s="112"/>
      <c r="R1113" s="112"/>
      <c r="S1113" s="112"/>
      <c r="T1113" s="112"/>
      <c r="U1113" s="95" t="str">
        <f t="shared" si="54"/>
        <v/>
      </c>
      <c r="V1113" s="112"/>
      <c r="W1113" s="112"/>
      <c r="X1113" s="107">
        <v>100</v>
      </c>
      <c r="Y1113" s="107">
        <f t="shared" si="55"/>
        <v>100</v>
      </c>
      <c r="Z1113" s="107">
        <f t="shared" si="56"/>
        <v>0</v>
      </c>
    </row>
    <row r="1114" spans="1:26" x14ac:dyDescent="0.25">
      <c r="A1114" s="55" t="str">
        <f>_xlfn.XLOOKUP($G1114,'.Auxiliar'!$G:$G,'.Auxiliar'!A:A,"-",0)</f>
        <v>RIO/SP</v>
      </c>
      <c r="B1114" s="55" t="str">
        <f>_xlfn.XLOOKUP($G1114,'.Auxiliar'!$G:$G,'.Auxiliar'!B:B,"-",0)</f>
        <v>PAVIMENTAÇÃO</v>
      </c>
      <c r="C1114" s="55" t="str">
        <f>_xlfn.XLOOKUP($G1114,'.Auxiliar'!$G:$G,'.Auxiliar'!C:C,"-",0)</f>
        <v>Direito</v>
      </c>
      <c r="D1114" s="55">
        <f>_xlfn.XLOOKUP($G1114,'.Auxiliar'!$G:$G,'.Auxiliar'!D:D,"-",0)</f>
        <v>269</v>
      </c>
      <c r="E1114" s="55">
        <f>_xlfn.XLOOKUP($G1114,'.Auxiliar'!$G:$G,'.Auxiliar'!E:E,"-",0)</f>
        <v>270.19</v>
      </c>
      <c r="F1114" s="55">
        <f>_xlfn.XLOOKUP($G1114,'.Auxiliar'!$G:$G,'.Auxiliar'!F:F,"-",0)</f>
        <v>1.1899999999999977</v>
      </c>
      <c r="G1114" s="59" t="s">
        <v>1164</v>
      </c>
      <c r="H1114" s="108" t="s">
        <v>0</v>
      </c>
      <c r="I1114" s="109" t="s">
        <v>0</v>
      </c>
      <c r="J1114" s="109" t="s">
        <v>0</v>
      </c>
      <c r="K1114" s="109" t="s">
        <v>0</v>
      </c>
      <c r="L1114" s="109" t="s">
        <v>0</v>
      </c>
      <c r="M1114" s="109" t="s">
        <v>0</v>
      </c>
      <c r="N1114" s="110" t="s">
        <v>363</v>
      </c>
      <c r="O1114" s="111"/>
      <c r="P1114" s="112"/>
      <c r="Q1114" s="112"/>
      <c r="R1114" s="112"/>
      <c r="S1114" s="112"/>
      <c r="T1114" s="112"/>
      <c r="U1114" s="95" t="str">
        <f t="shared" si="54"/>
        <v/>
      </c>
      <c r="V1114" s="112"/>
      <c r="W1114" s="112"/>
      <c r="X1114" s="107">
        <v>100</v>
      </c>
      <c r="Y1114" s="107">
        <f t="shared" si="55"/>
        <v>100</v>
      </c>
      <c r="Z1114" s="107">
        <f t="shared" si="56"/>
        <v>0</v>
      </c>
    </row>
    <row r="1115" spans="1:26" x14ac:dyDescent="0.25">
      <c r="A1115" s="55" t="str">
        <f>_xlfn.XLOOKUP($G1115,'.Auxiliar'!$G:$G,'.Auxiliar'!A:A,"-",0)</f>
        <v>RIO/SP</v>
      </c>
      <c r="B1115" s="55" t="str">
        <f>_xlfn.XLOOKUP($G1115,'.Auxiliar'!$G:$G,'.Auxiliar'!B:B,"-",0)</f>
        <v>PAVIMENTAÇÃO</v>
      </c>
      <c r="C1115" s="55" t="str">
        <f>_xlfn.XLOOKUP($G1115,'.Auxiliar'!$G:$G,'.Auxiliar'!C:C,"-",0)</f>
        <v>Direito</v>
      </c>
      <c r="D1115" s="55">
        <f>_xlfn.XLOOKUP($G1115,'.Auxiliar'!$G:$G,'.Auxiliar'!D:D,"-",0)</f>
        <v>288.3</v>
      </c>
      <c r="E1115" s="55">
        <f>_xlfn.XLOOKUP($G1115,'.Auxiliar'!$G:$G,'.Auxiliar'!E:E,"-",0)</f>
        <v>290</v>
      </c>
      <c r="F1115" s="55">
        <f>_xlfn.XLOOKUP($G1115,'.Auxiliar'!$G:$G,'.Auxiliar'!F:F,"-",0)</f>
        <v>1.6999999999999886</v>
      </c>
      <c r="G1115" s="59" t="s">
        <v>1170</v>
      </c>
      <c r="H1115" s="108" t="s">
        <v>0</v>
      </c>
      <c r="I1115" s="109" t="s">
        <v>0</v>
      </c>
      <c r="J1115" s="109" t="s">
        <v>0</v>
      </c>
      <c r="K1115" s="109" t="s">
        <v>0</v>
      </c>
      <c r="L1115" s="109" t="s">
        <v>0</v>
      </c>
      <c r="M1115" s="109" t="s">
        <v>0</v>
      </c>
      <c r="N1115" s="110" t="s">
        <v>363</v>
      </c>
      <c r="O1115" s="111"/>
      <c r="P1115" s="112"/>
      <c r="Q1115" s="112"/>
      <c r="R1115" s="112"/>
      <c r="S1115" s="112"/>
      <c r="T1115" s="112"/>
      <c r="U1115" s="95" t="str">
        <f t="shared" si="54"/>
        <v/>
      </c>
      <c r="V1115" s="112"/>
      <c r="W1115" s="112"/>
      <c r="X1115" s="107">
        <v>100</v>
      </c>
      <c r="Y1115" s="107">
        <f t="shared" si="55"/>
        <v>100</v>
      </c>
      <c r="Z1115" s="107">
        <f t="shared" si="56"/>
        <v>0</v>
      </c>
    </row>
    <row r="1116" spans="1:26" x14ac:dyDescent="0.25">
      <c r="A1116" s="55" t="str">
        <f>_xlfn.XLOOKUP($G1116,'.Auxiliar'!$G:$G,'.Auxiliar'!A:A,"-",0)</f>
        <v>RIO/SP</v>
      </c>
      <c r="B1116" s="55" t="str">
        <f>_xlfn.XLOOKUP($G1116,'.Auxiliar'!$G:$G,'.Auxiliar'!B:B,"-",0)</f>
        <v>PAVIMENTAÇÃO</v>
      </c>
      <c r="C1116" s="55" t="str">
        <f>_xlfn.XLOOKUP($G1116,'.Auxiliar'!$G:$G,'.Auxiliar'!C:C,"-",0)</f>
        <v>Direito</v>
      </c>
      <c r="D1116" s="55">
        <f>_xlfn.XLOOKUP($G1116,'.Auxiliar'!$G:$G,'.Auxiliar'!D:D,"-",0)</f>
        <v>300.33</v>
      </c>
      <c r="E1116" s="55">
        <f>_xlfn.XLOOKUP($G1116,'.Auxiliar'!$G:$G,'.Auxiliar'!E:E,"-",0)</f>
        <v>301.60000000000002</v>
      </c>
      <c r="F1116" s="55">
        <f>_xlfn.XLOOKUP($G1116,'.Auxiliar'!$G:$G,'.Auxiliar'!F:F,"-",0)</f>
        <v>1.2700000000000387</v>
      </c>
      <c r="G1116" s="59" t="s">
        <v>1060</v>
      </c>
      <c r="H1116" s="108" t="s">
        <v>0</v>
      </c>
      <c r="I1116" s="109" t="s">
        <v>0</v>
      </c>
      <c r="J1116" s="109" t="s">
        <v>0</v>
      </c>
      <c r="K1116" s="109" t="s">
        <v>0</v>
      </c>
      <c r="L1116" s="109" t="s">
        <v>0</v>
      </c>
      <c r="M1116" s="109" t="s">
        <v>363</v>
      </c>
      <c r="N1116" s="110" t="s">
        <v>0</v>
      </c>
      <c r="O1116" s="111"/>
      <c r="P1116" s="112"/>
      <c r="Q1116" s="112"/>
      <c r="R1116" s="112"/>
      <c r="S1116" s="112"/>
      <c r="T1116" s="112"/>
      <c r="U1116" s="95" t="str">
        <f t="shared" si="54"/>
        <v/>
      </c>
      <c r="V1116" s="112"/>
      <c r="W1116" s="112">
        <v>100</v>
      </c>
      <c r="X1116" s="107"/>
      <c r="Y1116" s="107">
        <f t="shared" si="55"/>
        <v>100</v>
      </c>
      <c r="Z1116" s="107">
        <f t="shared" si="56"/>
        <v>0</v>
      </c>
    </row>
    <row r="1117" spans="1:26" x14ac:dyDescent="0.25">
      <c r="A1117" s="55" t="str">
        <f>_xlfn.XLOOKUP($G1117,'.Auxiliar'!$G:$G,'.Auxiliar'!A:A,"-",0)</f>
        <v>RIO/SP</v>
      </c>
      <c r="B1117" s="55" t="str">
        <f>_xlfn.XLOOKUP($G1117,'.Auxiliar'!$G:$G,'.Auxiliar'!B:B,"-",0)</f>
        <v>PAVIMENTAÇÃO</v>
      </c>
      <c r="C1117" s="55" t="str">
        <f>_xlfn.XLOOKUP($G1117,'.Auxiliar'!$G:$G,'.Auxiliar'!C:C,"-",0)</f>
        <v>Direito</v>
      </c>
      <c r="D1117" s="55">
        <f>_xlfn.XLOOKUP($G1117,'.Auxiliar'!$G:$G,'.Auxiliar'!D:D,"-",0)</f>
        <v>303</v>
      </c>
      <c r="E1117" s="55">
        <f>_xlfn.XLOOKUP($G1117,'.Auxiliar'!$G:$G,'.Auxiliar'!E:E,"-",0)</f>
        <v>304</v>
      </c>
      <c r="F1117" s="55">
        <f>_xlfn.XLOOKUP($G1117,'.Auxiliar'!$G:$G,'.Auxiliar'!F:F,"-",0)</f>
        <v>1</v>
      </c>
      <c r="G1117" s="59" t="s">
        <v>1061</v>
      </c>
      <c r="H1117" s="108" t="s">
        <v>0</v>
      </c>
      <c r="I1117" s="109" t="s">
        <v>0</v>
      </c>
      <c r="J1117" s="109" t="s">
        <v>0</v>
      </c>
      <c r="K1117" s="109" t="s">
        <v>0</v>
      </c>
      <c r="L1117" s="109" t="s">
        <v>0</v>
      </c>
      <c r="M1117" s="109" t="s">
        <v>363</v>
      </c>
      <c r="N1117" s="110" t="s">
        <v>0</v>
      </c>
      <c r="O1117" s="111"/>
      <c r="P1117" s="112"/>
      <c r="Q1117" s="112"/>
      <c r="R1117" s="112"/>
      <c r="S1117" s="112"/>
      <c r="T1117" s="112"/>
      <c r="U1117" s="95" t="str">
        <f t="shared" si="54"/>
        <v/>
      </c>
      <c r="V1117" s="112"/>
      <c r="W1117" s="112">
        <v>100</v>
      </c>
      <c r="X1117" s="107"/>
      <c r="Y1117" s="107">
        <f t="shared" si="55"/>
        <v>100</v>
      </c>
      <c r="Z1117" s="107">
        <f t="shared" si="56"/>
        <v>0</v>
      </c>
    </row>
    <row r="1118" spans="1:26" x14ac:dyDescent="0.25">
      <c r="A1118" s="55" t="str">
        <f>_xlfn.XLOOKUP($G1118,'.Auxiliar'!$G:$G,'.Auxiliar'!A:A,"-",0)</f>
        <v>RIO/SP</v>
      </c>
      <c r="B1118" s="55" t="str">
        <f>_xlfn.XLOOKUP($G1118,'.Auxiliar'!$G:$G,'.Auxiliar'!B:B,"-",0)</f>
        <v>PAVIMENTAÇÃO</v>
      </c>
      <c r="C1118" s="55" t="str">
        <f>_xlfn.XLOOKUP($G1118,'.Auxiliar'!$G:$G,'.Auxiliar'!C:C,"-",0)</f>
        <v>Direito</v>
      </c>
      <c r="D1118" s="55">
        <f>_xlfn.XLOOKUP($G1118,'.Auxiliar'!$G:$G,'.Auxiliar'!D:D,"-",0)</f>
        <v>304.89999999999998</v>
      </c>
      <c r="E1118" s="55">
        <f>_xlfn.XLOOKUP($G1118,'.Auxiliar'!$G:$G,'.Auxiliar'!E:E,"-",0)</f>
        <v>307.10000000000002</v>
      </c>
      <c r="F1118" s="55">
        <f>_xlfn.XLOOKUP($G1118,'.Auxiliar'!$G:$G,'.Auxiliar'!F:F,"-",0)</f>
        <v>2.2000000000000455</v>
      </c>
      <c r="G1118" s="59" t="s">
        <v>1168</v>
      </c>
      <c r="H1118" s="108" t="s">
        <v>0</v>
      </c>
      <c r="I1118" s="109" t="s">
        <v>0</v>
      </c>
      <c r="J1118" s="109" t="s">
        <v>0</v>
      </c>
      <c r="K1118" s="109" t="s">
        <v>0</v>
      </c>
      <c r="L1118" s="109" t="s">
        <v>0</v>
      </c>
      <c r="M1118" s="109" t="s">
        <v>0</v>
      </c>
      <c r="N1118" s="110" t="s">
        <v>363</v>
      </c>
      <c r="O1118" s="111"/>
      <c r="P1118" s="112"/>
      <c r="Q1118" s="112"/>
      <c r="R1118" s="112"/>
      <c r="S1118" s="112"/>
      <c r="T1118" s="112"/>
      <c r="U1118" s="95" t="str">
        <f t="shared" si="54"/>
        <v/>
      </c>
      <c r="V1118" s="112"/>
      <c r="W1118" s="112"/>
      <c r="X1118" s="107">
        <v>100</v>
      </c>
      <c r="Y1118" s="107">
        <f t="shared" si="55"/>
        <v>100</v>
      </c>
      <c r="Z1118" s="107">
        <f t="shared" si="56"/>
        <v>0</v>
      </c>
    </row>
    <row r="1119" spans="1:26" x14ac:dyDescent="0.25">
      <c r="A1119" s="55" t="str">
        <f>_xlfn.XLOOKUP($G1119,'.Auxiliar'!$G:$G,'.Auxiliar'!A:A,"-",0)</f>
        <v>RIO/SP</v>
      </c>
      <c r="B1119" s="55" t="str">
        <f>_xlfn.XLOOKUP($G1119,'.Auxiliar'!$G:$G,'.Auxiliar'!B:B,"-",0)</f>
        <v>PAVIMENTAÇÃO</v>
      </c>
      <c r="C1119" s="55" t="str">
        <f>_xlfn.XLOOKUP($G1119,'.Auxiliar'!$G:$G,'.Auxiliar'!C:C,"-",0)</f>
        <v>Direito</v>
      </c>
      <c r="D1119" s="55">
        <f>_xlfn.XLOOKUP($G1119,'.Auxiliar'!$G:$G,'.Auxiliar'!D:D,"-",0)</f>
        <v>307.5</v>
      </c>
      <c r="E1119" s="55">
        <f>_xlfn.XLOOKUP($G1119,'.Auxiliar'!$G:$G,'.Auxiliar'!E:E,"-",0)</f>
        <v>309.38</v>
      </c>
      <c r="F1119" s="55">
        <f>_xlfn.XLOOKUP($G1119,'.Auxiliar'!$G:$G,'.Auxiliar'!F:F,"-",0)</f>
        <v>1.8799999999999955</v>
      </c>
      <c r="G1119" s="59" t="s">
        <v>1169</v>
      </c>
      <c r="H1119" s="108" t="s">
        <v>0</v>
      </c>
      <c r="I1119" s="109" t="s">
        <v>0</v>
      </c>
      <c r="J1119" s="109" t="s">
        <v>0</v>
      </c>
      <c r="K1119" s="109" t="s">
        <v>0</v>
      </c>
      <c r="L1119" s="109" t="s">
        <v>0</v>
      </c>
      <c r="M1119" s="109" t="s">
        <v>0</v>
      </c>
      <c r="N1119" s="110" t="s">
        <v>363</v>
      </c>
      <c r="O1119" s="111"/>
      <c r="P1119" s="112"/>
      <c r="Q1119" s="112"/>
      <c r="R1119" s="112"/>
      <c r="S1119" s="112"/>
      <c r="T1119" s="112"/>
      <c r="U1119" s="95" t="str">
        <f t="shared" si="54"/>
        <v/>
      </c>
      <c r="V1119" s="112"/>
      <c r="W1119" s="112"/>
      <c r="X1119" s="107">
        <v>100</v>
      </c>
      <c r="Y1119" s="107">
        <f t="shared" si="55"/>
        <v>100</v>
      </c>
      <c r="Z1119" s="107">
        <f t="shared" si="56"/>
        <v>0</v>
      </c>
    </row>
    <row r="1120" spans="1:26" x14ac:dyDescent="0.25">
      <c r="A1120" s="55" t="str">
        <f>_xlfn.XLOOKUP($G1120,'.Auxiliar'!$G:$G,'.Auxiliar'!A:A,"-",0)</f>
        <v>RIO/SP</v>
      </c>
      <c r="B1120" s="55" t="str">
        <f>_xlfn.XLOOKUP($G1120,'.Auxiliar'!$G:$G,'.Auxiliar'!B:B,"-",0)</f>
        <v>PAVIMENTAÇÃO</v>
      </c>
      <c r="C1120" s="55" t="str">
        <f>_xlfn.XLOOKUP($G1120,'.Auxiliar'!$G:$G,'.Auxiliar'!C:C,"-",0)</f>
        <v>Direito</v>
      </c>
      <c r="D1120" s="55">
        <f>_xlfn.XLOOKUP($G1120,'.Auxiliar'!$G:$G,'.Auxiliar'!D:D,"-",0)</f>
        <v>314.24</v>
      </c>
      <c r="E1120" s="55">
        <f>_xlfn.XLOOKUP($G1120,'.Auxiliar'!$G:$G,'.Auxiliar'!E:E,"-",0)</f>
        <v>315.24</v>
      </c>
      <c r="F1120" s="55">
        <f>_xlfn.XLOOKUP($G1120,'.Auxiliar'!$G:$G,'.Auxiliar'!F:F,"-",0)</f>
        <v>1</v>
      </c>
      <c r="G1120" s="59" t="s">
        <v>1171</v>
      </c>
      <c r="H1120" s="108" t="s">
        <v>0</v>
      </c>
      <c r="I1120" s="109" t="s">
        <v>0</v>
      </c>
      <c r="J1120" s="109" t="s">
        <v>0</v>
      </c>
      <c r="K1120" s="109" t="s">
        <v>0</v>
      </c>
      <c r="L1120" s="109" t="s">
        <v>0</v>
      </c>
      <c r="M1120" s="109" t="s">
        <v>0</v>
      </c>
      <c r="N1120" s="110" t="s">
        <v>363</v>
      </c>
      <c r="O1120" s="111"/>
      <c r="P1120" s="112"/>
      <c r="Q1120" s="112"/>
      <c r="R1120" s="112"/>
      <c r="S1120" s="112"/>
      <c r="T1120" s="112"/>
      <c r="U1120" s="95" t="str">
        <f t="shared" si="54"/>
        <v/>
      </c>
      <c r="V1120" s="112"/>
      <c r="W1120" s="112"/>
      <c r="X1120" s="107">
        <v>100</v>
      </c>
      <c r="Y1120" s="107">
        <f t="shared" si="55"/>
        <v>100</v>
      </c>
      <c r="Z1120" s="107">
        <f t="shared" si="56"/>
        <v>0</v>
      </c>
    </row>
    <row r="1121" spans="1:26" x14ac:dyDescent="0.25">
      <c r="A1121" s="55" t="str">
        <f>_xlfn.XLOOKUP($G1121,'.Auxiliar'!$G:$G,'.Auxiliar'!A:A,"-",0)</f>
        <v>RIO/SP</v>
      </c>
      <c r="B1121" s="55" t="str">
        <f>_xlfn.XLOOKUP($G1121,'.Auxiliar'!$G:$G,'.Auxiliar'!B:B,"-",0)</f>
        <v>PAVIMENTAÇÃO</v>
      </c>
      <c r="C1121" s="55" t="str">
        <f>_xlfn.XLOOKUP($G1121,'.Auxiliar'!$G:$G,'.Auxiliar'!C:C,"-",0)</f>
        <v>Direito</v>
      </c>
      <c r="D1121" s="55">
        <f>_xlfn.XLOOKUP($G1121,'.Auxiliar'!$G:$G,'.Auxiliar'!D:D,"-",0)</f>
        <v>315.64999999999998</v>
      </c>
      <c r="E1121" s="55">
        <f>_xlfn.XLOOKUP($G1121,'.Auxiliar'!$G:$G,'.Auxiliar'!E:E,"-",0)</f>
        <v>317.20999999999998</v>
      </c>
      <c r="F1121" s="55">
        <f>_xlfn.XLOOKUP($G1121,'.Auxiliar'!$G:$G,'.Auxiliar'!F:F,"-",0)</f>
        <v>1.5600000000000023</v>
      </c>
      <c r="G1121" s="59" t="s">
        <v>1174</v>
      </c>
      <c r="H1121" s="108" t="s">
        <v>0</v>
      </c>
      <c r="I1121" s="109" t="s">
        <v>0</v>
      </c>
      <c r="J1121" s="109" t="s">
        <v>0</v>
      </c>
      <c r="K1121" s="109" t="s">
        <v>0</v>
      </c>
      <c r="L1121" s="109" t="s">
        <v>0</v>
      </c>
      <c r="M1121" s="109" t="s">
        <v>0</v>
      </c>
      <c r="N1121" s="110" t="s">
        <v>363</v>
      </c>
      <c r="O1121" s="111"/>
      <c r="P1121" s="112"/>
      <c r="Q1121" s="112"/>
      <c r="R1121" s="112"/>
      <c r="S1121" s="112"/>
      <c r="T1121" s="112"/>
      <c r="U1121" s="95" t="str">
        <f t="shared" si="54"/>
        <v/>
      </c>
      <c r="V1121" s="112"/>
      <c r="W1121" s="112"/>
      <c r="X1121" s="107">
        <v>100</v>
      </c>
      <c r="Y1121" s="107">
        <f t="shared" si="55"/>
        <v>100</v>
      </c>
      <c r="Z1121" s="107">
        <f t="shared" si="56"/>
        <v>0</v>
      </c>
    </row>
    <row r="1122" spans="1:26" x14ac:dyDescent="0.25">
      <c r="A1122" s="55" t="str">
        <f>_xlfn.XLOOKUP($G1122,'.Auxiliar'!$G:$G,'.Auxiliar'!A:A,"-",0)</f>
        <v>RIO/SP</v>
      </c>
      <c r="B1122" s="55" t="str">
        <f>_xlfn.XLOOKUP($G1122,'.Auxiliar'!$G:$G,'.Auxiliar'!B:B,"-",0)</f>
        <v>PAVIMENTAÇÃO</v>
      </c>
      <c r="C1122" s="55" t="str">
        <f>_xlfn.XLOOKUP($G1122,'.Auxiliar'!$G:$G,'.Auxiliar'!C:C,"-",0)</f>
        <v>Direito</v>
      </c>
      <c r="D1122" s="55">
        <f>_xlfn.XLOOKUP($G1122,'.Auxiliar'!$G:$G,'.Auxiliar'!D:D,"-",0)</f>
        <v>322</v>
      </c>
      <c r="E1122" s="55">
        <f>_xlfn.XLOOKUP($G1122,'.Auxiliar'!$G:$G,'.Auxiliar'!E:E,"-",0)</f>
        <v>322.75</v>
      </c>
      <c r="F1122" s="55">
        <f>_xlfn.XLOOKUP($G1122,'.Auxiliar'!$G:$G,'.Auxiliar'!F:F,"-",0)</f>
        <v>0.75</v>
      </c>
      <c r="G1122" s="59" t="s">
        <v>1175</v>
      </c>
      <c r="H1122" s="108" t="s">
        <v>0</v>
      </c>
      <c r="I1122" s="109" t="s">
        <v>0</v>
      </c>
      <c r="J1122" s="109" t="s">
        <v>0</v>
      </c>
      <c r="K1122" s="109" t="s">
        <v>0</v>
      </c>
      <c r="L1122" s="109" t="s">
        <v>0</v>
      </c>
      <c r="M1122" s="109" t="s">
        <v>0</v>
      </c>
      <c r="N1122" s="110" t="s">
        <v>363</v>
      </c>
      <c r="O1122" s="111"/>
      <c r="P1122" s="112"/>
      <c r="Q1122" s="112"/>
      <c r="R1122" s="112"/>
      <c r="S1122" s="112"/>
      <c r="T1122" s="112"/>
      <c r="U1122" s="95" t="str">
        <f t="shared" si="54"/>
        <v/>
      </c>
      <c r="V1122" s="112"/>
      <c r="W1122" s="112"/>
      <c r="X1122" s="107">
        <v>100</v>
      </c>
      <c r="Y1122" s="107">
        <f t="shared" si="55"/>
        <v>100</v>
      </c>
      <c r="Z1122" s="107">
        <f t="shared" si="56"/>
        <v>0</v>
      </c>
    </row>
    <row r="1123" spans="1:26" x14ac:dyDescent="0.25">
      <c r="A1123" s="55" t="str">
        <f>_xlfn.XLOOKUP($G1123,'.Auxiliar'!$G:$G,'.Auxiliar'!A:A,"-",0)</f>
        <v>RIO/SP</v>
      </c>
      <c r="B1123" s="55" t="str">
        <f>_xlfn.XLOOKUP($G1123,'.Auxiliar'!$G:$G,'.Auxiliar'!B:B,"-",0)</f>
        <v>PAVIMENTAÇÃO</v>
      </c>
      <c r="C1123" s="55" t="str">
        <f>_xlfn.XLOOKUP($G1123,'.Auxiliar'!$G:$G,'.Auxiliar'!C:C,"-",0)</f>
        <v>Direito</v>
      </c>
      <c r="D1123" s="55">
        <f>_xlfn.XLOOKUP($G1123,'.Auxiliar'!$G:$G,'.Auxiliar'!D:D,"-",0)</f>
        <v>328.91</v>
      </c>
      <c r="E1123" s="55">
        <f>_xlfn.XLOOKUP($G1123,'.Auxiliar'!$G:$G,'.Auxiliar'!E:E,"-",0)</f>
        <v>330.41</v>
      </c>
      <c r="F1123" s="55">
        <f>_xlfn.XLOOKUP($G1123,'.Auxiliar'!$G:$G,'.Auxiliar'!F:F,"-",0)</f>
        <v>1.5</v>
      </c>
      <c r="G1123" s="59" t="s">
        <v>1176</v>
      </c>
      <c r="H1123" s="108" t="s">
        <v>0</v>
      </c>
      <c r="I1123" s="109" t="s">
        <v>0</v>
      </c>
      <c r="J1123" s="109" t="s">
        <v>0</v>
      </c>
      <c r="K1123" s="109" t="s">
        <v>0</v>
      </c>
      <c r="L1123" s="109" t="s">
        <v>0</v>
      </c>
      <c r="M1123" s="109" t="s">
        <v>0</v>
      </c>
      <c r="N1123" s="110" t="s">
        <v>363</v>
      </c>
      <c r="O1123" s="111"/>
      <c r="P1123" s="112"/>
      <c r="Q1123" s="112"/>
      <c r="R1123" s="112"/>
      <c r="S1123" s="112"/>
      <c r="T1123" s="112"/>
      <c r="U1123" s="95" t="str">
        <f t="shared" si="54"/>
        <v/>
      </c>
      <c r="V1123" s="112"/>
      <c r="W1123" s="112"/>
      <c r="X1123" s="107">
        <v>100</v>
      </c>
      <c r="Y1123" s="107">
        <f t="shared" si="55"/>
        <v>100</v>
      </c>
      <c r="Z1123" s="107">
        <f t="shared" si="56"/>
        <v>0</v>
      </c>
    </row>
    <row r="1124" spans="1:26" x14ac:dyDescent="0.25">
      <c r="A1124" s="55" t="str">
        <f>_xlfn.XLOOKUP($G1124,'.Auxiliar'!$G:$G,'.Auxiliar'!A:A,"-",0)</f>
        <v>RIO/SP</v>
      </c>
      <c r="B1124" s="55" t="str">
        <f>_xlfn.XLOOKUP($G1124,'.Auxiliar'!$G:$G,'.Auxiliar'!B:B,"-",0)</f>
        <v>PAVIMENTAÇÃO</v>
      </c>
      <c r="C1124" s="55" t="str">
        <f>_xlfn.XLOOKUP($G1124,'.Auxiliar'!$G:$G,'.Auxiliar'!C:C,"-",0)</f>
        <v>Direito</v>
      </c>
      <c r="D1124" s="55">
        <f>_xlfn.XLOOKUP($G1124,'.Auxiliar'!$G:$G,'.Auxiliar'!D:D,"-",0)</f>
        <v>399.75</v>
      </c>
      <c r="E1124" s="55">
        <f>_xlfn.XLOOKUP($G1124,'.Auxiliar'!$G:$G,'.Auxiliar'!E:E,"-",0)</f>
        <v>400.2</v>
      </c>
      <c r="F1124" s="55">
        <f>_xlfn.XLOOKUP($G1124,'.Auxiliar'!$G:$G,'.Auxiliar'!F:F,"-",0)</f>
        <v>0.44999999999998863</v>
      </c>
      <c r="G1124" s="59" t="s">
        <v>1182</v>
      </c>
      <c r="H1124" s="108" t="s">
        <v>0</v>
      </c>
      <c r="I1124" s="109" t="s">
        <v>0</v>
      </c>
      <c r="J1124" s="109" t="s">
        <v>0</v>
      </c>
      <c r="K1124" s="109" t="s">
        <v>0</v>
      </c>
      <c r="L1124" s="109" t="s">
        <v>0</v>
      </c>
      <c r="M1124" s="109" t="s">
        <v>0</v>
      </c>
      <c r="N1124" s="110" t="s">
        <v>363</v>
      </c>
      <c r="O1124" s="111"/>
      <c r="P1124" s="112"/>
      <c r="Q1124" s="112"/>
      <c r="R1124" s="112"/>
      <c r="S1124" s="112"/>
      <c r="T1124" s="112"/>
      <c r="U1124" s="95" t="str">
        <f t="shared" si="54"/>
        <v/>
      </c>
      <c r="V1124" s="112"/>
      <c r="W1124" s="112"/>
      <c r="X1124" s="107">
        <v>100</v>
      </c>
      <c r="Y1124" s="107">
        <f t="shared" si="55"/>
        <v>100</v>
      </c>
      <c r="Z1124" s="107">
        <f t="shared" si="56"/>
        <v>0</v>
      </c>
    </row>
    <row r="1125" spans="1:26" x14ac:dyDescent="0.25">
      <c r="A1125" s="55" t="str">
        <f>_xlfn.XLOOKUP($G1125,'.Auxiliar'!$G:$G,'.Auxiliar'!A:A,"-",0)</f>
        <v>RIO/SP</v>
      </c>
      <c r="B1125" s="55" t="str">
        <f>_xlfn.XLOOKUP($G1125,'.Auxiliar'!$G:$G,'.Auxiliar'!B:B,"-",0)</f>
        <v>PAVIMENTAÇÃO</v>
      </c>
      <c r="C1125" s="55" t="str">
        <f>_xlfn.XLOOKUP($G1125,'.Auxiliar'!$G:$G,'.Auxiliar'!C:C,"-",0)</f>
        <v>Direito</v>
      </c>
      <c r="D1125" s="55">
        <f>_xlfn.XLOOKUP($G1125,'.Auxiliar'!$G:$G,'.Auxiliar'!D:D,"-",0)</f>
        <v>403.05</v>
      </c>
      <c r="E1125" s="55">
        <f>_xlfn.XLOOKUP($G1125,'.Auxiliar'!$G:$G,'.Auxiliar'!E:E,"-",0)</f>
        <v>405.6</v>
      </c>
      <c r="F1125" s="55">
        <f>_xlfn.XLOOKUP($G1125,'.Auxiliar'!$G:$G,'.Auxiliar'!F:F,"-",0)</f>
        <v>2.5500000000000114</v>
      </c>
      <c r="G1125" s="59" t="s">
        <v>1183</v>
      </c>
      <c r="H1125" s="108" t="s">
        <v>0</v>
      </c>
      <c r="I1125" s="109" t="s">
        <v>0</v>
      </c>
      <c r="J1125" s="109" t="s">
        <v>0</v>
      </c>
      <c r="K1125" s="109" t="s">
        <v>0</v>
      </c>
      <c r="L1125" s="109" t="s">
        <v>0</v>
      </c>
      <c r="M1125" s="109" t="s">
        <v>0</v>
      </c>
      <c r="N1125" s="110" t="s">
        <v>363</v>
      </c>
      <c r="O1125" s="111"/>
      <c r="P1125" s="112"/>
      <c r="Q1125" s="112"/>
      <c r="R1125" s="112"/>
      <c r="S1125" s="112"/>
      <c r="T1125" s="112"/>
      <c r="U1125" s="95" t="str">
        <f t="shared" si="54"/>
        <v/>
      </c>
      <c r="V1125" s="112"/>
      <c r="W1125" s="112"/>
      <c r="X1125" s="107">
        <v>100</v>
      </c>
      <c r="Y1125" s="107">
        <f t="shared" si="55"/>
        <v>100</v>
      </c>
      <c r="Z1125" s="107">
        <f t="shared" si="56"/>
        <v>0</v>
      </c>
    </row>
    <row r="1126" spans="1:26" x14ac:dyDescent="0.25">
      <c r="A1126" s="55" t="str">
        <f>_xlfn.XLOOKUP($G1126,'.Auxiliar'!$G:$G,'.Auxiliar'!A:A,"-",0)</f>
        <v>RIO/SP</v>
      </c>
      <c r="B1126" s="55" t="str">
        <f>_xlfn.XLOOKUP($G1126,'.Auxiliar'!$G:$G,'.Auxiliar'!B:B,"-",0)</f>
        <v>PAVIMENTAÇÃO</v>
      </c>
      <c r="C1126" s="55" t="str">
        <f>_xlfn.XLOOKUP($G1126,'.Auxiliar'!$G:$G,'.Auxiliar'!C:C,"-",0)</f>
        <v>Direito</v>
      </c>
      <c r="D1126" s="55">
        <f>_xlfn.XLOOKUP($G1126,'.Auxiliar'!$G:$G,'.Auxiliar'!D:D,"-",0)</f>
        <v>406.38</v>
      </c>
      <c r="E1126" s="55">
        <f>_xlfn.XLOOKUP($G1126,'.Auxiliar'!$G:$G,'.Auxiliar'!E:E,"-",0)</f>
        <v>407.7</v>
      </c>
      <c r="F1126" s="55">
        <f>_xlfn.XLOOKUP($G1126,'.Auxiliar'!$G:$G,'.Auxiliar'!F:F,"-",0)</f>
        <v>1.3199999999999932</v>
      </c>
      <c r="G1126" s="59" t="s">
        <v>1184</v>
      </c>
      <c r="H1126" s="108" t="s">
        <v>0</v>
      </c>
      <c r="I1126" s="109" t="s">
        <v>0</v>
      </c>
      <c r="J1126" s="109" t="s">
        <v>0</v>
      </c>
      <c r="K1126" s="109" t="s">
        <v>0</v>
      </c>
      <c r="L1126" s="109" t="s">
        <v>0</v>
      </c>
      <c r="M1126" s="109" t="s">
        <v>0</v>
      </c>
      <c r="N1126" s="110" t="s">
        <v>363</v>
      </c>
      <c r="O1126" s="111"/>
      <c r="P1126" s="112"/>
      <c r="Q1126" s="112"/>
      <c r="R1126" s="112"/>
      <c r="S1126" s="112"/>
      <c r="T1126" s="112"/>
      <c r="U1126" s="95" t="str">
        <f t="shared" si="54"/>
        <v/>
      </c>
      <c r="V1126" s="112"/>
      <c r="W1126" s="112"/>
      <c r="X1126" s="107">
        <v>100</v>
      </c>
      <c r="Y1126" s="107">
        <f t="shared" si="55"/>
        <v>100</v>
      </c>
      <c r="Z1126" s="107">
        <f t="shared" si="56"/>
        <v>0</v>
      </c>
    </row>
    <row r="1127" spans="1:26" x14ac:dyDescent="0.25">
      <c r="A1127" s="55" t="str">
        <f>_xlfn.XLOOKUP($G1127,'.Auxiliar'!$G:$G,'.Auxiliar'!A:A,"-",0)</f>
        <v>RIO/SP</v>
      </c>
      <c r="B1127" s="55" t="str">
        <f>_xlfn.XLOOKUP($G1127,'.Auxiliar'!$G:$G,'.Auxiliar'!B:B,"-",0)</f>
        <v>PAVIMENTAÇÃO</v>
      </c>
      <c r="C1127" s="55" t="str">
        <f>_xlfn.XLOOKUP($G1127,'.Auxiliar'!$G:$G,'.Auxiliar'!C:C,"-",0)</f>
        <v>Direito</v>
      </c>
      <c r="D1127" s="55">
        <f>_xlfn.XLOOKUP($G1127,'.Auxiliar'!$G:$G,'.Auxiliar'!D:D,"-",0)</f>
        <v>56.29</v>
      </c>
      <c r="E1127" s="55">
        <f>_xlfn.XLOOKUP($G1127,'.Auxiliar'!$G:$G,'.Auxiliar'!E:E,"-",0)</f>
        <v>60.24</v>
      </c>
      <c r="F1127" s="55">
        <f>_xlfn.XLOOKUP($G1127,'.Auxiliar'!$G:$G,'.Auxiliar'!F:F,"-",0)</f>
        <v>3.9500000000000028</v>
      </c>
      <c r="G1127" s="59" t="s">
        <v>1150</v>
      </c>
      <c r="H1127" s="108" t="s">
        <v>0</v>
      </c>
      <c r="I1127" s="109" t="s">
        <v>0</v>
      </c>
      <c r="J1127" s="109" t="s">
        <v>0</v>
      </c>
      <c r="K1127" s="109" t="s">
        <v>0</v>
      </c>
      <c r="L1127" s="109" t="s">
        <v>0</v>
      </c>
      <c r="M1127" s="109" t="s">
        <v>0</v>
      </c>
      <c r="N1127" s="110" t="s">
        <v>363</v>
      </c>
      <c r="O1127" s="111"/>
      <c r="P1127" s="112"/>
      <c r="Q1127" s="112"/>
      <c r="R1127" s="112"/>
      <c r="S1127" s="112"/>
      <c r="T1127" s="112"/>
      <c r="U1127" s="95" t="str">
        <f t="shared" si="54"/>
        <v/>
      </c>
      <c r="V1127" s="112"/>
      <c r="W1127" s="112"/>
      <c r="X1127" s="107">
        <v>100</v>
      </c>
      <c r="Y1127" s="107">
        <f t="shared" si="55"/>
        <v>100</v>
      </c>
      <c r="Z1127" s="107">
        <f t="shared" si="56"/>
        <v>0</v>
      </c>
    </row>
    <row r="1128" spans="1:26" x14ac:dyDescent="0.25">
      <c r="A1128" s="55" t="str">
        <f>_xlfn.XLOOKUP($G1128,'.Auxiliar'!$G:$G,'.Auxiliar'!A:A,"-",0)</f>
        <v>RIO/SP</v>
      </c>
      <c r="B1128" s="55" t="str">
        <f>_xlfn.XLOOKUP($G1128,'.Auxiliar'!$G:$G,'.Auxiliar'!B:B,"-",0)</f>
        <v>PAVIMENTAÇÃO</v>
      </c>
      <c r="C1128" s="55" t="str">
        <f>_xlfn.XLOOKUP($G1128,'.Auxiliar'!$G:$G,'.Auxiliar'!C:C,"-",0)</f>
        <v>Esquerdo</v>
      </c>
      <c r="D1128" s="55">
        <f>_xlfn.XLOOKUP($G1128,'.Auxiliar'!$G:$G,'.Auxiliar'!D:D,"-",0)</f>
        <v>104.96</v>
      </c>
      <c r="E1128" s="55">
        <f>_xlfn.XLOOKUP($G1128,'.Auxiliar'!$G:$G,'.Auxiliar'!E:E,"-",0)</f>
        <v>109.07</v>
      </c>
      <c r="F1128" s="55">
        <f>_xlfn.XLOOKUP($G1128,'.Auxiliar'!$G:$G,'.Auxiliar'!F:F,"-",0)</f>
        <v>4.1099999999999994</v>
      </c>
      <c r="G1128" s="59" t="s">
        <v>1152</v>
      </c>
      <c r="H1128" s="108" t="s">
        <v>0</v>
      </c>
      <c r="I1128" s="109" t="s">
        <v>0</v>
      </c>
      <c r="J1128" s="109" t="s">
        <v>0</v>
      </c>
      <c r="K1128" s="109" t="s">
        <v>0</v>
      </c>
      <c r="L1128" s="109" t="s">
        <v>0</v>
      </c>
      <c r="M1128" s="109" t="s">
        <v>0</v>
      </c>
      <c r="N1128" s="110" t="s">
        <v>363</v>
      </c>
      <c r="O1128" s="111"/>
      <c r="P1128" s="112"/>
      <c r="Q1128" s="112"/>
      <c r="R1128" s="112"/>
      <c r="S1128" s="112"/>
      <c r="T1128" s="112"/>
      <c r="U1128" s="95" t="str">
        <f t="shared" si="54"/>
        <v/>
      </c>
      <c r="V1128" s="112"/>
      <c r="W1128" s="112"/>
      <c r="X1128" s="107">
        <v>100</v>
      </c>
      <c r="Y1128" s="107">
        <f t="shared" si="55"/>
        <v>100</v>
      </c>
      <c r="Z1128" s="107">
        <f t="shared" si="56"/>
        <v>0</v>
      </c>
    </row>
    <row r="1129" spans="1:26" x14ac:dyDescent="0.25">
      <c r="A1129" s="55" t="str">
        <f>_xlfn.XLOOKUP($G1129,'.Auxiliar'!$G:$G,'.Auxiliar'!A:A,"-",0)</f>
        <v>RIO/SP</v>
      </c>
      <c r="B1129" s="55" t="str">
        <f>_xlfn.XLOOKUP($G1129,'.Auxiliar'!$G:$G,'.Auxiliar'!B:B,"-",0)</f>
        <v>PAVIMENTAÇÃO</v>
      </c>
      <c r="C1129" s="55" t="str">
        <f>_xlfn.XLOOKUP($G1129,'.Auxiliar'!$G:$G,'.Auxiliar'!C:C,"-",0)</f>
        <v>Esquerdo</v>
      </c>
      <c r="D1129" s="55">
        <f>_xlfn.XLOOKUP($G1129,'.Auxiliar'!$G:$G,'.Auxiliar'!D:D,"-",0)</f>
        <v>109.49</v>
      </c>
      <c r="E1129" s="55">
        <f>_xlfn.XLOOKUP($G1129,'.Auxiliar'!$G:$G,'.Auxiliar'!E:E,"-",0)</f>
        <v>117.49</v>
      </c>
      <c r="F1129" s="55">
        <f>_xlfn.XLOOKUP($G1129,'.Auxiliar'!$G:$G,'.Auxiliar'!F:F,"-",0)</f>
        <v>8</v>
      </c>
      <c r="G1129" s="59" t="s">
        <v>1154</v>
      </c>
      <c r="H1129" s="108" t="s">
        <v>0</v>
      </c>
      <c r="I1129" s="109" t="s">
        <v>0</v>
      </c>
      <c r="J1129" s="109" t="s">
        <v>0</v>
      </c>
      <c r="K1129" s="109" t="s">
        <v>0</v>
      </c>
      <c r="L1129" s="109" t="s">
        <v>0</v>
      </c>
      <c r="M1129" s="109" t="s">
        <v>0</v>
      </c>
      <c r="N1129" s="110" t="s">
        <v>363</v>
      </c>
      <c r="O1129" s="111"/>
      <c r="P1129" s="112"/>
      <c r="Q1129" s="112"/>
      <c r="R1129" s="112"/>
      <c r="S1129" s="112"/>
      <c r="T1129" s="112"/>
      <c r="U1129" s="95" t="str">
        <f t="shared" si="54"/>
        <v/>
      </c>
      <c r="V1129" s="112"/>
      <c r="W1129" s="112"/>
      <c r="X1129" s="107">
        <v>100</v>
      </c>
      <c r="Y1129" s="107">
        <f t="shared" si="55"/>
        <v>100</v>
      </c>
      <c r="Z1129" s="107">
        <f t="shared" si="56"/>
        <v>0</v>
      </c>
    </row>
    <row r="1130" spans="1:26" x14ac:dyDescent="0.25">
      <c r="A1130" s="55" t="str">
        <f>_xlfn.XLOOKUP($G1130,'.Auxiliar'!$G:$G,'.Auxiliar'!A:A,"-",0)</f>
        <v>RIO/SP</v>
      </c>
      <c r="B1130" s="55" t="str">
        <f>_xlfn.XLOOKUP($G1130,'.Auxiliar'!$G:$G,'.Auxiliar'!B:B,"-",0)</f>
        <v>PAVIMENTAÇÃO</v>
      </c>
      <c r="C1130" s="55" t="str">
        <f>_xlfn.XLOOKUP($G1130,'.Auxiliar'!$G:$G,'.Auxiliar'!C:C,"-",0)</f>
        <v>Esquerdo</v>
      </c>
      <c r="D1130" s="55">
        <f>_xlfn.XLOOKUP($G1130,'.Auxiliar'!$G:$G,'.Auxiliar'!D:D,"-",0)</f>
        <v>127.74</v>
      </c>
      <c r="E1130" s="55">
        <f>_xlfn.XLOOKUP($G1130,'.Auxiliar'!$G:$G,'.Auxiliar'!E:E,"-",0)</f>
        <v>131.31</v>
      </c>
      <c r="F1130" s="55">
        <f>_xlfn.XLOOKUP($G1130,'.Auxiliar'!$G:$G,'.Auxiliar'!F:F,"-",0)</f>
        <v>3.5700000000000074</v>
      </c>
      <c r="G1130" s="59" t="s">
        <v>1006</v>
      </c>
      <c r="H1130" s="108" t="s">
        <v>0</v>
      </c>
      <c r="I1130" s="109" t="s">
        <v>0</v>
      </c>
      <c r="J1130" s="109" t="s">
        <v>0</v>
      </c>
      <c r="K1130" s="109" t="s">
        <v>0</v>
      </c>
      <c r="L1130" s="109" t="s">
        <v>363</v>
      </c>
      <c r="M1130" s="109" t="s">
        <v>0</v>
      </c>
      <c r="N1130" s="110" t="s">
        <v>0</v>
      </c>
      <c r="O1130" s="111"/>
      <c r="P1130" s="112"/>
      <c r="Q1130" s="112"/>
      <c r="R1130" s="112"/>
      <c r="S1130" s="112"/>
      <c r="T1130" s="112"/>
      <c r="U1130" s="95" t="str">
        <f t="shared" si="54"/>
        <v/>
      </c>
      <c r="V1130" s="112">
        <v>100</v>
      </c>
      <c r="W1130" s="112"/>
      <c r="X1130" s="107"/>
      <c r="Y1130" s="107">
        <f t="shared" si="55"/>
        <v>100</v>
      </c>
      <c r="Z1130" s="107">
        <f t="shared" si="56"/>
        <v>0</v>
      </c>
    </row>
    <row r="1131" spans="1:26" x14ac:dyDescent="0.25">
      <c r="A1131" s="55" t="str">
        <f>_xlfn.XLOOKUP($G1131,'.Auxiliar'!$G:$G,'.Auxiliar'!A:A,"-",0)</f>
        <v>RIO/SP</v>
      </c>
      <c r="B1131" s="55" t="str">
        <f>_xlfn.XLOOKUP($G1131,'.Auxiliar'!$G:$G,'.Auxiliar'!B:B,"-",0)</f>
        <v>PAVIMENTAÇÃO</v>
      </c>
      <c r="C1131" s="55" t="str">
        <f>_xlfn.XLOOKUP($G1131,'.Auxiliar'!$G:$G,'.Auxiliar'!C:C,"-",0)</f>
        <v>Esquerdo</v>
      </c>
      <c r="D1131" s="55">
        <f>_xlfn.XLOOKUP($G1131,'.Auxiliar'!$G:$G,'.Auxiliar'!D:D,"-",0)</f>
        <v>132.85</v>
      </c>
      <c r="E1131" s="55">
        <f>_xlfn.XLOOKUP($G1131,'.Auxiliar'!$G:$G,'.Auxiliar'!E:E,"-",0)</f>
        <v>139.30000000000001</v>
      </c>
      <c r="F1131" s="55">
        <f>_xlfn.XLOOKUP($G1131,'.Auxiliar'!$G:$G,'.Auxiliar'!F:F,"-",0)</f>
        <v>6.4500000000000171</v>
      </c>
      <c r="G1131" s="59" t="s">
        <v>1008</v>
      </c>
      <c r="H1131" s="108" t="s">
        <v>0</v>
      </c>
      <c r="I1131" s="109" t="s">
        <v>0</v>
      </c>
      <c r="J1131" s="109" t="s">
        <v>0</v>
      </c>
      <c r="K1131" s="109" t="s">
        <v>0</v>
      </c>
      <c r="L1131" s="109" t="s">
        <v>363</v>
      </c>
      <c r="M1131" s="109" t="s">
        <v>0</v>
      </c>
      <c r="N1131" s="110" t="s">
        <v>0</v>
      </c>
      <c r="O1131" s="111"/>
      <c r="P1131" s="112"/>
      <c r="Q1131" s="112"/>
      <c r="R1131" s="112"/>
      <c r="S1131" s="112"/>
      <c r="T1131" s="112"/>
      <c r="U1131" s="95" t="str">
        <f t="shared" si="54"/>
        <v/>
      </c>
      <c r="V1131" s="112">
        <v>100</v>
      </c>
      <c r="W1131" s="112"/>
      <c r="X1131" s="107"/>
      <c r="Y1131" s="107">
        <f t="shared" si="55"/>
        <v>100</v>
      </c>
      <c r="Z1131" s="107">
        <f t="shared" si="56"/>
        <v>0</v>
      </c>
    </row>
    <row r="1132" spans="1:26" x14ac:dyDescent="0.25">
      <c r="A1132" s="55" t="str">
        <f>_xlfn.XLOOKUP($G1132,'.Auxiliar'!$G:$G,'.Auxiliar'!A:A,"-",0)</f>
        <v>RIO/SP</v>
      </c>
      <c r="B1132" s="55" t="str">
        <f>_xlfn.XLOOKUP($G1132,'.Auxiliar'!$G:$G,'.Auxiliar'!B:B,"-",0)</f>
        <v>PAVIMENTAÇÃO</v>
      </c>
      <c r="C1132" s="55" t="str">
        <f>_xlfn.XLOOKUP($G1132,'.Auxiliar'!$G:$G,'.Auxiliar'!C:C,"-",0)</f>
        <v>Esquerdo</v>
      </c>
      <c r="D1132" s="55">
        <f>_xlfn.XLOOKUP($G1132,'.Auxiliar'!$G:$G,'.Auxiliar'!D:D,"-",0)</f>
        <v>139.30000000000001</v>
      </c>
      <c r="E1132" s="55">
        <f>_xlfn.XLOOKUP($G1132,'.Auxiliar'!$G:$G,'.Auxiliar'!E:E,"-",0)</f>
        <v>143.4</v>
      </c>
      <c r="F1132" s="55">
        <f>_xlfn.XLOOKUP($G1132,'.Auxiliar'!$G:$G,'.Auxiliar'!F:F,"-",0)</f>
        <v>4.0999999999999943</v>
      </c>
      <c r="G1132" s="59" t="s">
        <v>1009</v>
      </c>
      <c r="H1132" s="108" t="s">
        <v>0</v>
      </c>
      <c r="I1132" s="109" t="s">
        <v>0</v>
      </c>
      <c r="J1132" s="109" t="s">
        <v>0</v>
      </c>
      <c r="K1132" s="109" t="s">
        <v>0</v>
      </c>
      <c r="L1132" s="109" t="s">
        <v>363</v>
      </c>
      <c r="M1132" s="109" t="s">
        <v>0</v>
      </c>
      <c r="N1132" s="110" t="s">
        <v>0</v>
      </c>
      <c r="O1132" s="111"/>
      <c r="P1132" s="112"/>
      <c r="Q1132" s="112"/>
      <c r="R1132" s="112"/>
      <c r="S1132" s="112"/>
      <c r="T1132" s="112"/>
      <c r="U1132" s="95" t="str">
        <f t="shared" si="54"/>
        <v/>
      </c>
      <c r="V1132" s="112">
        <v>100</v>
      </c>
      <c r="W1132" s="112"/>
      <c r="X1132" s="107"/>
      <c r="Y1132" s="107">
        <f t="shared" si="55"/>
        <v>100</v>
      </c>
      <c r="Z1132" s="107">
        <f t="shared" si="56"/>
        <v>0</v>
      </c>
    </row>
    <row r="1133" spans="1:26" x14ac:dyDescent="0.25">
      <c r="A1133" s="55" t="str">
        <f>_xlfn.XLOOKUP($G1133,'.Auxiliar'!$G:$G,'.Auxiliar'!A:A,"-",0)</f>
        <v>RIO/SP</v>
      </c>
      <c r="B1133" s="55" t="str">
        <f>_xlfn.XLOOKUP($G1133,'.Auxiliar'!$G:$G,'.Auxiliar'!B:B,"-",0)</f>
        <v>PAVIMENTAÇÃO</v>
      </c>
      <c r="C1133" s="55" t="str">
        <f>_xlfn.XLOOKUP($G1133,'.Auxiliar'!$G:$G,'.Auxiliar'!C:C,"-",0)</f>
        <v>Esquerdo</v>
      </c>
      <c r="D1133" s="55">
        <f>_xlfn.XLOOKUP($G1133,'.Auxiliar'!$G:$G,'.Auxiliar'!D:D,"-",0)</f>
        <v>143.4</v>
      </c>
      <c r="E1133" s="55">
        <f>_xlfn.XLOOKUP($G1133,'.Auxiliar'!$G:$G,'.Auxiliar'!E:E,"-",0)</f>
        <v>146.69999999999999</v>
      </c>
      <c r="F1133" s="55">
        <f>_xlfn.XLOOKUP($G1133,'.Auxiliar'!$G:$G,'.Auxiliar'!F:F,"-",0)</f>
        <v>3.2999999999999829</v>
      </c>
      <c r="G1133" s="59" t="s">
        <v>1010</v>
      </c>
      <c r="H1133" s="108" t="s">
        <v>0</v>
      </c>
      <c r="I1133" s="109" t="s">
        <v>0</v>
      </c>
      <c r="J1133" s="109" t="s">
        <v>0</v>
      </c>
      <c r="K1133" s="109" t="s">
        <v>0</v>
      </c>
      <c r="L1133" s="109" t="s">
        <v>363</v>
      </c>
      <c r="M1133" s="109" t="s">
        <v>0</v>
      </c>
      <c r="N1133" s="110" t="s">
        <v>0</v>
      </c>
      <c r="O1133" s="111"/>
      <c r="P1133" s="112"/>
      <c r="Q1133" s="112"/>
      <c r="R1133" s="112"/>
      <c r="S1133" s="112"/>
      <c r="T1133" s="112"/>
      <c r="U1133" s="95" t="str">
        <f t="shared" si="54"/>
        <v/>
      </c>
      <c r="V1133" s="112">
        <v>100</v>
      </c>
      <c r="W1133" s="112"/>
      <c r="X1133" s="107"/>
      <c r="Y1133" s="107">
        <f t="shared" si="55"/>
        <v>100</v>
      </c>
      <c r="Z1133" s="107">
        <f t="shared" si="56"/>
        <v>0</v>
      </c>
    </row>
    <row r="1134" spans="1:26" x14ac:dyDescent="0.25">
      <c r="A1134" s="55" t="str">
        <f>_xlfn.XLOOKUP($G1134,'.Auxiliar'!$G:$G,'.Auxiliar'!A:A,"-",0)</f>
        <v>RIO/SP</v>
      </c>
      <c r="B1134" s="55" t="str">
        <f>_xlfn.XLOOKUP($G1134,'.Auxiliar'!$G:$G,'.Auxiliar'!B:B,"-",0)</f>
        <v>PAVIMENTAÇÃO</v>
      </c>
      <c r="C1134" s="55" t="str">
        <f>_xlfn.XLOOKUP($G1134,'.Auxiliar'!$G:$G,'.Auxiliar'!C:C,"-",0)</f>
        <v>Esquerdo</v>
      </c>
      <c r="D1134" s="55">
        <f>_xlfn.XLOOKUP($G1134,'.Auxiliar'!$G:$G,'.Auxiliar'!D:D,"-",0)</f>
        <v>146.69999999999999</v>
      </c>
      <c r="E1134" s="55">
        <f>_xlfn.XLOOKUP($G1134,'.Auxiliar'!$G:$G,'.Auxiliar'!E:E,"-",0)</f>
        <v>149.9</v>
      </c>
      <c r="F1134" s="55">
        <f>_xlfn.XLOOKUP($G1134,'.Auxiliar'!$G:$G,'.Auxiliar'!F:F,"-",0)</f>
        <v>3.2000000000000171</v>
      </c>
      <c r="G1134" s="59" t="s">
        <v>1011</v>
      </c>
      <c r="H1134" s="108" t="s">
        <v>0</v>
      </c>
      <c r="I1134" s="109" t="s">
        <v>0</v>
      </c>
      <c r="J1134" s="109" t="s">
        <v>0</v>
      </c>
      <c r="K1134" s="109" t="s">
        <v>0</v>
      </c>
      <c r="L1134" s="109" t="s">
        <v>363</v>
      </c>
      <c r="M1134" s="109" t="s">
        <v>0</v>
      </c>
      <c r="N1134" s="110" t="s">
        <v>0</v>
      </c>
      <c r="O1134" s="111"/>
      <c r="P1134" s="112"/>
      <c r="Q1134" s="112"/>
      <c r="R1134" s="112"/>
      <c r="S1134" s="112"/>
      <c r="T1134" s="112"/>
      <c r="U1134" s="95" t="str">
        <f t="shared" si="54"/>
        <v/>
      </c>
      <c r="V1134" s="112">
        <v>100</v>
      </c>
      <c r="W1134" s="112"/>
      <c r="X1134" s="107"/>
      <c r="Y1134" s="107">
        <f t="shared" si="55"/>
        <v>100</v>
      </c>
      <c r="Z1134" s="107">
        <f t="shared" si="56"/>
        <v>0</v>
      </c>
    </row>
    <row r="1135" spans="1:26" x14ac:dyDescent="0.25">
      <c r="A1135" s="55" t="str">
        <f>_xlfn.XLOOKUP($G1135,'.Auxiliar'!$G:$G,'.Auxiliar'!A:A,"-",0)</f>
        <v>RIO/SP</v>
      </c>
      <c r="B1135" s="55" t="str">
        <f>_xlfn.XLOOKUP($G1135,'.Auxiliar'!$G:$G,'.Auxiliar'!B:B,"-",0)</f>
        <v>PAVIMENTAÇÃO</v>
      </c>
      <c r="C1135" s="55" t="str">
        <f>_xlfn.XLOOKUP($G1135,'.Auxiliar'!$G:$G,'.Auxiliar'!C:C,"-",0)</f>
        <v>Esquerdo</v>
      </c>
      <c r="D1135" s="55">
        <f>_xlfn.XLOOKUP($G1135,'.Auxiliar'!$G:$G,'.Auxiliar'!D:D,"-",0)</f>
        <v>149.9</v>
      </c>
      <c r="E1135" s="55">
        <f>_xlfn.XLOOKUP($G1135,'.Auxiliar'!$G:$G,'.Auxiliar'!E:E,"-",0)</f>
        <v>151.30000000000001</v>
      </c>
      <c r="F1135" s="55">
        <f>_xlfn.XLOOKUP($G1135,'.Auxiliar'!$G:$G,'.Auxiliar'!F:F,"-",0)</f>
        <v>1.4000000000000057</v>
      </c>
      <c r="G1135" s="59" t="s">
        <v>1012</v>
      </c>
      <c r="H1135" s="108" t="s">
        <v>0</v>
      </c>
      <c r="I1135" s="109" t="s">
        <v>0</v>
      </c>
      <c r="J1135" s="109" t="s">
        <v>0</v>
      </c>
      <c r="K1135" s="109" t="s">
        <v>0</v>
      </c>
      <c r="L1135" s="109" t="s">
        <v>363</v>
      </c>
      <c r="M1135" s="109" t="s">
        <v>0</v>
      </c>
      <c r="N1135" s="110" t="s">
        <v>0</v>
      </c>
      <c r="O1135" s="111"/>
      <c r="P1135" s="112"/>
      <c r="Q1135" s="112"/>
      <c r="R1135" s="112"/>
      <c r="S1135" s="112"/>
      <c r="T1135" s="112"/>
      <c r="U1135" s="95" t="str">
        <f t="shared" si="54"/>
        <v/>
      </c>
      <c r="V1135" s="112">
        <v>100</v>
      </c>
      <c r="W1135" s="112"/>
      <c r="X1135" s="107"/>
      <c r="Y1135" s="107">
        <f t="shared" si="55"/>
        <v>100</v>
      </c>
      <c r="Z1135" s="107">
        <f t="shared" si="56"/>
        <v>0</v>
      </c>
    </row>
    <row r="1136" spans="1:26" x14ac:dyDescent="0.25">
      <c r="A1136" s="55" t="str">
        <f>_xlfn.XLOOKUP($G1136,'.Auxiliar'!$G:$G,'.Auxiliar'!A:A,"-",0)</f>
        <v>RIO/SP</v>
      </c>
      <c r="B1136" s="55" t="str">
        <f>_xlfn.XLOOKUP($G1136,'.Auxiliar'!$G:$G,'.Auxiliar'!B:B,"-",0)</f>
        <v>PAVIMENTAÇÃO</v>
      </c>
      <c r="C1136" s="55" t="str">
        <f>_xlfn.XLOOKUP($G1136,'.Auxiliar'!$G:$G,'.Auxiliar'!C:C,"-",0)</f>
        <v>Esquerdo</v>
      </c>
      <c r="D1136" s="55">
        <f>_xlfn.XLOOKUP($G1136,'.Auxiliar'!$G:$G,'.Auxiliar'!D:D,"-",0)</f>
        <v>198.95</v>
      </c>
      <c r="E1136" s="55">
        <f>_xlfn.XLOOKUP($G1136,'.Auxiliar'!$G:$G,'.Auxiliar'!E:E,"-",0)</f>
        <v>204.03</v>
      </c>
      <c r="F1136" s="55">
        <f>_xlfn.XLOOKUP($G1136,'.Auxiliar'!$G:$G,'.Auxiliar'!F:F,"-",0)</f>
        <v>5.0800000000000125</v>
      </c>
      <c r="G1136" s="59" t="s">
        <v>1157</v>
      </c>
      <c r="H1136" s="108" t="s">
        <v>0</v>
      </c>
      <c r="I1136" s="109" t="s">
        <v>0</v>
      </c>
      <c r="J1136" s="109" t="s">
        <v>0</v>
      </c>
      <c r="K1136" s="109" t="s">
        <v>0</v>
      </c>
      <c r="L1136" s="109" t="s">
        <v>0</v>
      </c>
      <c r="M1136" s="109" t="s">
        <v>0</v>
      </c>
      <c r="N1136" s="110" t="s">
        <v>363</v>
      </c>
      <c r="O1136" s="111"/>
      <c r="P1136" s="112"/>
      <c r="Q1136" s="112"/>
      <c r="R1136" s="112"/>
      <c r="S1136" s="112"/>
      <c r="T1136" s="112"/>
      <c r="U1136" s="95" t="str">
        <f t="shared" si="54"/>
        <v/>
      </c>
      <c r="V1136" s="112"/>
      <c r="W1136" s="112"/>
      <c r="X1136" s="107">
        <v>100</v>
      </c>
      <c r="Y1136" s="107">
        <f t="shared" si="55"/>
        <v>100</v>
      </c>
      <c r="Z1136" s="107">
        <f t="shared" si="56"/>
        <v>0</v>
      </c>
    </row>
    <row r="1137" spans="1:26" x14ac:dyDescent="0.25">
      <c r="A1137" s="55" t="str">
        <f>_xlfn.XLOOKUP($G1137,'.Auxiliar'!$G:$G,'.Auxiliar'!A:A,"-",0)</f>
        <v>RIO/SP</v>
      </c>
      <c r="B1137" s="55" t="str">
        <f>_xlfn.XLOOKUP($G1137,'.Auxiliar'!$G:$G,'.Auxiliar'!B:B,"-",0)</f>
        <v>PAVIMENTAÇÃO</v>
      </c>
      <c r="C1137" s="55" t="str">
        <f>_xlfn.XLOOKUP($G1137,'.Auxiliar'!$G:$G,'.Auxiliar'!C:C,"-",0)</f>
        <v>Esquerdo</v>
      </c>
      <c r="D1137" s="55">
        <f>_xlfn.XLOOKUP($G1137,'.Auxiliar'!$G:$G,'.Auxiliar'!D:D,"-",0)</f>
        <v>208.3</v>
      </c>
      <c r="E1137" s="55">
        <f>_xlfn.XLOOKUP($G1137,'.Auxiliar'!$G:$G,'.Auxiliar'!E:E,"-",0)</f>
        <v>210.7</v>
      </c>
      <c r="F1137" s="55">
        <f>_xlfn.XLOOKUP($G1137,'.Auxiliar'!$G:$G,'.Auxiliar'!F:F,"-",0)</f>
        <v>2.3999999999999773</v>
      </c>
      <c r="G1137" s="59" t="s">
        <v>892</v>
      </c>
      <c r="H1137" s="108" t="s">
        <v>0</v>
      </c>
      <c r="I1137" s="109" t="s">
        <v>0</v>
      </c>
      <c r="J1137" s="109" t="s">
        <v>363</v>
      </c>
      <c r="K1137" s="109" t="s">
        <v>0</v>
      </c>
      <c r="L1137" s="109" t="s">
        <v>0</v>
      </c>
      <c r="M1137" s="109" t="s">
        <v>0</v>
      </c>
      <c r="N1137" s="110" t="s">
        <v>0</v>
      </c>
      <c r="O1137" s="111"/>
      <c r="P1137" s="112"/>
      <c r="Q1137" s="112">
        <v>7</v>
      </c>
      <c r="R1137" s="112">
        <v>6.5</v>
      </c>
      <c r="S1137" s="112">
        <v>93.5</v>
      </c>
      <c r="T1137" s="112">
        <v>91.79</v>
      </c>
      <c r="U1137" s="95">
        <f t="shared" si="54"/>
        <v>93.5</v>
      </c>
      <c r="V1137" s="112"/>
      <c r="W1137" s="112"/>
      <c r="X1137" s="107"/>
      <c r="Y1137" s="107">
        <f t="shared" si="55"/>
        <v>100</v>
      </c>
      <c r="Z1137" s="107">
        <f t="shared" si="56"/>
        <v>98.29</v>
      </c>
    </row>
    <row r="1138" spans="1:26" x14ac:dyDescent="0.25">
      <c r="A1138" s="55" t="str">
        <f>_xlfn.XLOOKUP($G1138,'.Auxiliar'!$G:$G,'.Auxiliar'!A:A,"-",0)</f>
        <v>RIO/SP</v>
      </c>
      <c r="B1138" s="55" t="str">
        <f>_xlfn.XLOOKUP($G1138,'.Auxiliar'!$G:$G,'.Auxiliar'!B:B,"-",0)</f>
        <v>PAVIMENTAÇÃO</v>
      </c>
      <c r="C1138" s="55" t="str">
        <f>_xlfn.XLOOKUP($G1138,'.Auxiliar'!$G:$G,'.Auxiliar'!C:C,"-",0)</f>
        <v>Esquerdo</v>
      </c>
      <c r="D1138" s="55">
        <f>_xlfn.XLOOKUP($G1138,'.Auxiliar'!$G:$G,'.Auxiliar'!D:D,"-",0)</f>
        <v>234.67</v>
      </c>
      <c r="E1138" s="55">
        <f>_xlfn.XLOOKUP($G1138,'.Auxiliar'!$G:$G,'.Auxiliar'!E:E,"-",0)</f>
        <v>235.64</v>
      </c>
      <c r="F1138" s="55">
        <f>_xlfn.XLOOKUP($G1138,'.Auxiliar'!$G:$G,'.Auxiliar'!F:F,"-",0)</f>
        <v>0.96999999999999886</v>
      </c>
      <c r="G1138" s="59" t="s">
        <v>1161</v>
      </c>
      <c r="H1138" s="108" t="s">
        <v>0</v>
      </c>
      <c r="I1138" s="109" t="s">
        <v>0</v>
      </c>
      <c r="J1138" s="109" t="s">
        <v>0</v>
      </c>
      <c r="K1138" s="109" t="s">
        <v>0</v>
      </c>
      <c r="L1138" s="109" t="s">
        <v>0</v>
      </c>
      <c r="M1138" s="109" t="s">
        <v>0</v>
      </c>
      <c r="N1138" s="110" t="s">
        <v>363</v>
      </c>
      <c r="O1138" s="111"/>
      <c r="P1138" s="112"/>
      <c r="Q1138" s="112"/>
      <c r="R1138" s="112"/>
      <c r="S1138" s="112"/>
      <c r="T1138" s="112"/>
      <c r="U1138" s="95" t="str">
        <f t="shared" si="54"/>
        <v/>
      </c>
      <c r="V1138" s="112"/>
      <c r="W1138" s="112"/>
      <c r="X1138" s="107">
        <v>100</v>
      </c>
      <c r="Y1138" s="107">
        <f t="shared" si="55"/>
        <v>100</v>
      </c>
      <c r="Z1138" s="107">
        <f t="shared" si="56"/>
        <v>0</v>
      </c>
    </row>
    <row r="1139" spans="1:26" x14ac:dyDescent="0.25">
      <c r="A1139" s="55" t="str">
        <f>_xlfn.XLOOKUP($G1139,'.Auxiliar'!$G:$G,'.Auxiliar'!A:A,"-",0)</f>
        <v>RIO/SP</v>
      </c>
      <c r="B1139" s="55" t="str">
        <f>_xlfn.XLOOKUP($G1139,'.Auxiliar'!$G:$G,'.Auxiliar'!B:B,"-",0)</f>
        <v>PAVIMENTAÇÃO</v>
      </c>
      <c r="C1139" s="55" t="str">
        <f>_xlfn.XLOOKUP($G1139,'.Auxiliar'!$G:$G,'.Auxiliar'!C:C,"-",0)</f>
        <v>Esquerdo</v>
      </c>
      <c r="D1139" s="55">
        <f>_xlfn.XLOOKUP($G1139,'.Auxiliar'!$G:$G,'.Auxiliar'!D:D,"-",0)</f>
        <v>267.45</v>
      </c>
      <c r="E1139" s="55">
        <f>_xlfn.XLOOKUP($G1139,'.Auxiliar'!$G:$G,'.Auxiliar'!E:E,"-",0)</f>
        <v>269</v>
      </c>
      <c r="F1139" s="55">
        <f>_xlfn.XLOOKUP($G1139,'.Auxiliar'!$G:$G,'.Auxiliar'!F:F,"-",0)</f>
        <v>1.5500000000000114</v>
      </c>
      <c r="G1139" s="59" t="s">
        <v>1165</v>
      </c>
      <c r="H1139" s="108" t="s">
        <v>0</v>
      </c>
      <c r="I1139" s="109" t="s">
        <v>0</v>
      </c>
      <c r="J1139" s="109" t="s">
        <v>0</v>
      </c>
      <c r="K1139" s="109" t="s">
        <v>0</v>
      </c>
      <c r="L1139" s="109" t="s">
        <v>0</v>
      </c>
      <c r="M1139" s="109" t="s">
        <v>0</v>
      </c>
      <c r="N1139" s="110" t="s">
        <v>363</v>
      </c>
      <c r="O1139" s="111"/>
      <c r="P1139" s="112"/>
      <c r="Q1139" s="112"/>
      <c r="R1139" s="112"/>
      <c r="S1139" s="112"/>
      <c r="T1139" s="112"/>
      <c r="U1139" s="95" t="str">
        <f t="shared" si="54"/>
        <v/>
      </c>
      <c r="V1139" s="112"/>
      <c r="W1139" s="112"/>
      <c r="X1139" s="107">
        <v>100</v>
      </c>
      <c r="Y1139" s="107">
        <f t="shared" si="55"/>
        <v>100</v>
      </c>
      <c r="Z1139" s="107">
        <f t="shared" si="56"/>
        <v>0</v>
      </c>
    </row>
    <row r="1140" spans="1:26" x14ac:dyDescent="0.25">
      <c r="A1140" s="55" t="str">
        <f>_xlfn.XLOOKUP($G1140,'.Auxiliar'!$G:$G,'.Auxiliar'!A:A,"-",0)</f>
        <v>RIO/SP</v>
      </c>
      <c r="B1140" s="55" t="str">
        <f>_xlfn.XLOOKUP($G1140,'.Auxiliar'!$G:$G,'.Auxiliar'!B:B,"-",0)</f>
        <v>PAVIMENTAÇÃO</v>
      </c>
      <c r="C1140" s="55" t="str">
        <f>_xlfn.XLOOKUP($G1140,'.Auxiliar'!$G:$G,'.Auxiliar'!C:C,"-",0)</f>
        <v>Esquerdo</v>
      </c>
      <c r="D1140" s="55">
        <f>_xlfn.XLOOKUP($G1140,'.Auxiliar'!$G:$G,'.Auxiliar'!D:D,"-",0)</f>
        <v>269</v>
      </c>
      <c r="E1140" s="55">
        <f>_xlfn.XLOOKUP($G1140,'.Auxiliar'!$G:$G,'.Auxiliar'!E:E,"-",0)</f>
        <v>270.13</v>
      </c>
      <c r="F1140" s="55">
        <f>_xlfn.XLOOKUP($G1140,'.Auxiliar'!$G:$G,'.Auxiliar'!F:F,"-",0)</f>
        <v>1.1299999999999955</v>
      </c>
      <c r="G1140" s="59" t="s">
        <v>1166</v>
      </c>
      <c r="H1140" s="108" t="s">
        <v>0</v>
      </c>
      <c r="I1140" s="109" t="s">
        <v>0</v>
      </c>
      <c r="J1140" s="109" t="s">
        <v>0</v>
      </c>
      <c r="K1140" s="109" t="s">
        <v>0</v>
      </c>
      <c r="L1140" s="109" t="s">
        <v>0</v>
      </c>
      <c r="M1140" s="109" t="s">
        <v>0</v>
      </c>
      <c r="N1140" s="110" t="s">
        <v>363</v>
      </c>
      <c r="O1140" s="111"/>
      <c r="P1140" s="112"/>
      <c r="Q1140" s="112"/>
      <c r="R1140" s="112"/>
      <c r="S1140" s="112"/>
      <c r="T1140" s="112"/>
      <c r="U1140" s="95" t="str">
        <f t="shared" si="54"/>
        <v/>
      </c>
      <c r="V1140" s="112"/>
      <c r="W1140" s="112"/>
      <c r="X1140" s="107">
        <v>100</v>
      </c>
      <c r="Y1140" s="107">
        <f t="shared" si="55"/>
        <v>100</v>
      </c>
      <c r="Z1140" s="107">
        <f t="shared" si="56"/>
        <v>0</v>
      </c>
    </row>
    <row r="1141" spans="1:26" x14ac:dyDescent="0.25">
      <c r="A1141" s="55" t="str">
        <f>_xlfn.XLOOKUP($G1141,'.Auxiliar'!$G:$G,'.Auxiliar'!A:A,"-",0)</f>
        <v>RIO/SP</v>
      </c>
      <c r="B1141" s="55" t="str">
        <f>_xlfn.XLOOKUP($G1141,'.Auxiliar'!$G:$G,'.Auxiliar'!B:B,"-",0)</f>
        <v>PAVIMENTAÇÃO</v>
      </c>
      <c r="C1141" s="55" t="str">
        <f>_xlfn.XLOOKUP($G1141,'.Auxiliar'!$G:$G,'.Auxiliar'!C:C,"-",0)</f>
        <v>Esquerdo</v>
      </c>
      <c r="D1141" s="55">
        <f>_xlfn.XLOOKUP($G1141,'.Auxiliar'!$G:$G,'.Auxiliar'!D:D,"-",0)</f>
        <v>270.13</v>
      </c>
      <c r="E1141" s="55">
        <f>_xlfn.XLOOKUP($G1141,'.Auxiliar'!$G:$G,'.Auxiliar'!E:E,"-",0)</f>
        <v>270.79000000000002</v>
      </c>
      <c r="F1141" s="55">
        <f>_xlfn.XLOOKUP($G1141,'.Auxiliar'!$G:$G,'.Auxiliar'!F:F,"-",0)</f>
        <v>0.66000000000002501</v>
      </c>
      <c r="G1141" s="59" t="s">
        <v>1167</v>
      </c>
      <c r="H1141" s="108" t="s">
        <v>0</v>
      </c>
      <c r="I1141" s="109" t="s">
        <v>0</v>
      </c>
      <c r="J1141" s="109" t="s">
        <v>0</v>
      </c>
      <c r="K1141" s="109" t="s">
        <v>0</v>
      </c>
      <c r="L1141" s="109" t="s">
        <v>0</v>
      </c>
      <c r="M1141" s="109" t="s">
        <v>0</v>
      </c>
      <c r="N1141" s="110" t="s">
        <v>363</v>
      </c>
      <c r="O1141" s="111"/>
      <c r="P1141" s="112"/>
      <c r="Q1141" s="112"/>
      <c r="R1141" s="112"/>
      <c r="S1141" s="112"/>
      <c r="T1141" s="112"/>
      <c r="U1141" s="95" t="str">
        <f t="shared" si="54"/>
        <v/>
      </c>
      <c r="V1141" s="112"/>
      <c r="W1141" s="112"/>
      <c r="X1141" s="107">
        <v>100</v>
      </c>
      <c r="Y1141" s="107">
        <f t="shared" si="55"/>
        <v>100</v>
      </c>
      <c r="Z1141" s="107">
        <f t="shared" si="56"/>
        <v>0</v>
      </c>
    </row>
    <row r="1142" spans="1:26" x14ac:dyDescent="0.25">
      <c r="A1142" s="55" t="str">
        <f>_xlfn.XLOOKUP($G1142,'.Auxiliar'!$G:$G,'.Auxiliar'!A:A,"-",0)</f>
        <v>RIO/SP</v>
      </c>
      <c r="B1142" s="55" t="str">
        <f>_xlfn.XLOOKUP($G1142,'.Auxiliar'!$G:$G,'.Auxiliar'!B:B,"-",0)</f>
        <v>PAVIMENTAÇÃO</v>
      </c>
      <c r="C1142" s="55" t="str">
        <f>_xlfn.XLOOKUP($G1142,'.Auxiliar'!$G:$G,'.Auxiliar'!C:C,"-",0)</f>
        <v>Esquerdo</v>
      </c>
      <c r="D1142" s="55">
        <f>_xlfn.XLOOKUP($G1142,'.Auxiliar'!$G:$G,'.Auxiliar'!D:D,"-",0)</f>
        <v>300</v>
      </c>
      <c r="E1142" s="55">
        <f>_xlfn.XLOOKUP($G1142,'.Auxiliar'!$G:$G,'.Auxiliar'!E:E,"-",0)</f>
        <v>303.89999999999998</v>
      </c>
      <c r="F1142" s="55">
        <f>_xlfn.XLOOKUP($G1142,'.Auxiliar'!$G:$G,'.Auxiliar'!F:F,"-",0)</f>
        <v>3.8999999999999773</v>
      </c>
      <c r="G1142" s="59" t="s">
        <v>1059</v>
      </c>
      <c r="H1142" s="108" t="s">
        <v>0</v>
      </c>
      <c r="I1142" s="109" t="s">
        <v>0</v>
      </c>
      <c r="J1142" s="109" t="s">
        <v>0</v>
      </c>
      <c r="K1142" s="109" t="s">
        <v>0</v>
      </c>
      <c r="L1142" s="109" t="s">
        <v>0</v>
      </c>
      <c r="M1142" s="109" t="s">
        <v>363</v>
      </c>
      <c r="N1142" s="110" t="s">
        <v>0</v>
      </c>
      <c r="O1142" s="111"/>
      <c r="P1142" s="112"/>
      <c r="Q1142" s="112"/>
      <c r="R1142" s="112"/>
      <c r="S1142" s="112"/>
      <c r="T1142" s="112"/>
      <c r="U1142" s="95" t="str">
        <f t="shared" si="54"/>
        <v/>
      </c>
      <c r="V1142" s="112"/>
      <c r="W1142" s="112">
        <v>100</v>
      </c>
      <c r="X1142" s="107"/>
      <c r="Y1142" s="107">
        <f t="shared" si="55"/>
        <v>100</v>
      </c>
      <c r="Z1142" s="107">
        <f t="shared" si="56"/>
        <v>0</v>
      </c>
    </row>
    <row r="1143" spans="1:26" x14ac:dyDescent="0.25">
      <c r="A1143" s="55" t="str">
        <f>_xlfn.XLOOKUP($G1143,'.Auxiliar'!$G:$G,'.Auxiliar'!A:A,"-",0)</f>
        <v>RIO/SP</v>
      </c>
      <c r="B1143" s="55" t="str">
        <f>_xlfn.XLOOKUP($G1143,'.Auxiliar'!$G:$G,'.Auxiliar'!B:B,"-",0)</f>
        <v>PAVIMENTAÇÃO</v>
      </c>
      <c r="C1143" s="55" t="str">
        <f>_xlfn.XLOOKUP($G1143,'.Auxiliar'!$G:$G,'.Auxiliar'!C:C,"-",0)</f>
        <v>Esquerdo</v>
      </c>
      <c r="D1143" s="55">
        <f>_xlfn.XLOOKUP($G1143,'.Auxiliar'!$G:$G,'.Auxiliar'!D:D,"-",0)</f>
        <v>314.29000000000002</v>
      </c>
      <c r="E1143" s="55">
        <f>_xlfn.XLOOKUP($G1143,'.Auxiliar'!$G:$G,'.Auxiliar'!E:E,"-",0)</f>
        <v>315.17</v>
      </c>
      <c r="F1143" s="55">
        <f>_xlfn.XLOOKUP($G1143,'.Auxiliar'!$G:$G,'.Auxiliar'!F:F,"-",0)</f>
        <v>0.87999999999999545</v>
      </c>
      <c r="G1143" s="59" t="s">
        <v>1172</v>
      </c>
      <c r="H1143" s="108" t="s">
        <v>0</v>
      </c>
      <c r="I1143" s="109" t="s">
        <v>0</v>
      </c>
      <c r="J1143" s="109" t="s">
        <v>0</v>
      </c>
      <c r="K1143" s="109" t="s">
        <v>0</v>
      </c>
      <c r="L1143" s="109" t="s">
        <v>0</v>
      </c>
      <c r="M1143" s="109" t="s">
        <v>0</v>
      </c>
      <c r="N1143" s="110" t="s">
        <v>363</v>
      </c>
      <c r="O1143" s="111"/>
      <c r="P1143" s="112"/>
      <c r="Q1143" s="112"/>
      <c r="R1143" s="112"/>
      <c r="S1143" s="112"/>
      <c r="T1143" s="112"/>
      <c r="U1143" s="95" t="str">
        <f t="shared" si="54"/>
        <v/>
      </c>
      <c r="V1143" s="112"/>
      <c r="W1143" s="112"/>
      <c r="X1143" s="107">
        <v>100</v>
      </c>
      <c r="Y1143" s="107">
        <f t="shared" si="55"/>
        <v>100</v>
      </c>
      <c r="Z1143" s="107">
        <f t="shared" si="56"/>
        <v>0</v>
      </c>
    </row>
    <row r="1144" spans="1:26" x14ac:dyDescent="0.25">
      <c r="A1144" s="55" t="str">
        <f>_xlfn.XLOOKUP($G1144,'.Auxiliar'!$G:$G,'.Auxiliar'!A:A,"-",0)</f>
        <v>RIO/SP</v>
      </c>
      <c r="B1144" s="55" t="str">
        <f>_xlfn.XLOOKUP($G1144,'.Auxiliar'!$G:$G,'.Auxiliar'!B:B,"-",0)</f>
        <v>PAVIMENTAÇÃO</v>
      </c>
      <c r="C1144" s="55" t="str">
        <f>_xlfn.XLOOKUP($G1144,'.Auxiliar'!$G:$G,'.Auxiliar'!C:C,"-",0)</f>
        <v>Esquerdo</v>
      </c>
      <c r="D1144" s="55">
        <f>_xlfn.XLOOKUP($G1144,'.Auxiliar'!$G:$G,'.Auxiliar'!D:D,"-",0)</f>
        <v>315.5</v>
      </c>
      <c r="E1144" s="55">
        <f>_xlfn.XLOOKUP($G1144,'.Auxiliar'!$G:$G,'.Auxiliar'!E:E,"-",0)</f>
        <v>317.20999999999998</v>
      </c>
      <c r="F1144" s="55">
        <f>_xlfn.XLOOKUP($G1144,'.Auxiliar'!$G:$G,'.Auxiliar'!F:F,"-",0)</f>
        <v>1.7099999999999795</v>
      </c>
      <c r="G1144" s="59" t="s">
        <v>1173</v>
      </c>
      <c r="H1144" s="108" t="s">
        <v>0</v>
      </c>
      <c r="I1144" s="109" t="s">
        <v>0</v>
      </c>
      <c r="J1144" s="109" t="s">
        <v>0</v>
      </c>
      <c r="K1144" s="109" t="s">
        <v>0</v>
      </c>
      <c r="L1144" s="109" t="s">
        <v>0</v>
      </c>
      <c r="M1144" s="109" t="s">
        <v>0</v>
      </c>
      <c r="N1144" s="110" t="s">
        <v>363</v>
      </c>
      <c r="O1144" s="111"/>
      <c r="P1144" s="112"/>
      <c r="Q1144" s="112"/>
      <c r="R1144" s="112"/>
      <c r="S1144" s="112"/>
      <c r="T1144" s="112"/>
      <c r="U1144" s="95" t="str">
        <f t="shared" si="54"/>
        <v/>
      </c>
      <c r="V1144" s="112"/>
      <c r="W1144" s="112"/>
      <c r="X1144" s="107">
        <v>100</v>
      </c>
      <c r="Y1144" s="107">
        <f t="shared" si="55"/>
        <v>100</v>
      </c>
      <c r="Z1144" s="107">
        <f t="shared" si="56"/>
        <v>0</v>
      </c>
    </row>
    <row r="1145" spans="1:26" x14ac:dyDescent="0.25">
      <c r="A1145" s="55" t="str">
        <f>_xlfn.XLOOKUP($G1145,'.Auxiliar'!$G:$G,'.Auxiliar'!A:A,"-",0)</f>
        <v>RIO/SP</v>
      </c>
      <c r="B1145" s="55" t="str">
        <f>_xlfn.XLOOKUP($G1145,'.Auxiliar'!$G:$G,'.Auxiliar'!B:B,"-",0)</f>
        <v>PAVIMENTAÇÃO</v>
      </c>
      <c r="C1145" s="55" t="str">
        <f>_xlfn.XLOOKUP($G1145,'.Auxiliar'!$G:$G,'.Auxiliar'!C:C,"-",0)</f>
        <v>Esquerdo</v>
      </c>
      <c r="D1145" s="55">
        <f>_xlfn.XLOOKUP($G1145,'.Auxiliar'!$G:$G,'.Auxiliar'!D:D,"-",0)</f>
        <v>405.7</v>
      </c>
      <c r="E1145" s="55">
        <f>_xlfn.XLOOKUP($G1145,'.Auxiliar'!$G:$G,'.Auxiliar'!E:E,"-",0)</f>
        <v>403.02</v>
      </c>
      <c r="F1145" s="55">
        <f>_xlfn.XLOOKUP($G1145,'.Auxiliar'!$G:$G,'.Auxiliar'!F:F,"-",0)</f>
        <v>2.6800000000000068</v>
      </c>
      <c r="G1145" s="59" t="s">
        <v>1181</v>
      </c>
      <c r="H1145" s="108" t="s">
        <v>0</v>
      </c>
      <c r="I1145" s="109" t="s">
        <v>0</v>
      </c>
      <c r="J1145" s="109" t="s">
        <v>0</v>
      </c>
      <c r="K1145" s="109" t="s">
        <v>0</v>
      </c>
      <c r="L1145" s="109" t="s">
        <v>0</v>
      </c>
      <c r="M1145" s="109" t="s">
        <v>0</v>
      </c>
      <c r="N1145" s="110" t="s">
        <v>363</v>
      </c>
      <c r="O1145" s="111"/>
      <c r="P1145" s="112"/>
      <c r="Q1145" s="112"/>
      <c r="R1145" s="112"/>
      <c r="S1145" s="112"/>
      <c r="T1145" s="112"/>
      <c r="U1145" s="95" t="str">
        <f t="shared" si="54"/>
        <v/>
      </c>
      <c r="V1145" s="112"/>
      <c r="W1145" s="112"/>
      <c r="X1145" s="107">
        <v>100</v>
      </c>
      <c r="Y1145" s="107">
        <f t="shared" si="55"/>
        <v>100</v>
      </c>
      <c r="Z1145" s="107">
        <f t="shared" si="56"/>
        <v>0</v>
      </c>
    </row>
    <row r="1146" spans="1:26" x14ac:dyDescent="0.25">
      <c r="A1146" s="55" t="str">
        <f>_xlfn.XLOOKUP($G1146,'.Auxiliar'!$G:$G,'.Auxiliar'!A:A,"-",0)</f>
        <v>RIO/SP</v>
      </c>
      <c r="B1146" s="55" t="str">
        <f>_xlfn.XLOOKUP($G1146,'.Auxiliar'!$G:$G,'.Auxiliar'!B:B,"-",0)</f>
        <v>PAVIMENTAÇÃO</v>
      </c>
      <c r="C1146" s="55" t="str">
        <f>_xlfn.XLOOKUP($G1146,'.Auxiliar'!$G:$G,'.Auxiliar'!C:C,"-",0)</f>
        <v>Esquerdo</v>
      </c>
      <c r="D1146" s="55">
        <f>_xlfn.XLOOKUP($G1146,'.Auxiliar'!$G:$G,'.Auxiliar'!D:D,"-",0)</f>
        <v>406.85</v>
      </c>
      <c r="E1146" s="55">
        <f>_xlfn.XLOOKUP($G1146,'.Auxiliar'!$G:$G,'.Auxiliar'!E:E,"-",0)</f>
        <v>406.45</v>
      </c>
      <c r="F1146" s="55">
        <f>_xlfn.XLOOKUP($G1146,'.Auxiliar'!$G:$G,'.Auxiliar'!F:F,"-",0)</f>
        <v>0.40000000000003411</v>
      </c>
      <c r="G1146" s="59" t="s">
        <v>1180</v>
      </c>
      <c r="H1146" s="108" t="s">
        <v>0</v>
      </c>
      <c r="I1146" s="109" t="s">
        <v>0</v>
      </c>
      <c r="J1146" s="109" t="s">
        <v>0</v>
      </c>
      <c r="K1146" s="109" t="s">
        <v>0</v>
      </c>
      <c r="L1146" s="109" t="s">
        <v>0</v>
      </c>
      <c r="M1146" s="109" t="s">
        <v>0</v>
      </c>
      <c r="N1146" s="110" t="s">
        <v>363</v>
      </c>
      <c r="O1146" s="111"/>
      <c r="P1146" s="112"/>
      <c r="Q1146" s="112"/>
      <c r="R1146" s="112"/>
      <c r="S1146" s="112"/>
      <c r="T1146" s="112"/>
      <c r="U1146" s="95" t="str">
        <f t="shared" si="54"/>
        <v/>
      </c>
      <c r="V1146" s="112"/>
      <c r="W1146" s="112"/>
      <c r="X1146" s="107">
        <v>100</v>
      </c>
      <c r="Y1146" s="107">
        <f t="shared" si="55"/>
        <v>100</v>
      </c>
      <c r="Z1146" s="107">
        <f t="shared" si="56"/>
        <v>0</v>
      </c>
    </row>
    <row r="1147" spans="1:26" x14ac:dyDescent="0.25">
      <c r="A1147" s="55" t="str">
        <f>_xlfn.XLOOKUP($G1147,'.Auxiliar'!$G:$G,'.Auxiliar'!A:A,"-",0)</f>
        <v>RIO/SP</v>
      </c>
      <c r="B1147" s="55" t="str">
        <f>_xlfn.XLOOKUP($G1147,'.Auxiliar'!$G:$G,'.Auxiliar'!B:B,"-",0)</f>
        <v>PAVIMENTAÇÃO</v>
      </c>
      <c r="C1147" s="55" t="str">
        <f>_xlfn.XLOOKUP($G1147,'.Auxiliar'!$G:$G,'.Auxiliar'!C:C,"-",0)</f>
        <v>Esquerdo</v>
      </c>
      <c r="D1147" s="55">
        <f>_xlfn.XLOOKUP($G1147,'.Auxiliar'!$G:$G,'.Auxiliar'!D:D,"-",0)</f>
        <v>407.75</v>
      </c>
      <c r="E1147" s="55">
        <f>_xlfn.XLOOKUP($G1147,'.Auxiliar'!$G:$G,'.Auxiliar'!E:E,"-",0)</f>
        <v>407.57</v>
      </c>
      <c r="F1147" s="55">
        <f>_xlfn.XLOOKUP($G1147,'.Auxiliar'!$G:$G,'.Auxiliar'!F:F,"-",0)</f>
        <v>0.18000000000000682</v>
      </c>
      <c r="G1147" s="59" t="s">
        <v>1179</v>
      </c>
      <c r="H1147" s="108" t="s">
        <v>0</v>
      </c>
      <c r="I1147" s="109" t="s">
        <v>0</v>
      </c>
      <c r="J1147" s="109" t="s">
        <v>0</v>
      </c>
      <c r="K1147" s="109" t="s">
        <v>0</v>
      </c>
      <c r="L1147" s="109" t="s">
        <v>0</v>
      </c>
      <c r="M1147" s="109" t="s">
        <v>0</v>
      </c>
      <c r="N1147" s="110" t="s">
        <v>363</v>
      </c>
      <c r="O1147" s="111"/>
      <c r="P1147" s="112"/>
      <c r="Q1147" s="112"/>
      <c r="R1147" s="112"/>
      <c r="S1147" s="112"/>
      <c r="T1147" s="112"/>
      <c r="U1147" s="95" t="str">
        <f t="shared" si="54"/>
        <v/>
      </c>
      <c r="V1147" s="112"/>
      <c r="W1147" s="112"/>
      <c r="X1147" s="107">
        <v>100</v>
      </c>
      <c r="Y1147" s="107">
        <f t="shared" si="55"/>
        <v>100</v>
      </c>
      <c r="Z1147" s="107">
        <f t="shared" si="56"/>
        <v>0</v>
      </c>
    </row>
    <row r="1148" spans="1:26" x14ac:dyDescent="0.25">
      <c r="A1148" s="55" t="str">
        <f>_xlfn.XLOOKUP($G1148,'.Auxiliar'!$G:$G,'.Auxiliar'!A:A,"-",0)</f>
        <v>RIO/SP</v>
      </c>
      <c r="B1148" s="55" t="str">
        <f>_xlfn.XLOOKUP($G1148,'.Auxiliar'!$G:$G,'.Auxiliar'!B:B,"-",0)</f>
        <v>PAVIMENTAÇÃO</v>
      </c>
      <c r="C1148" s="55" t="str">
        <f>_xlfn.XLOOKUP($G1148,'.Auxiliar'!$G:$G,'.Auxiliar'!C:C,"-",0)</f>
        <v>Esquerdo</v>
      </c>
      <c r="D1148" s="55">
        <f>_xlfn.XLOOKUP($G1148,'.Auxiliar'!$G:$G,'.Auxiliar'!D:D,"-",0)</f>
        <v>410</v>
      </c>
      <c r="E1148" s="55">
        <f>_xlfn.XLOOKUP($G1148,'.Auxiliar'!$G:$G,'.Auxiliar'!E:E,"-",0)</f>
        <v>411.8</v>
      </c>
      <c r="F1148" s="55">
        <f>_xlfn.XLOOKUP($G1148,'.Auxiliar'!$G:$G,'.Auxiliar'!F:F,"-",0)</f>
        <v>1.8000000000000114</v>
      </c>
      <c r="G1148" s="59" t="s">
        <v>1177</v>
      </c>
      <c r="H1148" s="108" t="s">
        <v>0</v>
      </c>
      <c r="I1148" s="109" t="s">
        <v>0</v>
      </c>
      <c r="J1148" s="109" t="s">
        <v>0</v>
      </c>
      <c r="K1148" s="109" t="s">
        <v>0</v>
      </c>
      <c r="L1148" s="109" t="s">
        <v>0</v>
      </c>
      <c r="M1148" s="109" t="s">
        <v>0</v>
      </c>
      <c r="N1148" s="110" t="s">
        <v>363</v>
      </c>
      <c r="O1148" s="111"/>
      <c r="P1148" s="112"/>
      <c r="Q1148" s="112"/>
      <c r="R1148" s="112"/>
      <c r="S1148" s="112"/>
      <c r="T1148" s="112"/>
      <c r="U1148" s="95" t="str">
        <f t="shared" si="54"/>
        <v/>
      </c>
      <c r="V1148" s="112"/>
      <c r="W1148" s="112"/>
      <c r="X1148" s="107">
        <v>100</v>
      </c>
      <c r="Y1148" s="107">
        <f t="shared" si="55"/>
        <v>100</v>
      </c>
      <c r="Z1148" s="107">
        <f t="shared" si="56"/>
        <v>0</v>
      </c>
    </row>
    <row r="1149" spans="1:26" x14ac:dyDescent="0.25">
      <c r="A1149" s="55" t="str">
        <f>_xlfn.XLOOKUP($G1149,'.Auxiliar'!$G:$G,'.Auxiliar'!A:A,"-",0)</f>
        <v>RIO/SP</v>
      </c>
      <c r="B1149" s="55" t="str">
        <f>_xlfn.XLOOKUP($G1149,'.Auxiliar'!$G:$G,'.Auxiliar'!B:B,"-",0)</f>
        <v>PAVIMENTAÇÃO</v>
      </c>
      <c r="C1149" s="55" t="str">
        <f>_xlfn.XLOOKUP($G1149,'.Auxiliar'!$G:$G,'.Auxiliar'!C:C,"-",0)</f>
        <v>Esquerdo</v>
      </c>
      <c r="D1149" s="55">
        <f>_xlfn.XLOOKUP($G1149,'.Auxiliar'!$G:$G,'.Auxiliar'!D:D,"-",0)</f>
        <v>413.3</v>
      </c>
      <c r="E1149" s="55">
        <f>_xlfn.XLOOKUP($G1149,'.Auxiliar'!$G:$G,'.Auxiliar'!E:E,"-",0)</f>
        <v>414.5</v>
      </c>
      <c r="F1149" s="55">
        <f>_xlfn.XLOOKUP($G1149,'.Auxiliar'!$G:$G,'.Auxiliar'!F:F,"-",0)</f>
        <v>1.1999999999999886</v>
      </c>
      <c r="G1149" s="59" t="s">
        <v>1178</v>
      </c>
      <c r="H1149" s="108" t="s">
        <v>0</v>
      </c>
      <c r="I1149" s="109" t="s">
        <v>0</v>
      </c>
      <c r="J1149" s="109" t="s">
        <v>0</v>
      </c>
      <c r="K1149" s="109" t="s">
        <v>0</v>
      </c>
      <c r="L1149" s="109" t="s">
        <v>0</v>
      </c>
      <c r="M1149" s="109" t="s">
        <v>0</v>
      </c>
      <c r="N1149" s="110" t="s">
        <v>363</v>
      </c>
      <c r="O1149" s="111"/>
      <c r="P1149" s="112"/>
      <c r="Q1149" s="112"/>
      <c r="R1149" s="112"/>
      <c r="S1149" s="112"/>
      <c r="T1149" s="112"/>
      <c r="U1149" s="95" t="str">
        <f t="shared" si="54"/>
        <v/>
      </c>
      <c r="V1149" s="112"/>
      <c r="W1149" s="112"/>
      <c r="X1149" s="107">
        <v>100</v>
      </c>
      <c r="Y1149" s="107">
        <f t="shared" si="55"/>
        <v>100</v>
      </c>
      <c r="Z1149" s="107">
        <f t="shared" si="56"/>
        <v>0</v>
      </c>
    </row>
    <row r="1150" spans="1:26" x14ac:dyDescent="0.25">
      <c r="A1150" s="55" t="str">
        <f>_xlfn.XLOOKUP($G1150,'.Auxiliar'!$G:$G,'.Auxiliar'!A:A,"-",0)</f>
        <v>RIO/SP</v>
      </c>
      <c r="B1150" s="55" t="str">
        <f>_xlfn.XLOOKUP($G1150,'.Auxiliar'!$G:$G,'.Auxiliar'!B:B,"-",0)</f>
        <v>PAVIMENTAÇÃO</v>
      </c>
      <c r="C1150" s="55" t="str">
        <f>_xlfn.XLOOKUP($G1150,'.Auxiliar'!$G:$G,'.Auxiliar'!C:C,"-",0)</f>
        <v>Esquerdo</v>
      </c>
      <c r="D1150" s="55">
        <f>_xlfn.XLOOKUP($G1150,'.Auxiliar'!$G:$G,'.Auxiliar'!D:D,"-",0)</f>
        <v>57.92</v>
      </c>
      <c r="E1150" s="55">
        <f>_xlfn.XLOOKUP($G1150,'.Auxiliar'!$G:$G,'.Auxiliar'!E:E,"-",0)</f>
        <v>60.12</v>
      </c>
      <c r="F1150" s="55">
        <f>_xlfn.XLOOKUP($G1150,'.Auxiliar'!$G:$G,'.Auxiliar'!F:F,"-",0)</f>
        <v>2.1999999999999957</v>
      </c>
      <c r="G1150" s="59" t="s">
        <v>1151</v>
      </c>
      <c r="H1150" s="108" t="s">
        <v>0</v>
      </c>
      <c r="I1150" s="109" t="s">
        <v>0</v>
      </c>
      <c r="J1150" s="109" t="s">
        <v>0</v>
      </c>
      <c r="K1150" s="109" t="s">
        <v>0</v>
      </c>
      <c r="L1150" s="109" t="s">
        <v>0</v>
      </c>
      <c r="M1150" s="109" t="s">
        <v>0</v>
      </c>
      <c r="N1150" s="110" t="s">
        <v>363</v>
      </c>
      <c r="O1150" s="111"/>
      <c r="P1150" s="112"/>
      <c r="Q1150" s="112"/>
      <c r="R1150" s="112"/>
      <c r="S1150" s="112"/>
      <c r="T1150" s="112"/>
      <c r="U1150" s="95" t="str">
        <f t="shared" si="54"/>
        <v/>
      </c>
      <c r="V1150" s="112"/>
      <c r="W1150" s="112"/>
      <c r="X1150" s="107">
        <v>100</v>
      </c>
      <c r="Y1150" s="107">
        <f t="shared" si="55"/>
        <v>100</v>
      </c>
      <c r="Z1150" s="107">
        <f t="shared" si="56"/>
        <v>0</v>
      </c>
    </row>
    <row r="1151" spans="1:26" x14ac:dyDescent="0.25">
      <c r="A1151" s="55" t="str">
        <f>_xlfn.XLOOKUP($G1151,'.Auxiliar'!$G:$G,'.Auxiliar'!A:A,"-",0)</f>
        <v>RIO/SP</v>
      </c>
      <c r="B1151" s="55" t="str">
        <f>_xlfn.XLOOKUP($G1151,'.Auxiliar'!$G:$G,'.Auxiliar'!B:B,"-",0)</f>
        <v>PAVIMENTAÇÃO</v>
      </c>
      <c r="C1151" s="55" t="str">
        <f>_xlfn.XLOOKUP($G1151,'.Auxiliar'!$G:$G,'.Auxiliar'!C:C,"-",0)</f>
        <v>Esquerdo</v>
      </c>
      <c r="D1151" s="55">
        <f>_xlfn.XLOOKUP($G1151,'.Auxiliar'!$G:$G,'.Auxiliar'!D:D,"-",0)</f>
        <v>68.27</v>
      </c>
      <c r="E1151" s="55">
        <f>_xlfn.XLOOKUP($G1151,'.Auxiliar'!$G:$G,'.Auxiliar'!E:E,"-",0)</f>
        <v>68.64</v>
      </c>
      <c r="F1151" s="55">
        <f>_xlfn.XLOOKUP($G1151,'.Auxiliar'!$G:$G,'.Auxiliar'!F:F,"-",0)</f>
        <v>0.37000000000000455</v>
      </c>
      <c r="G1151" s="59" t="s">
        <v>1156</v>
      </c>
      <c r="H1151" s="108" t="s">
        <v>0</v>
      </c>
      <c r="I1151" s="109" t="s">
        <v>0</v>
      </c>
      <c r="J1151" s="109" t="s">
        <v>0</v>
      </c>
      <c r="K1151" s="109" t="s">
        <v>0</v>
      </c>
      <c r="L1151" s="109" t="s">
        <v>0</v>
      </c>
      <c r="M1151" s="109" t="s">
        <v>0</v>
      </c>
      <c r="N1151" s="110" t="s">
        <v>363</v>
      </c>
      <c r="O1151" s="111"/>
      <c r="P1151" s="112"/>
      <c r="Q1151" s="112"/>
      <c r="R1151" s="112"/>
      <c r="S1151" s="112"/>
      <c r="T1151" s="112"/>
      <c r="U1151" s="95" t="str">
        <f t="shared" si="54"/>
        <v/>
      </c>
      <c r="V1151" s="112"/>
      <c r="W1151" s="112"/>
      <c r="X1151" s="107">
        <v>100</v>
      </c>
      <c r="Y1151" s="107">
        <f t="shared" si="55"/>
        <v>100</v>
      </c>
      <c r="Z1151" s="107">
        <f t="shared" si="56"/>
        <v>0</v>
      </c>
    </row>
    <row r="1152" spans="1:26" x14ac:dyDescent="0.25">
      <c r="A1152" s="55" t="str">
        <f>_xlfn.XLOOKUP($G1152,'.Auxiliar'!$G:$G,'.Auxiliar'!A:A,"-",0)</f>
        <v>RIO/SP</v>
      </c>
      <c r="B1152" s="55" t="str">
        <f>_xlfn.XLOOKUP($G1152,'.Auxiliar'!$G:$G,'.Auxiliar'!B:B,"-",0)</f>
        <v>PAVIMENTAÇÃO</v>
      </c>
      <c r="C1152" s="55" t="str">
        <f>_xlfn.XLOOKUP($G1152,'.Auxiliar'!$G:$G,'.Auxiliar'!C:C,"-",0)</f>
        <v>Serra das Araras (Nova Pista Subida)</v>
      </c>
      <c r="D1152" s="55">
        <f>_xlfn.XLOOKUP($G1152,'.Auxiliar'!$G:$G,'.Auxiliar'!D:D,"-",0)</f>
        <v>218</v>
      </c>
      <c r="E1152" s="55">
        <f>_xlfn.XLOOKUP($G1152,'.Auxiliar'!$G:$G,'.Auxiliar'!E:E,"-",0)</f>
        <v>226</v>
      </c>
      <c r="F1152" s="55">
        <f>_xlfn.XLOOKUP($G1152,'.Auxiliar'!$G:$G,'.Auxiliar'!F:F,"-",0)</f>
        <v>8</v>
      </c>
      <c r="G1152" s="59" t="s">
        <v>1159</v>
      </c>
      <c r="H1152" s="108" t="s">
        <v>0</v>
      </c>
      <c r="I1152" s="109" t="s">
        <v>0</v>
      </c>
      <c r="J1152" s="109" t="s">
        <v>0</v>
      </c>
      <c r="K1152" s="109" t="s">
        <v>0</v>
      </c>
      <c r="L1152" s="109" t="s">
        <v>0</v>
      </c>
      <c r="M1152" s="109" t="s">
        <v>0</v>
      </c>
      <c r="N1152" s="110" t="s">
        <v>363</v>
      </c>
      <c r="O1152" s="111"/>
      <c r="P1152" s="112"/>
      <c r="Q1152" s="112"/>
      <c r="R1152" s="112"/>
      <c r="S1152" s="112"/>
      <c r="T1152" s="112"/>
      <c r="U1152" s="95" t="str">
        <f t="shared" si="54"/>
        <v/>
      </c>
      <c r="V1152" s="112"/>
      <c r="W1152" s="112"/>
      <c r="X1152" s="107">
        <v>100</v>
      </c>
      <c r="Y1152" s="107">
        <f t="shared" si="55"/>
        <v>100</v>
      </c>
      <c r="Z1152" s="107">
        <f t="shared" si="56"/>
        <v>0</v>
      </c>
    </row>
    <row r="1153" spans="1:26" x14ac:dyDescent="0.25">
      <c r="A1153" s="55" t="str">
        <f>_xlfn.XLOOKUP($G1153,'.Auxiliar'!$G:$G,'.Auxiliar'!A:A,"-",0)</f>
        <v>RIO/SP</v>
      </c>
      <c r="B1153" s="55" t="str">
        <f>_xlfn.XLOOKUP($G1153,'.Auxiliar'!$G:$G,'.Auxiliar'!B:B,"-",0)</f>
        <v>PAVIMENTAÇÃO</v>
      </c>
      <c r="C1153" s="55" t="str">
        <f>_xlfn.XLOOKUP($G1153,'.Auxiliar'!$G:$G,'.Auxiliar'!C:C,"-",0)</f>
        <v>Vias Marginais (Direito)</v>
      </c>
      <c r="D1153" s="55">
        <f>_xlfn.XLOOKUP($G1153,'.Auxiliar'!$G:$G,'.Auxiliar'!D:D,"-",0)</f>
        <v>152.88999999999999</v>
      </c>
      <c r="E1153" s="55">
        <f>_xlfn.XLOOKUP($G1153,'.Auxiliar'!$G:$G,'.Auxiliar'!E:E,"-",0)</f>
        <v>157.03</v>
      </c>
      <c r="F1153" s="55">
        <f>_xlfn.XLOOKUP($G1153,'.Auxiliar'!$G:$G,'.Auxiliar'!F:F,"-",0)</f>
        <v>4.1400000000000148</v>
      </c>
      <c r="G1153" s="59" t="s">
        <v>829</v>
      </c>
      <c r="H1153" s="108" t="s">
        <v>0</v>
      </c>
      <c r="I1153" s="109" t="s">
        <v>368</v>
      </c>
      <c r="J1153" s="109" t="s">
        <v>0</v>
      </c>
      <c r="K1153" s="109" t="s">
        <v>363</v>
      </c>
      <c r="L1153" s="109" t="s">
        <v>0</v>
      </c>
      <c r="M1153" s="109" t="s">
        <v>0</v>
      </c>
      <c r="N1153" s="110" t="s">
        <v>0</v>
      </c>
      <c r="O1153" s="111"/>
      <c r="P1153" s="112"/>
      <c r="Q1153" s="112">
        <v>49.97</v>
      </c>
      <c r="R1153" s="112">
        <v>29.59</v>
      </c>
      <c r="S1153" s="112">
        <v>47.32</v>
      </c>
      <c r="T1153" s="112">
        <v>30.32</v>
      </c>
      <c r="U1153" s="95">
        <f t="shared" si="54"/>
        <v>70.41</v>
      </c>
      <c r="V1153" s="112">
        <f>100-(S1153+R1153)</f>
        <v>23.090000000000003</v>
      </c>
      <c r="W1153" s="112"/>
      <c r="X1153" s="107"/>
      <c r="Y1153" s="107">
        <f t="shared" si="55"/>
        <v>100</v>
      </c>
      <c r="Z1153" s="107">
        <f t="shared" si="56"/>
        <v>59.91</v>
      </c>
    </row>
    <row r="1154" spans="1:26" x14ac:dyDescent="0.25">
      <c r="A1154" s="55" t="str">
        <f>_xlfn.XLOOKUP($G1154,'.Auxiliar'!$G:$G,'.Auxiliar'!A:A,"-",0)</f>
        <v>RIO/SP</v>
      </c>
      <c r="B1154" s="55" t="str">
        <f>_xlfn.XLOOKUP($G1154,'.Auxiliar'!$G:$G,'.Auxiliar'!B:B,"-",0)</f>
        <v>PAVIMENTAÇÃO</v>
      </c>
      <c r="C1154" s="55" t="str">
        <f>_xlfn.XLOOKUP($G1154,'.Auxiliar'!$G:$G,'.Auxiliar'!C:C,"-",0)</f>
        <v>Vias Marginais (Direito)</v>
      </c>
      <c r="D1154" s="55">
        <f>_xlfn.XLOOKUP($G1154,'.Auxiliar'!$G:$G,'.Auxiliar'!D:D,"-",0)</f>
        <v>209.95</v>
      </c>
      <c r="E1154" s="55">
        <f>_xlfn.XLOOKUP($G1154,'.Auxiliar'!$G:$G,'.Auxiliar'!E:E,"-",0)</f>
        <v>211.4</v>
      </c>
      <c r="F1154" s="55">
        <f>_xlfn.XLOOKUP($G1154,'.Auxiliar'!$G:$G,'.Auxiliar'!F:F,"-",0)</f>
        <v>1.4500000000000171</v>
      </c>
      <c r="G1154" s="59" t="s">
        <v>830</v>
      </c>
      <c r="H1154" s="108" t="s">
        <v>0</v>
      </c>
      <c r="I1154" s="109" t="s">
        <v>368</v>
      </c>
      <c r="J1154" s="109" t="s">
        <v>0</v>
      </c>
      <c r="K1154" s="109" t="s">
        <v>363</v>
      </c>
      <c r="L1154" s="109" t="s">
        <v>0</v>
      </c>
      <c r="M1154" s="109" t="s">
        <v>0</v>
      </c>
      <c r="N1154" s="110" t="s">
        <v>0</v>
      </c>
      <c r="O1154" s="111"/>
      <c r="P1154" s="112"/>
      <c r="Q1154" s="112">
        <v>71</v>
      </c>
      <c r="R1154" s="112">
        <v>51.67</v>
      </c>
      <c r="S1154" s="112">
        <v>48.33</v>
      </c>
      <c r="T1154" s="112">
        <v>47.83</v>
      </c>
      <c r="U1154" s="95">
        <f t="shared" si="54"/>
        <v>48.33</v>
      </c>
      <c r="V1154" s="112"/>
      <c r="W1154" s="112"/>
      <c r="X1154" s="107"/>
      <c r="Y1154" s="107">
        <f t="shared" si="55"/>
        <v>100</v>
      </c>
      <c r="Z1154" s="107">
        <f t="shared" si="56"/>
        <v>99.5</v>
      </c>
    </row>
    <row r="1155" spans="1:26" x14ac:dyDescent="0.25">
      <c r="A1155" s="55" t="str">
        <f>_xlfn.XLOOKUP($G1155,'.Auxiliar'!$G:$G,'.Auxiliar'!A:A,"-",0)</f>
        <v>RIO/SP</v>
      </c>
      <c r="B1155" s="55" t="str">
        <f>_xlfn.XLOOKUP($G1155,'.Auxiliar'!$G:$G,'.Auxiliar'!B:B,"-",0)</f>
        <v>PAVIMENTAÇÃO</v>
      </c>
      <c r="C1155" s="55" t="str">
        <f>_xlfn.XLOOKUP($G1155,'.Auxiliar'!$G:$G,'.Auxiliar'!C:C,"-",0)</f>
        <v>Vias Marginais (Esquerdo)</v>
      </c>
      <c r="D1155" s="55">
        <f>_xlfn.XLOOKUP($G1155,'.Auxiliar'!$G:$G,'.Auxiliar'!D:D,"-",0)</f>
        <v>151.30000000000001</v>
      </c>
      <c r="E1155" s="55">
        <f>_xlfn.XLOOKUP($G1155,'.Auxiliar'!$G:$G,'.Auxiliar'!E:E,"-",0)</f>
        <v>157.69</v>
      </c>
      <c r="F1155" s="55">
        <f>_xlfn.XLOOKUP($G1155,'.Auxiliar'!$G:$G,'.Auxiliar'!F:F,"-",0)</f>
        <v>6.3899999999999864</v>
      </c>
      <c r="G1155" s="59" t="s">
        <v>828</v>
      </c>
      <c r="H1155" s="108" t="s">
        <v>0</v>
      </c>
      <c r="I1155" s="109" t="s">
        <v>368</v>
      </c>
      <c r="J1155" s="109" t="s">
        <v>0</v>
      </c>
      <c r="K1155" s="109" t="s">
        <v>363</v>
      </c>
      <c r="L1155" s="109" t="s">
        <v>0</v>
      </c>
      <c r="M1155" s="109" t="s">
        <v>0</v>
      </c>
      <c r="N1155" s="110" t="s">
        <v>0</v>
      </c>
      <c r="O1155" s="111"/>
      <c r="P1155" s="112"/>
      <c r="Q1155" s="112">
        <v>49.97</v>
      </c>
      <c r="R1155" s="112">
        <v>26.3</v>
      </c>
      <c r="S1155" s="112">
        <v>40.119999999999997</v>
      </c>
      <c r="T1155" s="112">
        <v>23.97</v>
      </c>
      <c r="U1155" s="95">
        <f t="shared" ref="U1155:U1218" si="57">IF(SUM(V1155:X1155)=100,"",100-(P1155+R1155))</f>
        <v>73.7</v>
      </c>
      <c r="V1155" s="112">
        <f>100-(S1155+R1155)</f>
        <v>33.58</v>
      </c>
      <c r="W1155" s="112"/>
      <c r="X1155" s="107"/>
      <c r="Y1155" s="107">
        <f t="shared" ref="Y1155:Y1218" si="58">SUM(P1155,R1155,S1155,V1155,W1155,X1155)</f>
        <v>100</v>
      </c>
      <c r="Z1155" s="107">
        <f t="shared" ref="Z1155:Z1218" si="59">SUM(P1155,R1155,T1155)</f>
        <v>50.269999999999996</v>
      </c>
    </row>
    <row r="1156" spans="1:26" x14ac:dyDescent="0.25">
      <c r="A1156" s="55" t="str">
        <f>_xlfn.XLOOKUP($G1156,'.Auxiliar'!$G:$G,'.Auxiliar'!A:A,"-",0)</f>
        <v>TRANSBRASILIANA</v>
      </c>
      <c r="B1156" s="55" t="str">
        <f>_xlfn.XLOOKUP($G1156,'.Auxiliar'!$G:$G,'.Auxiliar'!B:B,"-",0)</f>
        <v>CONTORNO</v>
      </c>
      <c r="C1156" s="55" t="str">
        <f>_xlfn.XLOOKUP($G1156,'.Auxiliar'!$G:$G,'.Auxiliar'!C:C,"-",0)</f>
        <v>Variante de Ourinhos, em pista dupla</v>
      </c>
      <c r="D1156" s="55">
        <f>_xlfn.XLOOKUP($G1156,'.Auxiliar'!$G:$G,'.Auxiliar'!D:D,"-",0)</f>
        <v>336.4</v>
      </c>
      <c r="E1156" s="55">
        <f>_xlfn.XLOOKUP($G1156,'.Auxiliar'!$G:$G,'.Auxiliar'!E:E,"-",0)</f>
        <v>338.88</v>
      </c>
      <c r="F1156" s="55">
        <f>_xlfn.XLOOKUP($G1156,'.Auxiliar'!$G:$G,'.Auxiliar'!F:F,"-",0)</f>
        <v>4.9600000000000364</v>
      </c>
      <c r="G1156" s="59" t="s">
        <v>624</v>
      </c>
      <c r="H1156" s="108" t="s">
        <v>363</v>
      </c>
      <c r="I1156" s="109" t="s">
        <v>0</v>
      </c>
      <c r="J1156" s="109" t="s">
        <v>0</v>
      </c>
      <c r="K1156" s="109" t="s">
        <v>0</v>
      </c>
      <c r="L1156" s="109" t="s">
        <v>0</v>
      </c>
      <c r="M1156" s="109" t="s">
        <v>0</v>
      </c>
      <c r="N1156" s="110" t="s">
        <v>0</v>
      </c>
      <c r="O1156" s="111">
        <v>100</v>
      </c>
      <c r="P1156" s="112">
        <v>100</v>
      </c>
      <c r="Q1156" s="112"/>
      <c r="R1156" s="112"/>
      <c r="S1156" s="112"/>
      <c r="T1156" s="112"/>
      <c r="U1156" s="95">
        <f t="shared" si="57"/>
        <v>0</v>
      </c>
      <c r="V1156" s="112"/>
      <c r="W1156" s="112"/>
      <c r="X1156" s="107"/>
      <c r="Y1156" s="107">
        <f t="shared" si="58"/>
        <v>100</v>
      </c>
      <c r="Z1156" s="107">
        <f t="shared" si="59"/>
        <v>100</v>
      </c>
    </row>
    <row r="1157" spans="1:26" x14ac:dyDescent="0.25">
      <c r="A1157" s="55" t="str">
        <f>_xlfn.XLOOKUP($G1157,'.Auxiliar'!$G:$G,'.Auxiliar'!A:A,"-",0)</f>
        <v>TRANSBRASILIANA</v>
      </c>
      <c r="B1157" s="55" t="str">
        <f>_xlfn.XLOOKUP($G1157,'.Auxiliar'!$G:$G,'.Auxiliar'!B:B,"-",0)</f>
        <v>DUPLICAÇÃO</v>
      </c>
      <c r="C1157" s="55" t="str">
        <f>_xlfn.XLOOKUP($G1157,'.Auxiliar'!$G:$G,'.Auxiliar'!C:C,"-",0)</f>
        <v>Duplicações (inclusive OAE's)</v>
      </c>
      <c r="D1157" s="55">
        <f>_xlfn.XLOOKUP($G1157,'.Auxiliar'!$G:$G,'.Auxiliar'!D:D,"-",0)</f>
        <v>0</v>
      </c>
      <c r="E1157" s="55">
        <f>_xlfn.XLOOKUP($G1157,'.Auxiliar'!$G:$G,'.Auxiliar'!E:E,"-",0)</f>
        <v>37.299999999999997</v>
      </c>
      <c r="F1157" s="55">
        <f>_xlfn.XLOOKUP($G1157,'.Auxiliar'!$G:$G,'.Auxiliar'!F:F,"-",0)</f>
        <v>37.299999999999997</v>
      </c>
      <c r="G1157" s="59" t="s">
        <v>609</v>
      </c>
      <c r="H1157" s="108" t="s">
        <v>363</v>
      </c>
      <c r="I1157" s="109" t="s">
        <v>0</v>
      </c>
      <c r="J1157" s="109" t="s">
        <v>0</v>
      </c>
      <c r="K1157" s="109" t="s">
        <v>363</v>
      </c>
      <c r="L1157" s="109" t="s">
        <v>0</v>
      </c>
      <c r="M1157" s="109" t="s">
        <v>0</v>
      </c>
      <c r="N1157" s="110" t="s">
        <v>0</v>
      </c>
      <c r="O1157" s="111">
        <v>100</v>
      </c>
      <c r="P1157" s="112">
        <v>0</v>
      </c>
      <c r="Q1157" s="112"/>
      <c r="R1157" s="112"/>
      <c r="S1157" s="112">
        <v>100</v>
      </c>
      <c r="T1157" s="112">
        <v>0</v>
      </c>
      <c r="U1157" s="95">
        <f t="shared" si="57"/>
        <v>100</v>
      </c>
      <c r="V1157" s="112"/>
      <c r="W1157" s="112"/>
      <c r="X1157" s="107"/>
      <c r="Y1157" s="107">
        <f t="shared" si="58"/>
        <v>100</v>
      </c>
      <c r="Z1157" s="107">
        <f t="shared" si="59"/>
        <v>0</v>
      </c>
    </row>
    <row r="1158" spans="1:26" x14ac:dyDescent="0.25">
      <c r="A1158" s="55" t="str">
        <f>_xlfn.XLOOKUP($G1158,'.Auxiliar'!$G:$G,'.Auxiliar'!A:A,"-",0)</f>
        <v>TRANSBRASILIANA</v>
      </c>
      <c r="B1158" s="55" t="str">
        <f>_xlfn.XLOOKUP($G1158,'.Auxiliar'!$G:$G,'.Auxiliar'!B:B,"-",0)</f>
        <v>DUPLICAÇÃO</v>
      </c>
      <c r="C1158" s="55" t="str">
        <f>_xlfn.XLOOKUP($G1158,'.Auxiliar'!$G:$G,'.Auxiliar'!C:C,"-",0)</f>
        <v>Duplicações (inclusive OAE's)</v>
      </c>
      <c r="D1158" s="55">
        <f>_xlfn.XLOOKUP($G1158,'.Auxiliar'!$G:$G,'.Auxiliar'!D:D,"-",0)</f>
        <v>256</v>
      </c>
      <c r="E1158" s="55">
        <f>_xlfn.XLOOKUP($G1158,'.Auxiliar'!$G:$G,'.Auxiliar'!E:E,"-",0)</f>
        <v>258.10000000000002</v>
      </c>
      <c r="F1158" s="55">
        <f>_xlfn.XLOOKUP($G1158,'.Auxiliar'!$G:$G,'.Auxiliar'!F:F,"-",0)</f>
        <v>2.1000000000000227</v>
      </c>
      <c r="G1158" s="59" t="s">
        <v>614</v>
      </c>
      <c r="H1158" s="108" t="s">
        <v>363</v>
      </c>
      <c r="I1158" s="109" t="s">
        <v>0</v>
      </c>
      <c r="J1158" s="109" t="s">
        <v>0</v>
      </c>
      <c r="K1158" s="109" t="s">
        <v>0</v>
      </c>
      <c r="L1158" s="109" t="s">
        <v>0</v>
      </c>
      <c r="M1158" s="109" t="s">
        <v>0</v>
      </c>
      <c r="N1158" s="110" t="s">
        <v>0</v>
      </c>
      <c r="O1158" s="111">
        <v>100</v>
      </c>
      <c r="P1158" s="112">
        <v>100</v>
      </c>
      <c r="Q1158" s="112"/>
      <c r="R1158" s="112"/>
      <c r="S1158" s="112"/>
      <c r="T1158" s="112"/>
      <c r="U1158" s="95">
        <f t="shared" si="57"/>
        <v>0</v>
      </c>
      <c r="V1158" s="112"/>
      <c r="W1158" s="112"/>
      <c r="X1158" s="107"/>
      <c r="Y1158" s="107">
        <f t="shared" si="58"/>
        <v>100</v>
      </c>
      <c r="Z1158" s="107">
        <f t="shared" si="59"/>
        <v>100</v>
      </c>
    </row>
    <row r="1159" spans="1:26" x14ac:dyDescent="0.25">
      <c r="A1159" s="55" t="str">
        <f>_xlfn.XLOOKUP($G1159,'.Auxiliar'!$G:$G,'.Auxiliar'!A:A,"-",0)</f>
        <v>TRANSBRASILIANA</v>
      </c>
      <c r="B1159" s="55" t="str">
        <f>_xlfn.XLOOKUP($G1159,'.Auxiliar'!$G:$G,'.Auxiliar'!B:B,"-",0)</f>
        <v>DUPLICAÇÃO</v>
      </c>
      <c r="C1159" s="55" t="str">
        <f>_xlfn.XLOOKUP($G1159,'.Auxiliar'!$G:$G,'.Auxiliar'!C:C,"-",0)</f>
        <v>Duplicações (inclusive OAE's)</v>
      </c>
      <c r="D1159" s="55">
        <f>_xlfn.XLOOKUP($G1159,'.Auxiliar'!$G:$G,'.Auxiliar'!D:D,"-",0)</f>
        <v>338.2</v>
      </c>
      <c r="E1159" s="55">
        <f>_xlfn.XLOOKUP($G1159,'.Auxiliar'!$G:$G,'.Auxiliar'!E:E,"-",0)</f>
        <v>345.2</v>
      </c>
      <c r="F1159" s="55">
        <f>_xlfn.XLOOKUP($G1159,'.Auxiliar'!$G:$G,'.Auxiliar'!F:F,"-",0)</f>
        <v>7</v>
      </c>
      <c r="G1159" s="59" t="s">
        <v>612</v>
      </c>
      <c r="H1159" s="108" t="s">
        <v>363</v>
      </c>
      <c r="I1159" s="109" t="s">
        <v>0</v>
      </c>
      <c r="J1159" s="109" t="s">
        <v>0</v>
      </c>
      <c r="K1159" s="109" t="s">
        <v>0</v>
      </c>
      <c r="L1159" s="109" t="s">
        <v>0</v>
      </c>
      <c r="M1159" s="109" t="s">
        <v>0</v>
      </c>
      <c r="N1159" s="110" t="s">
        <v>0</v>
      </c>
      <c r="O1159" s="111">
        <v>100</v>
      </c>
      <c r="P1159" s="112">
        <v>100</v>
      </c>
      <c r="Q1159" s="112"/>
      <c r="R1159" s="112"/>
      <c r="S1159" s="112"/>
      <c r="T1159" s="112"/>
      <c r="U1159" s="95">
        <f t="shared" si="57"/>
        <v>0</v>
      </c>
      <c r="V1159" s="112"/>
      <c r="W1159" s="112"/>
      <c r="X1159" s="107"/>
      <c r="Y1159" s="107">
        <f t="shared" si="58"/>
        <v>100</v>
      </c>
      <c r="Z1159" s="107">
        <f t="shared" si="59"/>
        <v>100</v>
      </c>
    </row>
    <row r="1160" spans="1:26" x14ac:dyDescent="0.25">
      <c r="A1160" s="55" t="str">
        <f>_xlfn.XLOOKUP($G1160,'.Auxiliar'!$G:$G,'.Auxiliar'!A:A,"-",0)</f>
        <v>TRANSBRASILIANA</v>
      </c>
      <c r="B1160" s="55" t="str">
        <f>_xlfn.XLOOKUP($G1160,'.Auxiliar'!$G:$G,'.Auxiliar'!B:B,"-",0)</f>
        <v>DUPLICAÇÃO</v>
      </c>
      <c r="C1160" s="55" t="str">
        <f>_xlfn.XLOOKUP($G1160,'.Auxiliar'!$G:$G,'.Auxiliar'!C:C,"-",0)</f>
        <v>Duplicações (inclusive OAE's)</v>
      </c>
      <c r="D1160" s="55">
        <f>_xlfn.XLOOKUP($G1160,'.Auxiliar'!$G:$G,'.Auxiliar'!D:D,"-",0)</f>
        <v>51.7</v>
      </c>
      <c r="E1160" s="55">
        <f>_xlfn.XLOOKUP($G1160,'.Auxiliar'!$G:$G,'.Auxiliar'!E:E,"-",0)</f>
        <v>54.3</v>
      </c>
      <c r="F1160" s="55">
        <f>_xlfn.XLOOKUP($G1160,'.Auxiliar'!$G:$G,'.Auxiliar'!F:F,"-",0)</f>
        <v>2.5999999999999943</v>
      </c>
      <c r="G1160" s="59" t="s">
        <v>611</v>
      </c>
      <c r="H1160" s="108" t="s">
        <v>363</v>
      </c>
      <c r="I1160" s="109" t="s">
        <v>0</v>
      </c>
      <c r="J1160" s="109" t="s">
        <v>0</v>
      </c>
      <c r="K1160" s="109" t="s">
        <v>0</v>
      </c>
      <c r="L1160" s="109" t="s">
        <v>0</v>
      </c>
      <c r="M1160" s="109" t="s">
        <v>0</v>
      </c>
      <c r="N1160" s="110" t="s">
        <v>0</v>
      </c>
      <c r="O1160" s="111">
        <v>100</v>
      </c>
      <c r="P1160" s="112">
        <v>100</v>
      </c>
      <c r="Q1160" s="112"/>
      <c r="R1160" s="112"/>
      <c r="S1160" s="112"/>
      <c r="T1160" s="112"/>
      <c r="U1160" s="95">
        <f t="shared" si="57"/>
        <v>0</v>
      </c>
      <c r="V1160" s="112"/>
      <c r="W1160" s="112"/>
      <c r="X1160" s="107"/>
      <c r="Y1160" s="107">
        <f t="shared" si="58"/>
        <v>100</v>
      </c>
      <c r="Z1160" s="107">
        <f t="shared" si="59"/>
        <v>100</v>
      </c>
    </row>
    <row r="1161" spans="1:26" x14ac:dyDescent="0.25">
      <c r="A1161" s="55" t="str">
        <f>_xlfn.XLOOKUP($G1161,'.Auxiliar'!$G:$G,'.Auxiliar'!A:A,"-",0)</f>
        <v>TRANSBRASILIANA</v>
      </c>
      <c r="B1161" s="55" t="str">
        <f>_xlfn.XLOOKUP($G1161,'.Auxiliar'!$G:$G,'.Auxiliar'!B:B,"-",0)</f>
        <v>DUPLICAÇÃO</v>
      </c>
      <c r="C1161" s="55" t="str">
        <f>_xlfn.XLOOKUP($G1161,'.Auxiliar'!$G:$G,'.Auxiliar'!C:C,"-",0)</f>
        <v>Duplicações (inclusive OAE's)</v>
      </c>
      <c r="D1161" s="55">
        <f>_xlfn.XLOOKUP($G1161,'.Auxiliar'!$G:$G,'.Auxiliar'!D:D,"-",0)</f>
        <v>72.099999999999994</v>
      </c>
      <c r="E1161" s="55">
        <f>_xlfn.XLOOKUP($G1161,'.Auxiliar'!$G:$G,'.Auxiliar'!E:E,"-",0)</f>
        <v>74.900000000000006</v>
      </c>
      <c r="F1161" s="55">
        <f>_xlfn.XLOOKUP($G1161,'.Auxiliar'!$G:$G,'.Auxiliar'!F:F,"-",0)</f>
        <v>2.8000000000000114</v>
      </c>
      <c r="G1161" s="59" t="s">
        <v>613</v>
      </c>
      <c r="H1161" s="108" t="s">
        <v>363</v>
      </c>
      <c r="I1161" s="109" t="s">
        <v>0</v>
      </c>
      <c r="J1161" s="109" t="s">
        <v>0</v>
      </c>
      <c r="K1161" s="109" t="s">
        <v>0</v>
      </c>
      <c r="L1161" s="109" t="s">
        <v>0</v>
      </c>
      <c r="M1161" s="109" t="s">
        <v>0</v>
      </c>
      <c r="N1161" s="110" t="s">
        <v>0</v>
      </c>
      <c r="O1161" s="111">
        <v>100</v>
      </c>
      <c r="P1161" s="112">
        <v>100</v>
      </c>
      <c r="Q1161" s="112"/>
      <c r="R1161" s="112"/>
      <c r="S1161" s="112"/>
      <c r="T1161" s="112"/>
      <c r="U1161" s="95">
        <f t="shared" si="57"/>
        <v>0</v>
      </c>
      <c r="V1161" s="112"/>
      <c r="W1161" s="112"/>
      <c r="X1161" s="107"/>
      <c r="Y1161" s="107">
        <f t="shared" si="58"/>
        <v>100</v>
      </c>
      <c r="Z1161" s="107">
        <f t="shared" si="59"/>
        <v>100</v>
      </c>
    </row>
    <row r="1162" spans="1:26" x14ac:dyDescent="0.25">
      <c r="A1162" s="55" t="str">
        <f>_xlfn.XLOOKUP($G1162,'.Auxiliar'!$G:$G,'.Auxiliar'!A:A,"-",0)</f>
        <v>TRANSBRASILIANA</v>
      </c>
      <c r="B1162" s="55" t="str">
        <f>_xlfn.XLOOKUP($G1162,'.Auxiliar'!$G:$G,'.Auxiliar'!B:B,"-",0)</f>
        <v>DUPLICAÇÃO</v>
      </c>
      <c r="C1162" s="55" t="str">
        <f>_xlfn.XLOOKUP($G1162,'.Auxiliar'!$G:$G,'.Auxiliar'!C:C,"-",0)</f>
        <v>Duplicações (inclusive OAE's)</v>
      </c>
      <c r="D1162" s="55">
        <f>_xlfn.XLOOKUP($G1162,'.Auxiliar'!$G:$G,'.Auxiliar'!D:D,"-",0)</f>
        <v>74.900000000000006</v>
      </c>
      <c r="E1162" s="55">
        <f>_xlfn.XLOOKUP($G1162,'.Auxiliar'!$G:$G,'.Auxiliar'!E:E,"-",0)</f>
        <v>99.8</v>
      </c>
      <c r="F1162" s="55">
        <f>_xlfn.XLOOKUP($G1162,'.Auxiliar'!$G:$G,'.Auxiliar'!F:F,"-",0)</f>
        <v>24.899999999999991</v>
      </c>
      <c r="G1162" s="59" t="s">
        <v>610</v>
      </c>
      <c r="H1162" s="108" t="s">
        <v>363</v>
      </c>
      <c r="I1162" s="115" t="s">
        <v>1881</v>
      </c>
      <c r="J1162" s="109" t="s">
        <v>0</v>
      </c>
      <c r="K1162" s="109" t="s">
        <v>363</v>
      </c>
      <c r="L1162" s="109" t="s">
        <v>0</v>
      </c>
      <c r="M1162" s="109" t="s">
        <v>0</v>
      </c>
      <c r="N1162" s="110" t="s">
        <v>0</v>
      </c>
      <c r="O1162" s="111">
        <v>75.36</v>
      </c>
      <c r="P1162" s="112">
        <v>49.84</v>
      </c>
      <c r="Q1162" s="112">
        <v>24.98</v>
      </c>
      <c r="R1162" s="112">
        <v>24.98</v>
      </c>
      <c r="S1162" s="112">
        <v>18.309999999999999</v>
      </c>
      <c r="T1162" s="112">
        <v>6.39</v>
      </c>
      <c r="U1162" s="95">
        <f t="shared" si="57"/>
        <v>25.179999999999993</v>
      </c>
      <c r="V1162" s="112">
        <v>6.87</v>
      </c>
      <c r="W1162" s="112"/>
      <c r="X1162" s="107"/>
      <c r="Y1162" s="107">
        <f t="shared" si="58"/>
        <v>100.00000000000001</v>
      </c>
      <c r="Z1162" s="107">
        <f t="shared" si="59"/>
        <v>81.210000000000008</v>
      </c>
    </row>
    <row r="1163" spans="1:26" x14ac:dyDescent="0.25">
      <c r="A1163" s="55" t="str">
        <f>_xlfn.XLOOKUP($G1163,'.Auxiliar'!$G:$G,'.Auxiliar'!A:A,"-",0)</f>
        <v>TRANSBRASILIANA</v>
      </c>
      <c r="B1163" s="55" t="str">
        <f>_xlfn.XLOOKUP($G1163,'.Auxiliar'!$G:$G,'.Auxiliar'!B:B,"-",0)</f>
        <v>DUPLICAÇÃO</v>
      </c>
      <c r="C1163" s="55" t="str">
        <f>_xlfn.XLOOKUP($G1163,'.Auxiliar'!$G:$G,'.Auxiliar'!C:C,"-",0)</f>
        <v>Obras de Duplicação – Lote 01: km 0 ao km 51+700, com execução prevista do 14º ano ao 17º ano</v>
      </c>
      <c r="D1163" s="55">
        <f>_xlfn.XLOOKUP($G1163,'.Auxiliar'!$G:$G,'.Auxiliar'!D:D,"-",0)</f>
        <v>0</v>
      </c>
      <c r="E1163" s="55">
        <f>_xlfn.XLOOKUP($G1163,'.Auxiliar'!$G:$G,'.Auxiliar'!E:E,"-",0)</f>
        <v>51.7</v>
      </c>
      <c r="F1163" s="55">
        <f>_xlfn.XLOOKUP($G1163,'.Auxiliar'!$G:$G,'.Auxiliar'!F:F,"-",0)</f>
        <v>51.7</v>
      </c>
      <c r="G1163" s="59" t="s">
        <v>897</v>
      </c>
      <c r="H1163" s="108" t="s">
        <v>0</v>
      </c>
      <c r="I1163" s="109" t="s">
        <v>0</v>
      </c>
      <c r="J1163" s="109" t="s">
        <v>363</v>
      </c>
      <c r="K1163" s="109" t="s">
        <v>0</v>
      </c>
      <c r="L1163" s="109" t="s">
        <v>0</v>
      </c>
      <c r="M1163" s="109" t="s">
        <v>0</v>
      </c>
      <c r="N1163" s="110" t="s">
        <v>0</v>
      </c>
      <c r="O1163" s="111"/>
      <c r="P1163" s="112"/>
      <c r="Q1163" s="112"/>
      <c r="R1163" s="112"/>
      <c r="S1163" s="95"/>
      <c r="T1163" s="112"/>
      <c r="U1163" s="95" t="str">
        <f t="shared" si="57"/>
        <v/>
      </c>
      <c r="V1163" s="112"/>
      <c r="W1163" s="112"/>
      <c r="X1163" s="107">
        <v>100</v>
      </c>
      <c r="Y1163" s="107">
        <f t="shared" si="58"/>
        <v>100</v>
      </c>
      <c r="Z1163" s="107">
        <f t="shared" si="59"/>
        <v>0</v>
      </c>
    </row>
    <row r="1164" spans="1:26" x14ac:dyDescent="0.25">
      <c r="A1164" s="55" t="str">
        <f>_xlfn.XLOOKUP($G1164,'.Auxiliar'!$G:$G,'.Auxiliar'!A:A,"-",0)</f>
        <v>TRANSBRASILIANA</v>
      </c>
      <c r="B1164" s="55" t="str">
        <f>_xlfn.XLOOKUP($G1164,'.Auxiliar'!$G:$G,'.Auxiliar'!B:B,"-",0)</f>
        <v>DUPLICAÇÃO</v>
      </c>
      <c r="C1164" s="55" t="str">
        <f>_xlfn.XLOOKUP($G1164,'.Auxiliar'!$G:$G,'.Auxiliar'!C:C,"-",0)</f>
        <v>Obras de Duplicação – Lote 02: km 162+000 ao 195+000, com execução prevista do 14º ano ao 16º ano</v>
      </c>
      <c r="D1164" s="55">
        <f>_xlfn.XLOOKUP($G1164,'.Auxiliar'!$G:$G,'.Auxiliar'!D:D,"-",0)</f>
        <v>162</v>
      </c>
      <c r="E1164" s="55">
        <f>_xlfn.XLOOKUP($G1164,'.Auxiliar'!$G:$G,'.Auxiliar'!E:E,"-",0)</f>
        <v>195</v>
      </c>
      <c r="F1164" s="55">
        <f>_xlfn.XLOOKUP($G1164,'.Auxiliar'!$G:$G,'.Auxiliar'!F:F,"-",0)</f>
        <v>33</v>
      </c>
      <c r="G1164" s="59" t="s">
        <v>832</v>
      </c>
      <c r="H1164" s="108" t="s">
        <v>0</v>
      </c>
      <c r="I1164" s="109" t="s">
        <v>368</v>
      </c>
      <c r="J1164" s="109" t="s">
        <v>0</v>
      </c>
      <c r="K1164" s="109" t="s">
        <v>363</v>
      </c>
      <c r="L1164" s="109" t="s">
        <v>0</v>
      </c>
      <c r="M1164" s="109" t="s">
        <v>0</v>
      </c>
      <c r="N1164" s="110" t="s">
        <v>0</v>
      </c>
      <c r="O1164" s="111"/>
      <c r="P1164" s="112"/>
      <c r="Q1164" s="112"/>
      <c r="R1164" s="112"/>
      <c r="S1164" s="112"/>
      <c r="T1164" s="112"/>
      <c r="U1164" s="95" t="str">
        <f t="shared" si="57"/>
        <v/>
      </c>
      <c r="V1164" s="112"/>
      <c r="W1164" s="112"/>
      <c r="X1164" s="107">
        <v>100</v>
      </c>
      <c r="Y1164" s="107">
        <f t="shared" si="58"/>
        <v>100</v>
      </c>
      <c r="Z1164" s="107">
        <f t="shared" si="59"/>
        <v>0</v>
      </c>
    </row>
    <row r="1165" spans="1:26" x14ac:dyDescent="0.25">
      <c r="A1165" s="55" t="str">
        <f>_xlfn.XLOOKUP($G1165,'.Auxiliar'!$G:$G,'.Auxiliar'!A:A,"-",0)</f>
        <v>TRANSBRASILIANA</v>
      </c>
      <c r="B1165" s="55" t="str">
        <f>_xlfn.XLOOKUP($G1165,'.Auxiliar'!$G:$G,'.Auxiliar'!B:B,"-",0)</f>
        <v>OAE</v>
      </c>
      <c r="C1165" s="55" t="str">
        <f>_xlfn.XLOOKUP($G1165,'.Auxiliar'!$G:$G,'.Auxiliar'!C:C,"-",0)</f>
        <v>Implantação de Passagens em Desnível Inferior tipo Galeria:</v>
      </c>
      <c r="D1165" s="55">
        <f>_xlfn.XLOOKUP($G1165,'.Auxiliar'!$G:$G,'.Auxiliar'!D:D,"-",0)</f>
        <v>51.04</v>
      </c>
      <c r="E1165" s="55">
        <f>_xlfn.XLOOKUP($G1165,'.Auxiliar'!$G:$G,'.Auxiliar'!E:E,"-",0)</f>
        <v>51.04</v>
      </c>
      <c r="F1165" s="55">
        <f>_xlfn.XLOOKUP($G1165,'.Auxiliar'!$G:$G,'.Auxiliar'!F:F,"-",0)</f>
        <v>1</v>
      </c>
      <c r="G1165" s="59" t="s">
        <v>620</v>
      </c>
      <c r="H1165" s="108" t="s">
        <v>363</v>
      </c>
      <c r="I1165" s="109" t="s">
        <v>0</v>
      </c>
      <c r="J1165" s="109" t="s">
        <v>0</v>
      </c>
      <c r="K1165" s="109" t="s">
        <v>363</v>
      </c>
      <c r="L1165" s="109" t="s">
        <v>0</v>
      </c>
      <c r="M1165" s="109" t="s">
        <v>0</v>
      </c>
      <c r="N1165" s="110" t="s">
        <v>0</v>
      </c>
      <c r="O1165" s="111">
        <v>100</v>
      </c>
      <c r="P1165" s="112">
        <v>100</v>
      </c>
      <c r="Q1165" s="112"/>
      <c r="R1165" s="112"/>
      <c r="S1165" s="112"/>
      <c r="T1165" s="112"/>
      <c r="U1165" s="95">
        <f t="shared" si="57"/>
        <v>0</v>
      </c>
      <c r="V1165" s="112"/>
      <c r="W1165" s="112"/>
      <c r="X1165" s="107"/>
      <c r="Y1165" s="107">
        <f t="shared" si="58"/>
        <v>100</v>
      </c>
      <c r="Z1165" s="107">
        <f t="shared" si="59"/>
        <v>100</v>
      </c>
    </row>
    <row r="1166" spans="1:26" x14ac:dyDescent="0.25">
      <c r="A1166" s="55" t="str">
        <f>_xlfn.XLOOKUP($G1166,'.Auxiliar'!$G:$G,'.Auxiliar'!A:A,"-",0)</f>
        <v>TRANSBRASILIANA</v>
      </c>
      <c r="B1166" s="55" t="str">
        <f>_xlfn.XLOOKUP($G1166,'.Auxiliar'!$G:$G,'.Auxiliar'!B:B,"-",0)</f>
        <v>OAE</v>
      </c>
      <c r="C1166" s="55" t="str">
        <f>_xlfn.XLOOKUP($G1166,'.Auxiliar'!$G:$G,'.Auxiliar'!C:C,"-",0)</f>
        <v>Implantação de Passagens em Desnível Inferior tipo Galeria:</v>
      </c>
      <c r="D1166" s="55">
        <f>_xlfn.XLOOKUP($G1166,'.Auxiliar'!$G:$G,'.Auxiliar'!D:D,"-",0)</f>
        <v>53.1</v>
      </c>
      <c r="E1166" s="55">
        <f>_xlfn.XLOOKUP($G1166,'.Auxiliar'!$G:$G,'.Auxiliar'!E:E,"-",0)</f>
        <v>53.1</v>
      </c>
      <c r="F1166" s="55">
        <f>_xlfn.XLOOKUP($G1166,'.Auxiliar'!$G:$G,'.Auxiliar'!F:F,"-",0)</f>
        <v>1</v>
      </c>
      <c r="G1166" s="59" t="s">
        <v>621</v>
      </c>
      <c r="H1166" s="108" t="s">
        <v>363</v>
      </c>
      <c r="I1166" s="109" t="s">
        <v>0</v>
      </c>
      <c r="J1166" s="109" t="s">
        <v>0</v>
      </c>
      <c r="K1166" s="109" t="s">
        <v>363</v>
      </c>
      <c r="L1166" s="109" t="s">
        <v>0</v>
      </c>
      <c r="M1166" s="109" t="s">
        <v>0</v>
      </c>
      <c r="N1166" s="110" t="s">
        <v>0</v>
      </c>
      <c r="O1166" s="111">
        <v>100</v>
      </c>
      <c r="P1166" s="112">
        <v>100</v>
      </c>
      <c r="Q1166" s="112"/>
      <c r="R1166" s="112"/>
      <c r="S1166" s="112"/>
      <c r="T1166" s="112"/>
      <c r="U1166" s="95">
        <f t="shared" si="57"/>
        <v>0</v>
      </c>
      <c r="V1166" s="112"/>
      <c r="W1166" s="112"/>
      <c r="X1166" s="107"/>
      <c r="Y1166" s="107">
        <f t="shared" si="58"/>
        <v>100</v>
      </c>
      <c r="Z1166" s="107">
        <f t="shared" si="59"/>
        <v>100</v>
      </c>
    </row>
    <row r="1167" spans="1:26" x14ac:dyDescent="0.25">
      <c r="A1167" s="55" t="str">
        <f>_xlfn.XLOOKUP($G1167,'.Auxiliar'!$G:$G,'.Auxiliar'!A:A,"-",0)</f>
        <v>TRANSBRASILIANA</v>
      </c>
      <c r="B1167" s="55" t="str">
        <f>_xlfn.XLOOKUP($G1167,'.Auxiliar'!$G:$G,'.Auxiliar'!B:B,"-",0)</f>
        <v>OAE</v>
      </c>
      <c r="C1167" s="55" t="str">
        <f>_xlfn.XLOOKUP($G1167,'.Auxiliar'!$G:$G,'.Auxiliar'!C:C,"-",0)</f>
        <v>Implantação de Passagens em Desnível Inferior tipo Galeria:</v>
      </c>
      <c r="D1167" s="55">
        <f>_xlfn.XLOOKUP($G1167,'.Auxiliar'!$G:$G,'.Auxiliar'!D:D,"-",0)</f>
        <v>73</v>
      </c>
      <c r="E1167" s="55">
        <f>_xlfn.XLOOKUP($G1167,'.Auxiliar'!$G:$G,'.Auxiliar'!E:E,"-",0)</f>
        <v>73</v>
      </c>
      <c r="F1167" s="55">
        <f>_xlfn.XLOOKUP($G1167,'.Auxiliar'!$G:$G,'.Auxiliar'!F:F,"-",0)</f>
        <v>1</v>
      </c>
      <c r="G1167" s="59" t="s">
        <v>619</v>
      </c>
      <c r="H1167" s="108" t="s">
        <v>363</v>
      </c>
      <c r="I1167" s="109" t="s">
        <v>0</v>
      </c>
      <c r="J1167" s="109" t="s">
        <v>0</v>
      </c>
      <c r="K1167" s="109" t="s">
        <v>363</v>
      </c>
      <c r="L1167" s="109" t="s">
        <v>0</v>
      </c>
      <c r="M1167" s="109" t="s">
        <v>0</v>
      </c>
      <c r="N1167" s="110" t="s">
        <v>0</v>
      </c>
      <c r="O1167" s="111">
        <v>100</v>
      </c>
      <c r="P1167" s="112">
        <v>100</v>
      </c>
      <c r="Q1167" s="112"/>
      <c r="R1167" s="112"/>
      <c r="S1167" s="112"/>
      <c r="T1167" s="112"/>
      <c r="U1167" s="95">
        <f t="shared" si="57"/>
        <v>0</v>
      </c>
      <c r="V1167" s="112"/>
      <c r="W1167" s="112"/>
      <c r="X1167" s="107"/>
      <c r="Y1167" s="107">
        <f t="shared" si="58"/>
        <v>100</v>
      </c>
      <c r="Z1167" s="107">
        <f t="shared" si="59"/>
        <v>100</v>
      </c>
    </row>
    <row r="1168" spans="1:26" ht="14.25" customHeight="1" x14ac:dyDescent="0.25">
      <c r="A1168" s="55" t="str">
        <f>_xlfn.XLOOKUP($G1168,'.Auxiliar'!$G:$G,'.Auxiliar'!A:A,"-",0)</f>
        <v>TRANSBRASILIANA</v>
      </c>
      <c r="B1168" s="55" t="str">
        <f>_xlfn.XLOOKUP($G1168,'.Auxiliar'!$G:$G,'.Auxiliar'!B:B,"-",0)</f>
        <v>OAE</v>
      </c>
      <c r="C1168" s="55" t="str">
        <f>_xlfn.XLOOKUP($G1168,'.Auxiliar'!$G:$G,'.Auxiliar'!C:C,"-",0)</f>
        <v>Implantação de Passagens em Desnível Inferior tipo Galeria:</v>
      </c>
      <c r="D1168" s="55">
        <f>_xlfn.XLOOKUP($G1168,'.Auxiliar'!$G:$G,'.Auxiliar'!D:D,"-",0)</f>
        <v>85.1</v>
      </c>
      <c r="E1168" s="55">
        <f>_xlfn.XLOOKUP($G1168,'.Auxiliar'!$G:$G,'.Auxiliar'!E:E,"-",0)</f>
        <v>85.1</v>
      </c>
      <c r="F1168" s="55">
        <f>_xlfn.XLOOKUP($G1168,'.Auxiliar'!$G:$G,'.Auxiliar'!F:F,"-",0)</f>
        <v>1</v>
      </c>
      <c r="G1168" s="59" t="s">
        <v>622</v>
      </c>
      <c r="H1168" s="108" t="s">
        <v>363</v>
      </c>
      <c r="I1168" s="115" t="s">
        <v>1881</v>
      </c>
      <c r="J1168" s="109" t="s">
        <v>0</v>
      </c>
      <c r="K1168" s="109" t="s">
        <v>363</v>
      </c>
      <c r="L1168" s="109" t="s">
        <v>0</v>
      </c>
      <c r="M1168" s="109" t="s">
        <v>0</v>
      </c>
      <c r="N1168" s="110" t="s">
        <v>0</v>
      </c>
      <c r="O1168" s="111">
        <v>72.77</v>
      </c>
      <c r="P1168" s="112">
        <v>72.77</v>
      </c>
      <c r="Q1168" s="112">
        <f>100-O1168</f>
        <v>27.230000000000004</v>
      </c>
      <c r="R1168" s="112">
        <f>100-P1168</f>
        <v>27.230000000000004</v>
      </c>
      <c r="S1168" s="112"/>
      <c r="T1168" s="112"/>
      <c r="U1168" s="95">
        <f t="shared" si="57"/>
        <v>0</v>
      </c>
      <c r="V1168" s="112"/>
      <c r="W1168" s="112"/>
      <c r="X1168" s="107"/>
      <c r="Y1168" s="107">
        <f t="shared" si="58"/>
        <v>100</v>
      </c>
      <c r="Z1168" s="107">
        <f t="shared" si="59"/>
        <v>100</v>
      </c>
    </row>
    <row r="1169" spans="1:26" x14ac:dyDescent="0.25">
      <c r="A1169" s="55" t="str">
        <f>_xlfn.XLOOKUP($G1169,'.Auxiliar'!$G:$G,'.Auxiliar'!A:A,"-",0)</f>
        <v>TRANSBRASILIANA</v>
      </c>
      <c r="B1169" s="55" t="str">
        <f>_xlfn.XLOOKUP($G1169,'.Auxiliar'!$G:$G,'.Auxiliar'!B:B,"-",0)</f>
        <v>OAE</v>
      </c>
      <c r="C1169" s="55" t="str">
        <f>_xlfn.XLOOKUP($G1169,'.Auxiliar'!$G:$G,'.Auxiliar'!C:C,"-",0)</f>
        <v>Implantação de Passagens em Desnível Inferior tipo Galeria:</v>
      </c>
      <c r="D1169" s="120">
        <f>_xlfn.XLOOKUP($G1169,'.Auxiliar'!$G:$G,'.Auxiliar'!D:D,"-",0)</f>
        <v>97</v>
      </c>
      <c r="E1169" s="55">
        <f>_xlfn.XLOOKUP($G1169,'.Auxiliar'!$G:$G,'.Auxiliar'!E:E,"-",0)</f>
        <v>97</v>
      </c>
      <c r="F1169" s="55">
        <f>_xlfn.XLOOKUP($G1169,'.Auxiliar'!$G:$G,'.Auxiliar'!F:F,"-",0)</f>
        <v>1</v>
      </c>
      <c r="G1169" s="59" t="s">
        <v>623</v>
      </c>
      <c r="H1169" s="108" t="s">
        <v>363</v>
      </c>
      <c r="I1169" s="115" t="s">
        <v>1881</v>
      </c>
      <c r="J1169" s="109" t="s">
        <v>0</v>
      </c>
      <c r="K1169" s="109" t="s">
        <v>363</v>
      </c>
      <c r="L1169" s="109" t="s">
        <v>0</v>
      </c>
      <c r="M1169" s="109" t="s">
        <v>0</v>
      </c>
      <c r="N1169" s="110" t="s">
        <v>0</v>
      </c>
      <c r="O1169" s="111">
        <v>4.45</v>
      </c>
      <c r="P1169" s="112">
        <v>4.45</v>
      </c>
      <c r="Q1169" s="112">
        <v>87.64</v>
      </c>
      <c r="R1169" s="112">
        <v>87.64</v>
      </c>
      <c r="S1169" s="112">
        <f>100-(P1169+R1169)</f>
        <v>7.9099999999999966</v>
      </c>
      <c r="T1169" s="112">
        <v>5.88</v>
      </c>
      <c r="U1169" s="95">
        <f t="shared" si="57"/>
        <v>7.9099999999999966</v>
      </c>
      <c r="V1169" s="112"/>
      <c r="W1169" s="112"/>
      <c r="X1169" s="107"/>
      <c r="Y1169" s="107">
        <f t="shared" si="58"/>
        <v>100</v>
      </c>
      <c r="Z1169" s="107">
        <f t="shared" si="59"/>
        <v>97.97</v>
      </c>
    </row>
    <row r="1170" spans="1:26" x14ac:dyDescent="0.25">
      <c r="A1170" s="55" t="str">
        <f>_xlfn.XLOOKUP($G1170,'.Auxiliar'!$G:$G,'.Auxiliar'!A:A,"-",0)</f>
        <v>TRANSBRASILIANA</v>
      </c>
      <c r="B1170" s="55" t="str">
        <f>_xlfn.XLOOKUP($G1170,'.Auxiliar'!$G:$G,'.Auxiliar'!B:B,"-",0)</f>
        <v>OAE</v>
      </c>
      <c r="C1170" s="55" t="str">
        <f>_xlfn.XLOOKUP($G1170,'.Auxiliar'!$G:$G,'.Auxiliar'!C:C,"-",0)</f>
        <v>Implantação de Passagens em Desnível Inferior Tipo Viaduto: a definir, a ser executada no 16º ano.</v>
      </c>
      <c r="D1170" s="55">
        <f>_xlfn.XLOOKUP($G1170,'.Auxiliar'!$G:$G,'.Auxiliar'!D:D,"-",0)</f>
        <v>1</v>
      </c>
      <c r="E1170" s="55">
        <f>_xlfn.XLOOKUP($G1170,'.Auxiliar'!$G:$G,'.Auxiliar'!E:E,"-",0)</f>
        <v>1</v>
      </c>
      <c r="F1170" s="55">
        <f>_xlfn.XLOOKUP($G1170,'.Auxiliar'!$G:$G,'.Auxiliar'!F:F,"-",0)</f>
        <v>1</v>
      </c>
      <c r="G1170" s="59" t="s">
        <v>848</v>
      </c>
      <c r="H1170" s="108" t="s">
        <v>0</v>
      </c>
      <c r="I1170" s="109" t="s">
        <v>368</v>
      </c>
      <c r="J1170" s="109" t="s">
        <v>0</v>
      </c>
      <c r="K1170" s="109" t="s">
        <v>363</v>
      </c>
      <c r="L1170" s="109" t="s">
        <v>0</v>
      </c>
      <c r="M1170" s="109" t="s">
        <v>0</v>
      </c>
      <c r="N1170" s="110" t="s">
        <v>0</v>
      </c>
      <c r="O1170" s="111"/>
      <c r="P1170" s="112"/>
      <c r="Q1170" s="112"/>
      <c r="R1170" s="112"/>
      <c r="S1170" s="112">
        <v>100</v>
      </c>
      <c r="T1170" s="112">
        <v>0</v>
      </c>
      <c r="U1170" s="95">
        <f t="shared" si="57"/>
        <v>100</v>
      </c>
      <c r="V1170" s="112"/>
      <c r="W1170" s="112"/>
      <c r="X1170" s="107"/>
      <c r="Y1170" s="107">
        <f t="shared" si="58"/>
        <v>100</v>
      </c>
      <c r="Z1170" s="107">
        <f t="shared" si="59"/>
        <v>0</v>
      </c>
    </row>
    <row r="1171" spans="1:26" x14ac:dyDescent="0.25">
      <c r="A1171" s="55" t="str">
        <f>_xlfn.XLOOKUP($G1171,'.Auxiliar'!$G:$G,'.Auxiliar'!A:A,"-",0)</f>
        <v>TRANSBRASILIANA</v>
      </c>
      <c r="B1171" s="55" t="str">
        <f>_xlfn.XLOOKUP($G1171,'.Auxiliar'!$G:$G,'.Auxiliar'!B:B,"-",0)</f>
        <v>OAE</v>
      </c>
      <c r="C1171" s="55" t="str">
        <f>_xlfn.XLOOKUP($G1171,'.Auxiliar'!$G:$G,'.Auxiliar'!C:C,"-",0)</f>
        <v>Implantação de Trevos em Desnível, com Alças, em Pista Dupla – Completo: 3 interseções em localização a definir</v>
      </c>
      <c r="D1171" s="55">
        <f>_xlfn.XLOOKUP($G1171,'.Auxiliar'!$G:$G,'.Auxiliar'!D:D,"-",0)</f>
        <v>1</v>
      </c>
      <c r="E1171" s="55">
        <f>_xlfn.XLOOKUP($G1171,'.Auxiliar'!$G:$G,'.Auxiliar'!E:E,"-",0)</f>
        <v>1</v>
      </c>
      <c r="F1171" s="55">
        <f>_xlfn.XLOOKUP($G1171,'.Auxiliar'!$G:$G,'.Auxiliar'!F:F,"-",0)</f>
        <v>3</v>
      </c>
      <c r="G1171" s="59" t="s">
        <v>847</v>
      </c>
      <c r="H1171" s="108" t="s">
        <v>0</v>
      </c>
      <c r="I1171" s="109" t="s">
        <v>368</v>
      </c>
      <c r="J1171" s="109" t="s">
        <v>0</v>
      </c>
      <c r="K1171" s="109" t="s">
        <v>363</v>
      </c>
      <c r="L1171" s="109" t="s">
        <v>0</v>
      </c>
      <c r="M1171" s="109" t="s">
        <v>0</v>
      </c>
      <c r="N1171" s="110" t="s">
        <v>0</v>
      </c>
      <c r="O1171" s="111"/>
      <c r="P1171" s="112"/>
      <c r="Q1171" s="112"/>
      <c r="R1171" s="112"/>
      <c r="S1171" s="112">
        <v>100</v>
      </c>
      <c r="T1171" s="112">
        <v>0</v>
      </c>
      <c r="U1171" s="95">
        <f t="shared" si="57"/>
        <v>100</v>
      </c>
      <c r="V1171" s="112"/>
      <c r="W1171" s="112"/>
      <c r="X1171" s="107"/>
      <c r="Y1171" s="107">
        <f t="shared" si="58"/>
        <v>100</v>
      </c>
      <c r="Z1171" s="107">
        <f t="shared" si="59"/>
        <v>0</v>
      </c>
    </row>
    <row r="1172" spans="1:26" x14ac:dyDescent="0.25">
      <c r="A1172" s="55" t="str">
        <f>_xlfn.XLOOKUP($G1172,'.Auxiliar'!$G:$G,'.Auxiliar'!A:A,"-",0)</f>
        <v>TRANSBRASILIANA</v>
      </c>
      <c r="B1172" s="55" t="str">
        <f>_xlfn.XLOOKUP($G1172,'.Auxiliar'!$G:$G,'.Auxiliar'!B:B,"-",0)</f>
        <v>OAE</v>
      </c>
      <c r="C1172" s="55" t="str">
        <f>_xlfn.XLOOKUP($G1172,'.Auxiliar'!$G:$G,'.Auxiliar'!C:C,"-",0)</f>
        <v>Implantação de Trevos em Desnível, com Alças, em Pista Dupla – Completo: final do Contorno de Ourinhos (interseção com SP-270),</v>
      </c>
      <c r="D1172" s="55">
        <f>_xlfn.XLOOKUP($G1172,'.Auxiliar'!$G:$G,'.Auxiliar'!D:D,"-",0)</f>
        <v>338.3</v>
      </c>
      <c r="E1172" s="55">
        <f>_xlfn.XLOOKUP($G1172,'.Auxiliar'!$G:$G,'.Auxiliar'!E:E,"-",0)</f>
        <v>338.3</v>
      </c>
      <c r="F1172" s="55">
        <f>_xlfn.XLOOKUP($G1172,'.Auxiliar'!$G:$G,'.Auxiliar'!F:F,"-",0)</f>
        <v>1</v>
      </c>
      <c r="G1172" s="59" t="s">
        <v>618</v>
      </c>
      <c r="H1172" s="108" t="s">
        <v>363</v>
      </c>
      <c r="I1172" s="109" t="s">
        <v>0</v>
      </c>
      <c r="J1172" s="109" t="s">
        <v>0</v>
      </c>
      <c r="K1172" s="109" t="s">
        <v>0</v>
      </c>
      <c r="L1172" s="109" t="s">
        <v>0</v>
      </c>
      <c r="M1172" s="109" t="s">
        <v>0</v>
      </c>
      <c r="N1172" s="110" t="s">
        <v>0</v>
      </c>
      <c r="O1172" s="111">
        <v>100</v>
      </c>
      <c r="P1172" s="112">
        <v>100</v>
      </c>
      <c r="Q1172" s="112"/>
      <c r="R1172" s="112"/>
      <c r="S1172" s="112"/>
      <c r="T1172" s="112"/>
      <c r="U1172" s="95">
        <f t="shared" si="57"/>
        <v>0</v>
      </c>
      <c r="V1172" s="112"/>
      <c r="W1172" s="112"/>
      <c r="X1172" s="107"/>
      <c r="Y1172" s="107">
        <f t="shared" si="58"/>
        <v>100</v>
      </c>
      <c r="Z1172" s="107">
        <f t="shared" si="59"/>
        <v>100</v>
      </c>
    </row>
    <row r="1173" spans="1:26" x14ac:dyDescent="0.25">
      <c r="A1173" s="55" t="str">
        <f>_xlfn.XLOOKUP($G1173,'.Auxiliar'!$G:$G,'.Auxiliar'!A:A,"-",0)</f>
        <v>TRANSBRASILIANA</v>
      </c>
      <c r="B1173" s="55" t="str">
        <f>_xlfn.XLOOKUP($G1173,'.Auxiliar'!$G:$G,'.Auxiliar'!B:B,"-",0)</f>
        <v>OAE</v>
      </c>
      <c r="C1173" s="55" t="str">
        <f>_xlfn.XLOOKUP($G1173,'.Auxiliar'!$G:$G,'.Auxiliar'!C:C,"-",0)</f>
        <v>Implantação de Trevos em Desnível, com Alças, em Pista Dupla – Completo: início do Contorno de Ourinhos (interseção com a BR-153)</v>
      </c>
      <c r="D1173" s="55">
        <f>_xlfn.XLOOKUP($G1173,'.Auxiliar'!$G:$G,'.Auxiliar'!D:D,"-",0)</f>
        <v>337</v>
      </c>
      <c r="E1173" s="55">
        <f>_xlfn.XLOOKUP($G1173,'.Auxiliar'!$G:$G,'.Auxiliar'!E:E,"-",0)</f>
        <v>337</v>
      </c>
      <c r="F1173" s="55">
        <f>_xlfn.XLOOKUP($G1173,'.Auxiliar'!$G:$G,'.Auxiliar'!F:F,"-",0)</f>
        <v>1</v>
      </c>
      <c r="G1173" s="59" t="s">
        <v>617</v>
      </c>
      <c r="H1173" s="108" t="s">
        <v>363</v>
      </c>
      <c r="I1173" s="109" t="s">
        <v>0</v>
      </c>
      <c r="J1173" s="109" t="s">
        <v>0</v>
      </c>
      <c r="K1173" s="109" t="s">
        <v>0</v>
      </c>
      <c r="L1173" s="109" t="s">
        <v>0</v>
      </c>
      <c r="M1173" s="109" t="s">
        <v>0</v>
      </c>
      <c r="N1173" s="110" t="s">
        <v>0</v>
      </c>
      <c r="O1173" s="111">
        <v>100</v>
      </c>
      <c r="P1173" s="112">
        <v>100</v>
      </c>
      <c r="Q1173" s="112"/>
      <c r="R1173" s="112"/>
      <c r="S1173" s="112"/>
      <c r="T1173" s="112"/>
      <c r="U1173" s="95">
        <f t="shared" si="57"/>
        <v>0</v>
      </c>
      <c r="V1173" s="112"/>
      <c r="W1173" s="112"/>
      <c r="X1173" s="107"/>
      <c r="Y1173" s="107">
        <f t="shared" si="58"/>
        <v>100</v>
      </c>
      <c r="Z1173" s="107">
        <f t="shared" si="59"/>
        <v>100</v>
      </c>
    </row>
    <row r="1174" spans="1:26" x14ac:dyDescent="0.25">
      <c r="A1174" s="55" t="str">
        <f>_xlfn.XLOOKUP($G1174,'.Auxiliar'!$G:$G,'.Auxiliar'!A:A,"-",0)</f>
        <v>TRANSBRASILIANA</v>
      </c>
      <c r="B1174" s="55" t="str">
        <f>_xlfn.XLOOKUP($G1174,'.Auxiliar'!$G:$G,'.Auxiliar'!B:B,"-",0)</f>
        <v>OAE</v>
      </c>
      <c r="C1174" s="55" t="str">
        <f>_xlfn.XLOOKUP($G1174,'.Auxiliar'!$G:$G,'.Auxiliar'!C:C,"-",0)</f>
        <v>Implantação de Trevos em Desnível, com Alças, em Pista Dupla – Parcial: km 4+800 – acesso a Icém, a ser executado no 13º ano</v>
      </c>
      <c r="D1174" s="55">
        <f>_xlfn.XLOOKUP($G1174,'.Auxiliar'!$G:$G,'.Auxiliar'!D:D,"-",0)</f>
        <v>4.8</v>
      </c>
      <c r="E1174" s="55">
        <f>_xlfn.XLOOKUP($G1174,'.Auxiliar'!$G:$G,'.Auxiliar'!E:E,"-",0)</f>
        <v>4.8</v>
      </c>
      <c r="F1174" s="55">
        <f>_xlfn.XLOOKUP($G1174,'.Auxiliar'!$G:$G,'.Auxiliar'!F:F,"-",0)</f>
        <v>1</v>
      </c>
      <c r="G1174" s="59" t="s">
        <v>616</v>
      </c>
      <c r="H1174" s="108" t="s">
        <v>363</v>
      </c>
      <c r="I1174" s="109" t="s">
        <v>0</v>
      </c>
      <c r="J1174" s="109" t="s">
        <v>0</v>
      </c>
      <c r="K1174" s="109" t="s">
        <v>363</v>
      </c>
      <c r="L1174" s="109" t="s">
        <v>0</v>
      </c>
      <c r="M1174" s="109" t="s">
        <v>0</v>
      </c>
      <c r="N1174" s="110" t="s">
        <v>0</v>
      </c>
      <c r="O1174" s="111">
        <v>100</v>
      </c>
      <c r="P1174" s="112">
        <v>0</v>
      </c>
      <c r="Q1174" s="112"/>
      <c r="R1174" s="112"/>
      <c r="S1174" s="112">
        <v>100</v>
      </c>
      <c r="T1174" s="112">
        <v>0</v>
      </c>
      <c r="U1174" s="95">
        <f t="shared" si="57"/>
        <v>100</v>
      </c>
      <c r="V1174" s="112"/>
      <c r="W1174" s="112"/>
      <c r="X1174" s="107"/>
      <c r="Y1174" s="107">
        <f t="shared" si="58"/>
        <v>100</v>
      </c>
      <c r="Z1174" s="107">
        <f t="shared" si="59"/>
        <v>0</v>
      </c>
    </row>
    <row r="1175" spans="1:26" x14ac:dyDescent="0.25">
      <c r="A1175" s="55" t="str">
        <f>_xlfn.XLOOKUP($G1175,'.Auxiliar'!$G:$G,'.Auxiliar'!A:A,"-",0)</f>
        <v>TRANSBRASILIANA</v>
      </c>
      <c r="B1175" s="55" t="str">
        <f>_xlfn.XLOOKUP($G1175,'.Auxiliar'!$G:$G,'.Auxiliar'!B:B,"-",0)</f>
        <v>OAE</v>
      </c>
      <c r="C1175" s="55" t="str">
        <f>_xlfn.XLOOKUP($G1175,'.Auxiliar'!$G:$G,'.Auxiliar'!C:C,"-",0)</f>
        <v>Implantação de Trevos em Desnível, com Alças, em Pista Dupla – Parcial: trevo no km 81 a ser executado no 12º ano</v>
      </c>
      <c r="D1175" s="55">
        <f>_xlfn.XLOOKUP($G1175,'.Auxiliar'!$G:$G,'.Auxiliar'!D:D,"-",0)</f>
        <v>81</v>
      </c>
      <c r="E1175" s="55">
        <f>_xlfn.XLOOKUP($G1175,'.Auxiliar'!$G:$G,'.Auxiliar'!E:E,"-",0)</f>
        <v>81</v>
      </c>
      <c r="F1175" s="55">
        <f>_xlfn.XLOOKUP($G1175,'.Auxiliar'!$G:$G,'.Auxiliar'!F:F,"-",0)</f>
        <v>1</v>
      </c>
      <c r="G1175" s="59" t="s">
        <v>615</v>
      </c>
      <c r="H1175" s="108" t="s">
        <v>363</v>
      </c>
      <c r="I1175" s="109" t="s">
        <v>0</v>
      </c>
      <c r="J1175" s="109" t="s">
        <v>0</v>
      </c>
      <c r="K1175" s="109" t="s">
        <v>0</v>
      </c>
      <c r="L1175" s="109" t="s">
        <v>0</v>
      </c>
      <c r="M1175" s="109" t="s">
        <v>0</v>
      </c>
      <c r="N1175" s="110" t="s">
        <v>0</v>
      </c>
      <c r="O1175" s="111">
        <v>100</v>
      </c>
      <c r="P1175" s="112">
        <v>100</v>
      </c>
      <c r="Q1175" s="112"/>
      <c r="R1175" s="112"/>
      <c r="S1175" s="112"/>
      <c r="T1175" s="112"/>
      <c r="U1175" s="95">
        <f t="shared" si="57"/>
        <v>0</v>
      </c>
      <c r="V1175" s="112"/>
      <c r="W1175" s="112"/>
      <c r="X1175" s="107"/>
      <c r="Y1175" s="107">
        <f t="shared" si="58"/>
        <v>100</v>
      </c>
      <c r="Z1175" s="107">
        <f t="shared" si="59"/>
        <v>100</v>
      </c>
    </row>
    <row r="1176" spans="1:26" x14ac:dyDescent="0.25">
      <c r="A1176" s="55" t="str">
        <f>_xlfn.XLOOKUP($G1176,'.Auxiliar'!$G:$G,'.Auxiliar'!A:A,"-",0)</f>
        <v>TRANSBRASILIANA</v>
      </c>
      <c r="B1176" s="55" t="str">
        <f>_xlfn.XLOOKUP($G1176,'.Auxiliar'!$G:$G,'.Auxiliar'!B:B,"-",0)</f>
        <v>OAE</v>
      </c>
      <c r="C1176" s="55" t="str">
        <f>_xlfn.XLOOKUP($G1176,'.Auxiliar'!$G:$G,'.Auxiliar'!C:C,"-",0)</f>
        <v>Interseção - km 174+015 - Lote 02</v>
      </c>
      <c r="D1176" s="55">
        <f>_xlfn.XLOOKUP($G1176,'.Auxiliar'!$G:$G,'.Auxiliar'!D:D,"-",0)</f>
        <v>1</v>
      </c>
      <c r="E1176" s="55">
        <f>_xlfn.XLOOKUP($G1176,'.Auxiliar'!$G:$G,'.Auxiliar'!E:E,"-",0)</f>
        <v>1</v>
      </c>
      <c r="F1176" s="55">
        <f>_xlfn.XLOOKUP($G1176,'.Auxiliar'!$G:$G,'.Auxiliar'!F:F,"-",0)</f>
        <v>1</v>
      </c>
      <c r="G1176" s="59" t="s">
        <v>850</v>
      </c>
      <c r="H1176" s="108" t="s">
        <v>0</v>
      </c>
      <c r="I1176" s="109" t="s">
        <v>368</v>
      </c>
      <c r="J1176" s="109" t="s">
        <v>0</v>
      </c>
      <c r="K1176" s="109" t="s">
        <v>363</v>
      </c>
      <c r="L1176" s="109" t="s">
        <v>0</v>
      </c>
      <c r="M1176" s="109" t="s">
        <v>0</v>
      </c>
      <c r="N1176" s="110" t="s">
        <v>0</v>
      </c>
      <c r="O1176" s="111"/>
      <c r="P1176" s="112"/>
      <c r="Q1176" s="112"/>
      <c r="R1176" s="112"/>
      <c r="S1176" s="112">
        <v>100</v>
      </c>
      <c r="T1176" s="112">
        <v>0</v>
      </c>
      <c r="U1176" s="95">
        <f t="shared" si="57"/>
        <v>100</v>
      </c>
      <c r="V1176" s="112"/>
      <c r="W1176" s="112"/>
      <c r="X1176" s="107"/>
      <c r="Y1176" s="107">
        <f t="shared" si="58"/>
        <v>100</v>
      </c>
      <c r="Z1176" s="107">
        <f t="shared" si="59"/>
        <v>0</v>
      </c>
    </row>
    <row r="1177" spans="1:26" x14ac:dyDescent="0.25">
      <c r="A1177" s="55" t="str">
        <f>_xlfn.XLOOKUP($G1177,'.Auxiliar'!$G:$G,'.Auxiliar'!A:A,"-",0)</f>
        <v>TRANSBRASILIANA</v>
      </c>
      <c r="B1177" s="55" t="str">
        <f>_xlfn.XLOOKUP($G1177,'.Auxiliar'!$G:$G,'.Auxiliar'!B:B,"-",0)</f>
        <v>OAE</v>
      </c>
      <c r="C1177" s="55" t="str">
        <f>_xlfn.XLOOKUP($G1177,'.Auxiliar'!$G:$G,'.Auxiliar'!C:C,"-",0)</f>
        <v>Interseção -km 177+600;- Lote 02</v>
      </c>
      <c r="D1177" s="55">
        <f>_xlfn.XLOOKUP($G1177,'.Auxiliar'!$G:$G,'.Auxiliar'!D:D,"-",0)</f>
        <v>1</v>
      </c>
      <c r="E1177" s="55">
        <f>_xlfn.XLOOKUP($G1177,'.Auxiliar'!$G:$G,'.Auxiliar'!E:E,"-",0)</f>
        <v>1</v>
      </c>
      <c r="F1177" s="55">
        <f>_xlfn.XLOOKUP($G1177,'.Auxiliar'!$G:$G,'.Auxiliar'!F:F,"-",0)</f>
        <v>1</v>
      </c>
      <c r="G1177" s="59" t="s">
        <v>851</v>
      </c>
      <c r="H1177" s="108" t="s">
        <v>0</v>
      </c>
      <c r="I1177" s="109" t="s">
        <v>368</v>
      </c>
      <c r="J1177" s="109" t="s">
        <v>0</v>
      </c>
      <c r="K1177" s="109" t="s">
        <v>363</v>
      </c>
      <c r="L1177" s="109" t="s">
        <v>0</v>
      </c>
      <c r="M1177" s="109" t="s">
        <v>0</v>
      </c>
      <c r="N1177" s="110" t="s">
        <v>0</v>
      </c>
      <c r="O1177" s="111"/>
      <c r="P1177" s="112"/>
      <c r="Q1177" s="112"/>
      <c r="R1177" s="112"/>
      <c r="S1177" s="112">
        <v>100</v>
      </c>
      <c r="T1177" s="112">
        <v>0</v>
      </c>
      <c r="U1177" s="95">
        <f t="shared" si="57"/>
        <v>100</v>
      </c>
      <c r="V1177" s="112"/>
      <c r="W1177" s="112"/>
      <c r="X1177" s="107"/>
      <c r="Y1177" s="107">
        <f t="shared" si="58"/>
        <v>100</v>
      </c>
      <c r="Z1177" s="107">
        <f t="shared" si="59"/>
        <v>0</v>
      </c>
    </row>
    <row r="1178" spans="1:26" x14ac:dyDescent="0.25">
      <c r="A1178" s="55" t="str">
        <f>_xlfn.XLOOKUP($G1178,'.Auxiliar'!$G:$G,'.Auxiliar'!A:A,"-",0)</f>
        <v>TRANSBRASILIANA</v>
      </c>
      <c r="B1178" s="55" t="str">
        <f>_xlfn.XLOOKUP($G1178,'.Auxiliar'!$G:$G,'.Auxiliar'!B:B,"-",0)</f>
        <v>OAE</v>
      </c>
      <c r="C1178" s="55" t="str">
        <f>_xlfn.XLOOKUP($G1178,'.Auxiliar'!$G:$G,'.Auxiliar'!C:C,"-",0)</f>
        <v>Interseção -km 182+140;- Lote 02</v>
      </c>
      <c r="D1178" s="55">
        <f>_xlfn.XLOOKUP($G1178,'.Auxiliar'!$G:$G,'.Auxiliar'!D:D,"-",0)</f>
        <v>1</v>
      </c>
      <c r="E1178" s="55">
        <f>_xlfn.XLOOKUP($G1178,'.Auxiliar'!$G:$G,'.Auxiliar'!E:E,"-",0)</f>
        <v>1</v>
      </c>
      <c r="F1178" s="55">
        <f>_xlfn.XLOOKUP($G1178,'.Auxiliar'!$G:$G,'.Auxiliar'!F:F,"-",0)</f>
        <v>1</v>
      </c>
      <c r="G1178" s="59" t="s">
        <v>852</v>
      </c>
      <c r="H1178" s="108" t="s">
        <v>0</v>
      </c>
      <c r="I1178" s="109" t="s">
        <v>368</v>
      </c>
      <c r="J1178" s="109" t="s">
        <v>0</v>
      </c>
      <c r="K1178" s="109" t="s">
        <v>363</v>
      </c>
      <c r="L1178" s="109" t="s">
        <v>0</v>
      </c>
      <c r="M1178" s="109" t="s">
        <v>0</v>
      </c>
      <c r="N1178" s="110" t="s">
        <v>0</v>
      </c>
      <c r="O1178" s="111"/>
      <c r="P1178" s="112"/>
      <c r="Q1178" s="112"/>
      <c r="R1178" s="112"/>
      <c r="S1178" s="112">
        <v>100</v>
      </c>
      <c r="T1178" s="112">
        <v>0</v>
      </c>
      <c r="U1178" s="95">
        <f t="shared" si="57"/>
        <v>100</v>
      </c>
      <c r="V1178" s="112"/>
      <c r="W1178" s="112"/>
      <c r="X1178" s="107"/>
      <c r="Y1178" s="107">
        <f t="shared" si="58"/>
        <v>100</v>
      </c>
      <c r="Z1178" s="107">
        <f t="shared" si="59"/>
        <v>0</v>
      </c>
    </row>
    <row r="1179" spans="1:26" x14ac:dyDescent="0.25">
      <c r="A1179" s="55" t="str">
        <f>_xlfn.XLOOKUP($G1179,'.Auxiliar'!$G:$G,'.Auxiliar'!A:A,"-",0)</f>
        <v>TRANSBRASILIANA</v>
      </c>
      <c r="B1179" s="55" t="str">
        <f>_xlfn.XLOOKUP($G1179,'.Auxiliar'!$G:$G,'.Auxiliar'!B:B,"-",0)</f>
        <v>OAE</v>
      </c>
      <c r="C1179" s="55" t="str">
        <f>_xlfn.XLOOKUP($G1179,'.Auxiliar'!$G:$G,'.Auxiliar'!C:C,"-",0)</f>
        <v>Interseção -km 194+700,- Lote 02</v>
      </c>
      <c r="D1179" s="55">
        <f>_xlfn.XLOOKUP($G1179,'.Auxiliar'!$G:$G,'.Auxiliar'!D:D,"-",0)</f>
        <v>1</v>
      </c>
      <c r="E1179" s="55">
        <f>_xlfn.XLOOKUP($G1179,'.Auxiliar'!$G:$G,'.Auxiliar'!E:E,"-",0)</f>
        <v>1</v>
      </c>
      <c r="F1179" s="55">
        <f>_xlfn.XLOOKUP($G1179,'.Auxiliar'!$G:$G,'.Auxiliar'!F:F,"-",0)</f>
        <v>1</v>
      </c>
      <c r="G1179" s="59" t="s">
        <v>853</v>
      </c>
      <c r="H1179" s="108" t="s">
        <v>0</v>
      </c>
      <c r="I1179" s="109" t="s">
        <v>368</v>
      </c>
      <c r="J1179" s="109" t="s">
        <v>0</v>
      </c>
      <c r="K1179" s="109" t="s">
        <v>363</v>
      </c>
      <c r="L1179" s="109" t="s">
        <v>0</v>
      </c>
      <c r="M1179" s="109" t="s">
        <v>0</v>
      </c>
      <c r="N1179" s="110" t="s">
        <v>0</v>
      </c>
      <c r="O1179" s="111"/>
      <c r="P1179" s="112"/>
      <c r="Q1179" s="112"/>
      <c r="R1179" s="112"/>
      <c r="S1179" s="112">
        <v>100</v>
      </c>
      <c r="T1179" s="112">
        <v>0</v>
      </c>
      <c r="U1179" s="95">
        <f t="shared" si="57"/>
        <v>100</v>
      </c>
      <c r="V1179" s="112"/>
      <c r="W1179" s="112"/>
      <c r="X1179" s="107"/>
      <c r="Y1179" s="107">
        <f t="shared" si="58"/>
        <v>100</v>
      </c>
      <c r="Z1179" s="107">
        <f t="shared" si="59"/>
        <v>0</v>
      </c>
    </row>
    <row r="1180" spans="1:26" x14ac:dyDescent="0.25">
      <c r="A1180" s="55" t="str">
        <f>_xlfn.XLOOKUP($G1180,'.Auxiliar'!$G:$G,'.Auxiliar'!A:A,"-",0)</f>
        <v>TRANSBRASILIANA</v>
      </c>
      <c r="B1180" s="55" t="str">
        <f>_xlfn.XLOOKUP($G1180,'.Auxiliar'!$G:$G,'.Auxiliar'!B:B,"-",0)</f>
        <v>OAE</v>
      </c>
      <c r="C1180" s="55" t="str">
        <f>_xlfn.XLOOKUP($G1180,'.Auxiliar'!$G:$G,'.Auxiliar'!C:C,"-",0)</f>
        <v>Passagem Superior - km 169+300 (Trevo em Desnível), com execução prevista do 14º ano ao 16º ano (</v>
      </c>
      <c r="D1180" s="55">
        <f>_xlfn.XLOOKUP($G1180,'.Auxiliar'!$G:$G,'.Auxiliar'!D:D,"-",0)</f>
        <v>1</v>
      </c>
      <c r="E1180" s="55">
        <f>_xlfn.XLOOKUP($G1180,'.Auxiliar'!$G:$G,'.Auxiliar'!E:E,"-",0)</f>
        <v>1</v>
      </c>
      <c r="F1180" s="55">
        <f>_xlfn.XLOOKUP($G1180,'.Auxiliar'!$G:$G,'.Auxiliar'!F:F,"-",0)</f>
        <v>1</v>
      </c>
      <c r="G1180" s="59" t="s">
        <v>849</v>
      </c>
      <c r="H1180" s="108" t="s">
        <v>0</v>
      </c>
      <c r="I1180" s="109" t="s">
        <v>368</v>
      </c>
      <c r="J1180" s="109" t="s">
        <v>0</v>
      </c>
      <c r="K1180" s="109" t="s">
        <v>363</v>
      </c>
      <c r="L1180" s="109" t="s">
        <v>0</v>
      </c>
      <c r="M1180" s="109" t="s">
        <v>0</v>
      </c>
      <c r="N1180" s="110" t="s">
        <v>0</v>
      </c>
      <c r="O1180" s="111"/>
      <c r="P1180" s="112"/>
      <c r="Q1180" s="112"/>
      <c r="R1180" s="112"/>
      <c r="S1180" s="112"/>
      <c r="T1180" s="112"/>
      <c r="U1180" s="95" t="str">
        <f t="shared" si="57"/>
        <v/>
      </c>
      <c r="V1180" s="112"/>
      <c r="W1180" s="112"/>
      <c r="X1180" s="107">
        <v>100</v>
      </c>
      <c r="Y1180" s="107">
        <f t="shared" si="58"/>
        <v>100</v>
      </c>
      <c r="Z1180" s="107">
        <f t="shared" si="59"/>
        <v>0</v>
      </c>
    </row>
    <row r="1181" spans="1:26" x14ac:dyDescent="0.25">
      <c r="A1181" s="55" t="str">
        <f>_xlfn.XLOOKUP($G1181,'.Auxiliar'!$G:$G,'.Auxiliar'!A:A,"-",0)</f>
        <v>TRANSBRASILIANA</v>
      </c>
      <c r="B1181" s="55" t="str">
        <f>_xlfn.XLOOKUP($G1181,'.Auxiliar'!$G:$G,'.Auxiliar'!B:B,"-",0)</f>
        <v>PAVIMENTAÇÃO</v>
      </c>
      <c r="C1181" s="55" t="str">
        <f>_xlfn.XLOOKUP($G1181,'.Auxiliar'!$G:$G,'.Auxiliar'!C:C,"-",0)</f>
        <v>Execução de ruas laterias em Pista Simples - região de Marília</v>
      </c>
      <c r="D1181" s="55">
        <f>_xlfn.XLOOKUP($G1181,'.Auxiliar'!$G:$G,'.Auxiliar'!D:D,"-",0)</f>
        <v>255.4</v>
      </c>
      <c r="E1181" s="55">
        <f>_xlfn.XLOOKUP($G1181,'.Auxiliar'!$G:$G,'.Auxiliar'!E:E,"-",0)</f>
        <v>259</v>
      </c>
      <c r="F1181" s="55">
        <f>_xlfn.XLOOKUP($G1181,'.Auxiliar'!$G:$G,'.Auxiliar'!F:F,"-",0)</f>
        <v>3.5999999999999943</v>
      </c>
      <c r="G1181" s="59" t="s">
        <v>608</v>
      </c>
      <c r="H1181" s="108" t="s">
        <v>363</v>
      </c>
      <c r="I1181" s="109" t="s">
        <v>0</v>
      </c>
      <c r="J1181" s="109" t="s">
        <v>0</v>
      </c>
      <c r="K1181" s="109" t="s">
        <v>0</v>
      </c>
      <c r="L1181" s="109" t="s">
        <v>0</v>
      </c>
      <c r="M1181" s="109" t="s">
        <v>0</v>
      </c>
      <c r="N1181" s="110" t="s">
        <v>0</v>
      </c>
      <c r="O1181" s="111">
        <v>100</v>
      </c>
      <c r="P1181" s="112">
        <v>100</v>
      </c>
      <c r="Q1181" s="112"/>
      <c r="R1181" s="112"/>
      <c r="S1181" s="112"/>
      <c r="T1181" s="112"/>
      <c r="U1181" s="95">
        <f t="shared" si="57"/>
        <v>0</v>
      </c>
      <c r="V1181" s="112"/>
      <c r="W1181" s="112"/>
      <c r="X1181" s="107"/>
      <c r="Y1181" s="107">
        <f t="shared" si="58"/>
        <v>100</v>
      </c>
      <c r="Z1181" s="107">
        <f t="shared" si="59"/>
        <v>100</v>
      </c>
    </row>
    <row r="1182" spans="1:26" x14ac:dyDescent="0.25">
      <c r="A1182" s="55" t="str">
        <f>_xlfn.XLOOKUP($G1182,'.Auxiliar'!$G:$G,'.Auxiliar'!A:A,"-",0)</f>
        <v>TRANSBRASILIANA</v>
      </c>
      <c r="B1182" s="55" t="str">
        <f>_xlfn.XLOOKUP($G1182,'.Auxiliar'!$G:$G,'.Auxiliar'!B:B,"-",0)</f>
        <v>PAVIMENTAÇÃO</v>
      </c>
      <c r="C1182" s="55" t="str">
        <f>_xlfn.XLOOKUP($G1182,'.Auxiliar'!$G:$G,'.Auxiliar'!C:C,"-",0)</f>
        <v>Execução de ruas laterias em Pista Simples na região de São José do Rio Preto</v>
      </c>
      <c r="D1182" s="55">
        <f>_xlfn.XLOOKUP($G1182,'.Auxiliar'!$G:$G,'.Auxiliar'!D:D,"-",0)</f>
        <v>50.3</v>
      </c>
      <c r="E1182" s="55">
        <f>_xlfn.XLOOKUP($G1182,'.Auxiliar'!$G:$G,'.Auxiliar'!E:E,"-",0)</f>
        <v>62.8</v>
      </c>
      <c r="F1182" s="55">
        <f>_xlfn.XLOOKUP($G1182,'.Auxiliar'!$G:$G,'.Auxiliar'!F:F,"-",0)</f>
        <v>12.5</v>
      </c>
      <c r="G1182" s="59" t="s">
        <v>607</v>
      </c>
      <c r="H1182" s="108" t="s">
        <v>363</v>
      </c>
      <c r="I1182" s="109" t="s">
        <v>0</v>
      </c>
      <c r="J1182" s="109" t="s">
        <v>0</v>
      </c>
      <c r="K1182" s="109" t="s">
        <v>0</v>
      </c>
      <c r="L1182" s="109" t="s">
        <v>0</v>
      </c>
      <c r="M1182" s="109" t="s">
        <v>0</v>
      </c>
      <c r="N1182" s="110" t="s">
        <v>0</v>
      </c>
      <c r="O1182" s="111">
        <v>100</v>
      </c>
      <c r="P1182" s="112">
        <v>100</v>
      </c>
      <c r="Q1182" s="112"/>
      <c r="R1182" s="112"/>
      <c r="S1182" s="112"/>
      <c r="T1182" s="112"/>
      <c r="U1182" s="95">
        <f t="shared" si="57"/>
        <v>0</v>
      </c>
      <c r="V1182" s="112"/>
      <c r="W1182" s="112"/>
      <c r="X1182" s="107"/>
      <c r="Y1182" s="107">
        <f t="shared" si="58"/>
        <v>100</v>
      </c>
      <c r="Z1182" s="107">
        <f t="shared" si="59"/>
        <v>100</v>
      </c>
    </row>
    <row r="1183" spans="1:26" x14ac:dyDescent="0.25">
      <c r="A1183" s="55" t="str">
        <f>_xlfn.XLOOKUP($G1183,'.Auxiliar'!$G:$G,'.Auxiliar'!A:A,"-",0)</f>
        <v>TRANSBRASILIANA</v>
      </c>
      <c r="B1183" s="55" t="str">
        <f>_xlfn.XLOOKUP($G1183,'.Auxiliar'!$G:$G,'.Auxiliar'!B:B,"-",0)</f>
        <v>TERCEIRA FAIXA</v>
      </c>
      <c r="C1183" s="55" t="str">
        <f>_xlfn.XLOOKUP($G1183,'.Auxiliar'!$G:$G,'.Auxiliar'!C:C,"-",0)</f>
        <v>Execução de Terceiras Faixas:</v>
      </c>
      <c r="D1183" s="55">
        <f>_xlfn.XLOOKUP($G1183,'.Auxiliar'!$G:$G,'.Auxiliar'!D:D,"-",0)</f>
        <v>0</v>
      </c>
      <c r="E1183" s="55">
        <f>_xlfn.XLOOKUP($G1183,'.Auxiliar'!$G:$G,'.Auxiliar'!E:E,"-",0)</f>
        <v>15.6</v>
      </c>
      <c r="F1183" s="55">
        <f>_xlfn.XLOOKUP($G1183,'.Auxiliar'!$G:$G,'.Auxiliar'!F:F,"-",0)</f>
        <v>15.6</v>
      </c>
      <c r="G1183" s="59" t="s">
        <v>627</v>
      </c>
      <c r="H1183" s="108" t="s">
        <v>363</v>
      </c>
      <c r="I1183" s="109" t="s">
        <v>0</v>
      </c>
      <c r="J1183" s="109" t="s">
        <v>0</v>
      </c>
      <c r="K1183" s="109" t="s">
        <v>363</v>
      </c>
      <c r="L1183" s="109" t="s">
        <v>0</v>
      </c>
      <c r="M1183" s="109" t="s">
        <v>0</v>
      </c>
      <c r="N1183" s="110" t="s">
        <v>0</v>
      </c>
      <c r="O1183" s="111">
        <v>100</v>
      </c>
      <c r="P1183" s="112">
        <v>0</v>
      </c>
      <c r="Q1183" s="112"/>
      <c r="R1183" s="112"/>
      <c r="S1183" s="112">
        <v>100</v>
      </c>
      <c r="T1183" s="112">
        <v>0</v>
      </c>
      <c r="U1183" s="95">
        <f t="shared" si="57"/>
        <v>100</v>
      </c>
      <c r="V1183" s="112"/>
      <c r="W1183" s="112"/>
      <c r="X1183" s="107"/>
      <c r="Y1183" s="107">
        <f t="shared" si="58"/>
        <v>100</v>
      </c>
      <c r="Z1183" s="107">
        <f t="shared" si="59"/>
        <v>0</v>
      </c>
    </row>
    <row r="1184" spans="1:26" x14ac:dyDescent="0.25">
      <c r="A1184" s="55" t="str">
        <f>_xlfn.XLOOKUP($G1184,'.Auxiliar'!$G:$G,'.Auxiliar'!A:A,"-",0)</f>
        <v>TRANSBRASILIANA</v>
      </c>
      <c r="B1184" s="55" t="str">
        <f>_xlfn.XLOOKUP($G1184,'.Auxiliar'!$G:$G,'.Auxiliar'!B:B,"-",0)</f>
        <v>TERCEIRA FAIXA</v>
      </c>
      <c r="C1184" s="55" t="str">
        <f>_xlfn.XLOOKUP($G1184,'.Auxiliar'!$G:$G,'.Auxiliar'!C:C,"-",0)</f>
        <v>Execução de Terceiras Faixas:</v>
      </c>
      <c r="D1184" s="55">
        <f>_xlfn.XLOOKUP($G1184,'.Auxiliar'!$G:$G,'.Auxiliar'!D:D,"-",0)</f>
        <v>161.80000000000001</v>
      </c>
      <c r="E1184" s="55">
        <f>_xlfn.XLOOKUP($G1184,'.Auxiliar'!$G:$G,'.Auxiliar'!E:E,"-",0)</f>
        <v>166.1</v>
      </c>
      <c r="F1184" s="55">
        <f>_xlfn.XLOOKUP($G1184,'.Auxiliar'!$G:$G,'.Auxiliar'!F:F,"-",0)</f>
        <v>4.2999999999999829</v>
      </c>
      <c r="G1184" s="59" t="s">
        <v>626</v>
      </c>
      <c r="H1184" s="108" t="s">
        <v>363</v>
      </c>
      <c r="I1184" s="109" t="s">
        <v>0</v>
      </c>
      <c r="J1184" s="109" t="s">
        <v>0</v>
      </c>
      <c r="K1184" s="109" t="s">
        <v>363</v>
      </c>
      <c r="L1184" s="109" t="s">
        <v>0</v>
      </c>
      <c r="M1184" s="109" t="s">
        <v>0</v>
      </c>
      <c r="N1184" s="110" t="s">
        <v>0</v>
      </c>
      <c r="O1184" s="111">
        <v>100</v>
      </c>
      <c r="P1184" s="112">
        <v>0</v>
      </c>
      <c r="Q1184" s="112"/>
      <c r="R1184" s="112"/>
      <c r="S1184" s="112">
        <v>100</v>
      </c>
      <c r="T1184" s="112">
        <v>0</v>
      </c>
      <c r="U1184" s="95">
        <f t="shared" si="57"/>
        <v>100</v>
      </c>
      <c r="V1184" s="112"/>
      <c r="W1184" s="112"/>
      <c r="X1184" s="107"/>
      <c r="Y1184" s="107">
        <f t="shared" si="58"/>
        <v>100</v>
      </c>
      <c r="Z1184" s="107">
        <f t="shared" si="59"/>
        <v>0</v>
      </c>
    </row>
    <row r="1185" spans="1:26" x14ac:dyDescent="0.25">
      <c r="A1185" s="55" t="str">
        <f>_xlfn.XLOOKUP($G1185,'.Auxiliar'!$G:$G,'.Auxiliar'!A:A,"-",0)</f>
        <v>TRANSBRASILIANA</v>
      </c>
      <c r="B1185" s="55" t="str">
        <f>_xlfn.XLOOKUP($G1185,'.Auxiliar'!$G:$G,'.Auxiliar'!B:B,"-",0)</f>
        <v>TERCEIRA FAIXA</v>
      </c>
      <c r="C1185" s="55" t="str">
        <f>_xlfn.XLOOKUP($G1185,'.Auxiliar'!$G:$G,'.Auxiliar'!C:C,"-",0)</f>
        <v>Execução de Terceiras Faixas:</v>
      </c>
      <c r="D1185" s="55">
        <f>_xlfn.XLOOKUP($G1185,'.Auxiliar'!$G:$G,'.Auxiliar'!D:D,"-",0)</f>
        <v>182.7</v>
      </c>
      <c r="E1185" s="55">
        <f>_xlfn.XLOOKUP($G1185,'.Auxiliar'!$G:$G,'.Auxiliar'!E:E,"-",0)</f>
        <v>199.1</v>
      </c>
      <c r="F1185" s="55">
        <f>_xlfn.XLOOKUP($G1185,'.Auxiliar'!$G:$G,'.Auxiliar'!F:F,"-",0)</f>
        <v>16.400000000000006</v>
      </c>
      <c r="G1185" s="59" t="s">
        <v>628</v>
      </c>
      <c r="H1185" s="108" t="s">
        <v>363</v>
      </c>
      <c r="I1185" s="109" t="s">
        <v>0</v>
      </c>
      <c r="J1185" s="109" t="s">
        <v>0</v>
      </c>
      <c r="K1185" s="109" t="s">
        <v>363</v>
      </c>
      <c r="L1185" s="109" t="s">
        <v>0</v>
      </c>
      <c r="M1185" s="109" t="s">
        <v>0</v>
      </c>
      <c r="N1185" s="110" t="s">
        <v>0</v>
      </c>
      <c r="O1185" s="111">
        <v>100</v>
      </c>
      <c r="P1185" s="112">
        <v>0</v>
      </c>
      <c r="Q1185" s="112"/>
      <c r="R1185" s="112"/>
      <c r="S1185" s="112">
        <v>100</v>
      </c>
      <c r="T1185" s="112">
        <v>0</v>
      </c>
      <c r="U1185" s="95">
        <f t="shared" si="57"/>
        <v>100</v>
      </c>
      <c r="V1185" s="112"/>
      <c r="W1185" s="112"/>
      <c r="X1185" s="107"/>
      <c r="Y1185" s="107">
        <f t="shared" si="58"/>
        <v>100</v>
      </c>
      <c r="Z1185" s="107">
        <f t="shared" si="59"/>
        <v>0</v>
      </c>
    </row>
    <row r="1186" spans="1:26" x14ac:dyDescent="0.25">
      <c r="A1186" s="55" t="str">
        <f>_xlfn.XLOOKUP($G1186,'.Auxiliar'!$G:$G,'.Auxiliar'!A:A,"-",0)</f>
        <v>TRANSBRASILIANA</v>
      </c>
      <c r="B1186" s="55" t="str">
        <f>_xlfn.XLOOKUP($G1186,'.Auxiliar'!$G:$G,'.Auxiliar'!B:B,"-",0)</f>
        <v>TERCEIRA FAIXA</v>
      </c>
      <c r="C1186" s="55" t="str">
        <f>_xlfn.XLOOKUP($G1186,'.Auxiliar'!$G:$G,'.Auxiliar'!C:C,"-",0)</f>
        <v>Execução de Terceiras Faixas:</v>
      </c>
      <c r="D1186" s="55">
        <f>_xlfn.XLOOKUP($G1186,'.Auxiliar'!$G:$G,'.Auxiliar'!D:D,"-",0)</f>
        <v>255.4</v>
      </c>
      <c r="E1186" s="55">
        <f>_xlfn.XLOOKUP($G1186,'.Auxiliar'!$G:$G,'.Auxiliar'!E:E,"-",0)</f>
        <v>275.3</v>
      </c>
      <c r="F1186" s="55">
        <f>_xlfn.XLOOKUP($G1186,'.Auxiliar'!$G:$G,'.Auxiliar'!F:F,"-",0)</f>
        <v>19.900000000000006</v>
      </c>
      <c r="G1186" s="59" t="s">
        <v>629</v>
      </c>
      <c r="H1186" s="108" t="s">
        <v>363</v>
      </c>
      <c r="I1186" s="109" t="s">
        <v>0</v>
      </c>
      <c r="J1186" s="109" t="s">
        <v>0</v>
      </c>
      <c r="K1186" s="109" t="s">
        <v>363</v>
      </c>
      <c r="L1186" s="109" t="s">
        <v>0</v>
      </c>
      <c r="M1186" s="109" t="s">
        <v>0</v>
      </c>
      <c r="N1186" s="110" t="s">
        <v>0</v>
      </c>
      <c r="O1186" s="111">
        <v>100</v>
      </c>
      <c r="P1186" s="112">
        <v>0</v>
      </c>
      <c r="Q1186" s="112"/>
      <c r="R1186" s="112"/>
      <c r="S1186" s="112">
        <v>100</v>
      </c>
      <c r="T1186" s="112">
        <v>0</v>
      </c>
      <c r="U1186" s="95">
        <f t="shared" si="57"/>
        <v>100</v>
      </c>
      <c r="V1186" s="112"/>
      <c r="W1186" s="112"/>
      <c r="X1186" s="107"/>
      <c r="Y1186" s="107">
        <f t="shared" si="58"/>
        <v>100</v>
      </c>
      <c r="Z1186" s="107">
        <f t="shared" si="59"/>
        <v>0</v>
      </c>
    </row>
    <row r="1187" spans="1:26" x14ac:dyDescent="0.25">
      <c r="A1187" s="55" t="str">
        <f>_xlfn.XLOOKUP($G1187,'.Auxiliar'!$G:$G,'.Auxiliar'!A:A,"-",0)</f>
        <v>TRANSBRASILIANA</v>
      </c>
      <c r="B1187" s="55" t="str">
        <f>_xlfn.XLOOKUP($G1187,'.Auxiliar'!$G:$G,'.Auxiliar'!B:B,"-",0)</f>
        <v>TERCEIRA FAIXA</v>
      </c>
      <c r="C1187" s="55" t="str">
        <f>_xlfn.XLOOKUP($G1187,'.Auxiliar'!$G:$G,'.Auxiliar'!C:C,"-",0)</f>
        <v>Execução de Terceiras Faixas:</v>
      </c>
      <c r="D1187" s="55">
        <f>_xlfn.XLOOKUP($G1187,'.Auxiliar'!$G:$G,'.Auxiliar'!D:D,"-",0)</f>
        <v>99.8</v>
      </c>
      <c r="E1187" s="55">
        <f>_xlfn.XLOOKUP($G1187,'.Auxiliar'!$G:$G,'.Auxiliar'!E:E,"-",0)</f>
        <v>121.4</v>
      </c>
      <c r="F1187" s="55">
        <f>_xlfn.XLOOKUP($G1187,'.Auxiliar'!$G:$G,'.Auxiliar'!F:F,"-",0)</f>
        <v>21.600000000000009</v>
      </c>
      <c r="G1187" s="59" t="s">
        <v>625</v>
      </c>
      <c r="H1187" s="108" t="s">
        <v>363</v>
      </c>
      <c r="I1187" s="109" t="s">
        <v>0</v>
      </c>
      <c r="J1187" s="109" t="s">
        <v>0</v>
      </c>
      <c r="K1187" s="109" t="s">
        <v>363</v>
      </c>
      <c r="L1187" s="109" t="s">
        <v>0</v>
      </c>
      <c r="M1187" s="109" t="s">
        <v>0</v>
      </c>
      <c r="N1187" s="110" t="s">
        <v>0</v>
      </c>
      <c r="O1187" s="111">
        <v>100</v>
      </c>
      <c r="P1187" s="112">
        <v>0</v>
      </c>
      <c r="Q1187" s="112"/>
      <c r="R1187" s="112"/>
      <c r="S1187" s="112">
        <v>100</v>
      </c>
      <c r="T1187" s="112">
        <v>0</v>
      </c>
      <c r="U1187" s="95">
        <f t="shared" si="57"/>
        <v>100</v>
      </c>
      <c r="V1187" s="112"/>
      <c r="W1187" s="112"/>
      <c r="X1187" s="107"/>
      <c r="Y1187" s="107">
        <f t="shared" si="58"/>
        <v>100</v>
      </c>
      <c r="Z1187" s="107">
        <f t="shared" si="59"/>
        <v>0</v>
      </c>
    </row>
    <row r="1188" spans="1:26" x14ac:dyDescent="0.25">
      <c r="A1188" s="55" t="str">
        <f>_xlfn.XLOOKUP($G1188,'.Auxiliar'!$G:$G,'.Auxiliar'!A:A,"-",0)</f>
        <v>VIA BAHIA</v>
      </c>
      <c r="B1188" s="55" t="str">
        <f>_xlfn.XLOOKUP($G1188,'.Auxiliar'!$G:$G,'.Auxiliar'!B:B,"-",0)</f>
        <v>CONTORNO</v>
      </c>
      <c r="C1188" s="55" t="str">
        <f>_xlfn.XLOOKUP($G1188,'.Auxiliar'!$G:$G,'.Auxiliar'!C:C,"-",0)</f>
        <v>Contorno de Feira de Santana entre BR-116 sul e BR-324</v>
      </c>
      <c r="D1188" s="55">
        <f>_xlfn.XLOOKUP($G1188,'.Auxiliar'!$G:$G,'.Auxiliar'!D:D,"-",0)</f>
        <v>0</v>
      </c>
      <c r="E1188" s="55">
        <f>_xlfn.XLOOKUP($G1188,'.Auxiliar'!$G:$G,'.Auxiliar'!E:E,"-",0)</f>
        <v>9.83</v>
      </c>
      <c r="F1188" s="55">
        <f>_xlfn.XLOOKUP($G1188,'.Auxiliar'!$G:$G,'.Auxiliar'!F:F,"-",0)</f>
        <v>9.83</v>
      </c>
      <c r="G1188" s="59" t="s">
        <v>688</v>
      </c>
      <c r="H1188" s="108" t="s">
        <v>363</v>
      </c>
      <c r="I1188" s="109" t="s">
        <v>0</v>
      </c>
      <c r="J1188" s="109" t="s">
        <v>0</v>
      </c>
      <c r="K1188" s="109" t="s">
        <v>363</v>
      </c>
      <c r="L1188" s="109" t="s">
        <v>0</v>
      </c>
      <c r="M1188" s="109" t="s">
        <v>0</v>
      </c>
      <c r="N1188" s="110" t="s">
        <v>0</v>
      </c>
      <c r="O1188" s="111">
        <v>100</v>
      </c>
      <c r="P1188" s="112">
        <v>99.68</v>
      </c>
      <c r="Q1188" s="112">
        <f>100-P1188</f>
        <v>0.31999999999999318</v>
      </c>
      <c r="R1188" s="112">
        <v>0</v>
      </c>
      <c r="S1188" s="112">
        <v>0.32</v>
      </c>
      <c r="T1188" s="112">
        <v>0</v>
      </c>
      <c r="U1188" s="95">
        <f t="shared" si="57"/>
        <v>0.31999999999999318</v>
      </c>
      <c r="V1188" s="112"/>
      <c r="W1188" s="112"/>
      <c r="X1188" s="107"/>
      <c r="Y1188" s="107">
        <f t="shared" si="58"/>
        <v>100</v>
      </c>
      <c r="Z1188" s="107">
        <f t="shared" si="59"/>
        <v>99.68</v>
      </c>
    </row>
    <row r="1189" spans="1:26" x14ac:dyDescent="0.25">
      <c r="A1189" s="55" t="str">
        <f>_xlfn.XLOOKUP($G1189,'.Auxiliar'!$G:$G,'.Auxiliar'!A:A,"-",0)</f>
        <v>VIA BAHIA</v>
      </c>
      <c r="B1189" s="55" t="str">
        <f>_xlfn.XLOOKUP($G1189,'.Auxiliar'!$G:$G,'.Auxiliar'!B:B,"-",0)</f>
        <v>DUPLICAÇÃO</v>
      </c>
      <c r="C1189" s="55" t="str">
        <f>_xlfn.XLOOKUP($G1189,'.Auxiliar'!$G:$G,'.Auxiliar'!C:C,"-",0)</f>
        <v>Trecho entre BA-052 e Santo Estevão - SUBTRECHO 6</v>
      </c>
      <c r="D1189" s="55">
        <f>_xlfn.XLOOKUP($G1189,'.Auxiliar'!$G:$G,'.Auxiliar'!D:D,"-",0)</f>
        <v>5.4</v>
      </c>
      <c r="E1189" s="55">
        <f>_xlfn.XLOOKUP($G1189,'.Auxiliar'!$G:$G,'.Auxiliar'!E:E,"-",0)</f>
        <v>35.380000000000003</v>
      </c>
      <c r="F1189" s="55">
        <f>_xlfn.XLOOKUP($G1189,'.Auxiliar'!$G:$G,'.Auxiliar'!F:F,"-",0)</f>
        <v>29.980000000000004</v>
      </c>
      <c r="G1189" s="59" t="s">
        <v>678</v>
      </c>
      <c r="H1189" s="108" t="s">
        <v>363</v>
      </c>
      <c r="I1189" s="109" t="s">
        <v>0</v>
      </c>
      <c r="J1189" s="109" t="s">
        <v>0</v>
      </c>
      <c r="K1189" s="109" t="s">
        <v>363</v>
      </c>
      <c r="L1189" s="109" t="s">
        <v>0</v>
      </c>
      <c r="M1189" s="109" t="s">
        <v>0</v>
      </c>
      <c r="N1189" s="110" t="s">
        <v>0</v>
      </c>
      <c r="O1189" s="111">
        <v>98.41</v>
      </c>
      <c r="P1189" s="112">
        <v>98.41</v>
      </c>
      <c r="Q1189" s="112">
        <v>1.59</v>
      </c>
      <c r="R1189" s="112">
        <v>0</v>
      </c>
      <c r="S1189" s="112">
        <v>1.59</v>
      </c>
      <c r="T1189" s="112">
        <v>0</v>
      </c>
      <c r="U1189" s="95">
        <f t="shared" si="57"/>
        <v>1.5900000000000034</v>
      </c>
      <c r="V1189" s="112"/>
      <c r="W1189" s="112"/>
      <c r="X1189" s="107"/>
      <c r="Y1189" s="107">
        <f t="shared" si="58"/>
        <v>100</v>
      </c>
      <c r="Z1189" s="107">
        <f t="shared" si="59"/>
        <v>98.41</v>
      </c>
    </row>
    <row r="1190" spans="1:26" x14ac:dyDescent="0.25">
      <c r="A1190" s="55" t="str">
        <f>_xlfn.XLOOKUP($G1190,'.Auxiliar'!$G:$G,'.Auxiliar'!A:A,"-",0)</f>
        <v>VIA BAHIA</v>
      </c>
      <c r="B1190" s="55" t="str">
        <f>_xlfn.XLOOKUP($G1190,'.Auxiliar'!$G:$G,'.Auxiliar'!B:B,"-",0)</f>
        <v>DUPLICAÇÃO</v>
      </c>
      <c r="C1190" s="55" t="str">
        <f>_xlfn.XLOOKUP($G1190,'.Auxiliar'!$G:$G,'.Auxiliar'!C:C,"-",0)</f>
        <v>Trecho entre Feira de Santana e BA-052 - SUBTRECHO 5</v>
      </c>
      <c r="D1190" s="55">
        <f>_xlfn.XLOOKUP($G1190,'.Auxiliar'!$G:$G,'.Auxiliar'!D:D,"-",0)</f>
        <v>0</v>
      </c>
      <c r="E1190" s="55">
        <f>_xlfn.XLOOKUP($G1190,'.Auxiliar'!$G:$G,'.Auxiliar'!E:E,"-",0)</f>
        <v>5.4</v>
      </c>
      <c r="F1190" s="55">
        <f>_xlfn.XLOOKUP($G1190,'.Auxiliar'!$G:$G,'.Auxiliar'!F:F,"-",0)</f>
        <v>5.4</v>
      </c>
      <c r="G1190" s="59" t="s">
        <v>677</v>
      </c>
      <c r="H1190" s="108" t="s">
        <v>363</v>
      </c>
      <c r="I1190" s="109" t="s">
        <v>0</v>
      </c>
      <c r="J1190" s="109" t="s">
        <v>0</v>
      </c>
      <c r="K1190" s="109" t="s">
        <v>363</v>
      </c>
      <c r="L1190" s="109" t="s">
        <v>0</v>
      </c>
      <c r="M1190" s="109" t="s">
        <v>0</v>
      </c>
      <c r="N1190" s="110" t="s">
        <v>0</v>
      </c>
      <c r="O1190" s="111">
        <v>99.96</v>
      </c>
      <c r="P1190" s="112">
        <v>99.96</v>
      </c>
      <c r="Q1190" s="112">
        <v>0.04</v>
      </c>
      <c r="R1190" s="112">
        <v>0</v>
      </c>
      <c r="S1190" s="112">
        <v>0.04</v>
      </c>
      <c r="T1190" s="112">
        <v>0</v>
      </c>
      <c r="U1190" s="95">
        <f t="shared" si="57"/>
        <v>4.0000000000006253E-2</v>
      </c>
      <c r="V1190" s="112"/>
      <c r="W1190" s="112"/>
      <c r="X1190" s="107"/>
      <c r="Y1190" s="107">
        <f t="shared" si="58"/>
        <v>100</v>
      </c>
      <c r="Z1190" s="107">
        <f t="shared" si="59"/>
        <v>99.96</v>
      </c>
    </row>
    <row r="1191" spans="1:26" x14ac:dyDescent="0.25">
      <c r="A1191" s="55" t="str">
        <f>_xlfn.XLOOKUP($G1191,'.Auxiliar'!$G:$G,'.Auxiliar'!A:A,"-",0)</f>
        <v>VIA BAHIA</v>
      </c>
      <c r="B1191" s="55" t="str">
        <f>_xlfn.XLOOKUP($G1191,'.Auxiliar'!$G:$G,'.Auxiliar'!B:B,"-",0)</f>
        <v>DUPLICAÇÃO</v>
      </c>
      <c r="C1191" s="55" t="str">
        <f>_xlfn.XLOOKUP($G1191,'.Auxiliar'!$G:$G,'.Auxiliar'!C:C,"-",0)</f>
        <v>Trecho entre Santo Estevão e BR - 242 - SUBTRECHO 7</v>
      </c>
      <c r="D1191" s="55">
        <f>_xlfn.XLOOKUP($G1191,'.Auxiliar'!$G:$G,'.Auxiliar'!D:D,"-",0)</f>
        <v>0</v>
      </c>
      <c r="E1191" s="55">
        <f>_xlfn.XLOOKUP($G1191,'.Auxiliar'!$G:$G,'.Auxiliar'!E:E,"-",0)</f>
        <v>33.729999999999997</v>
      </c>
      <c r="F1191" s="55">
        <f>_xlfn.XLOOKUP($G1191,'.Auxiliar'!$G:$G,'.Auxiliar'!F:F,"-",0)</f>
        <v>33.729999999999997</v>
      </c>
      <c r="G1191" s="59" t="s">
        <v>679</v>
      </c>
      <c r="H1191" s="108" t="s">
        <v>363</v>
      </c>
      <c r="I1191" s="109" t="s">
        <v>0</v>
      </c>
      <c r="J1191" s="109" t="s">
        <v>0</v>
      </c>
      <c r="K1191" s="109" t="s">
        <v>363</v>
      </c>
      <c r="L1191" s="109" t="s">
        <v>0</v>
      </c>
      <c r="M1191" s="109" t="s">
        <v>0</v>
      </c>
      <c r="N1191" s="110" t="s">
        <v>0</v>
      </c>
      <c r="O1191" s="111">
        <v>100</v>
      </c>
      <c r="P1191" s="112">
        <v>100</v>
      </c>
      <c r="Q1191" s="112"/>
      <c r="R1191" s="112"/>
      <c r="S1191" s="112"/>
      <c r="T1191" s="112"/>
      <c r="U1191" s="95">
        <f t="shared" si="57"/>
        <v>0</v>
      </c>
      <c r="V1191" s="112"/>
      <c r="W1191" s="112"/>
      <c r="X1191" s="107"/>
      <c r="Y1191" s="107">
        <f t="shared" si="58"/>
        <v>100</v>
      </c>
      <c r="Z1191" s="107">
        <f t="shared" si="59"/>
        <v>100</v>
      </c>
    </row>
    <row r="1192" spans="1:26" x14ac:dyDescent="0.25">
      <c r="A1192" s="55" t="str">
        <f>_xlfn.XLOOKUP($G1192,'.Auxiliar'!$G:$G,'.Auxiliar'!A:A,"-",0)</f>
        <v>VIA BAHIA</v>
      </c>
      <c r="B1192" s="55" t="str">
        <f>_xlfn.XLOOKUP($G1192,'.Auxiliar'!$G:$G,'.Auxiliar'!B:B,"-",0)</f>
        <v>DUPLICAÇÃO</v>
      </c>
      <c r="C1192" s="55" t="str">
        <f>_xlfn.XLOOKUP($G1192,'.Auxiliar'!$G:$G,'.Auxiliar'!C:C,"-",0)</f>
        <v>Trecho entre Santo Estevão e BR - 242 - SUBTRECHO 8</v>
      </c>
      <c r="D1192" s="55">
        <f>_xlfn.XLOOKUP($G1192,'.Auxiliar'!$G:$G,'.Auxiliar'!D:D,"-",0)</f>
        <v>0</v>
      </c>
      <c r="E1192" s="55">
        <f>_xlfn.XLOOKUP($G1192,'.Auxiliar'!$G:$G,'.Auxiliar'!E:E,"-",0)</f>
        <v>4.7300000000000004</v>
      </c>
      <c r="F1192" s="55">
        <f>_xlfn.XLOOKUP($G1192,'.Auxiliar'!$G:$G,'.Auxiliar'!F:F,"-",0)</f>
        <v>4.7300000000000004</v>
      </c>
      <c r="G1192" s="59" t="s">
        <v>680</v>
      </c>
      <c r="H1192" s="108" t="s">
        <v>363</v>
      </c>
      <c r="I1192" s="109" t="s">
        <v>0</v>
      </c>
      <c r="J1192" s="109" t="s">
        <v>0</v>
      </c>
      <c r="K1192" s="109" t="s">
        <v>363</v>
      </c>
      <c r="L1192" s="109" t="s">
        <v>0</v>
      </c>
      <c r="M1192" s="109" t="s">
        <v>0</v>
      </c>
      <c r="N1192" s="110" t="s">
        <v>0</v>
      </c>
      <c r="O1192" s="111">
        <v>100</v>
      </c>
      <c r="P1192" s="112">
        <v>0</v>
      </c>
      <c r="Q1192" s="112"/>
      <c r="R1192" s="112"/>
      <c r="S1192" s="112">
        <v>100</v>
      </c>
      <c r="T1192" s="112">
        <v>0</v>
      </c>
      <c r="U1192" s="95">
        <f t="shared" si="57"/>
        <v>100</v>
      </c>
      <c r="V1192" s="112"/>
      <c r="W1192" s="112"/>
      <c r="X1192" s="107"/>
      <c r="Y1192" s="107">
        <f t="shared" si="58"/>
        <v>100</v>
      </c>
      <c r="Z1192" s="107">
        <f t="shared" si="59"/>
        <v>0</v>
      </c>
    </row>
    <row r="1193" spans="1:26" x14ac:dyDescent="0.25">
      <c r="A1193" s="55" t="str">
        <f>_xlfn.XLOOKUP($G1193,'.Auxiliar'!$G:$G,'.Auxiliar'!A:A,"-",0)</f>
        <v>VIA BAHIA</v>
      </c>
      <c r="B1193" s="55" t="str">
        <f>_xlfn.XLOOKUP($G1193,'.Auxiliar'!$G:$G,'.Auxiliar'!B:B,"-",0)</f>
        <v>OAE</v>
      </c>
      <c r="C1193" s="55" t="str">
        <f>_xlfn.XLOOKUP($G1193,'.Auxiliar'!$G:$G,'.Auxiliar'!C:C,"-",0)</f>
        <v>Construção de interseção com linha ferroviária em níveis diferentes no município de Itatim.</v>
      </c>
      <c r="D1193" s="55">
        <f>_xlfn.XLOOKUP($G1193,'.Auxiliar'!$G:$G,'.Auxiliar'!D:D,"-",0)</f>
        <v>1</v>
      </c>
      <c r="E1193" s="55">
        <f>_xlfn.XLOOKUP($G1193,'.Auxiliar'!$G:$G,'.Auxiliar'!E:E,"-",0)</f>
        <v>1</v>
      </c>
      <c r="F1193" s="55">
        <f>_xlfn.XLOOKUP($G1193,'.Auxiliar'!$G:$G,'.Auxiliar'!F:F,"-",0)</f>
        <v>1</v>
      </c>
      <c r="G1193" s="59" t="s">
        <v>687</v>
      </c>
      <c r="H1193" s="108" t="s">
        <v>363</v>
      </c>
      <c r="I1193" s="109" t="s">
        <v>0</v>
      </c>
      <c r="J1193" s="109" t="s">
        <v>0</v>
      </c>
      <c r="K1193" s="109" t="s">
        <v>363</v>
      </c>
      <c r="L1193" s="109" t="s">
        <v>0</v>
      </c>
      <c r="M1193" s="109" t="s">
        <v>0</v>
      </c>
      <c r="N1193" s="110" t="s">
        <v>0</v>
      </c>
      <c r="O1193" s="111">
        <v>100</v>
      </c>
      <c r="P1193" s="112">
        <v>0</v>
      </c>
      <c r="Q1193" s="112">
        <v>100</v>
      </c>
      <c r="R1193" s="112">
        <v>0</v>
      </c>
      <c r="S1193" s="112">
        <v>100</v>
      </c>
      <c r="T1193" s="112">
        <v>0</v>
      </c>
      <c r="U1193" s="95">
        <f t="shared" si="57"/>
        <v>100</v>
      </c>
      <c r="V1193" s="112"/>
      <c r="W1193" s="112"/>
      <c r="X1193" s="107"/>
      <c r="Y1193" s="107">
        <f t="shared" si="58"/>
        <v>100</v>
      </c>
      <c r="Z1193" s="107">
        <f t="shared" si="59"/>
        <v>0</v>
      </c>
    </row>
    <row r="1194" spans="1:26" x14ac:dyDescent="0.25">
      <c r="A1194" s="55" t="str">
        <f>_xlfn.XLOOKUP($G1194,'.Auxiliar'!$G:$G,'.Auxiliar'!A:A,"-",0)</f>
        <v>VIA BAHIA</v>
      </c>
      <c r="B1194" s="55" t="str">
        <f>_xlfn.XLOOKUP($G1194,'.Auxiliar'!$G:$G,'.Auxiliar'!B:B,"-",0)</f>
        <v>OAE</v>
      </c>
      <c r="C1194" s="55" t="str">
        <f>_xlfn.XLOOKUP($G1194,'.Auxiliar'!$G:$G,'.Auxiliar'!C:C,"-",0)</f>
        <v>Construção de interseção entre as duas rodovias em níveis diferentes, com ramos; entroncamento entre a BR-
116 e a BR-242</v>
      </c>
      <c r="D1194" s="55">
        <f>_xlfn.XLOOKUP($G1194,'.Auxiliar'!$G:$G,'.Auxiliar'!D:D,"-",0)</f>
        <v>1</v>
      </c>
      <c r="E1194" s="55">
        <f>_xlfn.XLOOKUP($G1194,'.Auxiliar'!$G:$G,'.Auxiliar'!E:E,"-",0)</f>
        <v>1</v>
      </c>
      <c r="F1194" s="55">
        <f>_xlfn.XLOOKUP($G1194,'.Auxiliar'!$G:$G,'.Auxiliar'!F:F,"-",0)</f>
        <v>1</v>
      </c>
      <c r="G1194" s="59" t="s">
        <v>682</v>
      </c>
      <c r="H1194" s="108" t="s">
        <v>363</v>
      </c>
      <c r="I1194" s="109" t="s">
        <v>0</v>
      </c>
      <c r="J1194" s="109" t="s">
        <v>0</v>
      </c>
      <c r="K1194" s="109" t="s">
        <v>363</v>
      </c>
      <c r="L1194" s="109" t="s">
        <v>0</v>
      </c>
      <c r="M1194" s="109" t="s">
        <v>0</v>
      </c>
      <c r="N1194" s="110" t="s">
        <v>0</v>
      </c>
      <c r="O1194" s="111">
        <v>100</v>
      </c>
      <c r="P1194" s="112">
        <v>0</v>
      </c>
      <c r="Q1194" s="112">
        <v>50</v>
      </c>
      <c r="R1194" s="112">
        <v>0</v>
      </c>
      <c r="S1194" s="112">
        <v>50</v>
      </c>
      <c r="T1194" s="112">
        <v>0</v>
      </c>
      <c r="U1194" s="95">
        <f t="shared" si="57"/>
        <v>100</v>
      </c>
      <c r="V1194" s="112">
        <v>50</v>
      </c>
      <c r="W1194" s="112"/>
      <c r="X1194" s="107"/>
      <c r="Y1194" s="107">
        <f t="shared" si="58"/>
        <v>100</v>
      </c>
      <c r="Z1194" s="107">
        <f t="shared" si="59"/>
        <v>0</v>
      </c>
    </row>
    <row r="1195" spans="1:26" x14ac:dyDescent="0.25">
      <c r="A1195" s="55" t="str">
        <f>_xlfn.XLOOKUP($G1195,'.Auxiliar'!$G:$G,'.Auxiliar'!A:A,"-",0)</f>
        <v>VIA BAHIA</v>
      </c>
      <c r="B1195" s="55" t="str">
        <f>_xlfn.XLOOKUP($G1195,'.Auxiliar'!$G:$G,'.Auxiliar'!B:B,"-",0)</f>
        <v>OAE</v>
      </c>
      <c r="C1195" s="55" t="str">
        <f>_xlfn.XLOOKUP($G1195,'.Auxiliar'!$G:$G,'.Auxiliar'!C:C,"-",0)</f>
        <v>Construção de trevo com alças de acesso à rodovia BA-524 (Canal de Tráfego), nos quatro sentidos;</v>
      </c>
      <c r="D1195" s="55">
        <f>_xlfn.XLOOKUP($G1195,'.Auxiliar'!$G:$G,'.Auxiliar'!D:D,"-",0)</f>
        <v>1</v>
      </c>
      <c r="E1195" s="55">
        <f>_xlfn.XLOOKUP($G1195,'.Auxiliar'!$G:$G,'.Auxiliar'!E:E,"-",0)</f>
        <v>1</v>
      </c>
      <c r="F1195" s="55">
        <f>_xlfn.XLOOKUP($G1195,'.Auxiliar'!$G:$G,'.Auxiliar'!F:F,"-",0)</f>
        <v>1</v>
      </c>
      <c r="G1195" s="59" t="s">
        <v>686</v>
      </c>
      <c r="H1195" s="108" t="s">
        <v>363</v>
      </c>
      <c r="I1195" s="109" t="s">
        <v>0</v>
      </c>
      <c r="J1195" s="109" t="s">
        <v>0</v>
      </c>
      <c r="K1195" s="109" t="s">
        <v>363</v>
      </c>
      <c r="L1195" s="109" t="s">
        <v>0</v>
      </c>
      <c r="M1195" s="109" t="s">
        <v>0</v>
      </c>
      <c r="N1195" s="110" t="s">
        <v>0</v>
      </c>
      <c r="O1195" s="111">
        <v>100</v>
      </c>
      <c r="P1195" s="112">
        <v>0</v>
      </c>
      <c r="Q1195" s="112">
        <v>100</v>
      </c>
      <c r="R1195" s="112">
        <v>0</v>
      </c>
      <c r="S1195" s="112">
        <v>100</v>
      </c>
      <c r="T1195" s="112">
        <v>0</v>
      </c>
      <c r="U1195" s="95">
        <f t="shared" si="57"/>
        <v>100</v>
      </c>
      <c r="V1195" s="112"/>
      <c r="W1195" s="112"/>
      <c r="X1195" s="107"/>
      <c r="Y1195" s="107">
        <f t="shared" si="58"/>
        <v>100</v>
      </c>
      <c r="Z1195" s="107">
        <f t="shared" si="59"/>
        <v>0</v>
      </c>
    </row>
    <row r="1196" spans="1:26" x14ac:dyDescent="0.25">
      <c r="A1196" s="55" t="str">
        <f>_xlfn.XLOOKUP($G1196,'.Auxiliar'!$G:$G,'.Auxiliar'!A:A,"-",0)</f>
        <v>VIA BAHIA</v>
      </c>
      <c r="B1196" s="55" t="str">
        <f>_xlfn.XLOOKUP($G1196,'.Auxiliar'!$G:$G,'.Auxiliar'!B:B,"-",0)</f>
        <v>OAE</v>
      </c>
      <c r="C1196" s="55" t="str">
        <f>_xlfn.XLOOKUP($G1196,'.Auxiliar'!$G:$G,'.Auxiliar'!C:C,"-",0)</f>
        <v>Dispositivos de intersecção no anel viário de Vitória da Conquista</v>
      </c>
      <c r="D1196" s="55">
        <f>_xlfn.XLOOKUP($G1196,'.Auxiliar'!$G:$G,'.Auxiliar'!D:D,"-",0)</f>
        <v>1</v>
      </c>
      <c r="E1196" s="55">
        <f>_xlfn.XLOOKUP($G1196,'.Auxiliar'!$G:$G,'.Auxiliar'!E:E,"-",0)</f>
        <v>1</v>
      </c>
      <c r="F1196" s="55">
        <f>_xlfn.XLOOKUP($G1196,'.Auxiliar'!$G:$G,'.Auxiliar'!F:F,"-",0)</f>
        <v>1</v>
      </c>
      <c r="G1196" s="59" t="s">
        <v>683</v>
      </c>
      <c r="H1196" s="108" t="s">
        <v>363</v>
      </c>
      <c r="I1196" s="109" t="s">
        <v>0</v>
      </c>
      <c r="J1196" s="109" t="s">
        <v>0</v>
      </c>
      <c r="K1196" s="109" t="s">
        <v>363</v>
      </c>
      <c r="L1196" s="109" t="s">
        <v>0</v>
      </c>
      <c r="M1196" s="109" t="s">
        <v>0</v>
      </c>
      <c r="N1196" s="110" t="s">
        <v>0</v>
      </c>
      <c r="O1196" s="111">
        <v>100</v>
      </c>
      <c r="P1196" s="112">
        <v>0</v>
      </c>
      <c r="Q1196" s="112">
        <v>100</v>
      </c>
      <c r="R1196" s="112">
        <v>0</v>
      </c>
      <c r="S1196" s="112">
        <v>100</v>
      </c>
      <c r="T1196" s="112">
        <v>0</v>
      </c>
      <c r="U1196" s="95">
        <f t="shared" si="57"/>
        <v>100</v>
      </c>
      <c r="V1196" s="112"/>
      <c r="W1196" s="112"/>
      <c r="X1196" s="107"/>
      <c r="Y1196" s="107">
        <f t="shared" si="58"/>
        <v>100</v>
      </c>
      <c r="Z1196" s="107">
        <f t="shared" si="59"/>
        <v>0</v>
      </c>
    </row>
    <row r="1197" spans="1:26" x14ac:dyDescent="0.25">
      <c r="A1197" s="55" t="str">
        <f>_xlfn.XLOOKUP($G1197,'.Auxiliar'!$G:$G,'.Auxiliar'!A:A,"-",0)</f>
        <v>VIA BAHIA</v>
      </c>
      <c r="B1197" s="55" t="str">
        <f>_xlfn.XLOOKUP($G1197,'.Auxiliar'!$G:$G,'.Auxiliar'!B:B,"-",0)</f>
        <v>OAE</v>
      </c>
      <c r="C1197" s="55" t="str">
        <f>_xlfn.XLOOKUP($G1197,'.Auxiliar'!$G:$G,'.Auxiliar'!C:C,"-",0)</f>
        <v>Obras para Conclusão do viaduto de Simões Filho</v>
      </c>
      <c r="D1197" s="55">
        <f>_xlfn.XLOOKUP($G1197,'.Auxiliar'!$G:$G,'.Auxiliar'!D:D,"-",0)</f>
        <v>1</v>
      </c>
      <c r="E1197" s="55">
        <f>_xlfn.XLOOKUP($G1197,'.Auxiliar'!$G:$G,'.Auxiliar'!E:E,"-",0)</f>
        <v>1</v>
      </c>
      <c r="F1197" s="55">
        <f>_xlfn.XLOOKUP($G1197,'.Auxiliar'!$G:$G,'.Auxiliar'!F:F,"-",0)</f>
        <v>1</v>
      </c>
      <c r="G1197" s="59" t="s">
        <v>685</v>
      </c>
      <c r="H1197" s="108" t="s">
        <v>363</v>
      </c>
      <c r="I1197" s="109" t="s">
        <v>0</v>
      </c>
      <c r="J1197" s="109" t="s">
        <v>0</v>
      </c>
      <c r="K1197" s="109" t="s">
        <v>0</v>
      </c>
      <c r="L1197" s="109" t="s">
        <v>0</v>
      </c>
      <c r="M1197" s="109" t="s">
        <v>0</v>
      </c>
      <c r="N1197" s="110" t="s">
        <v>0</v>
      </c>
      <c r="O1197" s="111">
        <v>100</v>
      </c>
      <c r="P1197" s="112">
        <v>100</v>
      </c>
      <c r="Q1197" s="112"/>
      <c r="R1197" s="112"/>
      <c r="S1197" s="112"/>
      <c r="T1197" s="112"/>
      <c r="U1197" s="95">
        <f t="shared" si="57"/>
        <v>0</v>
      </c>
      <c r="V1197" s="112"/>
      <c r="W1197" s="112"/>
      <c r="X1197" s="107"/>
      <c r="Y1197" s="107">
        <f t="shared" si="58"/>
        <v>100</v>
      </c>
      <c r="Z1197" s="107">
        <f t="shared" si="59"/>
        <v>100</v>
      </c>
    </row>
    <row r="1198" spans="1:26" x14ac:dyDescent="0.25">
      <c r="A1198" s="55" t="str">
        <f>_xlfn.XLOOKUP($G1198,'.Auxiliar'!$G:$G,'.Auxiliar'!A:A,"-",0)</f>
        <v>VIA BAHIA</v>
      </c>
      <c r="B1198" s="55" t="str">
        <f>_xlfn.XLOOKUP($G1198,'.Auxiliar'!$G:$G,'.Auxiliar'!B:B,"-",0)</f>
        <v>OAE</v>
      </c>
      <c r="C1198" s="55" t="str">
        <f>_xlfn.XLOOKUP($G1198,'.Auxiliar'!$G:$G,'.Auxiliar'!C:C,"-",0)</f>
        <v>Viaduto de Acesso entr. BA- 407/415 BA- 262B/263 (Vitória da Conquista</v>
      </c>
      <c r="D1198" s="55">
        <f>_xlfn.XLOOKUP($G1198,'.Auxiliar'!$G:$G,'.Auxiliar'!D:D,"-",0)</f>
        <v>0.08</v>
      </c>
      <c r="E1198" s="55">
        <f>_xlfn.XLOOKUP($G1198,'.Auxiliar'!$G:$G,'.Auxiliar'!E:E,"-",0)</f>
        <v>0.08</v>
      </c>
      <c r="F1198" s="55">
        <f>_xlfn.XLOOKUP($G1198,'.Auxiliar'!$G:$G,'.Auxiliar'!F:F,"-",0)</f>
        <v>1</v>
      </c>
      <c r="G1198" s="59" t="s">
        <v>681</v>
      </c>
      <c r="H1198" s="108" t="s">
        <v>363</v>
      </c>
      <c r="I1198" s="109" t="s">
        <v>0</v>
      </c>
      <c r="J1198" s="109" t="s">
        <v>0</v>
      </c>
      <c r="K1198" s="109" t="s">
        <v>363</v>
      </c>
      <c r="L1198" s="109" t="s">
        <v>0</v>
      </c>
      <c r="M1198" s="109" t="s">
        <v>0</v>
      </c>
      <c r="N1198" s="110" t="s">
        <v>0</v>
      </c>
      <c r="O1198" s="111">
        <v>100</v>
      </c>
      <c r="P1198" s="112">
        <v>0</v>
      </c>
      <c r="Q1198" s="112"/>
      <c r="R1198" s="112"/>
      <c r="S1198" s="112">
        <v>100</v>
      </c>
      <c r="T1198" s="112">
        <v>0</v>
      </c>
      <c r="U1198" s="95">
        <f t="shared" si="57"/>
        <v>100</v>
      </c>
      <c r="V1198" s="112"/>
      <c r="W1198" s="112"/>
      <c r="X1198" s="107"/>
      <c r="Y1198" s="107">
        <f t="shared" si="58"/>
        <v>100</v>
      </c>
      <c r="Z1198" s="107">
        <f t="shared" si="59"/>
        <v>0</v>
      </c>
    </row>
    <row r="1199" spans="1:26" x14ac:dyDescent="0.25">
      <c r="A1199" s="55" t="str">
        <f>_xlfn.XLOOKUP($G1199,'.Auxiliar'!$G:$G,'.Auxiliar'!A:A,"-",0)</f>
        <v>VIA BAHIA</v>
      </c>
      <c r="B1199" s="55" t="str">
        <f>_xlfn.XLOOKUP($G1199,'.Auxiliar'!$G:$G,'.Auxiliar'!B:B,"-",0)</f>
        <v>OAE</v>
      </c>
      <c r="C1199" s="55" t="str">
        <f>_xlfn.XLOOKUP($G1199,'.Auxiliar'!$G:$G,'.Auxiliar'!C:C,"-",0)</f>
        <v>Viaduto sobre a BR-324/BA, acesso a Santo Amaro BA-520</v>
      </c>
      <c r="D1199" s="55">
        <f>_xlfn.XLOOKUP($G1199,'.Auxiliar'!$G:$G,'.Auxiliar'!D:D,"-",0)</f>
        <v>36.47</v>
      </c>
      <c r="E1199" s="55">
        <f>_xlfn.XLOOKUP($G1199,'.Auxiliar'!$G:$G,'.Auxiliar'!E:E,"-",0)</f>
        <v>36.47</v>
      </c>
      <c r="F1199" s="55">
        <f>_xlfn.XLOOKUP($G1199,'.Auxiliar'!$G:$G,'.Auxiliar'!F:F,"-",0)</f>
        <v>1</v>
      </c>
      <c r="G1199" s="59" t="s">
        <v>684</v>
      </c>
      <c r="H1199" s="108" t="s">
        <v>363</v>
      </c>
      <c r="I1199" s="109" t="s">
        <v>0</v>
      </c>
      <c r="J1199" s="109" t="s">
        <v>0</v>
      </c>
      <c r="K1199" s="109" t="s">
        <v>363</v>
      </c>
      <c r="L1199" s="109" t="s">
        <v>0</v>
      </c>
      <c r="M1199" s="109" t="s">
        <v>0</v>
      </c>
      <c r="N1199" s="110" t="s">
        <v>0</v>
      </c>
      <c r="O1199" s="111">
        <v>100</v>
      </c>
      <c r="P1199" s="112">
        <v>0</v>
      </c>
      <c r="Q1199" s="112"/>
      <c r="R1199" s="112"/>
      <c r="S1199" s="112">
        <v>100</v>
      </c>
      <c r="T1199" s="112">
        <v>0</v>
      </c>
      <c r="U1199" s="95">
        <f t="shared" si="57"/>
        <v>100</v>
      </c>
      <c r="V1199" s="112"/>
      <c r="W1199" s="112"/>
      <c r="X1199" s="107"/>
      <c r="Y1199" s="107">
        <f t="shared" si="58"/>
        <v>100</v>
      </c>
      <c r="Z1199" s="107">
        <f t="shared" si="59"/>
        <v>0</v>
      </c>
    </row>
    <row r="1200" spans="1:26" x14ac:dyDescent="0.25">
      <c r="A1200" s="55" t="str">
        <f>_xlfn.XLOOKUP($G1200,'.Auxiliar'!$G:$G,'.Auxiliar'!A:A,"-",0)</f>
        <v>VIA BAHIA</v>
      </c>
      <c r="B1200" s="55" t="str">
        <f>_xlfn.XLOOKUP($G1200,'.Auxiliar'!$G:$G,'.Auxiliar'!B:B,"-",0)</f>
        <v>PAVIMENTAÇÃO</v>
      </c>
      <c r="C1200" s="55" t="str">
        <f>_xlfn.XLOOKUP($G1200,'.Auxiliar'!$G:$G,'.Auxiliar'!C:C,"-",0)</f>
        <v>Construção de ruas laterais - SUBTRECHO 6 - Perímetro Urbano Km 7 Chapeu de Coro Lado D</v>
      </c>
      <c r="D1200" s="55">
        <f>_xlfn.XLOOKUP($G1200,'.Auxiliar'!$G:$G,'.Auxiliar'!D:D,"-",0)</f>
        <v>30.4</v>
      </c>
      <c r="E1200" s="55">
        <f>_xlfn.XLOOKUP($G1200,'.Auxiliar'!$G:$G,'.Auxiliar'!E:E,"-",0)</f>
        <v>30.8</v>
      </c>
      <c r="F1200" s="55">
        <f>_xlfn.XLOOKUP($G1200,'.Auxiliar'!$G:$G,'.Auxiliar'!F:F,"-",0)</f>
        <v>0.40000000000000213</v>
      </c>
      <c r="G1200" s="59" t="s">
        <v>676</v>
      </c>
      <c r="H1200" s="108" t="s">
        <v>363</v>
      </c>
      <c r="I1200" s="109" t="s">
        <v>0</v>
      </c>
      <c r="J1200" s="109" t="s">
        <v>0</v>
      </c>
      <c r="K1200" s="109" t="s">
        <v>363</v>
      </c>
      <c r="L1200" s="109" t="s">
        <v>0</v>
      </c>
      <c r="M1200" s="109" t="s">
        <v>0</v>
      </c>
      <c r="N1200" s="110" t="s">
        <v>0</v>
      </c>
      <c r="O1200" s="111">
        <v>100</v>
      </c>
      <c r="P1200" s="112">
        <v>0</v>
      </c>
      <c r="Q1200" s="112">
        <v>100</v>
      </c>
      <c r="R1200" s="112">
        <v>0</v>
      </c>
      <c r="S1200" s="112">
        <v>100</v>
      </c>
      <c r="T1200" s="112">
        <v>0</v>
      </c>
      <c r="U1200" s="95">
        <f t="shared" si="57"/>
        <v>100</v>
      </c>
      <c r="V1200" s="112"/>
      <c r="W1200" s="112"/>
      <c r="X1200" s="107"/>
      <c r="Y1200" s="107">
        <f t="shared" si="58"/>
        <v>100</v>
      </c>
      <c r="Z1200" s="107">
        <f t="shared" si="59"/>
        <v>0</v>
      </c>
    </row>
    <row r="1201" spans="1:26" x14ac:dyDescent="0.25">
      <c r="A1201" s="55" t="str">
        <f>_xlfn.XLOOKUP($G1201,'.Auxiliar'!$G:$G,'.Auxiliar'!A:A,"-",0)</f>
        <v>VIA BAHIA</v>
      </c>
      <c r="B1201" s="55" t="str">
        <f>_xlfn.XLOOKUP($G1201,'.Auxiliar'!$G:$G,'.Auxiliar'!B:B,"-",0)</f>
        <v>PAVIMENTAÇÃO</v>
      </c>
      <c r="C1201" s="55" t="str">
        <f>_xlfn.XLOOKUP($G1201,'.Auxiliar'!$G:$G,'.Auxiliar'!C:C,"-",0)</f>
        <v>Construção de ruas laterais - SUBTRECHO 6 - Perímetro Urbano Santo Estevão Lado E/D</v>
      </c>
      <c r="D1201" s="55">
        <f>_xlfn.XLOOKUP($G1201,'.Auxiliar'!$G:$G,'.Auxiliar'!D:D,"-",0)</f>
        <v>0</v>
      </c>
      <c r="E1201" s="55">
        <f>_xlfn.XLOOKUP($G1201,'.Auxiliar'!$G:$G,'.Auxiliar'!E:E,"-",0)</f>
        <v>1.8</v>
      </c>
      <c r="F1201" s="55">
        <f>_xlfn.XLOOKUP($G1201,'.Auxiliar'!$G:$G,'.Auxiliar'!F:F,"-",0)</f>
        <v>1.8</v>
      </c>
      <c r="G1201" s="59" t="s">
        <v>675</v>
      </c>
      <c r="H1201" s="108" t="s">
        <v>363</v>
      </c>
      <c r="I1201" s="109" t="s">
        <v>0</v>
      </c>
      <c r="J1201" s="109" t="s">
        <v>0</v>
      </c>
      <c r="K1201" s="109" t="s">
        <v>363</v>
      </c>
      <c r="L1201" s="109" t="s">
        <v>0</v>
      </c>
      <c r="M1201" s="109" t="s">
        <v>0</v>
      </c>
      <c r="N1201" s="110" t="s">
        <v>0</v>
      </c>
      <c r="O1201" s="111">
        <v>48.25</v>
      </c>
      <c r="P1201" s="112">
        <v>48.25</v>
      </c>
      <c r="Q1201" s="112">
        <v>51.75</v>
      </c>
      <c r="R1201" s="112">
        <v>0</v>
      </c>
      <c r="S1201" s="112">
        <v>51.75</v>
      </c>
      <c r="T1201" s="112">
        <v>0</v>
      </c>
      <c r="U1201" s="95">
        <f t="shared" si="57"/>
        <v>51.75</v>
      </c>
      <c r="V1201" s="112"/>
      <c r="W1201" s="112"/>
      <c r="X1201" s="107"/>
      <c r="Y1201" s="107">
        <f t="shared" si="58"/>
        <v>100</v>
      </c>
      <c r="Z1201" s="107">
        <f t="shared" si="59"/>
        <v>48.25</v>
      </c>
    </row>
    <row r="1202" spans="1:26" x14ac:dyDescent="0.25">
      <c r="A1202" s="55" t="str">
        <f>_xlfn.XLOOKUP($G1202,'.Auxiliar'!$G:$G,'.Auxiliar'!A:A,"-",0)</f>
        <v>VIA BAHIA</v>
      </c>
      <c r="B1202" s="55" t="str">
        <f>_xlfn.XLOOKUP($G1202,'.Auxiliar'!$G:$G,'.Auxiliar'!B:B,"-",0)</f>
        <v>PAVIMENTAÇÃO</v>
      </c>
      <c r="C1202" s="55" t="str">
        <f>_xlfn.XLOOKUP($G1202,'.Auxiliar'!$G:$G,'.Auxiliar'!C:C,"-",0)</f>
        <v>Construção de ruas laterais - SUBTRECHO 7 - Perímetro Urbano Lado D</v>
      </c>
      <c r="D1202" s="55">
        <f>_xlfn.XLOOKUP($G1202,'.Auxiliar'!$G:$G,'.Auxiliar'!D:D,"-",0)</f>
        <v>30.1</v>
      </c>
      <c r="E1202" s="55">
        <f>_xlfn.XLOOKUP($G1202,'.Auxiliar'!$G:$G,'.Auxiliar'!E:E,"-",0)</f>
        <v>30.6</v>
      </c>
      <c r="F1202" s="55">
        <f>_xlfn.XLOOKUP($G1202,'.Auxiliar'!$G:$G,'.Auxiliar'!F:F,"-",0)</f>
        <v>0.5</v>
      </c>
      <c r="G1202" s="59" t="s">
        <v>673</v>
      </c>
      <c r="H1202" s="108" t="s">
        <v>363</v>
      </c>
      <c r="I1202" s="109" t="s">
        <v>0</v>
      </c>
      <c r="J1202" s="109" t="s">
        <v>0</v>
      </c>
      <c r="K1202" s="109" t="s">
        <v>363</v>
      </c>
      <c r="L1202" s="109" t="s">
        <v>0</v>
      </c>
      <c r="M1202" s="109" t="s">
        <v>0</v>
      </c>
      <c r="N1202" s="110" t="s">
        <v>0</v>
      </c>
      <c r="O1202" s="111">
        <v>100</v>
      </c>
      <c r="P1202" s="112">
        <v>0</v>
      </c>
      <c r="Q1202" s="112">
        <v>100</v>
      </c>
      <c r="R1202" s="112">
        <v>0</v>
      </c>
      <c r="S1202" s="112">
        <v>100</v>
      </c>
      <c r="T1202" s="112">
        <v>0</v>
      </c>
      <c r="U1202" s="95">
        <f t="shared" si="57"/>
        <v>100</v>
      </c>
      <c r="V1202" s="112"/>
      <c r="W1202" s="112"/>
      <c r="X1202" s="107"/>
      <c r="Y1202" s="107">
        <f t="shared" si="58"/>
        <v>100</v>
      </c>
      <c r="Z1202" s="107">
        <f t="shared" si="59"/>
        <v>0</v>
      </c>
    </row>
    <row r="1203" spans="1:26" x14ac:dyDescent="0.25">
      <c r="A1203" s="55" t="str">
        <f>_xlfn.XLOOKUP($G1203,'.Auxiliar'!$G:$G,'.Auxiliar'!A:A,"-",0)</f>
        <v>VIA BAHIA</v>
      </c>
      <c r="B1203" s="55" t="str">
        <f>_xlfn.XLOOKUP($G1203,'.Auxiliar'!$G:$G,'.Auxiliar'!B:B,"-",0)</f>
        <v>PAVIMENTAÇÃO</v>
      </c>
      <c r="C1203" s="55" t="str">
        <f>_xlfn.XLOOKUP($G1203,'.Auxiliar'!$G:$G,'.Auxiliar'!C:C,"-",0)</f>
        <v>Construção de ruas laterais - SUBTRECHO 7 - Perímetro Urbano Lado E/D</v>
      </c>
      <c r="D1203" s="55">
        <f>_xlfn.XLOOKUP($G1203,'.Auxiliar'!$G:$G,'.Auxiliar'!D:D,"-",0)</f>
        <v>29</v>
      </c>
      <c r="E1203" s="55">
        <f>_xlfn.XLOOKUP($G1203,'.Auxiliar'!$G:$G,'.Auxiliar'!E:E,"-",0)</f>
        <v>29.5</v>
      </c>
      <c r="F1203" s="55">
        <f>_xlfn.XLOOKUP($G1203,'.Auxiliar'!$G:$G,'.Auxiliar'!F:F,"-",0)</f>
        <v>1</v>
      </c>
      <c r="G1203" s="59" t="s">
        <v>672</v>
      </c>
      <c r="H1203" s="108" t="s">
        <v>363</v>
      </c>
      <c r="I1203" s="109" t="s">
        <v>0</v>
      </c>
      <c r="J1203" s="109" t="s">
        <v>0</v>
      </c>
      <c r="K1203" s="109" t="s">
        <v>363</v>
      </c>
      <c r="L1203" s="109" t="s">
        <v>0</v>
      </c>
      <c r="M1203" s="109" t="s">
        <v>0</v>
      </c>
      <c r="N1203" s="110" t="s">
        <v>0</v>
      </c>
      <c r="O1203" s="111">
        <v>100</v>
      </c>
      <c r="P1203" s="112">
        <v>0</v>
      </c>
      <c r="Q1203" s="112"/>
      <c r="R1203" s="112"/>
      <c r="S1203" s="112">
        <v>100</v>
      </c>
      <c r="T1203" s="112">
        <v>0</v>
      </c>
      <c r="U1203" s="95">
        <f t="shared" si="57"/>
        <v>100</v>
      </c>
      <c r="V1203" s="112"/>
      <c r="W1203" s="112"/>
      <c r="X1203" s="107"/>
      <c r="Y1203" s="107">
        <f t="shared" si="58"/>
        <v>100</v>
      </c>
      <c r="Z1203" s="107">
        <f t="shared" si="59"/>
        <v>0</v>
      </c>
    </row>
    <row r="1204" spans="1:26" x14ac:dyDescent="0.25">
      <c r="A1204" s="55" t="str">
        <f>_xlfn.XLOOKUP($G1204,'.Auxiliar'!$G:$G,'.Auxiliar'!A:A,"-",0)</f>
        <v>VIA BAHIA</v>
      </c>
      <c r="B1204" s="55" t="str">
        <f>_xlfn.XLOOKUP($G1204,'.Auxiliar'!$G:$G,'.Auxiliar'!B:B,"-",0)</f>
        <v>PAVIMENTAÇÃO</v>
      </c>
      <c r="C1204" s="55" t="str">
        <f>_xlfn.XLOOKUP($G1204,'.Auxiliar'!$G:$G,'.Auxiliar'!C:C,"-",0)</f>
        <v>Construção de ruas laterais - SUBTRECHO 7 - Perímetro Urbano Paraguaçu Lado E/D</v>
      </c>
      <c r="D1204" s="55">
        <f>_xlfn.XLOOKUP($G1204,'.Auxiliar'!$G:$G,'.Auxiliar'!D:D,"-",0)</f>
        <v>0.2</v>
      </c>
      <c r="E1204" s="55">
        <f>_xlfn.XLOOKUP($G1204,'.Auxiliar'!$G:$G,'.Auxiliar'!E:E,"-",0)</f>
        <v>0.6</v>
      </c>
      <c r="F1204" s="55">
        <f>_xlfn.XLOOKUP($G1204,'.Auxiliar'!$G:$G,'.Auxiliar'!F:F,"-",0)</f>
        <v>0.79999999999999993</v>
      </c>
      <c r="G1204" s="59" t="s">
        <v>671</v>
      </c>
      <c r="H1204" s="108" t="s">
        <v>363</v>
      </c>
      <c r="I1204" s="109" t="s">
        <v>0</v>
      </c>
      <c r="J1204" s="109" t="s">
        <v>0</v>
      </c>
      <c r="K1204" s="109" t="s">
        <v>363</v>
      </c>
      <c r="L1204" s="109" t="s">
        <v>0</v>
      </c>
      <c r="M1204" s="109" t="s">
        <v>0</v>
      </c>
      <c r="N1204" s="109" t="s">
        <v>0</v>
      </c>
      <c r="O1204" s="111">
        <v>100</v>
      </c>
      <c r="P1204" s="112">
        <v>0</v>
      </c>
      <c r="Q1204" s="112">
        <v>100</v>
      </c>
      <c r="R1204" s="112">
        <v>0</v>
      </c>
      <c r="S1204" s="112">
        <v>100</v>
      </c>
      <c r="T1204" s="112">
        <v>0</v>
      </c>
      <c r="U1204" s="95">
        <f t="shared" si="57"/>
        <v>100</v>
      </c>
      <c r="V1204" s="112"/>
      <c r="W1204" s="112"/>
      <c r="X1204" s="107"/>
      <c r="Y1204" s="107">
        <f t="shared" si="58"/>
        <v>100</v>
      </c>
      <c r="Z1204" s="107">
        <f t="shared" si="59"/>
        <v>0</v>
      </c>
    </row>
    <row r="1205" spans="1:26" x14ac:dyDescent="0.25">
      <c r="A1205" s="55" t="str">
        <f>_xlfn.XLOOKUP($G1205,'.Auxiliar'!$G:$G,'.Auxiliar'!A:A,"-",0)</f>
        <v>VIA BAHIA</v>
      </c>
      <c r="B1205" s="55" t="str">
        <f>_xlfn.XLOOKUP($G1205,'.Auxiliar'!$G:$G,'.Auxiliar'!B:B,"-",0)</f>
        <v>PAVIMENTAÇÃO</v>
      </c>
      <c r="C1205" s="55" t="str">
        <f>_xlfn.XLOOKUP($G1205,'.Auxiliar'!$G:$G,'.Auxiliar'!C:C,"-",0)</f>
        <v>Construção de ruas laterais - SUBTRECHO 7 - Perímetro urbano Santo Estevão Lado E/D</v>
      </c>
      <c r="D1205" s="55">
        <f>_xlfn.XLOOKUP($G1205,'.Auxiliar'!$G:$G,'.Auxiliar'!D:D,"-",0)</f>
        <v>33</v>
      </c>
      <c r="E1205" s="55">
        <f>_xlfn.XLOOKUP($G1205,'.Auxiliar'!$G:$G,'.Auxiliar'!E:E,"-",0)</f>
        <v>33.6</v>
      </c>
      <c r="F1205" s="55">
        <f>_xlfn.XLOOKUP($G1205,'.Auxiliar'!$G:$G,'.Auxiliar'!F:F,"-",0)</f>
        <v>1.2000000000000028</v>
      </c>
      <c r="G1205" s="59" t="s">
        <v>674</v>
      </c>
      <c r="H1205" s="108" t="s">
        <v>363</v>
      </c>
      <c r="I1205" s="109" t="s">
        <v>0</v>
      </c>
      <c r="J1205" s="109" t="s">
        <v>0</v>
      </c>
      <c r="K1205" s="109" t="s">
        <v>363</v>
      </c>
      <c r="L1205" s="109" t="s">
        <v>0</v>
      </c>
      <c r="M1205" s="109" t="s">
        <v>0</v>
      </c>
      <c r="N1205" s="110" t="s">
        <v>0</v>
      </c>
      <c r="O1205" s="111">
        <f>99.75/2</f>
        <v>49.875</v>
      </c>
      <c r="P1205" s="112">
        <f>99.75/2</f>
        <v>49.875</v>
      </c>
      <c r="Q1205" s="112"/>
      <c r="R1205" s="112"/>
      <c r="S1205" s="112">
        <f>100-P1205</f>
        <v>50.125</v>
      </c>
      <c r="T1205" s="112">
        <v>0</v>
      </c>
      <c r="U1205" s="95">
        <f t="shared" si="57"/>
        <v>50.125</v>
      </c>
      <c r="V1205" s="112"/>
      <c r="W1205" s="112"/>
      <c r="X1205" s="107"/>
      <c r="Y1205" s="107">
        <f t="shared" si="58"/>
        <v>100</v>
      </c>
      <c r="Z1205" s="107">
        <f t="shared" si="59"/>
        <v>49.875</v>
      </c>
    </row>
    <row r="1206" spans="1:26" x14ac:dyDescent="0.25">
      <c r="A1206" s="55" t="str">
        <f>_xlfn.XLOOKUP($G1206,'.Auxiliar'!$G:$G,'.Auxiliar'!A:A,"-",0)</f>
        <v>VIA BAHIA</v>
      </c>
      <c r="B1206" s="55" t="str">
        <f>_xlfn.XLOOKUP($G1206,'.Auxiliar'!$G:$G,'.Auxiliar'!B:B,"-",0)</f>
        <v>PAVIMENTAÇÃO</v>
      </c>
      <c r="C1206" s="55" t="str">
        <f>_xlfn.XLOOKUP($G1206,'.Auxiliar'!$G:$G,'.Auxiliar'!C:C,"-",0)</f>
        <v>Construção de ruas laterais - SUBTRECHO 8 - Perímetro urbano ASSIB LE</v>
      </c>
      <c r="D1206" s="55">
        <f>_xlfn.XLOOKUP($G1206,'.Auxiliar'!$G:$G,'.Auxiliar'!D:D,"-",0)</f>
        <v>8.1</v>
      </c>
      <c r="E1206" s="55">
        <f>_xlfn.XLOOKUP($G1206,'.Auxiliar'!$G:$G,'.Auxiliar'!E:E,"-",0)</f>
        <v>8.6</v>
      </c>
      <c r="F1206" s="55">
        <f>_xlfn.XLOOKUP($G1206,'.Auxiliar'!$G:$G,'.Auxiliar'!F:F,"-",0)</f>
        <v>0.5</v>
      </c>
      <c r="G1206" s="59" t="s">
        <v>668</v>
      </c>
      <c r="H1206" s="108" t="s">
        <v>363</v>
      </c>
      <c r="I1206" s="109" t="s">
        <v>0</v>
      </c>
      <c r="J1206" s="109" t="s">
        <v>0</v>
      </c>
      <c r="K1206" s="109" t="s">
        <v>363</v>
      </c>
      <c r="L1206" s="109" t="s">
        <v>0</v>
      </c>
      <c r="M1206" s="109" t="s">
        <v>0</v>
      </c>
      <c r="N1206" s="110" t="s">
        <v>0</v>
      </c>
      <c r="O1206" s="111">
        <v>100</v>
      </c>
      <c r="P1206" s="112">
        <v>0</v>
      </c>
      <c r="Q1206" s="112"/>
      <c r="R1206" s="112"/>
      <c r="S1206" s="112">
        <v>100</v>
      </c>
      <c r="T1206" s="112">
        <v>0</v>
      </c>
      <c r="U1206" s="95">
        <f t="shared" si="57"/>
        <v>100</v>
      </c>
      <c r="V1206" s="112"/>
      <c r="W1206" s="112"/>
      <c r="X1206" s="107"/>
      <c r="Y1206" s="107">
        <f t="shared" si="58"/>
        <v>100</v>
      </c>
      <c r="Z1206" s="107">
        <f t="shared" si="59"/>
        <v>0</v>
      </c>
    </row>
    <row r="1207" spans="1:26" x14ac:dyDescent="0.25">
      <c r="A1207" s="55" t="str">
        <f>_xlfn.XLOOKUP($G1207,'.Auxiliar'!$G:$G,'.Auxiliar'!A:A,"-",0)</f>
        <v>VIA BAHIA</v>
      </c>
      <c r="B1207" s="55" t="str">
        <f>_xlfn.XLOOKUP($G1207,'.Auxiliar'!$G:$G,'.Auxiliar'!B:B,"-",0)</f>
        <v>PAVIMENTAÇÃO</v>
      </c>
      <c r="C1207" s="55" t="str">
        <f>_xlfn.XLOOKUP($G1207,'.Auxiliar'!$G:$G,'.Auxiliar'!C:C,"-",0)</f>
        <v>Construção de ruas laterais - SUBTRECHO 8 - Perímetro Urbano Itatim Lado E/D</v>
      </c>
      <c r="D1207" s="55">
        <f>_xlfn.XLOOKUP($G1207,'.Auxiliar'!$G:$G,'.Auxiliar'!D:D,"-",0)</f>
        <v>21.1</v>
      </c>
      <c r="E1207" s="55">
        <f>_xlfn.XLOOKUP($G1207,'.Auxiliar'!$G:$G,'.Auxiliar'!E:E,"-",0)</f>
        <v>21.9</v>
      </c>
      <c r="F1207" s="55">
        <f>_xlfn.XLOOKUP($G1207,'.Auxiliar'!$G:$G,'.Auxiliar'!F:F,"-",0)</f>
        <v>1.5999999999999943</v>
      </c>
      <c r="G1207" s="59" t="s">
        <v>669</v>
      </c>
      <c r="H1207" s="108" t="s">
        <v>363</v>
      </c>
      <c r="I1207" s="109" t="s">
        <v>0</v>
      </c>
      <c r="J1207" s="109" t="s">
        <v>0</v>
      </c>
      <c r="K1207" s="109" t="s">
        <v>363</v>
      </c>
      <c r="L1207" s="109" t="s">
        <v>0</v>
      </c>
      <c r="M1207" s="109" t="s">
        <v>0</v>
      </c>
      <c r="N1207" s="110" t="s">
        <v>0</v>
      </c>
      <c r="O1207" s="111">
        <v>100</v>
      </c>
      <c r="P1207" s="112">
        <v>0</v>
      </c>
      <c r="Q1207" s="112"/>
      <c r="R1207" s="112"/>
      <c r="S1207" s="112">
        <v>100</v>
      </c>
      <c r="T1207" s="112">
        <v>0</v>
      </c>
      <c r="U1207" s="95">
        <f t="shared" si="57"/>
        <v>100</v>
      </c>
      <c r="V1207" s="112"/>
      <c r="W1207" s="112"/>
      <c r="X1207" s="107"/>
      <c r="Y1207" s="107">
        <f t="shared" si="58"/>
        <v>100</v>
      </c>
      <c r="Z1207" s="107">
        <f t="shared" si="59"/>
        <v>0</v>
      </c>
    </row>
    <row r="1208" spans="1:26" x14ac:dyDescent="0.25">
      <c r="A1208" s="55" t="str">
        <f>_xlfn.XLOOKUP($G1208,'.Auxiliar'!$G:$G,'.Auxiliar'!A:A,"-",0)</f>
        <v>VIA BAHIA</v>
      </c>
      <c r="B1208" s="55" t="str">
        <f>_xlfn.XLOOKUP($G1208,'.Auxiliar'!$G:$G,'.Auxiliar'!B:B,"-",0)</f>
        <v>PAVIMENTAÇÃO</v>
      </c>
      <c r="C1208" s="55" t="str">
        <f>_xlfn.XLOOKUP($G1208,'.Auxiliar'!$G:$G,'.Auxiliar'!C:C,"-",0)</f>
        <v>Construção de ruas laterais - SUBTRECHO 8 - Perímetro Urbano Itatim Lado E/D</v>
      </c>
      <c r="D1208" s="55">
        <f>_xlfn.XLOOKUP($G1208,'.Auxiliar'!$G:$G,'.Auxiliar'!D:D,"-",0)</f>
        <v>23.3</v>
      </c>
      <c r="E1208" s="55">
        <f>_xlfn.XLOOKUP($G1208,'.Auxiliar'!$G:$G,'.Auxiliar'!E:E,"-",0)</f>
        <v>24.4</v>
      </c>
      <c r="F1208" s="55">
        <f>_xlfn.XLOOKUP($G1208,'.Auxiliar'!$G:$G,'.Auxiliar'!F:F,"-",0)</f>
        <v>2.1999999999999957</v>
      </c>
      <c r="G1208" s="59" t="s">
        <v>670</v>
      </c>
      <c r="H1208" s="108" t="s">
        <v>363</v>
      </c>
      <c r="I1208" s="109" t="s">
        <v>0</v>
      </c>
      <c r="J1208" s="109" t="s">
        <v>0</v>
      </c>
      <c r="K1208" s="109" t="s">
        <v>363</v>
      </c>
      <c r="L1208" s="109" t="s">
        <v>0</v>
      </c>
      <c r="M1208" s="109" t="s">
        <v>0</v>
      </c>
      <c r="N1208" s="110" t="s">
        <v>0</v>
      </c>
      <c r="O1208" s="111">
        <v>100</v>
      </c>
      <c r="P1208" s="112">
        <v>0</v>
      </c>
      <c r="Q1208" s="112"/>
      <c r="R1208" s="112"/>
      <c r="S1208" s="112">
        <v>100</v>
      </c>
      <c r="T1208" s="112">
        <v>0</v>
      </c>
      <c r="U1208" s="95">
        <f t="shared" si="57"/>
        <v>100</v>
      </c>
      <c r="V1208" s="112"/>
      <c r="W1208" s="112"/>
      <c r="X1208" s="107"/>
      <c r="Y1208" s="107">
        <f t="shared" si="58"/>
        <v>100</v>
      </c>
      <c r="Z1208" s="107">
        <f t="shared" si="59"/>
        <v>0</v>
      </c>
    </row>
    <row r="1209" spans="1:26" x14ac:dyDescent="0.25">
      <c r="A1209" s="55" t="str">
        <f>_xlfn.XLOOKUP($G1209,'.Auxiliar'!$G:$G,'.Auxiliar'!A:A,"-",0)</f>
        <v>VIA BRASIL</v>
      </c>
      <c r="B1209" s="55" t="str">
        <f>_xlfn.XLOOKUP($G1209,'.Auxiliar'!$G:$G,'.Auxiliar'!B:B,"-",0)</f>
        <v>FX ADICIONAL</v>
      </c>
      <c r="C1209" s="55" t="str">
        <f>_xlfn.XLOOKUP($G1209,'.Auxiliar'!$G:$G,'.Auxiliar'!C:C,"-",0)</f>
        <v xml:space="preserve">Faixa Adicional </v>
      </c>
      <c r="D1209" s="55">
        <f>_xlfn.XLOOKUP($G1209,'.Auxiliar'!$G:$G,'.Auxiliar'!D:D,"-",0)</f>
        <v>1003.857</v>
      </c>
      <c r="E1209" s="55">
        <f>_xlfn.XLOOKUP($G1209,'.Auxiliar'!$G:$G,'.Auxiliar'!E:E,"-",0)</f>
        <v>1004.36</v>
      </c>
      <c r="F1209" s="55">
        <f>_xlfn.XLOOKUP($G1209,'.Auxiliar'!$G:$G,'.Auxiliar'!F:F,"-",0)</f>
        <v>0.50300000000004275</v>
      </c>
      <c r="G1209" s="59" t="s">
        <v>1571</v>
      </c>
      <c r="H1209" s="108" t="s">
        <v>0</v>
      </c>
      <c r="I1209" s="109" t="s">
        <v>0</v>
      </c>
      <c r="J1209" s="109" t="s">
        <v>0</v>
      </c>
      <c r="K1209" s="109" t="s">
        <v>0</v>
      </c>
      <c r="L1209" s="109" t="s">
        <v>0</v>
      </c>
      <c r="M1209" s="109" t="s">
        <v>363</v>
      </c>
      <c r="N1209" s="110" t="s">
        <v>0</v>
      </c>
      <c r="O1209" s="111"/>
      <c r="P1209" s="112"/>
      <c r="Q1209" s="112"/>
      <c r="R1209" s="112"/>
      <c r="S1209" s="112"/>
      <c r="T1209" s="112"/>
      <c r="U1209" s="95" t="str">
        <f t="shared" si="57"/>
        <v/>
      </c>
      <c r="V1209" s="112"/>
      <c r="W1209" s="112">
        <v>100</v>
      </c>
      <c r="X1209" s="107"/>
      <c r="Y1209" s="107">
        <f t="shared" si="58"/>
        <v>100</v>
      </c>
      <c r="Z1209" s="107">
        <f t="shared" si="59"/>
        <v>0</v>
      </c>
    </row>
    <row r="1210" spans="1:26" x14ac:dyDescent="0.25">
      <c r="A1210" s="55" t="str">
        <f>_xlfn.XLOOKUP($G1210,'.Auxiliar'!$G:$G,'.Auxiliar'!A:A,"-",0)</f>
        <v>VIA BRASIL</v>
      </c>
      <c r="B1210" s="55" t="str">
        <f>_xlfn.XLOOKUP($G1210,'.Auxiliar'!$G:$G,'.Auxiliar'!B:B,"-",0)</f>
        <v>FX ADICIONAL</v>
      </c>
      <c r="C1210" s="55" t="str">
        <f>_xlfn.XLOOKUP($G1210,'.Auxiliar'!$G:$G,'.Auxiliar'!C:C,"-",0)</f>
        <v xml:space="preserve">Faixa Adicional </v>
      </c>
      <c r="D1210" s="55">
        <f>_xlfn.XLOOKUP($G1210,'.Auxiliar'!$G:$G,'.Auxiliar'!D:D,"-",0)</f>
        <v>1019.754</v>
      </c>
      <c r="E1210" s="55">
        <f>_xlfn.XLOOKUP($G1210,'.Auxiliar'!$G:$G,'.Auxiliar'!E:E,"-",0)</f>
        <v>1021.1559999999999</v>
      </c>
      <c r="F1210" s="55">
        <f>_xlfn.XLOOKUP($G1210,'.Auxiliar'!$G:$G,'.Auxiliar'!F:F,"-",0)</f>
        <v>1.40199999999993</v>
      </c>
      <c r="G1210" s="59" t="s">
        <v>1572</v>
      </c>
      <c r="H1210" s="108" t="s">
        <v>0</v>
      </c>
      <c r="I1210" s="109" t="s">
        <v>0</v>
      </c>
      <c r="J1210" s="109" t="s">
        <v>0</v>
      </c>
      <c r="K1210" s="109" t="s">
        <v>0</v>
      </c>
      <c r="L1210" s="109" t="s">
        <v>0</v>
      </c>
      <c r="M1210" s="109" t="s">
        <v>363</v>
      </c>
      <c r="N1210" s="110" t="s">
        <v>0</v>
      </c>
      <c r="O1210" s="111"/>
      <c r="P1210" s="112"/>
      <c r="Q1210" s="112"/>
      <c r="R1210" s="112"/>
      <c r="S1210" s="112"/>
      <c r="T1210" s="112"/>
      <c r="U1210" s="95" t="str">
        <f t="shared" si="57"/>
        <v/>
      </c>
      <c r="V1210" s="112"/>
      <c r="W1210" s="112">
        <v>100</v>
      </c>
      <c r="X1210" s="107"/>
      <c r="Y1210" s="107">
        <f t="shared" si="58"/>
        <v>100</v>
      </c>
      <c r="Z1210" s="107">
        <f t="shared" si="59"/>
        <v>0</v>
      </c>
    </row>
    <row r="1211" spans="1:26" x14ac:dyDescent="0.25">
      <c r="A1211" s="55" t="str">
        <f>_xlfn.XLOOKUP($G1211,'.Auxiliar'!$G:$G,'.Auxiliar'!A:A,"-",0)</f>
        <v>VIA BRASIL</v>
      </c>
      <c r="B1211" s="55" t="str">
        <f>_xlfn.XLOOKUP($G1211,'.Auxiliar'!$G:$G,'.Auxiliar'!B:B,"-",0)</f>
        <v>FX ADICIONAL</v>
      </c>
      <c r="C1211" s="55" t="str">
        <f>_xlfn.XLOOKUP($G1211,'.Auxiliar'!$G:$G,'.Auxiliar'!C:C,"-",0)</f>
        <v xml:space="preserve">Faixa Adicional </v>
      </c>
      <c r="D1211" s="55">
        <f>_xlfn.XLOOKUP($G1211,'.Auxiliar'!$G:$G,'.Auxiliar'!D:D,"-",0)</f>
        <v>1025.46</v>
      </c>
      <c r="E1211" s="55">
        <f>_xlfn.XLOOKUP($G1211,'.Auxiliar'!$G:$G,'.Auxiliar'!E:E,"-",0)</f>
        <v>1026.55</v>
      </c>
      <c r="F1211" s="55">
        <f>_xlfn.XLOOKUP($G1211,'.Auxiliar'!$G:$G,'.Auxiliar'!F:F,"-",0)</f>
        <v>1.0899999999999181</v>
      </c>
      <c r="G1211" s="59" t="s">
        <v>1573</v>
      </c>
      <c r="H1211" s="108" t="s">
        <v>0</v>
      </c>
      <c r="I1211" s="109" t="s">
        <v>0</v>
      </c>
      <c r="J1211" s="109" t="s">
        <v>0</v>
      </c>
      <c r="K1211" s="109" t="s">
        <v>0</v>
      </c>
      <c r="L1211" s="109" t="s">
        <v>0</v>
      </c>
      <c r="M1211" s="109" t="s">
        <v>363</v>
      </c>
      <c r="N1211" s="110" t="s">
        <v>0</v>
      </c>
      <c r="O1211" s="111"/>
      <c r="P1211" s="112"/>
      <c r="Q1211" s="112"/>
      <c r="R1211" s="112"/>
      <c r="S1211" s="112"/>
      <c r="T1211" s="112"/>
      <c r="U1211" s="95" t="str">
        <f t="shared" si="57"/>
        <v/>
      </c>
      <c r="V1211" s="112"/>
      <c r="W1211" s="112">
        <v>100</v>
      </c>
      <c r="X1211" s="107"/>
      <c r="Y1211" s="107">
        <f t="shared" si="58"/>
        <v>100</v>
      </c>
      <c r="Z1211" s="107">
        <f t="shared" si="59"/>
        <v>0</v>
      </c>
    </row>
    <row r="1212" spans="1:26" x14ac:dyDescent="0.25">
      <c r="A1212" s="55" t="str">
        <f>_xlfn.XLOOKUP($G1212,'.Auxiliar'!$G:$G,'.Auxiliar'!A:A,"-",0)</f>
        <v>VIA BRASIL</v>
      </c>
      <c r="B1212" s="55" t="str">
        <f>_xlfn.XLOOKUP($G1212,'.Auxiliar'!$G:$G,'.Auxiliar'!B:B,"-",0)</f>
        <v>FX ADICIONAL</v>
      </c>
      <c r="C1212" s="55" t="str">
        <f>_xlfn.XLOOKUP($G1212,'.Auxiliar'!$G:$G,'.Auxiliar'!C:C,"-",0)</f>
        <v xml:space="preserve">Faixa Adicional </v>
      </c>
      <c r="D1212" s="55">
        <f>_xlfn.XLOOKUP($G1212,'.Auxiliar'!$G:$G,'.Auxiliar'!D:D,"-",0)</f>
        <v>1040.0550000000001</v>
      </c>
      <c r="E1212" s="55">
        <f>_xlfn.XLOOKUP($G1212,'.Auxiliar'!$G:$G,'.Auxiliar'!E:E,"-",0)</f>
        <v>1041.1569999999999</v>
      </c>
      <c r="F1212" s="55">
        <f>_xlfn.XLOOKUP($G1212,'.Auxiliar'!$G:$G,'.Auxiliar'!F:F,"-",0)</f>
        <v>1.1019999999998618</v>
      </c>
      <c r="G1212" s="59" t="s">
        <v>1574</v>
      </c>
      <c r="H1212" s="108" t="s">
        <v>0</v>
      </c>
      <c r="I1212" s="109" t="s">
        <v>0</v>
      </c>
      <c r="J1212" s="109" t="s">
        <v>0</v>
      </c>
      <c r="K1212" s="109" t="s">
        <v>0</v>
      </c>
      <c r="L1212" s="109" t="s">
        <v>0</v>
      </c>
      <c r="M1212" s="109" t="s">
        <v>363</v>
      </c>
      <c r="N1212" s="110" t="s">
        <v>0</v>
      </c>
      <c r="O1212" s="111"/>
      <c r="P1212" s="112"/>
      <c r="Q1212" s="112"/>
      <c r="R1212" s="112"/>
      <c r="S1212" s="112"/>
      <c r="T1212" s="112"/>
      <c r="U1212" s="95" t="str">
        <f t="shared" si="57"/>
        <v/>
      </c>
      <c r="V1212" s="112"/>
      <c r="W1212" s="112">
        <v>100</v>
      </c>
      <c r="X1212" s="107"/>
      <c r="Y1212" s="107">
        <f t="shared" si="58"/>
        <v>100</v>
      </c>
      <c r="Z1212" s="107">
        <f t="shared" si="59"/>
        <v>0</v>
      </c>
    </row>
    <row r="1213" spans="1:26" x14ac:dyDescent="0.25">
      <c r="A1213" s="55" t="str">
        <f>_xlfn.XLOOKUP($G1213,'.Auxiliar'!$G:$G,'.Auxiliar'!A:A,"-",0)</f>
        <v>VIA BRASIL</v>
      </c>
      <c r="B1213" s="55" t="str">
        <f>_xlfn.XLOOKUP($G1213,'.Auxiliar'!$G:$G,'.Auxiliar'!B:B,"-",0)</f>
        <v>FX ADICIONAL</v>
      </c>
      <c r="C1213" s="55" t="str">
        <f>_xlfn.XLOOKUP($G1213,'.Auxiliar'!$G:$G,'.Auxiliar'!C:C,"-",0)</f>
        <v xml:space="preserve">Faixa Adicional </v>
      </c>
      <c r="D1213" s="55">
        <f>_xlfn.XLOOKUP($G1213,'.Auxiliar'!$G:$G,'.Auxiliar'!D:D,"-",0)</f>
        <v>885.65</v>
      </c>
      <c r="E1213" s="55">
        <f>_xlfn.XLOOKUP($G1213,'.Auxiliar'!$G:$G,'.Auxiliar'!E:E,"-",0)</f>
        <v>887.26099999999997</v>
      </c>
      <c r="F1213" s="55">
        <f>_xlfn.XLOOKUP($G1213,'.Auxiliar'!$G:$G,'.Auxiliar'!F:F,"-",0)</f>
        <v>1.61099999999999</v>
      </c>
      <c r="G1213" s="59" t="s">
        <v>857</v>
      </c>
      <c r="H1213" s="108" t="s">
        <v>0</v>
      </c>
      <c r="I1213" s="109" t="s">
        <v>368</v>
      </c>
      <c r="J1213" s="109" t="s">
        <v>0</v>
      </c>
      <c r="K1213" s="109" t="s">
        <v>363</v>
      </c>
      <c r="L1213" s="109" t="s">
        <v>0</v>
      </c>
      <c r="M1213" s="109" t="s">
        <v>0</v>
      </c>
      <c r="N1213" s="110" t="s">
        <v>0</v>
      </c>
      <c r="O1213" s="111"/>
      <c r="P1213" s="112"/>
      <c r="Q1213" s="112">
        <v>100</v>
      </c>
      <c r="R1213" s="112">
        <v>0</v>
      </c>
      <c r="S1213" s="112">
        <v>100</v>
      </c>
      <c r="T1213" s="112">
        <v>0</v>
      </c>
      <c r="U1213" s="95">
        <f t="shared" si="57"/>
        <v>100</v>
      </c>
      <c r="V1213" s="112"/>
      <c r="W1213" s="112"/>
      <c r="X1213" s="107"/>
      <c r="Y1213" s="107">
        <f t="shared" si="58"/>
        <v>100</v>
      </c>
      <c r="Z1213" s="107">
        <f t="shared" si="59"/>
        <v>0</v>
      </c>
    </row>
    <row r="1214" spans="1:26" x14ac:dyDescent="0.25">
      <c r="A1214" s="55" t="str">
        <f>_xlfn.XLOOKUP($G1214,'.Auxiliar'!$G:$G,'.Auxiliar'!A:A,"-",0)</f>
        <v>VIA BRASIL</v>
      </c>
      <c r="B1214" s="55" t="str">
        <f>_xlfn.XLOOKUP($G1214,'.Auxiliar'!$G:$G,'.Auxiliar'!B:B,"-",0)</f>
        <v>FX ADICIONAL</v>
      </c>
      <c r="C1214" s="55" t="str">
        <f>_xlfn.XLOOKUP($G1214,'.Auxiliar'!$G:$G,'.Auxiliar'!C:C,"-",0)</f>
        <v xml:space="preserve">Faixa Adicional </v>
      </c>
      <c r="D1214" s="55">
        <f>_xlfn.XLOOKUP($G1214,'.Auxiliar'!$G:$G,'.Auxiliar'!D:D,"-",0)</f>
        <v>893.06600000000003</v>
      </c>
      <c r="E1214" s="55">
        <f>_xlfn.XLOOKUP($G1214,'.Auxiliar'!$G:$G,'.Auxiliar'!E:E,"-",0)</f>
        <v>896.25599999999997</v>
      </c>
      <c r="F1214" s="55">
        <f>_xlfn.XLOOKUP($G1214,'.Auxiliar'!$G:$G,'.Auxiliar'!F:F,"-",0)</f>
        <v>3.1899999999999409</v>
      </c>
      <c r="G1214" s="59" t="s">
        <v>858</v>
      </c>
      <c r="H1214" s="108" t="s">
        <v>0</v>
      </c>
      <c r="I1214" s="109" t="s">
        <v>368</v>
      </c>
      <c r="J1214" s="109" t="s">
        <v>0</v>
      </c>
      <c r="K1214" s="109" t="s">
        <v>363</v>
      </c>
      <c r="L1214" s="109" t="s">
        <v>0</v>
      </c>
      <c r="M1214" s="109" t="s">
        <v>0</v>
      </c>
      <c r="N1214" s="110" t="s">
        <v>0</v>
      </c>
      <c r="O1214" s="111"/>
      <c r="P1214" s="112"/>
      <c r="Q1214" s="112">
        <v>100</v>
      </c>
      <c r="R1214" s="112">
        <v>0</v>
      </c>
      <c r="S1214" s="112">
        <v>100</v>
      </c>
      <c r="T1214" s="112">
        <v>0</v>
      </c>
      <c r="U1214" s="95">
        <f t="shared" si="57"/>
        <v>100</v>
      </c>
      <c r="V1214" s="112"/>
      <c r="W1214" s="112"/>
      <c r="X1214" s="107"/>
      <c r="Y1214" s="107">
        <f t="shared" si="58"/>
        <v>100</v>
      </c>
      <c r="Z1214" s="107">
        <f t="shared" si="59"/>
        <v>0</v>
      </c>
    </row>
    <row r="1215" spans="1:26" x14ac:dyDescent="0.25">
      <c r="A1215" s="55" t="str">
        <f>_xlfn.XLOOKUP($G1215,'.Auxiliar'!$G:$G,'.Auxiliar'!A:A,"-",0)</f>
        <v>VIA BRASIL</v>
      </c>
      <c r="B1215" s="55" t="str">
        <f>_xlfn.XLOOKUP($G1215,'.Auxiliar'!$G:$G,'.Auxiliar'!B:B,"-",0)</f>
        <v>FX ADICIONAL</v>
      </c>
      <c r="C1215" s="55" t="str">
        <f>_xlfn.XLOOKUP($G1215,'.Auxiliar'!$G:$G,'.Auxiliar'!C:C,"-",0)</f>
        <v xml:space="preserve">Faixa Adicional </v>
      </c>
      <c r="D1215" s="55">
        <f>_xlfn.XLOOKUP($G1215,'.Auxiliar'!$G:$G,'.Auxiliar'!D:D,"-",0)</f>
        <v>902.851</v>
      </c>
      <c r="E1215" s="55">
        <f>_xlfn.XLOOKUP($G1215,'.Auxiliar'!$G:$G,'.Auxiliar'!E:E,"-",0)</f>
        <v>904.75900000000001</v>
      </c>
      <c r="F1215" s="55">
        <f>_xlfn.XLOOKUP($G1215,'.Auxiliar'!$G:$G,'.Auxiliar'!F:F,"-",0)</f>
        <v>1.9080000000000155</v>
      </c>
      <c r="G1215" s="59" t="s">
        <v>859</v>
      </c>
      <c r="H1215" s="108" t="s">
        <v>0</v>
      </c>
      <c r="I1215" s="109" t="s">
        <v>368</v>
      </c>
      <c r="J1215" s="109" t="s">
        <v>0</v>
      </c>
      <c r="K1215" s="109" t="s">
        <v>363</v>
      </c>
      <c r="L1215" s="109" t="s">
        <v>0</v>
      </c>
      <c r="M1215" s="109" t="s">
        <v>0</v>
      </c>
      <c r="N1215" s="110" t="s">
        <v>0</v>
      </c>
      <c r="O1215" s="111"/>
      <c r="P1215" s="112"/>
      <c r="Q1215" s="112">
        <v>100</v>
      </c>
      <c r="R1215" s="112">
        <v>0</v>
      </c>
      <c r="S1215" s="112">
        <v>100</v>
      </c>
      <c r="T1215" s="112">
        <v>0</v>
      </c>
      <c r="U1215" s="95">
        <f t="shared" si="57"/>
        <v>100</v>
      </c>
      <c r="V1215" s="112"/>
      <c r="W1215" s="112"/>
      <c r="X1215" s="107"/>
      <c r="Y1215" s="107">
        <f t="shared" si="58"/>
        <v>100</v>
      </c>
      <c r="Z1215" s="107">
        <f t="shared" si="59"/>
        <v>0</v>
      </c>
    </row>
    <row r="1216" spans="1:26" x14ac:dyDescent="0.25">
      <c r="A1216" s="55" t="str">
        <f>_xlfn.XLOOKUP($G1216,'.Auxiliar'!$G:$G,'.Auxiliar'!A:A,"-",0)</f>
        <v>VIA BRASIL</v>
      </c>
      <c r="B1216" s="55" t="str">
        <f>_xlfn.XLOOKUP($G1216,'.Auxiliar'!$G:$G,'.Auxiliar'!B:B,"-",0)</f>
        <v>FX ADICIONAL</v>
      </c>
      <c r="C1216" s="55" t="str">
        <f>_xlfn.XLOOKUP($G1216,'.Auxiliar'!$G:$G,'.Auxiliar'!C:C,"-",0)</f>
        <v xml:space="preserve">Faixa Adicional </v>
      </c>
      <c r="D1216" s="55">
        <f>_xlfn.XLOOKUP($G1216,'.Auxiliar'!$G:$G,'.Auxiliar'!D:D,"-",0)</f>
        <v>912.66300000000001</v>
      </c>
      <c r="E1216" s="55">
        <f>_xlfn.XLOOKUP($G1216,'.Auxiliar'!$G:$G,'.Auxiliar'!E:E,"-",0)</f>
        <v>913.95100000000002</v>
      </c>
      <c r="F1216" s="55">
        <f>_xlfn.XLOOKUP($G1216,'.Auxiliar'!$G:$G,'.Auxiliar'!F:F,"-",0)</f>
        <v>1.2880000000000109</v>
      </c>
      <c r="G1216" s="59" t="s">
        <v>925</v>
      </c>
      <c r="H1216" s="108" t="s">
        <v>0</v>
      </c>
      <c r="I1216" s="109" t="s">
        <v>0</v>
      </c>
      <c r="J1216" s="109" t="s">
        <v>363</v>
      </c>
      <c r="K1216" s="109" t="s">
        <v>0</v>
      </c>
      <c r="L1216" s="109" t="s">
        <v>0</v>
      </c>
      <c r="M1216" s="109" t="s">
        <v>0</v>
      </c>
      <c r="N1216" s="110" t="s">
        <v>0</v>
      </c>
      <c r="O1216" s="111"/>
      <c r="P1216" s="112"/>
      <c r="Q1216" s="112"/>
      <c r="R1216" s="112"/>
      <c r="S1216" s="112">
        <v>100</v>
      </c>
      <c r="T1216" s="112">
        <v>0</v>
      </c>
      <c r="U1216" s="95">
        <f t="shared" si="57"/>
        <v>100</v>
      </c>
      <c r="V1216" s="112"/>
      <c r="W1216" s="112"/>
      <c r="X1216" s="107"/>
      <c r="Y1216" s="107">
        <f t="shared" si="58"/>
        <v>100</v>
      </c>
      <c r="Z1216" s="107">
        <f t="shared" si="59"/>
        <v>0</v>
      </c>
    </row>
    <row r="1217" spans="1:26" x14ac:dyDescent="0.25">
      <c r="A1217" s="55" t="str">
        <f>_xlfn.XLOOKUP($G1217,'.Auxiliar'!$G:$G,'.Auxiliar'!A:A,"-",0)</f>
        <v>VIA BRASIL</v>
      </c>
      <c r="B1217" s="55" t="str">
        <f>_xlfn.XLOOKUP($G1217,'.Auxiliar'!$G:$G,'.Auxiliar'!B:B,"-",0)</f>
        <v>FX ADICIONAL</v>
      </c>
      <c r="C1217" s="55" t="str">
        <f>_xlfn.XLOOKUP($G1217,'.Auxiliar'!$G:$G,'.Auxiliar'!C:C,"-",0)</f>
        <v xml:space="preserve">Faixa Adicional </v>
      </c>
      <c r="D1217" s="55">
        <f>_xlfn.XLOOKUP($G1217,'.Auxiliar'!$G:$G,'.Auxiliar'!D:D,"-",0)</f>
        <v>923.45899999999995</v>
      </c>
      <c r="E1217" s="55">
        <f>_xlfn.XLOOKUP($G1217,'.Auxiliar'!$G:$G,'.Auxiliar'!E:E,"-",0)</f>
        <v>924.65499999999997</v>
      </c>
      <c r="F1217" s="55">
        <f>_xlfn.XLOOKUP($G1217,'.Auxiliar'!$G:$G,'.Auxiliar'!F:F,"-",0)</f>
        <v>1.1960000000000264</v>
      </c>
      <c r="G1217" s="59" t="s">
        <v>926</v>
      </c>
      <c r="H1217" s="108" t="s">
        <v>0</v>
      </c>
      <c r="I1217" s="109" t="s">
        <v>0</v>
      </c>
      <c r="J1217" s="109" t="s">
        <v>363</v>
      </c>
      <c r="K1217" s="109" t="s">
        <v>0</v>
      </c>
      <c r="L1217" s="109" t="s">
        <v>0</v>
      </c>
      <c r="M1217" s="109" t="s">
        <v>0</v>
      </c>
      <c r="N1217" s="110" t="s">
        <v>0</v>
      </c>
      <c r="O1217" s="111"/>
      <c r="P1217" s="112"/>
      <c r="Q1217" s="112"/>
      <c r="R1217" s="112"/>
      <c r="S1217" s="112">
        <v>100</v>
      </c>
      <c r="T1217" s="112">
        <v>0</v>
      </c>
      <c r="U1217" s="95">
        <f t="shared" si="57"/>
        <v>100</v>
      </c>
      <c r="V1217" s="112"/>
      <c r="W1217" s="112"/>
      <c r="X1217" s="107"/>
      <c r="Y1217" s="107">
        <f t="shared" si="58"/>
        <v>100</v>
      </c>
      <c r="Z1217" s="107">
        <f t="shared" si="59"/>
        <v>0</v>
      </c>
    </row>
    <row r="1218" spans="1:26" x14ac:dyDescent="0.25">
      <c r="A1218" s="55" t="str">
        <f>_xlfn.XLOOKUP($G1218,'.Auxiliar'!$G:$G,'.Auxiliar'!A:A,"-",0)</f>
        <v>VIA BRASIL</v>
      </c>
      <c r="B1218" s="55" t="str">
        <f>_xlfn.XLOOKUP($G1218,'.Auxiliar'!$G:$G,'.Auxiliar'!B:B,"-",0)</f>
        <v>FX ADICIONAL</v>
      </c>
      <c r="C1218" s="55" t="str">
        <f>_xlfn.XLOOKUP($G1218,'.Auxiliar'!$G:$G,'.Auxiliar'!C:C,"-",0)</f>
        <v xml:space="preserve">Faixa Adicional </v>
      </c>
      <c r="D1218" s="55">
        <f>_xlfn.XLOOKUP($G1218,'.Auxiliar'!$G:$G,'.Auxiliar'!D:D,"-",0)</f>
        <v>932.55899999999997</v>
      </c>
      <c r="E1218" s="55">
        <f>_xlfn.XLOOKUP($G1218,'.Auxiliar'!$G:$G,'.Auxiliar'!E:E,"-",0)</f>
        <v>936.65</v>
      </c>
      <c r="F1218" s="55">
        <f>_xlfn.XLOOKUP($G1218,'.Auxiliar'!$G:$G,'.Auxiliar'!F:F,"-",0)</f>
        <v>4.0910000000000082</v>
      </c>
      <c r="G1218" s="59" t="s">
        <v>927</v>
      </c>
      <c r="H1218" s="108" t="s">
        <v>0</v>
      </c>
      <c r="I1218" s="109" t="s">
        <v>0</v>
      </c>
      <c r="J1218" s="109" t="s">
        <v>363</v>
      </c>
      <c r="K1218" s="109" t="s">
        <v>0</v>
      </c>
      <c r="L1218" s="109" t="s">
        <v>0</v>
      </c>
      <c r="M1218" s="109" t="s">
        <v>0</v>
      </c>
      <c r="N1218" s="110" t="s">
        <v>0</v>
      </c>
      <c r="O1218" s="111"/>
      <c r="P1218" s="112"/>
      <c r="Q1218" s="112"/>
      <c r="R1218" s="112"/>
      <c r="S1218" s="112">
        <v>100</v>
      </c>
      <c r="T1218" s="112">
        <v>0</v>
      </c>
      <c r="U1218" s="95">
        <f t="shared" si="57"/>
        <v>100</v>
      </c>
      <c r="V1218" s="112"/>
      <c r="W1218" s="112"/>
      <c r="X1218" s="107"/>
      <c r="Y1218" s="107">
        <f t="shared" si="58"/>
        <v>100</v>
      </c>
      <c r="Z1218" s="107">
        <f t="shared" si="59"/>
        <v>0</v>
      </c>
    </row>
    <row r="1219" spans="1:26" x14ac:dyDescent="0.25">
      <c r="A1219" s="55" t="str">
        <f>_xlfn.XLOOKUP($G1219,'.Auxiliar'!$G:$G,'.Auxiliar'!A:A,"-",0)</f>
        <v>VIA BRASIL</v>
      </c>
      <c r="B1219" s="55" t="str">
        <f>_xlfn.XLOOKUP($G1219,'.Auxiliar'!$G:$G,'.Auxiliar'!B:B,"-",0)</f>
        <v>FX ADICIONAL</v>
      </c>
      <c r="C1219" s="55" t="str">
        <f>_xlfn.XLOOKUP($G1219,'.Auxiliar'!$G:$G,'.Auxiliar'!C:C,"-",0)</f>
        <v xml:space="preserve">Faixa Adicional </v>
      </c>
      <c r="D1219" s="55">
        <f>_xlfn.XLOOKUP($G1219,'.Auxiliar'!$G:$G,'.Auxiliar'!D:D,"-",0)</f>
        <v>940.05100000000004</v>
      </c>
      <c r="E1219" s="55">
        <f>_xlfn.XLOOKUP($G1219,'.Auxiliar'!$G:$G,'.Auxiliar'!E:E,"-",0)</f>
        <v>940.95799999999997</v>
      </c>
      <c r="F1219" s="55">
        <f>_xlfn.XLOOKUP($G1219,'.Auxiliar'!$G:$G,'.Auxiliar'!F:F,"-",0)</f>
        <v>0.90699999999992542</v>
      </c>
      <c r="G1219" s="59" t="s">
        <v>928</v>
      </c>
      <c r="H1219" s="108" t="s">
        <v>0</v>
      </c>
      <c r="I1219" s="109" t="s">
        <v>0</v>
      </c>
      <c r="J1219" s="109" t="s">
        <v>363</v>
      </c>
      <c r="K1219" s="109" t="s">
        <v>0</v>
      </c>
      <c r="L1219" s="109" t="s">
        <v>0</v>
      </c>
      <c r="M1219" s="109" t="s">
        <v>0</v>
      </c>
      <c r="N1219" s="110" t="s">
        <v>0</v>
      </c>
      <c r="O1219" s="111"/>
      <c r="P1219" s="112"/>
      <c r="Q1219" s="112"/>
      <c r="R1219" s="112"/>
      <c r="S1219" s="112">
        <v>100</v>
      </c>
      <c r="T1219" s="112">
        <v>0</v>
      </c>
      <c r="U1219" s="95">
        <f t="shared" ref="U1219:U1282" si="60">IF(SUM(V1219:X1219)=100,"",100-(P1219+R1219))</f>
        <v>100</v>
      </c>
      <c r="V1219" s="112"/>
      <c r="W1219" s="112"/>
      <c r="X1219" s="107"/>
      <c r="Y1219" s="107">
        <f t="shared" ref="Y1219:Y1282" si="61">SUM(P1219,R1219,S1219,V1219,W1219,X1219)</f>
        <v>100</v>
      </c>
      <c r="Z1219" s="107">
        <f t="shared" ref="Z1219:Z1282" si="62">SUM(P1219,R1219,T1219)</f>
        <v>0</v>
      </c>
    </row>
    <row r="1220" spans="1:26" x14ac:dyDescent="0.25">
      <c r="A1220" s="55" t="str">
        <f>_xlfn.XLOOKUP($G1220,'.Auxiliar'!$G:$G,'.Auxiliar'!A:A,"-",0)</f>
        <v>VIA BRASIL</v>
      </c>
      <c r="B1220" s="55" t="str">
        <f>_xlfn.XLOOKUP($G1220,'.Auxiliar'!$G:$G,'.Auxiliar'!B:B,"-",0)</f>
        <v>FX ADICIONAL</v>
      </c>
      <c r="C1220" s="55" t="str">
        <f>_xlfn.XLOOKUP($G1220,'.Auxiliar'!$G:$G,'.Auxiliar'!C:C,"-",0)</f>
        <v xml:space="preserve">Faixa Adicional </v>
      </c>
      <c r="D1220" s="55">
        <f>_xlfn.XLOOKUP($G1220,'.Auxiliar'!$G:$G,'.Auxiliar'!D:D,"-",0)</f>
        <v>940.95799999999997</v>
      </c>
      <c r="E1220" s="55">
        <f>_xlfn.XLOOKUP($G1220,'.Auxiliar'!$G:$G,'.Auxiliar'!E:E,"-",0)</f>
        <v>943.05</v>
      </c>
      <c r="F1220" s="55">
        <f>_xlfn.XLOOKUP($G1220,'.Auxiliar'!$G:$G,'.Auxiliar'!F:F,"-",0)</f>
        <v>2.0919999999999845</v>
      </c>
      <c r="G1220" s="59" t="s">
        <v>929</v>
      </c>
      <c r="H1220" s="108" t="s">
        <v>0</v>
      </c>
      <c r="I1220" s="109" t="s">
        <v>0</v>
      </c>
      <c r="J1220" s="109" t="s">
        <v>363</v>
      </c>
      <c r="K1220" s="109" t="s">
        <v>0</v>
      </c>
      <c r="L1220" s="109" t="s">
        <v>0</v>
      </c>
      <c r="M1220" s="109" t="s">
        <v>0</v>
      </c>
      <c r="N1220" s="110" t="s">
        <v>0</v>
      </c>
      <c r="O1220" s="111"/>
      <c r="P1220" s="112"/>
      <c r="Q1220" s="112"/>
      <c r="R1220" s="112"/>
      <c r="S1220" s="112">
        <v>100</v>
      </c>
      <c r="T1220" s="112">
        <v>0</v>
      </c>
      <c r="U1220" s="95">
        <f t="shared" si="60"/>
        <v>100</v>
      </c>
      <c r="V1220" s="112"/>
      <c r="W1220" s="112"/>
      <c r="X1220" s="107"/>
      <c r="Y1220" s="107">
        <f t="shared" si="61"/>
        <v>100</v>
      </c>
      <c r="Z1220" s="107">
        <f t="shared" si="62"/>
        <v>0</v>
      </c>
    </row>
    <row r="1221" spans="1:26" x14ac:dyDescent="0.25">
      <c r="A1221" s="55" t="str">
        <f>_xlfn.XLOOKUP($G1221,'.Auxiliar'!$G:$G,'.Auxiliar'!A:A,"-",0)</f>
        <v>VIA BRASIL</v>
      </c>
      <c r="B1221" s="55" t="str">
        <f>_xlfn.XLOOKUP($G1221,'.Auxiliar'!$G:$G,'.Auxiliar'!B:B,"-",0)</f>
        <v>FX ADICIONAL</v>
      </c>
      <c r="C1221" s="55" t="str">
        <f>_xlfn.XLOOKUP($G1221,'.Auxiliar'!$G:$G,'.Auxiliar'!C:C,"-",0)</f>
        <v xml:space="preserve">Faixa Adicional </v>
      </c>
      <c r="D1221" s="55">
        <f>_xlfn.XLOOKUP($G1221,'.Auxiliar'!$G:$G,'.Auxiliar'!D:D,"-",0)</f>
        <v>944.05</v>
      </c>
      <c r="E1221" s="55">
        <f>_xlfn.XLOOKUP($G1221,'.Auxiliar'!$G:$G,'.Auxiliar'!E:E,"-",0)</f>
        <v>946.35799999999995</v>
      </c>
      <c r="F1221" s="55">
        <f>_xlfn.XLOOKUP($G1221,'.Auxiliar'!$G:$G,'.Auxiliar'!F:F,"-",0)</f>
        <v>2.3079999999999927</v>
      </c>
      <c r="G1221" s="59" t="s">
        <v>930</v>
      </c>
      <c r="H1221" s="108" t="s">
        <v>0</v>
      </c>
      <c r="I1221" s="109" t="s">
        <v>0</v>
      </c>
      <c r="J1221" s="109" t="s">
        <v>363</v>
      </c>
      <c r="K1221" s="109" t="s">
        <v>0</v>
      </c>
      <c r="L1221" s="109" t="s">
        <v>0</v>
      </c>
      <c r="M1221" s="109" t="s">
        <v>0</v>
      </c>
      <c r="N1221" s="110" t="s">
        <v>0</v>
      </c>
      <c r="O1221" s="111"/>
      <c r="P1221" s="112"/>
      <c r="Q1221" s="112"/>
      <c r="R1221" s="112"/>
      <c r="S1221" s="112">
        <v>100</v>
      </c>
      <c r="T1221" s="112">
        <v>0</v>
      </c>
      <c r="U1221" s="95">
        <f t="shared" si="60"/>
        <v>100</v>
      </c>
      <c r="V1221" s="112"/>
      <c r="W1221" s="112"/>
      <c r="X1221" s="107"/>
      <c r="Y1221" s="107">
        <f t="shared" si="61"/>
        <v>100</v>
      </c>
      <c r="Z1221" s="107">
        <f t="shared" si="62"/>
        <v>0</v>
      </c>
    </row>
    <row r="1222" spans="1:26" x14ac:dyDescent="0.25">
      <c r="A1222" s="55" t="str">
        <f>_xlfn.XLOOKUP($G1222,'.Auxiliar'!$G:$G,'.Auxiliar'!A:A,"-",0)</f>
        <v>VIA BRASIL</v>
      </c>
      <c r="B1222" s="55" t="str">
        <f>_xlfn.XLOOKUP($G1222,'.Auxiliar'!$G:$G,'.Auxiliar'!B:B,"-",0)</f>
        <v>FX ADICIONAL</v>
      </c>
      <c r="C1222" s="55" t="str">
        <f>_xlfn.XLOOKUP($G1222,'.Auxiliar'!$G:$G,'.Auxiliar'!C:C,"-",0)</f>
        <v xml:space="preserve">Faixa Adicional </v>
      </c>
      <c r="D1222" s="55">
        <f>_xlfn.XLOOKUP($G1222,'.Auxiliar'!$G:$G,'.Auxiliar'!D:D,"-",0)</f>
        <v>951.06600000000003</v>
      </c>
      <c r="E1222" s="55">
        <f>_xlfn.XLOOKUP($G1222,'.Auxiliar'!$G:$G,'.Auxiliar'!E:E,"-",0)</f>
        <v>953.05700000000002</v>
      </c>
      <c r="F1222" s="55">
        <f>_xlfn.XLOOKUP($G1222,'.Auxiliar'!$G:$G,'.Auxiliar'!F:F,"-",0)</f>
        <v>1.9909999999999854</v>
      </c>
      <c r="G1222" s="59" t="s">
        <v>1536</v>
      </c>
      <c r="H1222" s="108" t="s">
        <v>0</v>
      </c>
      <c r="I1222" s="109" t="s">
        <v>0</v>
      </c>
      <c r="J1222" s="109" t="s">
        <v>0</v>
      </c>
      <c r="K1222" s="109" t="s">
        <v>0</v>
      </c>
      <c r="L1222" s="109" t="s">
        <v>363</v>
      </c>
      <c r="M1222" s="109" t="s">
        <v>0</v>
      </c>
      <c r="N1222" s="110" t="s">
        <v>0</v>
      </c>
      <c r="O1222" s="111"/>
      <c r="P1222" s="112"/>
      <c r="Q1222" s="112"/>
      <c r="R1222" s="112"/>
      <c r="S1222" s="112"/>
      <c r="T1222" s="112"/>
      <c r="U1222" s="95" t="str">
        <f t="shared" si="60"/>
        <v/>
      </c>
      <c r="V1222" s="112">
        <v>100</v>
      </c>
      <c r="W1222" s="112"/>
      <c r="X1222" s="107"/>
      <c r="Y1222" s="107">
        <f t="shared" si="61"/>
        <v>100</v>
      </c>
      <c r="Z1222" s="107">
        <f t="shared" si="62"/>
        <v>0</v>
      </c>
    </row>
    <row r="1223" spans="1:26" x14ac:dyDescent="0.25">
      <c r="A1223" s="55" t="str">
        <f>_xlfn.XLOOKUP($G1223,'.Auxiliar'!$G:$G,'.Auxiliar'!A:A,"-",0)</f>
        <v>VIA BRASIL</v>
      </c>
      <c r="B1223" s="55" t="str">
        <f>_xlfn.XLOOKUP($G1223,'.Auxiliar'!$G:$G,'.Auxiliar'!B:B,"-",0)</f>
        <v>FX ADICIONAL</v>
      </c>
      <c r="C1223" s="55" t="str">
        <f>_xlfn.XLOOKUP($G1223,'.Auxiliar'!$G:$G,'.Auxiliar'!C:C,"-",0)</f>
        <v xml:space="preserve">Faixa Adicional </v>
      </c>
      <c r="D1223" s="55">
        <f>_xlfn.XLOOKUP($G1223,'.Auxiliar'!$G:$G,'.Auxiliar'!D:D,"-",0)</f>
        <v>955.85400000000004</v>
      </c>
      <c r="E1223" s="55">
        <f>_xlfn.XLOOKUP($G1223,'.Auxiliar'!$G:$G,'.Auxiliar'!E:E,"-",0)</f>
        <v>960.351</v>
      </c>
      <c r="F1223" s="55">
        <f>_xlfn.XLOOKUP($G1223,'.Auxiliar'!$G:$G,'.Auxiliar'!F:F,"-",0)</f>
        <v>4.4969999999999573</v>
      </c>
      <c r="G1223" s="59" t="s">
        <v>1537</v>
      </c>
      <c r="H1223" s="108" t="s">
        <v>0</v>
      </c>
      <c r="I1223" s="109" t="s">
        <v>0</v>
      </c>
      <c r="J1223" s="109" t="s">
        <v>0</v>
      </c>
      <c r="K1223" s="109" t="s">
        <v>0</v>
      </c>
      <c r="L1223" s="109" t="s">
        <v>363</v>
      </c>
      <c r="M1223" s="109" t="s">
        <v>0</v>
      </c>
      <c r="N1223" s="110" t="s">
        <v>0</v>
      </c>
      <c r="O1223" s="111"/>
      <c r="P1223" s="112"/>
      <c r="Q1223" s="112"/>
      <c r="R1223" s="112"/>
      <c r="S1223" s="112"/>
      <c r="T1223" s="112"/>
      <c r="U1223" s="95" t="str">
        <f t="shared" si="60"/>
        <v/>
      </c>
      <c r="V1223" s="112">
        <v>100</v>
      </c>
      <c r="W1223" s="112"/>
      <c r="X1223" s="107"/>
      <c r="Y1223" s="107">
        <f t="shared" si="61"/>
        <v>100</v>
      </c>
      <c r="Z1223" s="107">
        <f t="shared" si="62"/>
        <v>0</v>
      </c>
    </row>
    <row r="1224" spans="1:26" x14ac:dyDescent="0.25">
      <c r="A1224" s="55" t="str">
        <f>_xlfn.XLOOKUP($G1224,'.Auxiliar'!$G:$G,'.Auxiliar'!A:A,"-",0)</f>
        <v>VIA BRASIL</v>
      </c>
      <c r="B1224" s="55" t="str">
        <f>_xlfn.XLOOKUP($G1224,'.Auxiliar'!$G:$G,'.Auxiliar'!B:B,"-",0)</f>
        <v>FX ADICIONAL</v>
      </c>
      <c r="C1224" s="55" t="str">
        <f>_xlfn.XLOOKUP($G1224,'.Auxiliar'!$G:$G,'.Auxiliar'!C:C,"-",0)</f>
        <v xml:space="preserve">Faixa Adicional </v>
      </c>
      <c r="D1224" s="55">
        <f>_xlfn.XLOOKUP($G1224,'.Auxiliar'!$G:$G,'.Auxiliar'!D:D,"-",0)</f>
        <v>960.351</v>
      </c>
      <c r="E1224" s="55">
        <f>_xlfn.XLOOKUP($G1224,'.Auxiliar'!$G:$G,'.Auxiliar'!E:E,"-",0)</f>
        <v>963.55399999999997</v>
      </c>
      <c r="F1224" s="55">
        <f>_xlfn.XLOOKUP($G1224,'.Auxiliar'!$G:$G,'.Auxiliar'!F:F,"-",0)</f>
        <v>3.2029999999999745</v>
      </c>
      <c r="G1224" s="59" t="s">
        <v>1538</v>
      </c>
      <c r="H1224" s="108" t="s">
        <v>0</v>
      </c>
      <c r="I1224" s="109" t="s">
        <v>0</v>
      </c>
      <c r="J1224" s="109" t="s">
        <v>0</v>
      </c>
      <c r="K1224" s="109" t="s">
        <v>0</v>
      </c>
      <c r="L1224" s="109" t="s">
        <v>363</v>
      </c>
      <c r="M1224" s="109" t="s">
        <v>0</v>
      </c>
      <c r="N1224" s="110" t="s">
        <v>0</v>
      </c>
      <c r="O1224" s="111"/>
      <c r="P1224" s="112"/>
      <c r="Q1224" s="112"/>
      <c r="R1224" s="112"/>
      <c r="S1224" s="112"/>
      <c r="T1224" s="112"/>
      <c r="U1224" s="95" t="str">
        <f t="shared" si="60"/>
        <v/>
      </c>
      <c r="V1224" s="112">
        <v>100</v>
      </c>
      <c r="W1224" s="112"/>
      <c r="X1224" s="107"/>
      <c r="Y1224" s="107">
        <f t="shared" si="61"/>
        <v>100</v>
      </c>
      <c r="Z1224" s="107">
        <f t="shared" si="62"/>
        <v>0</v>
      </c>
    </row>
    <row r="1225" spans="1:26" x14ac:dyDescent="0.25">
      <c r="A1225" s="55" t="str">
        <f>_xlfn.XLOOKUP($G1225,'.Auxiliar'!$G:$G,'.Auxiliar'!A:A,"-",0)</f>
        <v>VIA BRASIL</v>
      </c>
      <c r="B1225" s="55" t="str">
        <f>_xlfn.XLOOKUP($G1225,'.Auxiliar'!$G:$G,'.Auxiliar'!B:B,"-",0)</f>
        <v>FX ADICIONAL</v>
      </c>
      <c r="C1225" s="55" t="str">
        <f>_xlfn.XLOOKUP($G1225,'.Auxiliar'!$G:$G,'.Auxiliar'!C:C,"-",0)</f>
        <v xml:space="preserve">Faixa Adicional </v>
      </c>
      <c r="D1225" s="55">
        <f>_xlfn.XLOOKUP($G1225,'.Auxiliar'!$G:$G,'.Auxiliar'!D:D,"-",0)</f>
        <v>966.56700000000001</v>
      </c>
      <c r="E1225" s="55">
        <f>_xlfn.XLOOKUP($G1225,'.Auxiliar'!$G:$G,'.Auxiliar'!E:E,"-",0)</f>
        <v>967.86099999999999</v>
      </c>
      <c r="F1225" s="55">
        <f>_xlfn.XLOOKUP($G1225,'.Auxiliar'!$G:$G,'.Auxiliar'!F:F,"-",0)</f>
        <v>1.2939999999999827</v>
      </c>
      <c r="G1225" s="59" t="s">
        <v>1539</v>
      </c>
      <c r="H1225" s="108" t="s">
        <v>0</v>
      </c>
      <c r="I1225" s="109" t="s">
        <v>0</v>
      </c>
      <c r="J1225" s="109" t="s">
        <v>0</v>
      </c>
      <c r="K1225" s="109" t="s">
        <v>0</v>
      </c>
      <c r="L1225" s="109" t="s">
        <v>363</v>
      </c>
      <c r="M1225" s="109" t="s">
        <v>0</v>
      </c>
      <c r="N1225" s="110" t="s">
        <v>0</v>
      </c>
      <c r="O1225" s="111"/>
      <c r="P1225" s="112"/>
      <c r="Q1225" s="112"/>
      <c r="R1225" s="112"/>
      <c r="S1225" s="112"/>
      <c r="T1225" s="112"/>
      <c r="U1225" s="95" t="str">
        <f t="shared" si="60"/>
        <v/>
      </c>
      <c r="V1225" s="112">
        <v>100</v>
      </c>
      <c r="W1225" s="112"/>
      <c r="X1225" s="107"/>
      <c r="Y1225" s="107">
        <f t="shared" si="61"/>
        <v>100</v>
      </c>
      <c r="Z1225" s="107">
        <f t="shared" si="62"/>
        <v>0</v>
      </c>
    </row>
    <row r="1226" spans="1:26" x14ac:dyDescent="0.25">
      <c r="A1226" s="55" t="str">
        <f>_xlfn.XLOOKUP($G1226,'.Auxiliar'!$G:$G,'.Auxiliar'!A:A,"-",0)</f>
        <v>VIA BRASIL</v>
      </c>
      <c r="B1226" s="55" t="str">
        <f>_xlfn.XLOOKUP($G1226,'.Auxiliar'!$G:$G,'.Auxiliar'!B:B,"-",0)</f>
        <v>FX ADICIONAL</v>
      </c>
      <c r="C1226" s="55" t="str">
        <f>_xlfn.XLOOKUP($G1226,'.Auxiliar'!$G:$G,'.Auxiliar'!C:C,"-",0)</f>
        <v xml:space="preserve">Faixa Adicional </v>
      </c>
      <c r="D1226" s="55">
        <f>_xlfn.XLOOKUP($G1226,'.Auxiliar'!$G:$G,'.Auxiliar'!D:D,"-",0)</f>
        <v>971.35400000000004</v>
      </c>
      <c r="E1226" s="55">
        <f>_xlfn.XLOOKUP($G1226,'.Auxiliar'!$G:$G,'.Auxiliar'!E:E,"-",0)</f>
        <v>972.05499999999995</v>
      </c>
      <c r="F1226" s="55">
        <f>_xlfn.XLOOKUP($G1226,'.Auxiliar'!$G:$G,'.Auxiliar'!F:F,"-",0)</f>
        <v>0.70099999999990814</v>
      </c>
      <c r="G1226" s="59" t="s">
        <v>1540</v>
      </c>
      <c r="H1226" s="108" t="s">
        <v>0</v>
      </c>
      <c r="I1226" s="109" t="s">
        <v>0</v>
      </c>
      <c r="J1226" s="109" t="s">
        <v>0</v>
      </c>
      <c r="K1226" s="109" t="s">
        <v>0</v>
      </c>
      <c r="L1226" s="109" t="s">
        <v>363</v>
      </c>
      <c r="M1226" s="109" t="s">
        <v>0</v>
      </c>
      <c r="N1226" s="110" t="s">
        <v>0</v>
      </c>
      <c r="O1226" s="111"/>
      <c r="P1226" s="112"/>
      <c r="Q1226" s="112"/>
      <c r="R1226" s="112"/>
      <c r="S1226" s="112"/>
      <c r="T1226" s="112"/>
      <c r="U1226" s="95" t="str">
        <f t="shared" si="60"/>
        <v/>
      </c>
      <c r="V1226" s="112">
        <v>100</v>
      </c>
      <c r="W1226" s="112"/>
      <c r="X1226" s="107"/>
      <c r="Y1226" s="107">
        <f t="shared" si="61"/>
        <v>100</v>
      </c>
      <c r="Z1226" s="107">
        <f t="shared" si="62"/>
        <v>0</v>
      </c>
    </row>
    <row r="1227" spans="1:26" x14ac:dyDescent="0.25">
      <c r="A1227" s="55" t="str">
        <f>_xlfn.XLOOKUP($G1227,'.Auxiliar'!$G:$G,'.Auxiliar'!A:A,"-",0)</f>
        <v>VIA BRASIL</v>
      </c>
      <c r="B1227" s="55" t="str">
        <f>_xlfn.XLOOKUP($G1227,'.Auxiliar'!$G:$G,'.Auxiliar'!B:B,"-",0)</f>
        <v>FX ADICIONAL</v>
      </c>
      <c r="C1227" s="55" t="str">
        <f>_xlfn.XLOOKUP($G1227,'.Auxiliar'!$G:$G,'.Auxiliar'!C:C,"-",0)</f>
        <v xml:space="preserve">Faixa Adicional </v>
      </c>
      <c r="D1227" s="55">
        <f>_xlfn.XLOOKUP($G1227,'.Auxiliar'!$G:$G,'.Auxiliar'!D:D,"-",0)</f>
        <v>972.05499999999995</v>
      </c>
      <c r="E1227" s="55">
        <f>_xlfn.XLOOKUP($G1227,'.Auxiliar'!$G:$G,'.Auxiliar'!E:E,"-",0)</f>
        <v>973.25400000000002</v>
      </c>
      <c r="F1227" s="55">
        <f>_xlfn.XLOOKUP($G1227,'.Auxiliar'!$G:$G,'.Auxiliar'!F:F,"-",0)</f>
        <v>1.1990000000000691</v>
      </c>
      <c r="G1227" s="59" t="s">
        <v>1541</v>
      </c>
      <c r="H1227" s="108" t="s">
        <v>0</v>
      </c>
      <c r="I1227" s="109" t="s">
        <v>0</v>
      </c>
      <c r="J1227" s="109" t="s">
        <v>0</v>
      </c>
      <c r="K1227" s="109" t="s">
        <v>0</v>
      </c>
      <c r="L1227" s="109" t="s">
        <v>363</v>
      </c>
      <c r="M1227" s="109" t="s">
        <v>0</v>
      </c>
      <c r="N1227" s="110" t="s">
        <v>0</v>
      </c>
      <c r="O1227" s="111"/>
      <c r="P1227" s="112"/>
      <c r="Q1227" s="112"/>
      <c r="R1227" s="112"/>
      <c r="S1227" s="112"/>
      <c r="T1227" s="112"/>
      <c r="U1227" s="95" t="str">
        <f t="shared" si="60"/>
        <v/>
      </c>
      <c r="V1227" s="112">
        <v>100</v>
      </c>
      <c r="W1227" s="112"/>
      <c r="X1227" s="107"/>
      <c r="Y1227" s="107">
        <f t="shared" si="61"/>
        <v>100</v>
      </c>
      <c r="Z1227" s="107">
        <f t="shared" si="62"/>
        <v>0</v>
      </c>
    </row>
    <row r="1228" spans="1:26" x14ac:dyDescent="0.25">
      <c r="A1228" s="55" t="str">
        <f>_xlfn.XLOOKUP($G1228,'.Auxiliar'!$G:$G,'.Auxiliar'!A:A,"-",0)</f>
        <v>VIA BRASIL</v>
      </c>
      <c r="B1228" s="55" t="str">
        <f>_xlfn.XLOOKUP($G1228,'.Auxiliar'!$G:$G,'.Auxiliar'!B:B,"-",0)</f>
        <v>FX ADICIONAL</v>
      </c>
      <c r="C1228" s="55" t="str">
        <f>_xlfn.XLOOKUP($G1228,'.Auxiliar'!$G:$G,'.Auxiliar'!C:C,"-",0)</f>
        <v xml:space="preserve">Faixa Adicional </v>
      </c>
      <c r="D1228" s="55">
        <f>_xlfn.XLOOKUP($G1228,'.Auxiliar'!$G:$G,'.Auxiliar'!D:D,"-",0)</f>
        <v>978.15</v>
      </c>
      <c r="E1228" s="55">
        <f>_xlfn.XLOOKUP($G1228,'.Auxiliar'!$G:$G,'.Auxiliar'!E:E,"-",0)</f>
        <v>978.86300000000006</v>
      </c>
      <c r="F1228" s="55">
        <f>_xlfn.XLOOKUP($G1228,'.Auxiliar'!$G:$G,'.Auxiliar'!F:F,"-",0)</f>
        <v>0.71300000000007913</v>
      </c>
      <c r="G1228" s="59" t="s">
        <v>1542</v>
      </c>
      <c r="H1228" s="108" t="s">
        <v>0</v>
      </c>
      <c r="I1228" s="109" t="s">
        <v>0</v>
      </c>
      <c r="J1228" s="109" t="s">
        <v>0</v>
      </c>
      <c r="K1228" s="109" t="s">
        <v>0</v>
      </c>
      <c r="L1228" s="109" t="s">
        <v>363</v>
      </c>
      <c r="M1228" s="109" t="s">
        <v>0</v>
      </c>
      <c r="N1228" s="110" t="s">
        <v>0</v>
      </c>
      <c r="O1228" s="111"/>
      <c r="P1228" s="112"/>
      <c r="Q1228" s="112"/>
      <c r="R1228" s="112"/>
      <c r="S1228" s="112"/>
      <c r="T1228" s="112"/>
      <c r="U1228" s="95" t="str">
        <f t="shared" si="60"/>
        <v/>
      </c>
      <c r="V1228" s="112">
        <v>100</v>
      </c>
      <c r="W1228" s="112"/>
      <c r="X1228" s="107"/>
      <c r="Y1228" s="107">
        <f t="shared" si="61"/>
        <v>100</v>
      </c>
      <c r="Z1228" s="107">
        <f t="shared" si="62"/>
        <v>0</v>
      </c>
    </row>
    <row r="1229" spans="1:26" x14ac:dyDescent="0.25">
      <c r="A1229" s="55" t="str">
        <f>_xlfn.XLOOKUP($G1229,'.Auxiliar'!$G:$G,'.Auxiliar'!A:A,"-",0)</f>
        <v>VIA BRASIL</v>
      </c>
      <c r="B1229" s="55" t="str">
        <f>_xlfn.XLOOKUP($G1229,'.Auxiliar'!$G:$G,'.Auxiliar'!B:B,"-",0)</f>
        <v>FX ADICIONAL</v>
      </c>
      <c r="C1229" s="55" t="str">
        <f>_xlfn.XLOOKUP($G1229,'.Auxiliar'!$G:$G,'.Auxiliar'!C:C,"-",0)</f>
        <v xml:space="preserve">Faixa Adicional </v>
      </c>
      <c r="D1229" s="55">
        <f>_xlfn.XLOOKUP($G1229,'.Auxiliar'!$G:$G,'.Auxiliar'!D:D,"-",0)</f>
        <v>978.86300000000006</v>
      </c>
      <c r="E1229" s="55">
        <f>_xlfn.XLOOKUP($G1229,'.Auxiliar'!$G:$G,'.Auxiliar'!E:E,"-",0)</f>
        <v>980.16700000000003</v>
      </c>
      <c r="F1229" s="55">
        <f>_xlfn.XLOOKUP($G1229,'.Auxiliar'!$G:$G,'.Auxiliar'!F:F,"-",0)</f>
        <v>1.3039999999999736</v>
      </c>
      <c r="G1229" s="59" t="s">
        <v>1567</v>
      </c>
      <c r="H1229" s="108" t="s">
        <v>0</v>
      </c>
      <c r="I1229" s="109" t="s">
        <v>0</v>
      </c>
      <c r="J1229" s="109" t="s">
        <v>0</v>
      </c>
      <c r="K1229" s="109" t="s">
        <v>0</v>
      </c>
      <c r="L1229" s="109" t="s">
        <v>0</v>
      </c>
      <c r="M1229" s="109" t="s">
        <v>363</v>
      </c>
      <c r="N1229" s="110" t="s">
        <v>0</v>
      </c>
      <c r="O1229" s="111"/>
      <c r="P1229" s="112"/>
      <c r="Q1229" s="112"/>
      <c r="R1229" s="112"/>
      <c r="S1229" s="112"/>
      <c r="T1229" s="112"/>
      <c r="U1229" s="95" t="str">
        <f t="shared" si="60"/>
        <v/>
      </c>
      <c r="V1229" s="112"/>
      <c r="W1229" s="112">
        <v>100</v>
      </c>
      <c r="X1229" s="107"/>
      <c r="Y1229" s="107">
        <f t="shared" si="61"/>
        <v>100</v>
      </c>
      <c r="Z1229" s="107">
        <f t="shared" si="62"/>
        <v>0</v>
      </c>
    </row>
    <row r="1230" spans="1:26" x14ac:dyDescent="0.25">
      <c r="A1230" s="55" t="str">
        <f>_xlfn.XLOOKUP($G1230,'.Auxiliar'!$G:$G,'.Auxiliar'!A:A,"-",0)</f>
        <v>VIA BRASIL</v>
      </c>
      <c r="B1230" s="55" t="str">
        <f>_xlfn.XLOOKUP($G1230,'.Auxiliar'!$G:$G,'.Auxiliar'!B:B,"-",0)</f>
        <v>FX ADICIONAL</v>
      </c>
      <c r="C1230" s="55" t="str">
        <f>_xlfn.XLOOKUP($G1230,'.Auxiliar'!$G:$G,'.Auxiliar'!C:C,"-",0)</f>
        <v xml:space="preserve">Faixa Adicional </v>
      </c>
      <c r="D1230" s="55">
        <f>_xlfn.XLOOKUP($G1230,'.Auxiliar'!$G:$G,'.Auxiliar'!D:D,"-",0)</f>
        <v>982.45799999999997</v>
      </c>
      <c r="E1230" s="55">
        <f>_xlfn.XLOOKUP($G1230,'.Auxiliar'!$G:$G,'.Auxiliar'!E:E,"-",0)</f>
        <v>983.65599999999995</v>
      </c>
      <c r="F1230" s="55">
        <f>_xlfn.XLOOKUP($G1230,'.Auxiliar'!$G:$G,'.Auxiliar'!F:F,"-",0)</f>
        <v>1.1979999999999791</v>
      </c>
      <c r="G1230" s="59" t="s">
        <v>1568</v>
      </c>
      <c r="H1230" s="108" t="s">
        <v>0</v>
      </c>
      <c r="I1230" s="109" t="s">
        <v>0</v>
      </c>
      <c r="J1230" s="109" t="s">
        <v>0</v>
      </c>
      <c r="K1230" s="109" t="s">
        <v>0</v>
      </c>
      <c r="L1230" s="109" t="s">
        <v>0</v>
      </c>
      <c r="M1230" s="109" t="s">
        <v>363</v>
      </c>
      <c r="N1230" s="110" t="s">
        <v>0</v>
      </c>
      <c r="O1230" s="111"/>
      <c r="P1230" s="112"/>
      <c r="Q1230" s="112"/>
      <c r="R1230" s="112"/>
      <c r="S1230" s="112"/>
      <c r="T1230" s="112"/>
      <c r="U1230" s="95" t="str">
        <f t="shared" si="60"/>
        <v/>
      </c>
      <c r="V1230" s="112"/>
      <c r="W1230" s="112">
        <v>100</v>
      </c>
      <c r="X1230" s="107"/>
      <c r="Y1230" s="107">
        <f t="shared" si="61"/>
        <v>100</v>
      </c>
      <c r="Z1230" s="107">
        <f t="shared" si="62"/>
        <v>0</v>
      </c>
    </row>
    <row r="1231" spans="1:26" x14ac:dyDescent="0.25">
      <c r="A1231" s="55" t="str">
        <f>_xlfn.XLOOKUP($G1231,'.Auxiliar'!$G:$G,'.Auxiliar'!A:A,"-",0)</f>
        <v>VIA BRASIL</v>
      </c>
      <c r="B1231" s="55" t="str">
        <f>_xlfn.XLOOKUP($G1231,'.Auxiliar'!$G:$G,'.Auxiliar'!B:B,"-",0)</f>
        <v>FX ADICIONAL</v>
      </c>
      <c r="C1231" s="55" t="str">
        <f>_xlfn.XLOOKUP($G1231,'.Auxiliar'!$G:$G,'.Auxiliar'!C:C,"-",0)</f>
        <v xml:space="preserve">Faixa Adicional </v>
      </c>
      <c r="D1231" s="55">
        <f>_xlfn.XLOOKUP($G1231,'.Auxiliar'!$G:$G,'.Auxiliar'!D:D,"-",0)</f>
        <v>994.45899999999995</v>
      </c>
      <c r="E1231" s="55">
        <f>_xlfn.XLOOKUP($G1231,'.Auxiliar'!$G:$G,'.Auxiliar'!E:E,"-",0)</f>
        <v>997.15200000000004</v>
      </c>
      <c r="F1231" s="55">
        <f>_xlfn.XLOOKUP($G1231,'.Auxiliar'!$G:$G,'.Auxiliar'!F:F,"-",0)</f>
        <v>2.6930000000000973</v>
      </c>
      <c r="G1231" s="59" t="s">
        <v>1569</v>
      </c>
      <c r="H1231" s="108" t="s">
        <v>0</v>
      </c>
      <c r="I1231" s="109" t="s">
        <v>0</v>
      </c>
      <c r="J1231" s="109" t="s">
        <v>0</v>
      </c>
      <c r="K1231" s="109" t="s">
        <v>0</v>
      </c>
      <c r="L1231" s="109" t="s">
        <v>0</v>
      </c>
      <c r="M1231" s="109" t="s">
        <v>363</v>
      </c>
      <c r="N1231" s="110" t="s">
        <v>0</v>
      </c>
      <c r="O1231" s="111"/>
      <c r="P1231" s="112"/>
      <c r="Q1231" s="112"/>
      <c r="R1231" s="112"/>
      <c r="S1231" s="112"/>
      <c r="T1231" s="112"/>
      <c r="U1231" s="95" t="str">
        <f t="shared" si="60"/>
        <v/>
      </c>
      <c r="V1231" s="112"/>
      <c r="W1231" s="112">
        <v>100</v>
      </c>
      <c r="X1231" s="107"/>
      <c r="Y1231" s="107">
        <f t="shared" si="61"/>
        <v>100</v>
      </c>
      <c r="Z1231" s="107">
        <f t="shared" si="62"/>
        <v>0</v>
      </c>
    </row>
    <row r="1232" spans="1:26" x14ac:dyDescent="0.25">
      <c r="A1232" s="55" t="str">
        <f>_xlfn.XLOOKUP($G1232,'.Auxiliar'!$G:$G,'.Auxiliar'!A:A,"-",0)</f>
        <v>VIA BRASIL</v>
      </c>
      <c r="B1232" s="55" t="str">
        <f>_xlfn.XLOOKUP($G1232,'.Auxiliar'!$G:$G,'.Auxiliar'!B:B,"-",0)</f>
        <v>FX ADICIONAL</v>
      </c>
      <c r="C1232" s="55" t="str">
        <f>_xlfn.XLOOKUP($G1232,'.Auxiliar'!$G:$G,'.Auxiliar'!C:C,"-",0)</f>
        <v xml:space="preserve">Faixa Adicional </v>
      </c>
      <c r="D1232" s="55">
        <f>_xlfn.XLOOKUP($G1232,'.Auxiliar'!$G:$G,'.Auxiliar'!D:D,"-",0)</f>
        <v>997.76099999999997</v>
      </c>
      <c r="E1232" s="55">
        <f>_xlfn.XLOOKUP($G1232,'.Auxiliar'!$G:$G,'.Auxiliar'!E:E,"-",0)</f>
        <v>999.15700000000004</v>
      </c>
      <c r="F1232" s="55">
        <f>_xlfn.XLOOKUP($G1232,'.Auxiliar'!$G:$G,'.Auxiliar'!F:F,"-",0)</f>
        <v>1.3960000000000719</v>
      </c>
      <c r="G1232" s="59" t="s">
        <v>1570</v>
      </c>
      <c r="H1232" s="108" t="s">
        <v>0</v>
      </c>
      <c r="I1232" s="109" t="s">
        <v>0</v>
      </c>
      <c r="J1232" s="109" t="s">
        <v>0</v>
      </c>
      <c r="K1232" s="109" t="s">
        <v>0</v>
      </c>
      <c r="L1232" s="109" t="s">
        <v>0</v>
      </c>
      <c r="M1232" s="109" t="s">
        <v>363</v>
      </c>
      <c r="N1232" s="110" t="s">
        <v>0</v>
      </c>
      <c r="O1232" s="111"/>
      <c r="P1232" s="112"/>
      <c r="Q1232" s="112"/>
      <c r="R1232" s="112"/>
      <c r="S1232" s="112"/>
      <c r="T1232" s="112"/>
      <c r="U1232" s="95" t="str">
        <f t="shared" si="60"/>
        <v/>
      </c>
      <c r="V1232" s="112"/>
      <c r="W1232" s="112">
        <v>100</v>
      </c>
      <c r="X1232" s="107"/>
      <c r="Y1232" s="107">
        <f t="shared" si="61"/>
        <v>100</v>
      </c>
      <c r="Z1232" s="107">
        <f t="shared" si="62"/>
        <v>0</v>
      </c>
    </row>
    <row r="1233" spans="1:26" x14ac:dyDescent="0.25">
      <c r="A1233" s="55" t="str">
        <f>_xlfn.XLOOKUP($G1233,'.Auxiliar'!$G:$G,'.Auxiliar'!A:A,"-",0)</f>
        <v>VIA BRASIL</v>
      </c>
      <c r="B1233" s="55" t="str">
        <f>_xlfn.XLOOKUP($G1233,'.Auxiliar'!$G:$G,'.Auxiliar'!B:B,"-",0)</f>
        <v>OAE</v>
      </c>
      <c r="C1233" s="55" t="str">
        <f>_xlfn.XLOOKUP($G1233,'.Auxiliar'!$G:$G,'.Auxiliar'!C:C,"-",0)</f>
        <v>Diamante</v>
      </c>
      <c r="D1233" s="55">
        <f>_xlfn.XLOOKUP($G1233,'.Auxiliar'!$G:$G,'.Auxiliar'!D:D,"-",0)</f>
        <v>1001.5</v>
      </c>
      <c r="E1233" s="55">
        <f>_xlfn.XLOOKUP($G1233,'.Auxiliar'!$G:$G,'.Auxiliar'!E:E,"-",0)</f>
        <v>1001.5</v>
      </c>
      <c r="F1233" s="55">
        <f>_xlfn.XLOOKUP($G1233,'.Auxiliar'!$G:$G,'.Auxiliar'!F:F,"-",0)</f>
        <v>1</v>
      </c>
      <c r="G1233" s="59" t="s">
        <v>909</v>
      </c>
      <c r="H1233" s="108" t="s">
        <v>0</v>
      </c>
      <c r="I1233" s="109" t="s">
        <v>0</v>
      </c>
      <c r="J1233" s="109" t="s">
        <v>363</v>
      </c>
      <c r="K1233" s="109" t="s">
        <v>0</v>
      </c>
      <c r="L1233" s="109" t="s">
        <v>0</v>
      </c>
      <c r="M1233" s="109" t="s">
        <v>0</v>
      </c>
      <c r="N1233" s="110" t="s">
        <v>0</v>
      </c>
      <c r="O1233" s="111"/>
      <c r="P1233" s="112"/>
      <c r="Q1233" s="112"/>
      <c r="R1233" s="112"/>
      <c r="S1233" s="112">
        <v>25.25</v>
      </c>
      <c r="T1233" s="112">
        <v>0</v>
      </c>
      <c r="U1233" s="95">
        <f t="shared" si="60"/>
        <v>100</v>
      </c>
      <c r="V1233" s="112">
        <v>74.75</v>
      </c>
      <c r="W1233" s="112"/>
      <c r="X1233" s="107"/>
      <c r="Y1233" s="107">
        <f t="shared" si="61"/>
        <v>100</v>
      </c>
      <c r="Z1233" s="107">
        <f t="shared" si="62"/>
        <v>0</v>
      </c>
    </row>
    <row r="1234" spans="1:26" x14ac:dyDescent="0.25">
      <c r="A1234" s="55" t="str">
        <f>_xlfn.XLOOKUP($G1234,'.Auxiliar'!$G:$G,'.Auxiliar'!A:A,"-",0)</f>
        <v>VIA BRASIL</v>
      </c>
      <c r="B1234" s="55" t="str">
        <f>_xlfn.XLOOKUP($G1234,'.Auxiliar'!$G:$G,'.Auxiliar'!B:B,"-",0)</f>
        <v>OAE</v>
      </c>
      <c r="C1234" s="55" t="str">
        <f>_xlfn.XLOOKUP($G1234,'.Auxiliar'!$G:$G,'.Auxiliar'!C:C,"-",0)</f>
        <v>Diamante</v>
      </c>
      <c r="D1234" s="55">
        <f>_xlfn.XLOOKUP($G1234,'.Auxiliar'!$G:$G,'.Auxiliar'!D:D,"-",0)</f>
        <v>1045.0999999999999</v>
      </c>
      <c r="E1234" s="55">
        <f>_xlfn.XLOOKUP($G1234,'.Auxiliar'!$G:$G,'.Auxiliar'!E:E,"-",0)</f>
        <v>1045.0999999999999</v>
      </c>
      <c r="F1234" s="55">
        <f>_xlfn.XLOOKUP($G1234,'.Auxiliar'!$G:$G,'.Auxiliar'!F:F,"-",0)</f>
        <v>1</v>
      </c>
      <c r="G1234" s="59" t="s">
        <v>910</v>
      </c>
      <c r="H1234" s="108" t="s">
        <v>0</v>
      </c>
      <c r="I1234" s="109" t="s">
        <v>0</v>
      </c>
      <c r="J1234" s="109" t="s">
        <v>363</v>
      </c>
      <c r="K1234" s="109" t="s">
        <v>0</v>
      </c>
      <c r="L1234" s="109" t="s">
        <v>0</v>
      </c>
      <c r="M1234" s="109" t="s">
        <v>0</v>
      </c>
      <c r="N1234" s="110" t="s">
        <v>0</v>
      </c>
      <c r="O1234" s="111"/>
      <c r="P1234" s="112"/>
      <c r="Q1234" s="112"/>
      <c r="R1234" s="112"/>
      <c r="S1234" s="112">
        <v>7.5</v>
      </c>
      <c r="T1234" s="112">
        <v>0</v>
      </c>
      <c r="U1234" s="95">
        <f t="shared" si="60"/>
        <v>100</v>
      </c>
      <c r="V1234" s="112">
        <v>92.5</v>
      </c>
      <c r="W1234" s="112"/>
      <c r="X1234" s="107"/>
      <c r="Y1234" s="107">
        <f t="shared" si="61"/>
        <v>100</v>
      </c>
      <c r="Z1234" s="107">
        <f t="shared" si="62"/>
        <v>0</v>
      </c>
    </row>
    <row r="1235" spans="1:26" x14ac:dyDescent="0.25">
      <c r="A1235" s="55" t="str">
        <f>_xlfn.XLOOKUP($G1235,'.Auxiliar'!$G:$G,'.Auxiliar'!A:A,"-",0)</f>
        <v>VIA BRASIL</v>
      </c>
      <c r="B1235" s="55" t="str">
        <f>_xlfn.XLOOKUP($G1235,'.Auxiliar'!$G:$G,'.Auxiliar'!B:B,"-",0)</f>
        <v>OAE</v>
      </c>
      <c r="C1235" s="55" t="str">
        <f>_xlfn.XLOOKUP($G1235,'.Auxiliar'!$G:$G,'.Auxiliar'!C:C,"-",0)</f>
        <v>Diamante</v>
      </c>
      <c r="D1235" s="55">
        <f>_xlfn.XLOOKUP($G1235,'.Auxiliar'!$G:$G,'.Auxiliar'!D:D,"-",0)</f>
        <v>1053</v>
      </c>
      <c r="E1235" s="55">
        <f>_xlfn.XLOOKUP($G1235,'.Auxiliar'!$G:$G,'.Auxiliar'!E:E,"-",0)</f>
        <v>1001.5</v>
      </c>
      <c r="F1235" s="55">
        <f>_xlfn.XLOOKUP($G1235,'.Auxiliar'!$G:$G,'.Auxiliar'!F:F,"-",0)</f>
        <v>1</v>
      </c>
      <c r="G1235" s="59" t="s">
        <v>1295</v>
      </c>
      <c r="H1235" s="108" t="s">
        <v>0</v>
      </c>
      <c r="I1235" s="109" t="s">
        <v>0</v>
      </c>
      <c r="J1235" s="109" t="s">
        <v>0</v>
      </c>
      <c r="K1235" s="109" t="s">
        <v>0</v>
      </c>
      <c r="L1235" s="109" t="s">
        <v>0</v>
      </c>
      <c r="M1235" s="109" t="s">
        <v>363</v>
      </c>
      <c r="N1235" s="110" t="s">
        <v>0</v>
      </c>
      <c r="O1235" s="111"/>
      <c r="P1235" s="112"/>
      <c r="Q1235" s="112"/>
      <c r="R1235" s="112"/>
      <c r="S1235" s="112"/>
      <c r="T1235" s="112"/>
      <c r="U1235" s="95" t="str">
        <f t="shared" si="60"/>
        <v/>
      </c>
      <c r="V1235" s="112"/>
      <c r="W1235" s="112">
        <v>100</v>
      </c>
      <c r="X1235" s="107"/>
      <c r="Y1235" s="107">
        <f t="shared" si="61"/>
        <v>100</v>
      </c>
      <c r="Z1235" s="107">
        <f t="shared" si="62"/>
        <v>0</v>
      </c>
    </row>
    <row r="1236" spans="1:26" x14ac:dyDescent="0.25">
      <c r="A1236" s="55" t="str">
        <f>_xlfn.XLOOKUP($G1236,'.Auxiliar'!$G:$G,'.Auxiliar'!A:A,"-",0)</f>
        <v>VIA BRASIL</v>
      </c>
      <c r="B1236" s="55" t="str">
        <f>_xlfn.XLOOKUP($G1236,'.Auxiliar'!$G:$G,'.Auxiliar'!B:B,"-",0)</f>
        <v>OAE</v>
      </c>
      <c r="C1236" s="55" t="str">
        <f>_xlfn.XLOOKUP($G1236,'.Auxiliar'!$G:$G,'.Auxiliar'!C:C,"-",0)</f>
        <v>Diamante</v>
      </c>
      <c r="D1236" s="55">
        <f>_xlfn.XLOOKUP($G1236,'.Auxiliar'!$G:$G,'.Auxiliar'!D:D,"-",0)</f>
        <v>1080.8</v>
      </c>
      <c r="E1236" s="55">
        <f>_xlfn.XLOOKUP($G1236,'.Auxiliar'!$G:$G,'.Auxiliar'!E:E,"-",0)</f>
        <v>1080.8</v>
      </c>
      <c r="F1236" s="55">
        <f>_xlfn.XLOOKUP($G1236,'.Auxiliar'!$G:$G,'.Auxiliar'!F:F,"-",0)</f>
        <v>1</v>
      </c>
      <c r="G1236" s="59" t="s">
        <v>1296</v>
      </c>
      <c r="H1236" s="108" t="s">
        <v>0</v>
      </c>
      <c r="I1236" s="109" t="s">
        <v>0</v>
      </c>
      <c r="J1236" s="109" t="s">
        <v>0</v>
      </c>
      <c r="K1236" s="109" t="s">
        <v>0</v>
      </c>
      <c r="L1236" s="109" t="s">
        <v>0</v>
      </c>
      <c r="M1236" s="109" t="s">
        <v>363</v>
      </c>
      <c r="N1236" s="110" t="s">
        <v>0</v>
      </c>
      <c r="O1236" s="111"/>
      <c r="P1236" s="112"/>
      <c r="Q1236" s="112"/>
      <c r="R1236" s="112"/>
      <c r="S1236" s="112"/>
      <c r="T1236" s="112"/>
      <c r="U1236" s="95" t="str">
        <f t="shared" si="60"/>
        <v/>
      </c>
      <c r="V1236" s="112"/>
      <c r="W1236" s="112">
        <v>100</v>
      </c>
      <c r="X1236" s="107"/>
      <c r="Y1236" s="107">
        <f t="shared" si="61"/>
        <v>100</v>
      </c>
      <c r="Z1236" s="107">
        <f t="shared" si="62"/>
        <v>0</v>
      </c>
    </row>
    <row r="1237" spans="1:26" x14ac:dyDescent="0.25">
      <c r="A1237" s="55" t="str">
        <f>_xlfn.XLOOKUP($G1237,'.Auxiliar'!$G:$G,'.Auxiliar'!A:A,"-",0)</f>
        <v>VIA BRASIL</v>
      </c>
      <c r="B1237" s="55" t="str">
        <f>_xlfn.XLOOKUP($G1237,'.Auxiliar'!$G:$G,'.Auxiliar'!B:B,"-",0)</f>
        <v>OAE</v>
      </c>
      <c r="C1237" s="55" t="str">
        <f>_xlfn.XLOOKUP($G1237,'.Auxiliar'!$G:$G,'.Auxiliar'!C:C,"-",0)</f>
        <v>OAE - Vias Marginais</v>
      </c>
      <c r="D1237" s="55">
        <f>_xlfn.XLOOKUP($G1237,'.Auxiliar'!$G:$G,'.Auxiliar'!D:D,"-",0)</f>
        <v>157.47</v>
      </c>
      <c r="E1237" s="55">
        <f>_xlfn.XLOOKUP($G1237,'.Auxiliar'!$G:$G,'.Auxiliar'!E:E,"-",0)</f>
        <v>157.47</v>
      </c>
      <c r="F1237" s="55">
        <f>_xlfn.XLOOKUP($G1237,'.Auxiliar'!$G:$G,'.Auxiliar'!F:F,"-",0)</f>
        <v>1</v>
      </c>
      <c r="G1237" s="59" t="s">
        <v>844</v>
      </c>
      <c r="H1237" s="108" t="s">
        <v>0</v>
      </c>
      <c r="I1237" s="109" t="s">
        <v>368</v>
      </c>
      <c r="J1237" s="109" t="s">
        <v>0</v>
      </c>
      <c r="K1237" s="109" t="s">
        <v>363</v>
      </c>
      <c r="L1237" s="109" t="s">
        <v>0</v>
      </c>
      <c r="M1237" s="109" t="s">
        <v>0</v>
      </c>
      <c r="N1237" s="110" t="s">
        <v>0</v>
      </c>
      <c r="O1237" s="111"/>
      <c r="P1237" s="112"/>
      <c r="Q1237" s="112">
        <v>49.8</v>
      </c>
      <c r="R1237" s="112">
        <v>0</v>
      </c>
      <c r="S1237" s="112">
        <v>100</v>
      </c>
      <c r="T1237" s="112">
        <v>0</v>
      </c>
      <c r="U1237" s="95">
        <f t="shared" si="60"/>
        <v>100</v>
      </c>
      <c r="V1237" s="112"/>
      <c r="W1237" s="112"/>
      <c r="X1237" s="107"/>
      <c r="Y1237" s="107">
        <f t="shared" si="61"/>
        <v>100</v>
      </c>
      <c r="Z1237" s="107">
        <f t="shared" si="62"/>
        <v>0</v>
      </c>
    </row>
    <row r="1238" spans="1:26" x14ac:dyDescent="0.25">
      <c r="A1238" s="55" t="str">
        <f>_xlfn.XLOOKUP($G1238,'.Auxiliar'!$G:$G,'.Auxiliar'!A:A,"-",0)</f>
        <v>VIA BRASIL</v>
      </c>
      <c r="B1238" s="55" t="str">
        <f>_xlfn.XLOOKUP($G1238,'.Auxiliar'!$G:$G,'.Auxiliar'!B:B,"-",0)</f>
        <v>OAE</v>
      </c>
      <c r="C1238" s="55" t="str">
        <f>_xlfn.XLOOKUP($G1238,'.Auxiliar'!$G:$G,'.Auxiliar'!C:C,"-",0)</f>
        <v>OAE - Vias Marginais</v>
      </c>
      <c r="D1238" s="55">
        <f>_xlfn.XLOOKUP($G1238,'.Auxiliar'!$G:$G,'.Auxiliar'!D:D,"-",0)</f>
        <v>158.72</v>
      </c>
      <c r="E1238" s="55">
        <f>_xlfn.XLOOKUP($G1238,'.Auxiliar'!$G:$G,'.Auxiliar'!E:E,"-",0)</f>
        <v>158.72</v>
      </c>
      <c r="F1238" s="55">
        <f>_xlfn.XLOOKUP($G1238,'.Auxiliar'!$G:$G,'.Auxiliar'!F:F,"-",0)</f>
        <v>1</v>
      </c>
      <c r="G1238" s="59" t="s">
        <v>843</v>
      </c>
      <c r="H1238" s="108" t="s">
        <v>0</v>
      </c>
      <c r="I1238" s="109" t="s">
        <v>368</v>
      </c>
      <c r="J1238" s="109" t="s">
        <v>0</v>
      </c>
      <c r="K1238" s="109" t="s">
        <v>363</v>
      </c>
      <c r="L1238" s="109" t="s">
        <v>0</v>
      </c>
      <c r="M1238" s="109" t="s">
        <v>0</v>
      </c>
      <c r="N1238" s="110" t="s">
        <v>0</v>
      </c>
      <c r="O1238" s="111"/>
      <c r="P1238" s="112"/>
      <c r="Q1238" s="112">
        <v>85.04</v>
      </c>
      <c r="R1238" s="112">
        <v>0</v>
      </c>
      <c r="S1238" s="112">
        <v>100</v>
      </c>
      <c r="T1238" s="112">
        <v>0</v>
      </c>
      <c r="U1238" s="95">
        <f t="shared" si="60"/>
        <v>100</v>
      </c>
      <c r="V1238" s="112"/>
      <c r="W1238" s="112"/>
      <c r="X1238" s="107"/>
      <c r="Y1238" s="107">
        <f t="shared" si="61"/>
        <v>100</v>
      </c>
      <c r="Z1238" s="107">
        <f t="shared" si="62"/>
        <v>0</v>
      </c>
    </row>
    <row r="1239" spans="1:26" x14ac:dyDescent="0.25">
      <c r="A1239" s="55" t="str">
        <f>_xlfn.XLOOKUP($G1239,'.Auxiliar'!$G:$G,'.Auxiliar'!A:A,"-",0)</f>
        <v>VIA BRASIL</v>
      </c>
      <c r="B1239" s="55" t="str">
        <f>_xlfn.XLOOKUP($G1239,'.Auxiliar'!$G:$G,'.Auxiliar'!B:B,"-",0)</f>
        <v>OAE</v>
      </c>
      <c r="C1239" s="55" t="str">
        <f>_xlfn.XLOOKUP($G1239,'.Auxiliar'!$G:$G,'.Auxiliar'!C:C,"-",0)</f>
        <v>OAE - Vias Marginais</v>
      </c>
      <c r="D1239" s="55">
        <f>_xlfn.XLOOKUP($G1239,'.Auxiliar'!$G:$G,'.Auxiliar'!D:D,"-",0)</f>
        <v>311</v>
      </c>
      <c r="E1239" s="55">
        <f>_xlfn.XLOOKUP($G1239,'.Auxiliar'!$G:$G,'.Auxiliar'!E:E,"-",0)</f>
        <v>311</v>
      </c>
      <c r="F1239" s="55">
        <f>_xlfn.XLOOKUP($G1239,'.Auxiliar'!$G:$G,'.Auxiliar'!F:F,"-",0)</f>
        <v>1</v>
      </c>
      <c r="G1239" s="59" t="s">
        <v>914</v>
      </c>
      <c r="H1239" s="108" t="s">
        <v>0</v>
      </c>
      <c r="I1239" s="109" t="s">
        <v>0</v>
      </c>
      <c r="J1239" s="109" t="s">
        <v>363</v>
      </c>
      <c r="K1239" s="109" t="s">
        <v>0</v>
      </c>
      <c r="L1239" s="109" t="s">
        <v>0</v>
      </c>
      <c r="M1239" s="109" t="s">
        <v>0</v>
      </c>
      <c r="N1239" s="110" t="s">
        <v>0</v>
      </c>
      <c r="O1239" s="111"/>
      <c r="P1239" s="112"/>
      <c r="Q1239" s="112"/>
      <c r="R1239" s="112"/>
      <c r="S1239" s="112">
        <v>85.04</v>
      </c>
      <c r="T1239" s="112">
        <v>0</v>
      </c>
      <c r="U1239" s="95">
        <f t="shared" si="60"/>
        <v>100</v>
      </c>
      <c r="V1239" s="112">
        <v>14.96</v>
      </c>
      <c r="W1239" s="112"/>
      <c r="X1239" s="107"/>
      <c r="Y1239" s="107">
        <f t="shared" si="61"/>
        <v>100</v>
      </c>
      <c r="Z1239" s="107">
        <f t="shared" si="62"/>
        <v>0</v>
      </c>
    </row>
    <row r="1240" spans="1:26" x14ac:dyDescent="0.25">
      <c r="A1240" s="55" t="str">
        <f>_xlfn.XLOOKUP($G1240,'.Auxiliar'!$G:$G,'.Auxiliar'!A:A,"-",0)</f>
        <v>VIA BRASIL</v>
      </c>
      <c r="B1240" s="55" t="str">
        <f>_xlfn.XLOOKUP($G1240,'.Auxiliar'!$G:$G,'.Auxiliar'!B:B,"-",0)</f>
        <v>OAE</v>
      </c>
      <c r="C1240" s="55" t="str">
        <f>_xlfn.XLOOKUP($G1240,'.Auxiliar'!$G:$G,'.Auxiliar'!C:C,"-",0)</f>
        <v>OAE - Vias Marginais</v>
      </c>
      <c r="D1240" s="55">
        <f>_xlfn.XLOOKUP($G1240,'.Auxiliar'!$G:$G,'.Auxiliar'!D:D,"-",0)</f>
        <v>625.20000000000005</v>
      </c>
      <c r="E1240" s="55">
        <f>_xlfn.XLOOKUP($G1240,'.Auxiliar'!$G:$G,'.Auxiliar'!E:E,"-",0)</f>
        <v>625.20000000000005</v>
      </c>
      <c r="F1240" s="55">
        <f>_xlfn.XLOOKUP($G1240,'.Auxiliar'!$G:$G,'.Auxiliar'!F:F,"-",0)</f>
        <v>1</v>
      </c>
      <c r="G1240" s="59" t="s">
        <v>1263</v>
      </c>
      <c r="H1240" s="108" t="s">
        <v>0</v>
      </c>
      <c r="I1240" s="109" t="s">
        <v>0</v>
      </c>
      <c r="J1240" s="109" t="s">
        <v>0</v>
      </c>
      <c r="K1240" s="109" t="s">
        <v>0</v>
      </c>
      <c r="L1240" s="109" t="s">
        <v>363</v>
      </c>
      <c r="M1240" s="109" t="s">
        <v>0</v>
      </c>
      <c r="N1240" s="110" t="s">
        <v>0</v>
      </c>
      <c r="O1240" s="111"/>
      <c r="P1240" s="112"/>
      <c r="Q1240" s="112"/>
      <c r="R1240" s="112"/>
      <c r="S1240" s="112"/>
      <c r="T1240" s="112"/>
      <c r="U1240" s="95" t="str">
        <f t="shared" si="60"/>
        <v/>
      </c>
      <c r="V1240" s="112">
        <v>100</v>
      </c>
      <c r="W1240" s="112"/>
      <c r="X1240" s="107"/>
      <c r="Y1240" s="107">
        <f t="shared" si="61"/>
        <v>100</v>
      </c>
      <c r="Z1240" s="107">
        <f t="shared" si="62"/>
        <v>0</v>
      </c>
    </row>
    <row r="1241" spans="1:26" x14ac:dyDescent="0.25">
      <c r="A1241" s="55" t="str">
        <f>_xlfn.XLOOKUP($G1241,'.Auxiliar'!$G:$G,'.Auxiliar'!A:A,"-",0)</f>
        <v>VIA BRASIL</v>
      </c>
      <c r="B1241" s="55" t="str">
        <f>_xlfn.XLOOKUP($G1241,'.Auxiliar'!$G:$G,'.Auxiliar'!B:B,"-",0)</f>
        <v>OAE</v>
      </c>
      <c r="C1241" s="55" t="str">
        <f>_xlfn.XLOOKUP($G1241,'.Auxiliar'!$G:$G,'.Auxiliar'!C:C,"-",0)</f>
        <v>Rotatória Alonga - Acesso ao Porto de Itapacurá</v>
      </c>
      <c r="D1241" s="55">
        <f>_xlfn.XLOOKUP($G1241,'.Auxiliar'!$G:$G,'.Auxiliar'!D:D,"-",0)</f>
        <v>1134.46</v>
      </c>
      <c r="E1241" s="55">
        <f>_xlfn.XLOOKUP($G1241,'.Auxiliar'!$G:$G,'.Auxiliar'!E:E,"-",0)</f>
        <v>1134.46</v>
      </c>
      <c r="F1241" s="55">
        <f>_xlfn.XLOOKUP($G1241,'.Auxiliar'!$G:$G,'.Auxiliar'!F:F,"-",0)</f>
        <v>1</v>
      </c>
      <c r="G1241" s="59" t="s">
        <v>912</v>
      </c>
      <c r="H1241" s="108" t="s">
        <v>0</v>
      </c>
      <c r="I1241" s="109" t="s">
        <v>0</v>
      </c>
      <c r="J1241" s="109" t="s">
        <v>363</v>
      </c>
      <c r="K1241" s="109" t="s">
        <v>0</v>
      </c>
      <c r="L1241" s="109" t="s">
        <v>0</v>
      </c>
      <c r="M1241" s="109" t="s">
        <v>0</v>
      </c>
      <c r="N1241" s="110" t="s">
        <v>0</v>
      </c>
      <c r="O1241" s="111"/>
      <c r="P1241" s="112"/>
      <c r="Q1241" s="112"/>
      <c r="R1241" s="112"/>
      <c r="S1241" s="112">
        <v>64.77</v>
      </c>
      <c r="T1241" s="112">
        <v>0</v>
      </c>
      <c r="U1241" s="95">
        <f t="shared" si="60"/>
        <v>100</v>
      </c>
      <c r="V1241" s="112">
        <v>35.229999999999997</v>
      </c>
      <c r="W1241" s="112"/>
      <c r="X1241" s="107"/>
      <c r="Y1241" s="107">
        <f t="shared" si="61"/>
        <v>100</v>
      </c>
      <c r="Z1241" s="107">
        <f t="shared" si="62"/>
        <v>0</v>
      </c>
    </row>
    <row r="1242" spans="1:26" x14ac:dyDescent="0.25">
      <c r="A1242" s="55" t="str">
        <f>_xlfn.XLOOKUP($G1242,'.Auxiliar'!$G:$G,'.Auxiliar'!A:A,"-",0)</f>
        <v>VIA BRASIL</v>
      </c>
      <c r="B1242" s="55" t="str">
        <f>_xlfn.XLOOKUP($G1242,'.Auxiliar'!$G:$G,'.Auxiliar'!B:B,"-",0)</f>
        <v>OAE</v>
      </c>
      <c r="C1242" s="55" t="str">
        <f>_xlfn.XLOOKUP($G1242,'.Auxiliar'!$G:$G,'.Auxiliar'!C:C,"-",0)</f>
        <v>Rotatória Alonga - Acesso ao Porto de Miritituba</v>
      </c>
      <c r="D1242" s="55">
        <f>_xlfn.XLOOKUP($G1242,'.Auxiliar'!$G:$G,'.Auxiliar'!D:D,"-",0)</f>
        <v>1144.3</v>
      </c>
      <c r="E1242" s="55">
        <f>_xlfn.XLOOKUP($G1242,'.Auxiliar'!$G:$G,'.Auxiliar'!E:E,"-",0)</f>
        <v>1144.3</v>
      </c>
      <c r="F1242" s="55">
        <f>_xlfn.XLOOKUP($G1242,'.Auxiliar'!$G:$G,'.Auxiliar'!F:F,"-",0)</f>
        <v>1</v>
      </c>
      <c r="G1242" s="59" t="s">
        <v>911</v>
      </c>
      <c r="H1242" s="108" t="s">
        <v>0</v>
      </c>
      <c r="I1242" s="109" t="s">
        <v>0</v>
      </c>
      <c r="J1242" s="109" t="s">
        <v>363</v>
      </c>
      <c r="K1242" s="109" t="s">
        <v>0</v>
      </c>
      <c r="L1242" s="109" t="s">
        <v>0</v>
      </c>
      <c r="M1242" s="109" t="s">
        <v>0</v>
      </c>
      <c r="N1242" s="110" t="s">
        <v>0</v>
      </c>
      <c r="O1242" s="111"/>
      <c r="P1242" s="112"/>
      <c r="Q1242" s="112"/>
      <c r="R1242" s="112"/>
      <c r="S1242" s="112">
        <v>67.540000000000006</v>
      </c>
      <c r="T1242" s="112">
        <v>0</v>
      </c>
      <c r="U1242" s="95">
        <f t="shared" si="60"/>
        <v>100</v>
      </c>
      <c r="V1242" s="112">
        <v>32.46</v>
      </c>
      <c r="W1242" s="112"/>
      <c r="X1242" s="107"/>
      <c r="Y1242" s="107">
        <f t="shared" si="61"/>
        <v>100</v>
      </c>
      <c r="Z1242" s="107">
        <f t="shared" si="62"/>
        <v>0</v>
      </c>
    </row>
    <row r="1243" spans="1:26" x14ac:dyDescent="0.25">
      <c r="A1243" s="55" t="str">
        <f>_xlfn.XLOOKUP($G1243,'.Auxiliar'!$G:$G,'.Auxiliar'!A:A,"-",0)</f>
        <v>VIA BRASIL</v>
      </c>
      <c r="B1243" s="55" t="str">
        <f>_xlfn.XLOOKUP($G1243,'.Auxiliar'!$G:$G,'.Auxiliar'!B:B,"-",0)</f>
        <v>OAE</v>
      </c>
      <c r="C1243" s="55" t="str">
        <f>_xlfn.XLOOKUP($G1243,'.Auxiliar'!$G:$G,'.Auxiliar'!C:C,"-",0)</f>
        <v>Rotatória Alonga - Acesso ao Porto de Santarenzinho</v>
      </c>
      <c r="D1243" s="55">
        <f>_xlfn.XLOOKUP($G1243,'.Auxiliar'!$G:$G,'.Auxiliar'!D:D,"-",0)</f>
        <v>1112.9000000000001</v>
      </c>
      <c r="E1243" s="55">
        <f>_xlfn.XLOOKUP($G1243,'.Auxiliar'!$G:$G,'.Auxiliar'!E:E,"-",0)</f>
        <v>1112.9000000000001</v>
      </c>
      <c r="F1243" s="55">
        <f>_xlfn.XLOOKUP($G1243,'.Auxiliar'!$G:$G,'.Auxiliar'!F:F,"-",0)</f>
        <v>1</v>
      </c>
      <c r="G1243" s="59" t="s">
        <v>913</v>
      </c>
      <c r="H1243" s="108" t="s">
        <v>0</v>
      </c>
      <c r="I1243" s="109" t="s">
        <v>0</v>
      </c>
      <c r="J1243" s="109" t="s">
        <v>363</v>
      </c>
      <c r="K1243" s="109" t="s">
        <v>0</v>
      </c>
      <c r="L1243" s="109" t="s">
        <v>0</v>
      </c>
      <c r="M1243" s="109" t="s">
        <v>0</v>
      </c>
      <c r="N1243" s="110" t="s">
        <v>0</v>
      </c>
      <c r="O1243" s="111"/>
      <c r="P1243" s="112"/>
      <c r="Q1243" s="112"/>
      <c r="R1243" s="112"/>
      <c r="S1243" s="112">
        <v>64.77</v>
      </c>
      <c r="T1243" s="112">
        <v>0</v>
      </c>
      <c r="U1243" s="95">
        <f t="shared" si="60"/>
        <v>100</v>
      </c>
      <c r="V1243" s="112">
        <v>35.229999999999997</v>
      </c>
      <c r="W1243" s="112"/>
      <c r="X1243" s="107"/>
      <c r="Y1243" s="107">
        <f t="shared" si="61"/>
        <v>100</v>
      </c>
      <c r="Z1243" s="107">
        <f t="shared" si="62"/>
        <v>0</v>
      </c>
    </row>
    <row r="1244" spans="1:26" x14ac:dyDescent="0.25">
      <c r="A1244" s="55" t="str">
        <f>_xlfn.XLOOKUP($G1244,'.Auxiliar'!$G:$G,'.Auxiliar'!A:A,"-",0)</f>
        <v>VIA BRASIL</v>
      </c>
      <c r="B1244" s="55" t="str">
        <f>_xlfn.XLOOKUP($G1244,'.Auxiliar'!$G:$G,'.Auxiliar'!B:B,"-",0)</f>
        <v>OAE</v>
      </c>
      <c r="C1244" s="55" t="str">
        <f>_xlfn.XLOOKUP($G1244,'.Auxiliar'!$G:$G,'.Auxiliar'!C:C,"-",0)</f>
        <v>Trombeta</v>
      </c>
      <c r="D1244" s="55">
        <f>_xlfn.XLOOKUP($G1244,'.Auxiliar'!$G:$G,'.Auxiliar'!D:D,"-",0)</f>
        <v>674.4</v>
      </c>
      <c r="E1244" s="55">
        <f>_xlfn.XLOOKUP($G1244,'.Auxiliar'!$G:$G,'.Auxiliar'!E:E,"-",0)</f>
        <v>674.4</v>
      </c>
      <c r="F1244" s="55">
        <f>_xlfn.XLOOKUP($G1244,'.Auxiliar'!$G:$G,'.Auxiliar'!F:F,"-",0)</f>
        <v>1</v>
      </c>
      <c r="G1244" s="59" t="s">
        <v>1297</v>
      </c>
      <c r="H1244" s="108" t="s">
        <v>0</v>
      </c>
      <c r="I1244" s="109" t="s">
        <v>0</v>
      </c>
      <c r="J1244" s="109" t="s">
        <v>0</v>
      </c>
      <c r="K1244" s="109" t="s">
        <v>0</v>
      </c>
      <c r="L1244" s="109" t="s">
        <v>0</v>
      </c>
      <c r="M1244" s="109" t="s">
        <v>363</v>
      </c>
      <c r="N1244" s="110" t="s">
        <v>0</v>
      </c>
      <c r="O1244" s="111"/>
      <c r="P1244" s="112"/>
      <c r="Q1244" s="112"/>
      <c r="R1244" s="112"/>
      <c r="S1244" s="112"/>
      <c r="T1244" s="112"/>
      <c r="U1244" s="95" t="str">
        <f t="shared" si="60"/>
        <v/>
      </c>
      <c r="V1244" s="112"/>
      <c r="W1244" s="112">
        <v>100</v>
      </c>
      <c r="X1244" s="107"/>
      <c r="Y1244" s="107">
        <f t="shared" si="61"/>
        <v>100</v>
      </c>
      <c r="Z1244" s="107">
        <f t="shared" si="62"/>
        <v>0</v>
      </c>
    </row>
    <row r="1245" spans="1:26" x14ac:dyDescent="0.25">
      <c r="A1245" s="55" t="str">
        <f>_xlfn.XLOOKUP($G1245,'.Auxiliar'!$G:$G,'.Auxiliar'!A:A,"-",0)</f>
        <v>VIA BRASIL</v>
      </c>
      <c r="B1245" s="55" t="str">
        <f>_xlfn.XLOOKUP($G1245,'.Auxiliar'!$G:$G,'.Auxiliar'!B:B,"-",0)</f>
        <v>OAE</v>
      </c>
      <c r="C1245" s="55" t="str">
        <f>_xlfn.XLOOKUP($G1245,'.Auxiliar'!$G:$G,'.Auxiliar'!C:C,"-",0)</f>
        <v>Trombeta</v>
      </c>
      <c r="D1245" s="55">
        <f>_xlfn.XLOOKUP($G1245,'.Auxiliar'!$G:$G,'.Auxiliar'!D:D,"-",0)</f>
        <v>969.8</v>
      </c>
      <c r="E1245" s="55">
        <f>_xlfn.XLOOKUP($G1245,'.Auxiliar'!$G:$G,'.Auxiliar'!E:E,"-",0)</f>
        <v>969.8</v>
      </c>
      <c r="F1245" s="55">
        <f>_xlfn.XLOOKUP($G1245,'.Auxiliar'!$G:$G,'.Auxiliar'!F:F,"-",0)</f>
        <v>1</v>
      </c>
      <c r="G1245" s="59" t="s">
        <v>907</v>
      </c>
      <c r="H1245" s="108" t="s">
        <v>0</v>
      </c>
      <c r="I1245" s="109" t="s">
        <v>0</v>
      </c>
      <c r="J1245" s="109" t="s">
        <v>363</v>
      </c>
      <c r="K1245" s="109" t="s">
        <v>0</v>
      </c>
      <c r="L1245" s="109" t="s">
        <v>0</v>
      </c>
      <c r="M1245" s="109" t="s">
        <v>0</v>
      </c>
      <c r="N1245" s="110" t="s">
        <v>0</v>
      </c>
      <c r="O1245" s="111"/>
      <c r="P1245" s="112"/>
      <c r="Q1245" s="112"/>
      <c r="R1245" s="112"/>
      <c r="S1245" s="112">
        <v>55.64</v>
      </c>
      <c r="T1245" s="112">
        <v>0</v>
      </c>
      <c r="U1245" s="95">
        <f t="shared" si="60"/>
        <v>100</v>
      </c>
      <c r="V1245" s="112">
        <v>44.36</v>
      </c>
      <c r="W1245" s="112"/>
      <c r="X1245" s="107"/>
      <c r="Y1245" s="107">
        <f t="shared" si="61"/>
        <v>100</v>
      </c>
      <c r="Z1245" s="107">
        <f t="shared" si="62"/>
        <v>0</v>
      </c>
    </row>
    <row r="1246" spans="1:26" x14ac:dyDescent="0.25">
      <c r="A1246" s="55" t="str">
        <f>_xlfn.XLOOKUP($G1246,'.Auxiliar'!$G:$G,'.Auxiliar'!A:A,"-",0)</f>
        <v>VIA BRASIL</v>
      </c>
      <c r="B1246" s="55" t="str">
        <f>_xlfn.XLOOKUP($G1246,'.Auxiliar'!$G:$G,'.Auxiliar'!B:B,"-",0)</f>
        <v>OAE</v>
      </c>
      <c r="C1246" s="55" t="str">
        <f>_xlfn.XLOOKUP($G1246,'.Auxiliar'!$G:$G,'.Auxiliar'!C:C,"-",0)</f>
        <v>Trombeta</v>
      </c>
      <c r="D1246" s="55">
        <f>_xlfn.XLOOKUP($G1246,'.Auxiliar'!$G:$G,'.Auxiliar'!D:D,"-",0)</f>
        <v>973.6</v>
      </c>
      <c r="E1246" s="55">
        <f>_xlfn.XLOOKUP($G1246,'.Auxiliar'!$G:$G,'.Auxiliar'!E:E,"-",0)</f>
        <v>973.6</v>
      </c>
      <c r="F1246" s="55">
        <f>_xlfn.XLOOKUP($G1246,'.Auxiliar'!$G:$G,'.Auxiliar'!F:F,"-",0)</f>
        <v>1</v>
      </c>
      <c r="G1246" s="59" t="s">
        <v>908</v>
      </c>
      <c r="H1246" s="108" t="s">
        <v>0</v>
      </c>
      <c r="I1246" s="109" t="s">
        <v>0</v>
      </c>
      <c r="J1246" s="109" t="s">
        <v>363</v>
      </c>
      <c r="K1246" s="109" t="s">
        <v>0</v>
      </c>
      <c r="L1246" s="109" t="s">
        <v>0</v>
      </c>
      <c r="M1246" s="109" t="s">
        <v>0</v>
      </c>
      <c r="N1246" s="110" t="s">
        <v>0</v>
      </c>
      <c r="O1246" s="111"/>
      <c r="P1246" s="112"/>
      <c r="Q1246" s="112"/>
      <c r="R1246" s="112"/>
      <c r="S1246" s="112">
        <v>7.5</v>
      </c>
      <c r="T1246" s="112">
        <v>0</v>
      </c>
      <c r="U1246" s="95">
        <f t="shared" si="60"/>
        <v>100</v>
      </c>
      <c r="V1246" s="112">
        <v>92.5</v>
      </c>
      <c r="W1246" s="112"/>
      <c r="X1246" s="107"/>
      <c r="Y1246" s="107">
        <f t="shared" si="61"/>
        <v>100</v>
      </c>
      <c r="Z1246" s="107">
        <f t="shared" si="62"/>
        <v>0</v>
      </c>
    </row>
    <row r="1247" spans="1:26" x14ac:dyDescent="0.25">
      <c r="A1247" s="55" t="str">
        <f>_xlfn.XLOOKUP($G1247,'.Auxiliar'!$G:$G,'.Auxiliar'!A:A,"-",0)</f>
        <v>VIA BRASIL</v>
      </c>
      <c r="B1247" s="55" t="str">
        <f>_xlfn.XLOOKUP($G1247,'.Auxiliar'!$G:$G,'.Auxiliar'!B:B,"-",0)</f>
        <v>OAE</v>
      </c>
      <c r="C1247" s="55" t="str">
        <f>_xlfn.XLOOKUP($G1247,'.Auxiliar'!$G:$G,'.Auxiliar'!C:C,"-",0)</f>
        <v>Trombeta</v>
      </c>
      <c r="D1247" s="55">
        <f>_xlfn.XLOOKUP($G1247,'.Auxiliar'!$G:$G,'.Auxiliar'!D:D,"-",0)</f>
        <v>997.3</v>
      </c>
      <c r="E1247" s="55">
        <f>_xlfn.XLOOKUP($G1247,'.Auxiliar'!$G:$G,'.Auxiliar'!E:E,"-",0)</f>
        <v>997.3</v>
      </c>
      <c r="F1247" s="55">
        <f>_xlfn.XLOOKUP($G1247,'.Auxiliar'!$G:$G,'.Auxiliar'!F:F,"-",0)</f>
        <v>1</v>
      </c>
      <c r="G1247" s="59" t="s">
        <v>1294</v>
      </c>
      <c r="H1247" s="108" t="s">
        <v>0</v>
      </c>
      <c r="I1247" s="109" t="s">
        <v>0</v>
      </c>
      <c r="J1247" s="109" t="s">
        <v>0</v>
      </c>
      <c r="K1247" s="109" t="s">
        <v>0</v>
      </c>
      <c r="L1247" s="109" t="s">
        <v>0</v>
      </c>
      <c r="M1247" s="109" t="s">
        <v>363</v>
      </c>
      <c r="N1247" s="110" t="s">
        <v>0</v>
      </c>
      <c r="O1247" s="111"/>
      <c r="P1247" s="112"/>
      <c r="Q1247" s="112"/>
      <c r="R1247" s="112"/>
      <c r="S1247" s="112"/>
      <c r="T1247" s="112"/>
      <c r="U1247" s="95" t="str">
        <f t="shared" si="60"/>
        <v/>
      </c>
      <c r="V1247" s="112"/>
      <c r="W1247" s="112">
        <v>100</v>
      </c>
      <c r="X1247" s="107"/>
      <c r="Y1247" s="107">
        <f t="shared" si="61"/>
        <v>100</v>
      </c>
      <c r="Z1247" s="107">
        <f t="shared" si="62"/>
        <v>0</v>
      </c>
    </row>
    <row r="1248" spans="1:26" x14ac:dyDescent="0.25">
      <c r="A1248" s="55" t="str">
        <f>_xlfn.XLOOKUP($G1248,'.Auxiliar'!$G:$G,'.Auxiliar'!A:A,"-",0)</f>
        <v>VIA BRASIL</v>
      </c>
      <c r="B1248" s="55" t="str">
        <f>_xlfn.XLOOKUP($G1248,'.Auxiliar'!$G:$G,'.Auxiliar'!B:B,"-",0)</f>
        <v>PAVIMENTAÇÃO</v>
      </c>
      <c r="C1248" s="55" t="str">
        <f>_xlfn.XLOOKUP($G1248,'.Auxiliar'!$G:$G,'.Auxiliar'!C:C,"-",0)</f>
        <v>Acesso ao Porto de Itapacurá</v>
      </c>
      <c r="D1248" s="55">
        <f>_xlfn.XLOOKUP($G1248,'.Auxiliar'!$G:$G,'.Auxiliar'!D:D,"-",0)</f>
        <v>1134.46</v>
      </c>
      <c r="E1248" s="55" t="str">
        <f>_xlfn.XLOOKUP($G1248,'.Auxiliar'!$G:$G,'.Auxiliar'!E:E,"-",0)</f>
        <v>xxx</v>
      </c>
      <c r="F1248" s="55">
        <f>_xlfn.XLOOKUP($G1248,'.Auxiliar'!$G:$G,'.Auxiliar'!F:F,"-",0)</f>
        <v>14.5</v>
      </c>
      <c r="G1248" s="59" t="s">
        <v>886</v>
      </c>
      <c r="H1248" s="108" t="s">
        <v>0</v>
      </c>
      <c r="I1248" s="109" t="s">
        <v>0</v>
      </c>
      <c r="J1248" s="109" t="s">
        <v>363</v>
      </c>
      <c r="K1248" s="109" t="s">
        <v>0</v>
      </c>
      <c r="L1248" s="109" t="s">
        <v>0</v>
      </c>
      <c r="M1248" s="109" t="s">
        <v>0</v>
      </c>
      <c r="N1248" s="110" t="s">
        <v>0</v>
      </c>
      <c r="O1248" s="111"/>
      <c r="P1248" s="112"/>
      <c r="Q1248" s="112"/>
      <c r="R1248" s="112"/>
      <c r="S1248" s="112">
        <v>64.77</v>
      </c>
      <c r="T1248" s="112">
        <v>0</v>
      </c>
      <c r="U1248" s="95">
        <f t="shared" si="60"/>
        <v>100</v>
      </c>
      <c r="V1248" s="112">
        <v>35.229999999999997</v>
      </c>
      <c r="W1248" s="112"/>
      <c r="X1248" s="107"/>
      <c r="Y1248" s="107">
        <f t="shared" si="61"/>
        <v>100</v>
      </c>
      <c r="Z1248" s="107">
        <f t="shared" si="62"/>
        <v>0</v>
      </c>
    </row>
    <row r="1249" spans="1:26" x14ac:dyDescent="0.25">
      <c r="A1249" s="55" t="str">
        <f>_xlfn.XLOOKUP($G1249,'.Auxiliar'!$G:$G,'.Auxiliar'!A:A,"-",0)</f>
        <v>VIA BRASIL</v>
      </c>
      <c r="B1249" s="55" t="str">
        <f>_xlfn.XLOOKUP($G1249,'.Auxiliar'!$G:$G,'.Auxiliar'!B:B,"-",0)</f>
        <v>PAVIMENTAÇÃO</v>
      </c>
      <c r="C1249" s="55" t="str">
        <f>_xlfn.XLOOKUP($G1249,'.Auxiliar'!$G:$G,'.Auxiliar'!C:C,"-",0)</f>
        <v>Acesso ao Porto de Miritituba</v>
      </c>
      <c r="D1249" s="55">
        <f>_xlfn.XLOOKUP($G1249,'.Auxiliar'!$G:$G,'.Auxiliar'!D:D,"-",0)</f>
        <v>1144.3</v>
      </c>
      <c r="E1249" s="55" t="str">
        <f>_xlfn.XLOOKUP($G1249,'.Auxiliar'!$G:$G,'.Auxiliar'!E:E,"-",0)</f>
        <v>xxx</v>
      </c>
      <c r="F1249" s="55">
        <f>_xlfn.XLOOKUP($G1249,'.Auxiliar'!$G:$G,'.Auxiliar'!F:F,"-",0)</f>
        <v>8.3000000000000007</v>
      </c>
      <c r="G1249" s="59" t="s">
        <v>885</v>
      </c>
      <c r="H1249" s="108" t="s">
        <v>0</v>
      </c>
      <c r="I1249" s="109" t="s">
        <v>0</v>
      </c>
      <c r="J1249" s="109" t="s">
        <v>363</v>
      </c>
      <c r="K1249" s="109" t="s">
        <v>0</v>
      </c>
      <c r="L1249" s="109" t="s">
        <v>0</v>
      </c>
      <c r="M1249" s="109" t="s">
        <v>0</v>
      </c>
      <c r="N1249" s="110" t="s">
        <v>0</v>
      </c>
      <c r="O1249" s="111"/>
      <c r="P1249" s="112"/>
      <c r="Q1249" s="112"/>
      <c r="R1249" s="112"/>
      <c r="S1249" s="112">
        <v>67.540000000000006</v>
      </c>
      <c r="T1249" s="112">
        <v>0</v>
      </c>
      <c r="U1249" s="95">
        <f t="shared" si="60"/>
        <v>100</v>
      </c>
      <c r="V1249" s="112">
        <v>32.46</v>
      </c>
      <c r="W1249" s="112"/>
      <c r="X1249" s="107"/>
      <c r="Y1249" s="107">
        <f t="shared" si="61"/>
        <v>100</v>
      </c>
      <c r="Z1249" s="107">
        <f t="shared" si="62"/>
        <v>0</v>
      </c>
    </row>
    <row r="1250" spans="1:26" x14ac:dyDescent="0.25">
      <c r="A1250" s="55" t="str">
        <f>_xlfn.XLOOKUP($G1250,'.Auxiliar'!$G:$G,'.Auxiliar'!A:A,"-",0)</f>
        <v>VIA BRASIL</v>
      </c>
      <c r="B1250" s="55" t="str">
        <f>_xlfn.XLOOKUP($G1250,'.Auxiliar'!$G:$G,'.Auxiliar'!B:B,"-",0)</f>
        <v>PAVIMENTAÇÃO</v>
      </c>
      <c r="C1250" s="55" t="str">
        <f>_xlfn.XLOOKUP($G1250,'.Auxiliar'!$G:$G,'.Auxiliar'!C:C,"-",0)</f>
        <v>Acesso ao Terminal Portuário de Santarenzinho</v>
      </c>
      <c r="D1250" s="55">
        <f>_xlfn.XLOOKUP($G1250,'.Auxiliar'!$G:$G,'.Auxiliar'!D:D,"-",0)</f>
        <v>1112.9000000000001</v>
      </c>
      <c r="E1250" s="55" t="str">
        <f>_xlfn.XLOOKUP($G1250,'.Auxiliar'!$G:$G,'.Auxiliar'!E:E,"-",0)</f>
        <v>xxx</v>
      </c>
      <c r="F1250" s="55">
        <f>_xlfn.XLOOKUP($G1250,'.Auxiliar'!$G:$G,'.Auxiliar'!F:F,"-",0)</f>
        <v>16.52</v>
      </c>
      <c r="G1250" s="59" t="s">
        <v>887</v>
      </c>
      <c r="H1250" s="108" t="s">
        <v>0</v>
      </c>
      <c r="I1250" s="109" t="s">
        <v>0</v>
      </c>
      <c r="J1250" s="109" t="s">
        <v>363</v>
      </c>
      <c r="K1250" s="109" t="s">
        <v>0</v>
      </c>
      <c r="L1250" s="109" t="s">
        <v>0</v>
      </c>
      <c r="M1250" s="109" t="s">
        <v>0</v>
      </c>
      <c r="N1250" s="110" t="s">
        <v>0</v>
      </c>
      <c r="O1250" s="111"/>
      <c r="P1250" s="112"/>
      <c r="Q1250" s="112"/>
      <c r="R1250" s="112"/>
      <c r="S1250" s="112">
        <v>64.77</v>
      </c>
      <c r="T1250" s="112">
        <v>0</v>
      </c>
      <c r="U1250" s="95">
        <f t="shared" si="60"/>
        <v>100</v>
      </c>
      <c r="V1250" s="112">
        <v>35.229999999999997</v>
      </c>
      <c r="W1250" s="112"/>
      <c r="X1250" s="107"/>
      <c r="Y1250" s="107">
        <f t="shared" si="61"/>
        <v>100</v>
      </c>
      <c r="Z1250" s="107">
        <f t="shared" si="62"/>
        <v>0</v>
      </c>
    </row>
    <row r="1251" spans="1:26" x14ac:dyDescent="0.25">
      <c r="A1251" s="55" t="str">
        <f>_xlfn.XLOOKUP($G1251,'.Auxiliar'!$G:$G,'.Auxiliar'!A:A,"-",0)</f>
        <v>VIA BRASIL</v>
      </c>
      <c r="B1251" s="55" t="str">
        <f>_xlfn.XLOOKUP($G1251,'.Auxiliar'!$G:$G,'.Auxiliar'!B:B,"-",0)</f>
        <v>PAVIMENTAÇÃO</v>
      </c>
      <c r="C1251" s="55" t="str">
        <f>_xlfn.XLOOKUP($G1251,'.Auxiliar'!$G:$G,'.Auxiliar'!C:C,"-",0)</f>
        <v>Vias Marginais</v>
      </c>
      <c r="D1251" s="55">
        <f>_xlfn.XLOOKUP($G1251,'.Auxiliar'!$G:$G,'.Auxiliar'!D:D,"-",0)</f>
        <v>1143.5</v>
      </c>
      <c r="E1251" s="55">
        <f>_xlfn.XLOOKUP($G1251,'.Auxiliar'!$G:$G,'.Auxiliar'!E:E,"-",0)</f>
        <v>1144.95</v>
      </c>
      <c r="F1251" s="55">
        <f>_xlfn.XLOOKUP($G1251,'.Auxiliar'!$G:$G,'.Auxiliar'!F:F,"-",0)</f>
        <v>1.4500000000000455</v>
      </c>
      <c r="G1251" s="59" t="s">
        <v>1005</v>
      </c>
      <c r="H1251" s="108" t="s">
        <v>0</v>
      </c>
      <c r="I1251" s="109" t="s">
        <v>0</v>
      </c>
      <c r="J1251" s="109" t="s">
        <v>0</v>
      </c>
      <c r="K1251" s="109" t="s">
        <v>0</v>
      </c>
      <c r="L1251" s="109" t="s">
        <v>363</v>
      </c>
      <c r="M1251" s="109" t="s">
        <v>0</v>
      </c>
      <c r="N1251" s="110" t="s">
        <v>0</v>
      </c>
      <c r="O1251" s="111"/>
      <c r="P1251" s="112"/>
      <c r="Q1251" s="112"/>
      <c r="R1251" s="112"/>
      <c r="S1251" s="112"/>
      <c r="T1251" s="112"/>
      <c r="U1251" s="95" t="str">
        <f t="shared" si="60"/>
        <v/>
      </c>
      <c r="V1251" s="112">
        <v>100</v>
      </c>
      <c r="W1251" s="112"/>
      <c r="X1251" s="107"/>
      <c r="Y1251" s="107">
        <f t="shared" si="61"/>
        <v>100</v>
      </c>
      <c r="Z1251" s="107">
        <f t="shared" si="62"/>
        <v>0</v>
      </c>
    </row>
    <row r="1252" spans="1:26" x14ac:dyDescent="0.25">
      <c r="A1252" s="55" t="str">
        <f>_xlfn.XLOOKUP($G1252,'.Auxiliar'!$G:$G,'.Auxiliar'!A:A,"-",0)</f>
        <v>VIA BRASIL</v>
      </c>
      <c r="B1252" s="55" t="str">
        <f>_xlfn.XLOOKUP($G1252,'.Auxiliar'!$G:$G,'.Auxiliar'!B:B,"-",0)</f>
        <v>PAVIMENTAÇÃO</v>
      </c>
      <c r="C1252" s="55" t="str">
        <f>_xlfn.XLOOKUP($G1252,'.Auxiliar'!$G:$G,'.Auxiliar'!C:C,"-",0)</f>
        <v>Vias Marginais</v>
      </c>
      <c r="D1252" s="55">
        <f>_xlfn.XLOOKUP($G1252,'.Auxiliar'!$G:$G,'.Auxiliar'!D:D,"-",0)</f>
        <v>120.36</v>
      </c>
      <c r="E1252" s="55">
        <f>_xlfn.XLOOKUP($G1252,'.Auxiliar'!$G:$G,'.Auxiliar'!E:E,"-",0)</f>
        <v>121.36</v>
      </c>
      <c r="F1252" s="55">
        <f>_xlfn.XLOOKUP($G1252,'.Auxiliar'!$G:$G,'.Auxiliar'!F:F,"-",0)</f>
        <v>1</v>
      </c>
      <c r="G1252" s="59" t="s">
        <v>822</v>
      </c>
      <c r="H1252" s="108" t="s">
        <v>0</v>
      </c>
      <c r="I1252" s="109" t="s">
        <v>368</v>
      </c>
      <c r="J1252" s="109" t="s">
        <v>0</v>
      </c>
      <c r="K1252" s="109" t="s">
        <v>363</v>
      </c>
      <c r="L1252" s="109" t="s">
        <v>0</v>
      </c>
      <c r="M1252" s="109" t="s">
        <v>0</v>
      </c>
      <c r="N1252" s="110" t="s">
        <v>0</v>
      </c>
      <c r="O1252" s="111"/>
      <c r="P1252" s="112"/>
      <c r="Q1252" s="112">
        <v>52.2</v>
      </c>
      <c r="R1252" s="112">
        <v>0</v>
      </c>
      <c r="S1252" s="112">
        <v>100</v>
      </c>
      <c r="T1252" s="112">
        <v>0</v>
      </c>
      <c r="U1252" s="95">
        <f t="shared" si="60"/>
        <v>100</v>
      </c>
      <c r="V1252" s="112"/>
      <c r="W1252" s="112"/>
      <c r="X1252" s="107"/>
      <c r="Y1252" s="107">
        <f t="shared" si="61"/>
        <v>100</v>
      </c>
      <c r="Z1252" s="107">
        <f t="shared" si="62"/>
        <v>0</v>
      </c>
    </row>
    <row r="1253" spans="1:26" x14ac:dyDescent="0.25">
      <c r="A1253" s="55" t="str">
        <f>_xlfn.XLOOKUP($G1253,'.Auxiliar'!$G:$G,'.Auxiliar'!A:A,"-",0)</f>
        <v>VIA BRASIL</v>
      </c>
      <c r="B1253" s="55" t="str">
        <f>_xlfn.XLOOKUP($G1253,'.Auxiliar'!$G:$G,'.Auxiliar'!B:B,"-",0)</f>
        <v>PAVIMENTAÇÃO</v>
      </c>
      <c r="C1253" s="55" t="str">
        <f>_xlfn.XLOOKUP($G1253,'.Auxiliar'!$G:$G,'.Auxiliar'!C:C,"-",0)</f>
        <v>Vias Marginais</v>
      </c>
      <c r="D1253" s="55">
        <f>_xlfn.XLOOKUP($G1253,'.Auxiliar'!$G:$G,'.Auxiliar'!D:D,"-",0)</f>
        <v>156.26</v>
      </c>
      <c r="E1253" s="55">
        <f>_xlfn.XLOOKUP($G1253,'.Auxiliar'!$G:$G,'.Auxiliar'!E:E,"-",0)</f>
        <v>159.46</v>
      </c>
      <c r="F1253" s="55">
        <f>_xlfn.XLOOKUP($G1253,'.Auxiliar'!$G:$G,'.Auxiliar'!F:F,"-",0)</f>
        <v>3.2000000000000171</v>
      </c>
      <c r="G1253" s="59" t="s">
        <v>823</v>
      </c>
      <c r="H1253" s="108" t="s">
        <v>0</v>
      </c>
      <c r="I1253" s="109" t="s">
        <v>368</v>
      </c>
      <c r="J1253" s="109" t="s">
        <v>0</v>
      </c>
      <c r="K1253" s="109" t="s">
        <v>363</v>
      </c>
      <c r="L1253" s="109" t="s">
        <v>0</v>
      </c>
      <c r="M1253" s="109" t="s">
        <v>0</v>
      </c>
      <c r="N1253" s="110" t="s">
        <v>0</v>
      </c>
      <c r="O1253" s="111"/>
      <c r="P1253" s="112"/>
      <c r="Q1253" s="112">
        <v>52.2</v>
      </c>
      <c r="R1253" s="112">
        <v>0</v>
      </c>
      <c r="S1253" s="112">
        <v>100</v>
      </c>
      <c r="T1253" s="112">
        <v>0</v>
      </c>
      <c r="U1253" s="95">
        <f t="shared" si="60"/>
        <v>100</v>
      </c>
      <c r="V1253" s="112"/>
      <c r="W1253" s="112"/>
      <c r="X1253" s="107"/>
      <c r="Y1253" s="107">
        <f t="shared" si="61"/>
        <v>100</v>
      </c>
      <c r="Z1253" s="107">
        <f t="shared" si="62"/>
        <v>0</v>
      </c>
    </row>
    <row r="1254" spans="1:26" x14ac:dyDescent="0.25">
      <c r="A1254" s="55" t="str">
        <f>_xlfn.XLOOKUP($G1254,'.Auxiliar'!$G:$G,'.Auxiliar'!A:A,"-",0)</f>
        <v>VIA BRASIL</v>
      </c>
      <c r="B1254" s="55" t="str">
        <f>_xlfn.XLOOKUP($G1254,'.Auxiliar'!$G:$G,'.Auxiliar'!B:B,"-",0)</f>
        <v>PAVIMENTAÇÃO</v>
      </c>
      <c r="C1254" s="55" t="str">
        <f>_xlfn.XLOOKUP($G1254,'.Auxiliar'!$G:$G,'.Auxiliar'!C:C,"-",0)</f>
        <v>Vias Marginais</v>
      </c>
      <c r="D1254" s="55">
        <f>_xlfn.XLOOKUP($G1254,'.Auxiliar'!$G:$G,'.Auxiliar'!D:D,"-",0)</f>
        <v>157.22</v>
      </c>
      <c r="E1254" s="55">
        <f>_xlfn.XLOOKUP($G1254,'.Auxiliar'!$G:$G,'.Auxiliar'!E:E,"-",0)</f>
        <v>159.46</v>
      </c>
      <c r="F1254" s="55">
        <f>_xlfn.XLOOKUP($G1254,'.Auxiliar'!$G:$G,'.Auxiliar'!F:F,"-",0)</f>
        <v>2.2400000000000091</v>
      </c>
      <c r="G1254" s="59" t="s">
        <v>824</v>
      </c>
      <c r="H1254" s="108" t="s">
        <v>0</v>
      </c>
      <c r="I1254" s="109" t="s">
        <v>368</v>
      </c>
      <c r="J1254" s="109" t="s">
        <v>0</v>
      </c>
      <c r="K1254" s="109" t="s">
        <v>363</v>
      </c>
      <c r="L1254" s="109" t="s">
        <v>0</v>
      </c>
      <c r="M1254" s="109" t="s">
        <v>0</v>
      </c>
      <c r="N1254" s="110" t="s">
        <v>0</v>
      </c>
      <c r="O1254" s="111"/>
      <c r="P1254" s="112"/>
      <c r="Q1254" s="112">
        <v>52.2</v>
      </c>
      <c r="R1254" s="112">
        <v>0</v>
      </c>
      <c r="S1254" s="112">
        <v>100</v>
      </c>
      <c r="T1254" s="112">
        <v>0</v>
      </c>
      <c r="U1254" s="95">
        <f t="shared" si="60"/>
        <v>100</v>
      </c>
      <c r="V1254" s="112"/>
      <c r="W1254" s="112"/>
      <c r="X1254" s="107"/>
      <c r="Y1254" s="107">
        <f t="shared" si="61"/>
        <v>100</v>
      </c>
      <c r="Z1254" s="107">
        <f t="shared" si="62"/>
        <v>0</v>
      </c>
    </row>
    <row r="1255" spans="1:26" x14ac:dyDescent="0.25">
      <c r="A1255" s="55" t="str">
        <f>_xlfn.XLOOKUP($G1255,'.Auxiliar'!$G:$G,'.Auxiliar'!A:A,"-",0)</f>
        <v>VIA BRASIL</v>
      </c>
      <c r="B1255" s="55" t="str">
        <f>_xlfn.XLOOKUP($G1255,'.Auxiliar'!$G:$G,'.Auxiliar'!B:B,"-",0)</f>
        <v>PAVIMENTAÇÃO</v>
      </c>
      <c r="C1255" s="55" t="str">
        <f>_xlfn.XLOOKUP($G1255,'.Auxiliar'!$G:$G,'.Auxiliar'!C:C,"-",0)</f>
        <v>Vias Marginais</v>
      </c>
      <c r="D1255" s="55">
        <f>_xlfn.XLOOKUP($G1255,'.Auxiliar'!$G:$G,'.Auxiliar'!D:D,"-",0)</f>
        <v>225.57</v>
      </c>
      <c r="E1255" s="55">
        <f>_xlfn.XLOOKUP($G1255,'.Auxiliar'!$G:$G,'.Auxiliar'!E:E,"-",0)</f>
        <v>226.67</v>
      </c>
      <c r="F1255" s="55">
        <f>_xlfn.XLOOKUP($G1255,'.Auxiliar'!$G:$G,'.Auxiliar'!F:F,"-",0)</f>
        <v>1.0999999999999943</v>
      </c>
      <c r="G1255" s="59" t="s">
        <v>825</v>
      </c>
      <c r="H1255" s="108" t="s">
        <v>0</v>
      </c>
      <c r="I1255" s="109" t="s">
        <v>368</v>
      </c>
      <c r="J1255" s="109" t="s">
        <v>0</v>
      </c>
      <c r="K1255" s="109" t="s">
        <v>363</v>
      </c>
      <c r="L1255" s="109" t="s">
        <v>0</v>
      </c>
      <c r="M1255" s="109" t="s">
        <v>0</v>
      </c>
      <c r="N1255" s="110" t="s">
        <v>0</v>
      </c>
      <c r="O1255" s="111"/>
      <c r="P1255" s="112"/>
      <c r="Q1255" s="112">
        <v>28.7</v>
      </c>
      <c r="R1255" s="112">
        <v>0</v>
      </c>
      <c r="S1255" s="112">
        <v>100</v>
      </c>
      <c r="T1255" s="112">
        <v>0</v>
      </c>
      <c r="U1255" s="95">
        <f t="shared" si="60"/>
        <v>100</v>
      </c>
      <c r="V1255" s="112"/>
      <c r="W1255" s="112"/>
      <c r="X1255" s="107"/>
      <c r="Y1255" s="107">
        <f t="shared" si="61"/>
        <v>100</v>
      </c>
      <c r="Z1255" s="107">
        <f t="shared" si="62"/>
        <v>0</v>
      </c>
    </row>
    <row r="1256" spans="1:26" x14ac:dyDescent="0.25">
      <c r="A1256" s="55" t="str">
        <f>_xlfn.XLOOKUP($G1256,'.Auxiliar'!$G:$G,'.Auxiliar'!A:A,"-",0)</f>
        <v>VIA BRASIL</v>
      </c>
      <c r="B1256" s="55" t="str">
        <f>_xlfn.XLOOKUP($G1256,'.Auxiliar'!$G:$G,'.Auxiliar'!B:B,"-",0)</f>
        <v>PAVIMENTAÇÃO</v>
      </c>
      <c r="C1256" s="55" t="str">
        <f>_xlfn.XLOOKUP($G1256,'.Auxiliar'!$G:$G,'.Auxiliar'!C:C,"-",0)</f>
        <v>Vias Marginais</v>
      </c>
      <c r="D1256" s="55">
        <f>_xlfn.XLOOKUP($G1256,'.Auxiliar'!$G:$G,'.Auxiliar'!D:D,"-",0)</f>
        <v>226</v>
      </c>
      <c r="E1256" s="55">
        <f>_xlfn.XLOOKUP($G1256,'.Auxiliar'!$G:$G,'.Auxiliar'!E:E,"-",0)</f>
        <v>226.8</v>
      </c>
      <c r="F1256" s="55">
        <f>_xlfn.XLOOKUP($G1256,'.Auxiliar'!$G:$G,'.Auxiliar'!F:F,"-",0)</f>
        <v>0.80000000000001137</v>
      </c>
      <c r="G1256" s="59" t="s">
        <v>826</v>
      </c>
      <c r="H1256" s="108" t="s">
        <v>0</v>
      </c>
      <c r="I1256" s="109" t="s">
        <v>368</v>
      </c>
      <c r="J1256" s="109" t="s">
        <v>0</v>
      </c>
      <c r="K1256" s="109" t="s">
        <v>363</v>
      </c>
      <c r="L1256" s="109" t="s">
        <v>0</v>
      </c>
      <c r="M1256" s="109" t="s">
        <v>0</v>
      </c>
      <c r="N1256" s="110" t="s">
        <v>0</v>
      </c>
      <c r="O1256" s="111"/>
      <c r="P1256" s="112"/>
      <c r="Q1256" s="112">
        <v>28.7</v>
      </c>
      <c r="R1256" s="112">
        <v>0</v>
      </c>
      <c r="S1256" s="112">
        <v>100</v>
      </c>
      <c r="T1256" s="112">
        <v>0</v>
      </c>
      <c r="U1256" s="95">
        <f t="shared" si="60"/>
        <v>100</v>
      </c>
      <c r="V1256" s="112"/>
      <c r="W1256" s="112"/>
      <c r="X1256" s="107"/>
      <c r="Y1256" s="107">
        <f t="shared" si="61"/>
        <v>100</v>
      </c>
      <c r="Z1256" s="107">
        <f t="shared" si="62"/>
        <v>0</v>
      </c>
    </row>
    <row r="1257" spans="1:26" x14ac:dyDescent="0.25">
      <c r="A1257" s="55" t="str">
        <f>_xlfn.XLOOKUP($G1257,'.Auxiliar'!$G:$G,'.Auxiliar'!A:A,"-",0)</f>
        <v>VIA BRASIL</v>
      </c>
      <c r="B1257" s="55" t="str">
        <f>_xlfn.XLOOKUP($G1257,'.Auxiliar'!$G:$G,'.Auxiliar'!B:B,"-",0)</f>
        <v>PAVIMENTAÇÃO</v>
      </c>
      <c r="C1257" s="55" t="str">
        <f>_xlfn.XLOOKUP($G1257,'.Auxiliar'!$G:$G,'.Auxiliar'!C:C,"-",0)</f>
        <v>Vias Marginais</v>
      </c>
      <c r="D1257" s="55">
        <f>_xlfn.XLOOKUP($G1257,'.Auxiliar'!$G:$G,'.Auxiliar'!D:D,"-",0)</f>
        <v>278.83999999999997</v>
      </c>
      <c r="E1257" s="55">
        <f>_xlfn.XLOOKUP($G1257,'.Auxiliar'!$G:$G,'.Auxiliar'!E:E,"-",0)</f>
        <v>279.83999999999997</v>
      </c>
      <c r="F1257" s="55">
        <f>_xlfn.XLOOKUP($G1257,'.Auxiliar'!$G:$G,'.Auxiliar'!F:F,"-",0)</f>
        <v>1</v>
      </c>
      <c r="G1257" s="59" t="s">
        <v>827</v>
      </c>
      <c r="H1257" s="108" t="s">
        <v>0</v>
      </c>
      <c r="I1257" s="109" t="s">
        <v>368</v>
      </c>
      <c r="J1257" s="109" t="s">
        <v>363</v>
      </c>
      <c r="K1257" s="109" t="s">
        <v>363</v>
      </c>
      <c r="L1257" s="109" t="s">
        <v>0</v>
      </c>
      <c r="M1257" s="109" t="s">
        <v>0</v>
      </c>
      <c r="N1257" s="110" t="s">
        <v>0</v>
      </c>
      <c r="O1257" s="111"/>
      <c r="P1257" s="112"/>
      <c r="Q1257" s="112">
        <v>28.7</v>
      </c>
      <c r="R1257" s="112">
        <v>0</v>
      </c>
      <c r="S1257" s="112">
        <v>53.2</v>
      </c>
      <c r="T1257" s="112">
        <v>0</v>
      </c>
      <c r="U1257" s="95">
        <f t="shared" si="60"/>
        <v>100</v>
      </c>
      <c r="V1257" s="112">
        <v>46.8</v>
      </c>
      <c r="W1257" s="112"/>
      <c r="X1257" s="107"/>
      <c r="Y1257" s="107">
        <f t="shared" si="61"/>
        <v>100</v>
      </c>
      <c r="Z1257" s="107">
        <f t="shared" si="62"/>
        <v>0</v>
      </c>
    </row>
    <row r="1258" spans="1:26" x14ac:dyDescent="0.25">
      <c r="A1258" s="55" t="str">
        <f>_xlfn.XLOOKUP($G1258,'.Auxiliar'!$G:$G,'.Auxiliar'!A:A,"-",0)</f>
        <v>VIA BRASIL</v>
      </c>
      <c r="B1258" s="55" t="str">
        <f>_xlfn.XLOOKUP($G1258,'.Auxiliar'!$G:$G,'.Auxiliar'!B:B,"-",0)</f>
        <v>PAVIMENTAÇÃO</v>
      </c>
      <c r="C1258" s="55" t="str">
        <f>_xlfn.XLOOKUP($G1258,'.Auxiliar'!$G:$G,'.Auxiliar'!C:C,"-",0)</f>
        <v>Vias Marginais</v>
      </c>
      <c r="D1258" s="55">
        <f>_xlfn.XLOOKUP($G1258,'.Auxiliar'!$G:$G,'.Auxiliar'!D:D,"-",0)</f>
        <v>344.2</v>
      </c>
      <c r="E1258" s="55">
        <f>_xlfn.XLOOKUP($G1258,'.Auxiliar'!$G:$G,'.Auxiliar'!E:E,"-",0)</f>
        <v>345.05</v>
      </c>
      <c r="F1258" s="55">
        <f>_xlfn.XLOOKUP($G1258,'.Auxiliar'!$G:$G,'.Auxiliar'!F:F,"-",0)</f>
        <v>0.85000000000002274</v>
      </c>
      <c r="G1258" s="59" t="s">
        <v>879</v>
      </c>
      <c r="H1258" s="108" t="s">
        <v>0</v>
      </c>
      <c r="I1258" s="109" t="s">
        <v>0</v>
      </c>
      <c r="J1258" s="109" t="s">
        <v>363</v>
      </c>
      <c r="K1258" s="109" t="s">
        <v>0</v>
      </c>
      <c r="L1258" s="109" t="s">
        <v>0</v>
      </c>
      <c r="M1258" s="109" t="s">
        <v>0</v>
      </c>
      <c r="N1258" s="110" t="s">
        <v>0</v>
      </c>
      <c r="O1258" s="111"/>
      <c r="P1258" s="112"/>
      <c r="Q1258" s="112"/>
      <c r="R1258" s="112"/>
      <c r="S1258" s="112">
        <v>53.2</v>
      </c>
      <c r="T1258" s="112">
        <v>0</v>
      </c>
      <c r="U1258" s="95">
        <f t="shared" si="60"/>
        <v>100</v>
      </c>
      <c r="V1258" s="112">
        <v>46.8</v>
      </c>
      <c r="W1258" s="112"/>
      <c r="X1258" s="107"/>
      <c r="Y1258" s="107">
        <f t="shared" si="61"/>
        <v>100</v>
      </c>
      <c r="Z1258" s="107">
        <f t="shared" si="62"/>
        <v>0</v>
      </c>
    </row>
    <row r="1259" spans="1:26" x14ac:dyDescent="0.25">
      <c r="A1259" s="55" t="str">
        <f>_xlfn.XLOOKUP($G1259,'.Auxiliar'!$G:$G,'.Auxiliar'!A:A,"-",0)</f>
        <v>VIA BRASIL</v>
      </c>
      <c r="B1259" s="55" t="str">
        <f>_xlfn.XLOOKUP($G1259,'.Auxiliar'!$G:$G,'.Auxiliar'!B:B,"-",0)</f>
        <v>PAVIMENTAÇÃO</v>
      </c>
      <c r="C1259" s="55" t="str">
        <f>_xlfn.XLOOKUP($G1259,'.Auxiliar'!$G:$G,'.Auxiliar'!C:C,"-",0)</f>
        <v>Vias Marginais</v>
      </c>
      <c r="D1259" s="55">
        <f>_xlfn.XLOOKUP($G1259,'.Auxiliar'!$G:$G,'.Auxiliar'!D:D,"-",0)</f>
        <v>408.4</v>
      </c>
      <c r="E1259" s="55">
        <f>_xlfn.XLOOKUP($G1259,'.Auxiliar'!$G:$G,'.Auxiliar'!E:E,"-",0)</f>
        <v>411.6</v>
      </c>
      <c r="F1259" s="55">
        <f>_xlfn.XLOOKUP($G1259,'.Auxiliar'!$G:$G,'.Auxiliar'!F:F,"-",0)</f>
        <v>3.2000000000000455</v>
      </c>
      <c r="G1259" s="59" t="s">
        <v>881</v>
      </c>
      <c r="H1259" s="108" t="s">
        <v>0</v>
      </c>
      <c r="I1259" s="109" t="s">
        <v>0</v>
      </c>
      <c r="J1259" s="109" t="s">
        <v>363</v>
      </c>
      <c r="K1259" s="109" t="s">
        <v>0</v>
      </c>
      <c r="L1259" s="109" t="s">
        <v>0</v>
      </c>
      <c r="M1259" s="109" t="s">
        <v>0</v>
      </c>
      <c r="N1259" s="110" t="s">
        <v>0</v>
      </c>
      <c r="O1259" s="111"/>
      <c r="P1259" s="112"/>
      <c r="Q1259" s="112"/>
      <c r="R1259" s="112"/>
      <c r="S1259" s="112">
        <v>53.2</v>
      </c>
      <c r="T1259" s="112">
        <v>0</v>
      </c>
      <c r="U1259" s="95">
        <f t="shared" si="60"/>
        <v>100</v>
      </c>
      <c r="V1259" s="112">
        <v>46.8</v>
      </c>
      <c r="W1259" s="112"/>
      <c r="X1259" s="107"/>
      <c r="Y1259" s="107">
        <f t="shared" si="61"/>
        <v>100</v>
      </c>
      <c r="Z1259" s="107">
        <f t="shared" si="62"/>
        <v>0</v>
      </c>
    </row>
    <row r="1260" spans="1:26" x14ac:dyDescent="0.25">
      <c r="A1260" s="55" t="str">
        <f>_xlfn.XLOOKUP($G1260,'.Auxiliar'!$G:$G,'.Auxiliar'!A:A,"-",0)</f>
        <v>VIA BRASIL</v>
      </c>
      <c r="B1260" s="55" t="str">
        <f>_xlfn.XLOOKUP($G1260,'.Auxiliar'!$G:$G,'.Auxiliar'!B:B,"-",0)</f>
        <v>PAVIMENTAÇÃO</v>
      </c>
      <c r="C1260" s="55" t="str">
        <f>_xlfn.XLOOKUP($G1260,'.Auxiliar'!$G:$G,'.Auxiliar'!C:C,"-",0)</f>
        <v>Vias Marginais</v>
      </c>
      <c r="D1260" s="55">
        <f>_xlfn.XLOOKUP($G1260,'.Auxiliar'!$G:$G,'.Auxiliar'!D:D,"-",0)</f>
        <v>409.1</v>
      </c>
      <c r="E1260" s="55">
        <f>_xlfn.XLOOKUP($G1260,'.Auxiliar'!$G:$G,'.Auxiliar'!E:E,"-",0)</f>
        <v>411.3</v>
      </c>
      <c r="F1260" s="55">
        <f>_xlfn.XLOOKUP($G1260,'.Auxiliar'!$G:$G,'.Auxiliar'!F:F,"-",0)</f>
        <v>2.1999999999999886</v>
      </c>
      <c r="G1260" s="59" t="s">
        <v>880</v>
      </c>
      <c r="H1260" s="108" t="s">
        <v>0</v>
      </c>
      <c r="I1260" s="109" t="s">
        <v>0</v>
      </c>
      <c r="J1260" s="109" t="s">
        <v>363</v>
      </c>
      <c r="K1260" s="109" t="s">
        <v>0</v>
      </c>
      <c r="L1260" s="109" t="s">
        <v>0</v>
      </c>
      <c r="M1260" s="109" t="s">
        <v>0</v>
      </c>
      <c r="N1260" s="110" t="s">
        <v>0</v>
      </c>
      <c r="O1260" s="111"/>
      <c r="P1260" s="112"/>
      <c r="Q1260" s="112"/>
      <c r="R1260" s="112"/>
      <c r="S1260" s="112">
        <v>53.2</v>
      </c>
      <c r="T1260" s="112">
        <v>0</v>
      </c>
      <c r="U1260" s="95">
        <f t="shared" si="60"/>
        <v>100</v>
      </c>
      <c r="V1260" s="112">
        <v>46.8</v>
      </c>
      <c r="W1260" s="112"/>
      <c r="X1260" s="107"/>
      <c r="Y1260" s="107">
        <f t="shared" si="61"/>
        <v>100</v>
      </c>
      <c r="Z1260" s="107">
        <f t="shared" si="62"/>
        <v>0</v>
      </c>
    </row>
    <row r="1261" spans="1:26" x14ac:dyDescent="0.25">
      <c r="A1261" s="55" t="str">
        <f>_xlfn.XLOOKUP($G1261,'.Auxiliar'!$G:$G,'.Auxiliar'!A:A,"-",0)</f>
        <v>VIA BRASIL</v>
      </c>
      <c r="B1261" s="55" t="str">
        <f>_xlfn.XLOOKUP($G1261,'.Auxiliar'!$G:$G,'.Auxiliar'!B:B,"-",0)</f>
        <v>PAVIMENTAÇÃO</v>
      </c>
      <c r="C1261" s="55" t="str">
        <f>_xlfn.XLOOKUP($G1261,'.Auxiliar'!$G:$G,'.Auxiliar'!C:C,"-",0)</f>
        <v>Vias Marginais</v>
      </c>
      <c r="D1261" s="55">
        <f>_xlfn.XLOOKUP($G1261,'.Auxiliar'!$G:$G,'.Auxiliar'!D:D,"-",0)</f>
        <v>527.4</v>
      </c>
      <c r="E1261" s="55">
        <f>_xlfn.XLOOKUP($G1261,'.Auxiliar'!$G:$G,'.Auxiliar'!E:E,"-",0)</f>
        <v>527.85</v>
      </c>
      <c r="F1261" s="55">
        <f>_xlfn.XLOOKUP($G1261,'.Auxiliar'!$G:$G,'.Auxiliar'!F:F,"-",0)</f>
        <v>0.45000000000004547</v>
      </c>
      <c r="G1261" s="59" t="s">
        <v>882</v>
      </c>
      <c r="H1261" s="108" t="s">
        <v>0</v>
      </c>
      <c r="I1261" s="109" t="s">
        <v>0</v>
      </c>
      <c r="J1261" s="109" t="s">
        <v>363</v>
      </c>
      <c r="K1261" s="109" t="s">
        <v>0</v>
      </c>
      <c r="L1261" s="109" t="s">
        <v>0</v>
      </c>
      <c r="M1261" s="109" t="s">
        <v>0</v>
      </c>
      <c r="N1261" s="110" t="s">
        <v>0</v>
      </c>
      <c r="O1261" s="111"/>
      <c r="P1261" s="112"/>
      <c r="Q1261" s="112"/>
      <c r="R1261" s="112"/>
      <c r="S1261" s="112">
        <v>30.700000000000003</v>
      </c>
      <c r="T1261" s="112">
        <v>0</v>
      </c>
      <c r="U1261" s="95">
        <f t="shared" si="60"/>
        <v>100</v>
      </c>
      <c r="V1261" s="112">
        <v>69.3</v>
      </c>
      <c r="W1261" s="112"/>
      <c r="X1261" s="107"/>
      <c r="Y1261" s="107">
        <f t="shared" si="61"/>
        <v>100</v>
      </c>
      <c r="Z1261" s="107">
        <f t="shared" si="62"/>
        <v>0</v>
      </c>
    </row>
    <row r="1262" spans="1:26" x14ac:dyDescent="0.25">
      <c r="A1262" s="55" t="str">
        <f>_xlfn.XLOOKUP($G1262,'.Auxiliar'!$G:$G,'.Auxiliar'!A:A,"-",0)</f>
        <v>VIA BRASIL</v>
      </c>
      <c r="B1262" s="55" t="str">
        <f>_xlfn.XLOOKUP($G1262,'.Auxiliar'!$G:$G,'.Auxiliar'!B:B,"-",0)</f>
        <v>PAVIMENTAÇÃO</v>
      </c>
      <c r="C1262" s="55" t="str">
        <f>_xlfn.XLOOKUP($G1262,'.Auxiliar'!$G:$G,'.Auxiliar'!C:C,"-",0)</f>
        <v>Vias Marginais</v>
      </c>
      <c r="D1262" s="55">
        <f>_xlfn.XLOOKUP($G1262,'.Auxiliar'!$G:$G,'.Auxiliar'!D:D,"-",0)</f>
        <v>574.4</v>
      </c>
      <c r="E1262" s="55">
        <f>_xlfn.XLOOKUP($G1262,'.Auxiliar'!$G:$G,'.Auxiliar'!E:E,"-",0)</f>
        <v>575.5</v>
      </c>
      <c r="F1262" s="55">
        <f>_xlfn.XLOOKUP($G1262,'.Auxiliar'!$G:$G,'.Auxiliar'!F:F,"-",0)</f>
        <v>1.1000000000000227</v>
      </c>
      <c r="G1262" s="59" t="s">
        <v>883</v>
      </c>
      <c r="H1262" s="108" t="s">
        <v>0</v>
      </c>
      <c r="I1262" s="109" t="s">
        <v>0</v>
      </c>
      <c r="J1262" s="109" t="s">
        <v>363</v>
      </c>
      <c r="K1262" s="109" t="s">
        <v>0</v>
      </c>
      <c r="L1262" s="109" t="s">
        <v>0</v>
      </c>
      <c r="M1262" s="109" t="s">
        <v>0</v>
      </c>
      <c r="N1262" s="110" t="s">
        <v>0</v>
      </c>
      <c r="O1262" s="111"/>
      <c r="P1262" s="112"/>
      <c r="Q1262" s="112"/>
      <c r="R1262" s="112"/>
      <c r="S1262" s="112">
        <v>30.700000000000003</v>
      </c>
      <c r="T1262" s="112">
        <v>0</v>
      </c>
      <c r="U1262" s="95">
        <f t="shared" si="60"/>
        <v>100</v>
      </c>
      <c r="V1262" s="112">
        <v>69.3</v>
      </c>
      <c r="W1262" s="112"/>
      <c r="X1262" s="107"/>
      <c r="Y1262" s="107">
        <f t="shared" si="61"/>
        <v>100</v>
      </c>
      <c r="Z1262" s="107">
        <f t="shared" si="62"/>
        <v>0</v>
      </c>
    </row>
    <row r="1263" spans="1:26" x14ac:dyDescent="0.25">
      <c r="A1263" s="55" t="str">
        <f>_xlfn.XLOOKUP($G1263,'.Auxiliar'!$G:$G,'.Auxiliar'!A:A,"-",0)</f>
        <v>VIA BRASIL</v>
      </c>
      <c r="B1263" s="55" t="str">
        <f>_xlfn.XLOOKUP($G1263,'.Auxiliar'!$G:$G,'.Auxiliar'!B:B,"-",0)</f>
        <v>PAVIMENTAÇÃO</v>
      </c>
      <c r="C1263" s="55" t="str">
        <f>_xlfn.XLOOKUP($G1263,'.Auxiliar'!$G:$G,'.Auxiliar'!C:C,"-",0)</f>
        <v>Vias Marginais</v>
      </c>
      <c r="D1263" s="55">
        <f>_xlfn.XLOOKUP($G1263,'.Auxiliar'!$G:$G,'.Auxiliar'!D:D,"-",0)</f>
        <v>574.4</v>
      </c>
      <c r="E1263" s="55">
        <f>_xlfn.XLOOKUP($G1263,'.Auxiliar'!$G:$G,'.Auxiliar'!E:E,"-",0)</f>
        <v>575.6</v>
      </c>
      <c r="F1263" s="55">
        <f>_xlfn.XLOOKUP($G1263,'.Auxiliar'!$G:$G,'.Auxiliar'!F:F,"-",0)</f>
        <v>1.2000000000000455</v>
      </c>
      <c r="G1263" s="59" t="s">
        <v>884</v>
      </c>
      <c r="H1263" s="108" t="s">
        <v>0</v>
      </c>
      <c r="I1263" s="109" t="s">
        <v>0</v>
      </c>
      <c r="J1263" s="109" t="s">
        <v>363</v>
      </c>
      <c r="K1263" s="109" t="s">
        <v>0</v>
      </c>
      <c r="L1263" s="109" t="s">
        <v>0</v>
      </c>
      <c r="M1263" s="109" t="s">
        <v>0</v>
      </c>
      <c r="N1263" s="110" t="s">
        <v>0</v>
      </c>
      <c r="O1263" s="111"/>
      <c r="P1263" s="112"/>
      <c r="Q1263" s="112"/>
      <c r="R1263" s="112"/>
      <c r="S1263" s="112">
        <v>30.700000000000003</v>
      </c>
      <c r="T1263" s="112">
        <v>0</v>
      </c>
      <c r="U1263" s="95">
        <f t="shared" si="60"/>
        <v>100</v>
      </c>
      <c r="V1263" s="112">
        <v>69.3</v>
      </c>
      <c r="W1263" s="112"/>
      <c r="X1263" s="107"/>
      <c r="Y1263" s="107">
        <f t="shared" si="61"/>
        <v>100</v>
      </c>
      <c r="Z1263" s="107">
        <f t="shared" si="62"/>
        <v>0</v>
      </c>
    </row>
    <row r="1264" spans="1:26" x14ac:dyDescent="0.25">
      <c r="A1264" s="55" t="str">
        <f>_xlfn.XLOOKUP($G1264,'.Auxiliar'!$G:$G,'.Auxiliar'!A:A,"-",0)</f>
        <v>VIA BRASIL</v>
      </c>
      <c r="B1264" s="55" t="str">
        <f>_xlfn.XLOOKUP($G1264,'.Auxiliar'!$G:$G,'.Auxiliar'!B:B,"-",0)</f>
        <v>PAVIMENTAÇÃO</v>
      </c>
      <c r="C1264" s="55" t="str">
        <f>_xlfn.XLOOKUP($G1264,'.Auxiliar'!$G:$G,'.Auxiliar'!C:C,"-",0)</f>
        <v>Vias Marginais</v>
      </c>
      <c r="D1264" s="55">
        <f>_xlfn.XLOOKUP($G1264,'.Auxiliar'!$G:$G,'.Auxiliar'!D:D,"-",0)</f>
        <v>605.20000000000005</v>
      </c>
      <c r="E1264" s="55">
        <f>_xlfn.XLOOKUP($G1264,'.Auxiliar'!$G:$G,'.Auxiliar'!E:E,"-",0)</f>
        <v>606.54999999999995</v>
      </c>
      <c r="F1264" s="55">
        <f>_xlfn.XLOOKUP($G1264,'.Auxiliar'!$G:$G,'.Auxiliar'!F:F,"-",0)</f>
        <v>1.3499999999999091</v>
      </c>
      <c r="G1264" s="59" t="s">
        <v>1001</v>
      </c>
      <c r="H1264" s="108" t="s">
        <v>0</v>
      </c>
      <c r="I1264" s="109" t="s">
        <v>0</v>
      </c>
      <c r="J1264" s="109" t="s">
        <v>0</v>
      </c>
      <c r="K1264" s="109" t="s">
        <v>0</v>
      </c>
      <c r="L1264" s="109" t="s">
        <v>363</v>
      </c>
      <c r="M1264" s="109" t="s">
        <v>0</v>
      </c>
      <c r="N1264" s="110" t="s">
        <v>0</v>
      </c>
      <c r="O1264" s="111"/>
      <c r="P1264" s="112"/>
      <c r="Q1264" s="112"/>
      <c r="R1264" s="112"/>
      <c r="S1264" s="112"/>
      <c r="T1264" s="112"/>
      <c r="U1264" s="95" t="str">
        <f t="shared" si="60"/>
        <v/>
      </c>
      <c r="V1264" s="112">
        <v>100</v>
      </c>
      <c r="W1264" s="112"/>
      <c r="X1264" s="107"/>
      <c r="Y1264" s="107">
        <f t="shared" si="61"/>
        <v>100</v>
      </c>
      <c r="Z1264" s="107">
        <f t="shared" si="62"/>
        <v>0</v>
      </c>
    </row>
    <row r="1265" spans="1:26" x14ac:dyDescent="0.25">
      <c r="A1265" s="55" t="str">
        <f>_xlfn.XLOOKUP($G1265,'.Auxiliar'!$G:$G,'.Auxiliar'!A:A,"-",0)</f>
        <v>VIA BRASIL</v>
      </c>
      <c r="B1265" s="55" t="str">
        <f>_xlfn.XLOOKUP($G1265,'.Auxiliar'!$G:$G,'.Auxiliar'!B:B,"-",0)</f>
        <v>PAVIMENTAÇÃO</v>
      </c>
      <c r="C1265" s="55" t="str">
        <f>_xlfn.XLOOKUP($G1265,'.Auxiliar'!$G:$G,'.Auxiliar'!C:C,"-",0)</f>
        <v>Vias Marginais</v>
      </c>
      <c r="D1265" s="55">
        <f>_xlfn.XLOOKUP($G1265,'.Auxiliar'!$G:$G,'.Auxiliar'!D:D,"-",0)</f>
        <v>624.6</v>
      </c>
      <c r="E1265" s="55">
        <f>_xlfn.XLOOKUP($G1265,'.Auxiliar'!$G:$G,'.Auxiliar'!E:E,"-",0)</f>
        <v>627</v>
      </c>
      <c r="F1265" s="55">
        <f>_xlfn.XLOOKUP($G1265,'.Auxiliar'!$G:$G,'.Auxiliar'!F:F,"-",0)</f>
        <v>2.3999999999999773</v>
      </c>
      <c r="G1265" s="59" t="s">
        <v>1002</v>
      </c>
      <c r="H1265" s="108" t="s">
        <v>0</v>
      </c>
      <c r="I1265" s="109" t="s">
        <v>0</v>
      </c>
      <c r="J1265" s="109" t="s">
        <v>0</v>
      </c>
      <c r="K1265" s="109" t="s">
        <v>0</v>
      </c>
      <c r="L1265" s="109" t="s">
        <v>363</v>
      </c>
      <c r="M1265" s="109" t="s">
        <v>0</v>
      </c>
      <c r="N1265" s="110" t="s">
        <v>0</v>
      </c>
      <c r="O1265" s="111"/>
      <c r="P1265" s="112"/>
      <c r="Q1265" s="112"/>
      <c r="R1265" s="112"/>
      <c r="S1265" s="112"/>
      <c r="T1265" s="112"/>
      <c r="U1265" s="95" t="str">
        <f t="shared" si="60"/>
        <v/>
      </c>
      <c r="V1265" s="112">
        <v>100</v>
      </c>
      <c r="W1265" s="112"/>
      <c r="X1265" s="107"/>
      <c r="Y1265" s="107">
        <f t="shared" si="61"/>
        <v>100</v>
      </c>
      <c r="Z1265" s="107">
        <f t="shared" si="62"/>
        <v>0</v>
      </c>
    </row>
    <row r="1266" spans="1:26" x14ac:dyDescent="0.25">
      <c r="A1266" s="55" t="str">
        <f>_xlfn.XLOOKUP($G1266,'.Auxiliar'!$G:$G,'.Auxiliar'!A:A,"-",0)</f>
        <v>VIA BRASIL</v>
      </c>
      <c r="B1266" s="55" t="str">
        <f>_xlfn.XLOOKUP($G1266,'.Auxiliar'!$G:$G,'.Auxiliar'!B:B,"-",0)</f>
        <v>PAVIMENTAÇÃO</v>
      </c>
      <c r="C1266" s="55" t="str">
        <f>_xlfn.XLOOKUP($G1266,'.Auxiliar'!$G:$G,'.Auxiliar'!C:C,"-",0)</f>
        <v>Vias Marginais</v>
      </c>
      <c r="D1266" s="55">
        <f>_xlfn.XLOOKUP($G1266,'.Auxiliar'!$G:$G,'.Auxiliar'!D:D,"-",0)</f>
        <v>624.6</v>
      </c>
      <c r="E1266" s="55">
        <f>_xlfn.XLOOKUP($G1266,'.Auxiliar'!$G:$G,'.Auxiliar'!E:E,"-",0)</f>
        <v>627.20000000000005</v>
      </c>
      <c r="F1266" s="55">
        <f>_xlfn.XLOOKUP($G1266,'.Auxiliar'!$G:$G,'.Auxiliar'!F:F,"-",0)</f>
        <v>2.6000000000000227</v>
      </c>
      <c r="G1266" s="59" t="s">
        <v>1003</v>
      </c>
      <c r="H1266" s="108" t="s">
        <v>0</v>
      </c>
      <c r="I1266" s="109" t="s">
        <v>0</v>
      </c>
      <c r="J1266" s="109" t="s">
        <v>0</v>
      </c>
      <c r="K1266" s="109" t="s">
        <v>0</v>
      </c>
      <c r="L1266" s="109" t="s">
        <v>363</v>
      </c>
      <c r="M1266" s="109" t="s">
        <v>0</v>
      </c>
      <c r="N1266" s="110" t="s">
        <v>0</v>
      </c>
      <c r="O1266" s="111"/>
      <c r="P1266" s="112"/>
      <c r="Q1266" s="112"/>
      <c r="R1266" s="112"/>
      <c r="S1266" s="112"/>
      <c r="T1266" s="112"/>
      <c r="U1266" s="95" t="str">
        <f t="shared" si="60"/>
        <v/>
      </c>
      <c r="V1266" s="112">
        <v>100</v>
      </c>
      <c r="W1266" s="112"/>
      <c r="X1266" s="107"/>
      <c r="Y1266" s="107">
        <f t="shared" si="61"/>
        <v>100</v>
      </c>
      <c r="Z1266" s="107">
        <f t="shared" si="62"/>
        <v>0</v>
      </c>
    </row>
    <row r="1267" spans="1:26" x14ac:dyDescent="0.25">
      <c r="A1267" s="55" t="str">
        <f>_xlfn.XLOOKUP($G1267,'.Auxiliar'!$G:$G,'.Auxiliar'!A:A,"-",0)</f>
        <v>VIA BRASIL</v>
      </c>
      <c r="B1267" s="55" t="str">
        <f>_xlfn.XLOOKUP($G1267,'.Auxiliar'!$G:$G,'.Auxiliar'!B:B,"-",0)</f>
        <v>PAVIMENTAÇÃO</v>
      </c>
      <c r="C1267" s="55" t="str">
        <f>_xlfn.XLOOKUP($G1267,'.Auxiliar'!$G:$G,'.Auxiliar'!C:C,"-",0)</f>
        <v>Vias Marginais</v>
      </c>
      <c r="D1267" s="55">
        <f>_xlfn.XLOOKUP($G1267,'.Auxiliar'!$G:$G,'.Auxiliar'!D:D,"-",0)</f>
        <v>673.8</v>
      </c>
      <c r="E1267" s="55">
        <f>_xlfn.XLOOKUP($G1267,'.Auxiliar'!$G:$G,'.Auxiliar'!E:E,"-",0)</f>
        <v>674.4</v>
      </c>
      <c r="F1267" s="55">
        <f>_xlfn.XLOOKUP($G1267,'.Auxiliar'!$G:$G,'.Auxiliar'!F:F,"-",0)</f>
        <v>0.60000000000002274</v>
      </c>
      <c r="G1267" s="59" t="s">
        <v>1004</v>
      </c>
      <c r="H1267" s="108" t="s">
        <v>0</v>
      </c>
      <c r="I1267" s="109" t="s">
        <v>0</v>
      </c>
      <c r="J1267" s="109" t="s">
        <v>0</v>
      </c>
      <c r="K1267" s="109" t="s">
        <v>0</v>
      </c>
      <c r="L1267" s="109" t="s">
        <v>363</v>
      </c>
      <c r="M1267" s="109" t="s">
        <v>0</v>
      </c>
      <c r="N1267" s="110" t="s">
        <v>0</v>
      </c>
      <c r="O1267" s="111"/>
      <c r="P1267" s="112"/>
      <c r="Q1267" s="112"/>
      <c r="R1267" s="112"/>
      <c r="S1267" s="112"/>
      <c r="T1267" s="112"/>
      <c r="U1267" s="95" t="str">
        <f t="shared" si="60"/>
        <v/>
      </c>
      <c r="V1267" s="112">
        <v>100</v>
      </c>
      <c r="W1267" s="112"/>
      <c r="X1267" s="107"/>
      <c r="Y1267" s="107">
        <f t="shared" si="61"/>
        <v>100</v>
      </c>
      <c r="Z1267" s="107">
        <f t="shared" si="62"/>
        <v>0</v>
      </c>
    </row>
    <row r="1268" spans="1:26" x14ac:dyDescent="0.25">
      <c r="A1268" s="55" t="str">
        <f>_xlfn.XLOOKUP($G1268,'.Auxiliar'!$G:$G,'.Auxiliar'!A:A,"-",0)</f>
        <v>VIA COSTEIRA</v>
      </c>
      <c r="B1268" s="55" t="str">
        <f>_xlfn.XLOOKUP($G1268,'.Auxiliar'!$G:$G,'.Auxiliar'!B:B,"-",0)</f>
        <v>FX ADICIONAL</v>
      </c>
      <c r="C1268" s="55" t="str">
        <f>_xlfn.XLOOKUP($G1268,'.Auxiliar'!$G:$G,'.Auxiliar'!C:C,"-",0)</f>
        <v>Faixa Adicional (ambas as pistas)</v>
      </c>
      <c r="D1268" s="55">
        <f>_xlfn.XLOOKUP($G1268,'.Auxiliar'!$G:$G,'.Auxiliar'!D:D,"-",0)</f>
        <v>273</v>
      </c>
      <c r="E1268" s="55">
        <f>_xlfn.XLOOKUP($G1268,'.Auxiliar'!$G:$G,'.Auxiliar'!E:E,"-",0)</f>
        <v>282.3</v>
      </c>
      <c r="F1268" s="55">
        <f>_xlfn.XLOOKUP($G1268,'.Auxiliar'!$G:$G,'.Auxiliar'!F:F,"-",0)</f>
        <v>18.600000000000023</v>
      </c>
      <c r="G1268" s="59" t="s">
        <v>1587</v>
      </c>
      <c r="H1268" s="108" t="s">
        <v>0</v>
      </c>
      <c r="I1268" s="109" t="s">
        <v>0</v>
      </c>
      <c r="J1268" s="109" t="s">
        <v>0</v>
      </c>
      <c r="K1268" s="109" t="s">
        <v>0</v>
      </c>
      <c r="L1268" s="109" t="s">
        <v>0</v>
      </c>
      <c r="M1268" s="109" t="s">
        <v>0</v>
      </c>
      <c r="N1268" s="110" t="s">
        <v>363</v>
      </c>
      <c r="O1268" s="111"/>
      <c r="P1268" s="112"/>
      <c r="Q1268" s="112"/>
      <c r="R1268" s="112"/>
      <c r="S1268" s="112"/>
      <c r="T1268" s="112"/>
      <c r="U1268" s="95" t="str">
        <f t="shared" si="60"/>
        <v/>
      </c>
      <c r="V1268" s="112"/>
      <c r="W1268" s="112"/>
      <c r="X1268" s="107">
        <v>100</v>
      </c>
      <c r="Y1268" s="107">
        <f t="shared" si="61"/>
        <v>100</v>
      </c>
      <c r="Z1268" s="107">
        <f t="shared" si="62"/>
        <v>0</v>
      </c>
    </row>
    <row r="1269" spans="1:26" x14ac:dyDescent="0.25">
      <c r="A1269" s="55" t="str">
        <f>_xlfn.XLOOKUP($G1269,'.Auxiliar'!$G:$G,'.Auxiliar'!A:A,"-",0)</f>
        <v>VIA COSTEIRA</v>
      </c>
      <c r="B1269" s="55" t="str">
        <f>_xlfn.XLOOKUP($G1269,'.Auxiliar'!$G:$G,'.Auxiliar'!B:B,"-",0)</f>
        <v>FX ADICIONAL</v>
      </c>
      <c r="C1269" s="55" t="str">
        <f>_xlfn.XLOOKUP($G1269,'.Auxiliar'!$G:$G,'.Auxiliar'!C:C,"-",0)</f>
        <v>Faixa Adicional (ambas as pistas)</v>
      </c>
      <c r="D1269" s="55">
        <f>_xlfn.XLOOKUP($G1269,'.Auxiliar'!$G:$G,'.Auxiliar'!D:D,"-",0)</f>
        <v>312</v>
      </c>
      <c r="E1269" s="55">
        <f>_xlfn.XLOOKUP($G1269,'.Auxiliar'!$G:$G,'.Auxiliar'!E:E,"-",0)</f>
        <v>317.25</v>
      </c>
      <c r="F1269" s="55">
        <f>_xlfn.XLOOKUP($G1269,'.Auxiliar'!$G:$G,'.Auxiliar'!F:F,"-",0)</f>
        <v>10.5</v>
      </c>
      <c r="G1269" s="59" t="s">
        <v>1588</v>
      </c>
      <c r="H1269" s="108" t="s">
        <v>0</v>
      </c>
      <c r="I1269" s="109" t="s">
        <v>0</v>
      </c>
      <c r="J1269" s="109" t="s">
        <v>0</v>
      </c>
      <c r="K1269" s="109" t="s">
        <v>0</v>
      </c>
      <c r="L1269" s="109" t="s">
        <v>0</v>
      </c>
      <c r="M1269" s="109" t="s">
        <v>0</v>
      </c>
      <c r="N1269" s="110" t="s">
        <v>363</v>
      </c>
      <c r="O1269" s="111"/>
      <c r="P1269" s="112"/>
      <c r="Q1269" s="112"/>
      <c r="R1269" s="112"/>
      <c r="S1269" s="112"/>
      <c r="T1269" s="112"/>
      <c r="U1269" s="95" t="str">
        <f t="shared" si="60"/>
        <v/>
      </c>
      <c r="V1269" s="112"/>
      <c r="W1269" s="112"/>
      <c r="X1269" s="107">
        <v>100</v>
      </c>
      <c r="Y1269" s="107">
        <f t="shared" si="61"/>
        <v>100</v>
      </c>
      <c r="Z1269" s="107">
        <f t="shared" si="62"/>
        <v>0</v>
      </c>
    </row>
    <row r="1270" spans="1:26" x14ac:dyDescent="0.25">
      <c r="A1270" s="55" t="str">
        <f>_xlfn.XLOOKUP($G1270,'.Auxiliar'!$G:$G,'.Auxiliar'!A:A,"-",0)</f>
        <v>VIA COSTEIRA</v>
      </c>
      <c r="B1270" s="55" t="str">
        <f>_xlfn.XLOOKUP($G1270,'.Auxiliar'!$G:$G,'.Auxiliar'!B:B,"-",0)</f>
        <v>FX ADICIONAL</v>
      </c>
      <c r="C1270" s="55" t="str">
        <f>_xlfn.XLOOKUP($G1270,'.Auxiliar'!$G:$G,'.Auxiliar'!C:C,"-",0)</f>
        <v>Faixa Adicional (ambas as pistas)</v>
      </c>
      <c r="D1270" s="55">
        <f>_xlfn.XLOOKUP($G1270,'.Auxiliar'!$G:$G,'.Auxiliar'!D:D,"-",0)</f>
        <v>317.25</v>
      </c>
      <c r="E1270" s="55">
        <f>_xlfn.XLOOKUP($G1270,'.Auxiliar'!$G:$G,'.Auxiliar'!E:E,"-",0)</f>
        <v>327.58</v>
      </c>
      <c r="F1270" s="55">
        <f>_xlfn.XLOOKUP($G1270,'.Auxiliar'!$G:$G,'.Auxiliar'!F:F,"-",0)</f>
        <v>20.659999999999968</v>
      </c>
      <c r="G1270" s="59" t="s">
        <v>1589</v>
      </c>
      <c r="H1270" s="108" t="s">
        <v>0</v>
      </c>
      <c r="I1270" s="109" t="s">
        <v>0</v>
      </c>
      <c r="J1270" s="109" t="s">
        <v>0</v>
      </c>
      <c r="K1270" s="109" t="s">
        <v>0</v>
      </c>
      <c r="L1270" s="109" t="s">
        <v>0</v>
      </c>
      <c r="M1270" s="109" t="s">
        <v>0</v>
      </c>
      <c r="N1270" s="110" t="s">
        <v>363</v>
      </c>
      <c r="O1270" s="111"/>
      <c r="P1270" s="112"/>
      <c r="Q1270" s="112"/>
      <c r="R1270" s="112"/>
      <c r="S1270" s="112"/>
      <c r="T1270" s="112"/>
      <c r="U1270" s="95" t="str">
        <f t="shared" si="60"/>
        <v/>
      </c>
      <c r="V1270" s="112"/>
      <c r="W1270" s="112"/>
      <c r="X1270" s="107">
        <v>100</v>
      </c>
      <c r="Y1270" s="107">
        <f t="shared" si="61"/>
        <v>100</v>
      </c>
      <c r="Z1270" s="107">
        <f t="shared" si="62"/>
        <v>0</v>
      </c>
    </row>
    <row r="1271" spans="1:26" x14ac:dyDescent="0.25">
      <c r="A1271" s="55" t="str">
        <f>_xlfn.XLOOKUP($G1271,'.Auxiliar'!$G:$G,'.Auxiliar'!A:A,"-",0)</f>
        <v>VIA COSTEIRA</v>
      </c>
      <c r="B1271" s="55" t="str">
        <f>_xlfn.XLOOKUP($G1271,'.Auxiliar'!$G:$G,'.Auxiliar'!B:B,"-",0)</f>
        <v>FX ADICIONAL</v>
      </c>
      <c r="C1271" s="55" t="str">
        <f>_xlfn.XLOOKUP($G1271,'.Auxiliar'!$G:$G,'.Auxiliar'!C:C,"-",0)</f>
        <v>Faixa Adicional (ambas as pistas)</v>
      </c>
      <c r="D1271" s="55">
        <f>_xlfn.XLOOKUP($G1271,'.Auxiliar'!$G:$G,'.Auxiliar'!D:D,"-",0)</f>
        <v>327.58</v>
      </c>
      <c r="E1271" s="55">
        <f>_xlfn.XLOOKUP($G1271,'.Auxiliar'!$G:$G,'.Auxiliar'!E:E,"-",0)</f>
        <v>328.3</v>
      </c>
      <c r="F1271" s="55">
        <f>_xlfn.XLOOKUP($G1271,'.Auxiliar'!$G:$G,'.Auxiliar'!F:F,"-",0)</f>
        <v>1.4400000000000546</v>
      </c>
      <c r="G1271" s="59" t="s">
        <v>1590</v>
      </c>
      <c r="H1271" s="108" t="s">
        <v>0</v>
      </c>
      <c r="I1271" s="109" t="s">
        <v>0</v>
      </c>
      <c r="J1271" s="109" t="s">
        <v>0</v>
      </c>
      <c r="K1271" s="109" t="s">
        <v>0</v>
      </c>
      <c r="L1271" s="109" t="s">
        <v>0</v>
      </c>
      <c r="M1271" s="109" t="s">
        <v>0</v>
      </c>
      <c r="N1271" s="110" t="s">
        <v>363</v>
      </c>
      <c r="O1271" s="111"/>
      <c r="P1271" s="112"/>
      <c r="Q1271" s="112"/>
      <c r="R1271" s="112"/>
      <c r="S1271" s="112"/>
      <c r="T1271" s="112"/>
      <c r="U1271" s="95" t="str">
        <f t="shared" si="60"/>
        <v/>
      </c>
      <c r="V1271" s="112"/>
      <c r="W1271" s="112"/>
      <c r="X1271" s="107">
        <v>100</v>
      </c>
      <c r="Y1271" s="107">
        <f t="shared" si="61"/>
        <v>100</v>
      </c>
      <c r="Z1271" s="107">
        <f t="shared" si="62"/>
        <v>0</v>
      </c>
    </row>
    <row r="1272" spans="1:26" x14ac:dyDescent="0.25">
      <c r="A1272" s="55" t="str">
        <f>_xlfn.XLOOKUP($G1272,'.Auxiliar'!$G:$G,'.Auxiliar'!A:A,"-",0)</f>
        <v>VIA COSTEIRA</v>
      </c>
      <c r="B1272" s="55" t="str">
        <f>_xlfn.XLOOKUP($G1272,'.Auxiliar'!$G:$G,'.Auxiliar'!B:B,"-",0)</f>
        <v>FX ADICIONAL</v>
      </c>
      <c r="C1272" s="55" t="str">
        <f>_xlfn.XLOOKUP($G1272,'.Auxiliar'!$G:$G,'.Auxiliar'!C:C,"-",0)</f>
        <v>Faixa Adicional (ambas as pistas)</v>
      </c>
      <c r="D1272" s="55">
        <f>_xlfn.XLOOKUP($G1272,'.Auxiliar'!$G:$G,'.Auxiliar'!D:D,"-",0)</f>
        <v>328.3</v>
      </c>
      <c r="E1272" s="55">
        <f>_xlfn.XLOOKUP($G1272,'.Auxiliar'!$G:$G,'.Auxiliar'!E:E,"-",0)</f>
        <v>331</v>
      </c>
      <c r="F1272" s="55">
        <f>_xlfn.XLOOKUP($G1272,'.Auxiliar'!$G:$G,'.Auxiliar'!F:F,"-",0)</f>
        <v>5.3999999999999773</v>
      </c>
      <c r="G1272" s="59" t="s">
        <v>1591</v>
      </c>
      <c r="H1272" s="108" t="s">
        <v>0</v>
      </c>
      <c r="I1272" s="109" t="s">
        <v>0</v>
      </c>
      <c r="J1272" s="109" t="s">
        <v>0</v>
      </c>
      <c r="K1272" s="109" t="s">
        <v>0</v>
      </c>
      <c r="L1272" s="109" t="s">
        <v>0</v>
      </c>
      <c r="M1272" s="109" t="s">
        <v>0</v>
      </c>
      <c r="N1272" s="110" t="s">
        <v>363</v>
      </c>
      <c r="O1272" s="111"/>
      <c r="P1272" s="112"/>
      <c r="Q1272" s="112"/>
      <c r="R1272" s="112"/>
      <c r="S1272" s="112"/>
      <c r="T1272" s="112"/>
      <c r="U1272" s="95" t="str">
        <f t="shared" si="60"/>
        <v/>
      </c>
      <c r="V1272" s="112"/>
      <c r="W1272" s="112"/>
      <c r="X1272" s="107">
        <v>100</v>
      </c>
      <c r="Y1272" s="107">
        <f t="shared" si="61"/>
        <v>100</v>
      </c>
      <c r="Z1272" s="107">
        <f t="shared" si="62"/>
        <v>0</v>
      </c>
    </row>
    <row r="1273" spans="1:26" x14ac:dyDescent="0.25">
      <c r="A1273" s="55" t="str">
        <f>_xlfn.XLOOKUP($G1273,'.Auxiliar'!$G:$G,'.Auxiliar'!A:A,"-",0)</f>
        <v>VIA COSTEIRA</v>
      </c>
      <c r="B1273" s="55" t="str">
        <f>_xlfn.XLOOKUP($G1273,'.Auxiliar'!$G:$G,'.Auxiliar'!B:B,"-",0)</f>
        <v>FX ADICIONAL</v>
      </c>
      <c r="C1273" s="55" t="str">
        <f>_xlfn.XLOOKUP($G1273,'.Auxiliar'!$G:$G,'.Auxiliar'!C:C,"-",0)</f>
        <v>Faixa Adicional (ambas as pistas)</v>
      </c>
      <c r="D1273" s="55">
        <f>_xlfn.XLOOKUP($G1273,'.Auxiliar'!$G:$G,'.Auxiliar'!D:D,"-",0)</f>
        <v>331</v>
      </c>
      <c r="E1273" s="55">
        <f>_xlfn.XLOOKUP($G1273,'.Auxiliar'!$G:$G,'.Auxiliar'!E:E,"-",0)</f>
        <v>335</v>
      </c>
      <c r="F1273" s="55">
        <f>_xlfn.XLOOKUP($G1273,'.Auxiliar'!$G:$G,'.Auxiliar'!F:F,"-",0)</f>
        <v>8</v>
      </c>
      <c r="G1273" s="59" t="s">
        <v>1592</v>
      </c>
      <c r="H1273" s="108" t="s">
        <v>0</v>
      </c>
      <c r="I1273" s="109" t="s">
        <v>0</v>
      </c>
      <c r="J1273" s="109" t="s">
        <v>0</v>
      </c>
      <c r="K1273" s="109" t="s">
        <v>0</v>
      </c>
      <c r="L1273" s="109" t="s">
        <v>0</v>
      </c>
      <c r="M1273" s="109" t="s">
        <v>0</v>
      </c>
      <c r="N1273" s="110" t="s">
        <v>363</v>
      </c>
      <c r="O1273" s="111"/>
      <c r="P1273" s="112"/>
      <c r="Q1273" s="112"/>
      <c r="R1273" s="112"/>
      <c r="S1273" s="112"/>
      <c r="T1273" s="112"/>
      <c r="U1273" s="95" t="str">
        <f t="shared" si="60"/>
        <v/>
      </c>
      <c r="V1273" s="112"/>
      <c r="W1273" s="112"/>
      <c r="X1273" s="107">
        <v>100</v>
      </c>
      <c r="Y1273" s="107">
        <f t="shared" si="61"/>
        <v>100</v>
      </c>
      <c r="Z1273" s="107">
        <f t="shared" si="62"/>
        <v>0</v>
      </c>
    </row>
    <row r="1274" spans="1:26" x14ac:dyDescent="0.25">
      <c r="A1274" s="55" t="str">
        <f>_xlfn.XLOOKUP($G1274,'.Auxiliar'!$G:$G,'.Auxiliar'!A:A,"-",0)</f>
        <v>VIA COSTEIRA</v>
      </c>
      <c r="B1274" s="55" t="str">
        <f>_xlfn.XLOOKUP($G1274,'.Auxiliar'!$G:$G,'.Auxiliar'!B:B,"-",0)</f>
        <v>FX ADICIONAL</v>
      </c>
      <c r="C1274" s="55" t="str">
        <f>_xlfn.XLOOKUP($G1274,'.Auxiliar'!$G:$G,'.Auxiliar'!C:C,"-",0)</f>
        <v>Faixa Adicional (ambas as pistas)</v>
      </c>
      <c r="D1274" s="55">
        <f>_xlfn.XLOOKUP($G1274,'.Auxiliar'!$G:$G,'.Auxiliar'!D:D,"-",0)</f>
        <v>335</v>
      </c>
      <c r="E1274" s="55">
        <f>_xlfn.XLOOKUP($G1274,'.Auxiliar'!$G:$G,'.Auxiliar'!E:E,"-",0)</f>
        <v>339.58</v>
      </c>
      <c r="F1274" s="55">
        <f>_xlfn.XLOOKUP($G1274,'.Auxiliar'!$G:$G,'.Auxiliar'!F:F,"-",0)</f>
        <v>9.1599999999999682</v>
      </c>
      <c r="G1274" s="59" t="s">
        <v>1593</v>
      </c>
      <c r="H1274" s="108" t="s">
        <v>0</v>
      </c>
      <c r="I1274" s="109" t="s">
        <v>0</v>
      </c>
      <c r="J1274" s="109" t="s">
        <v>0</v>
      </c>
      <c r="K1274" s="109" t="s">
        <v>0</v>
      </c>
      <c r="L1274" s="109" t="s">
        <v>0</v>
      </c>
      <c r="M1274" s="109" t="s">
        <v>0</v>
      </c>
      <c r="N1274" s="110" t="s">
        <v>363</v>
      </c>
      <c r="O1274" s="111"/>
      <c r="P1274" s="112"/>
      <c r="Q1274" s="112"/>
      <c r="R1274" s="112"/>
      <c r="S1274" s="112"/>
      <c r="T1274" s="112"/>
      <c r="U1274" s="95" t="str">
        <f t="shared" si="60"/>
        <v/>
      </c>
      <c r="V1274" s="112"/>
      <c r="W1274" s="112"/>
      <c r="X1274" s="107">
        <v>100</v>
      </c>
      <c r="Y1274" s="107">
        <f t="shared" si="61"/>
        <v>100</v>
      </c>
      <c r="Z1274" s="107">
        <f t="shared" si="62"/>
        <v>0</v>
      </c>
    </row>
    <row r="1275" spans="1:26" x14ac:dyDescent="0.25">
      <c r="A1275" s="55" t="str">
        <f>_xlfn.XLOOKUP($G1275,'.Auxiliar'!$G:$G,'.Auxiliar'!A:A,"-",0)</f>
        <v>VIA COSTEIRA</v>
      </c>
      <c r="B1275" s="55" t="str">
        <f>_xlfn.XLOOKUP($G1275,'.Auxiliar'!$G:$G,'.Auxiliar'!B:B,"-",0)</f>
        <v>FX ADICIONAL</v>
      </c>
      <c r="C1275" s="55" t="str">
        <f>_xlfn.XLOOKUP($G1275,'.Auxiliar'!$G:$G,'.Auxiliar'!C:C,"-",0)</f>
        <v>Faixa Adicional (ambas as pistas)</v>
      </c>
      <c r="D1275" s="55">
        <f>_xlfn.XLOOKUP($G1275,'.Auxiliar'!$G:$G,'.Auxiliar'!D:D,"-",0)</f>
        <v>339.58</v>
      </c>
      <c r="E1275" s="55">
        <f>_xlfn.XLOOKUP($G1275,'.Auxiliar'!$G:$G,'.Auxiliar'!E:E,"-",0)</f>
        <v>351.14</v>
      </c>
      <c r="F1275" s="55">
        <f>_xlfn.XLOOKUP($G1275,'.Auxiliar'!$G:$G,'.Auxiliar'!F:F,"-",0)</f>
        <v>23.120000000000005</v>
      </c>
      <c r="G1275" s="59" t="s">
        <v>1594</v>
      </c>
      <c r="H1275" s="108" t="s">
        <v>0</v>
      </c>
      <c r="I1275" s="109" t="s">
        <v>0</v>
      </c>
      <c r="J1275" s="109" t="s">
        <v>0</v>
      </c>
      <c r="K1275" s="109" t="s">
        <v>0</v>
      </c>
      <c r="L1275" s="109" t="s">
        <v>0</v>
      </c>
      <c r="M1275" s="109" t="s">
        <v>0</v>
      </c>
      <c r="N1275" s="110" t="s">
        <v>363</v>
      </c>
      <c r="O1275" s="111"/>
      <c r="P1275" s="112"/>
      <c r="Q1275" s="112"/>
      <c r="R1275" s="112"/>
      <c r="S1275" s="112"/>
      <c r="T1275" s="112"/>
      <c r="U1275" s="95" t="str">
        <f t="shared" si="60"/>
        <v/>
      </c>
      <c r="V1275" s="112"/>
      <c r="W1275" s="112"/>
      <c r="X1275" s="107">
        <v>100</v>
      </c>
      <c r="Y1275" s="107">
        <f t="shared" si="61"/>
        <v>100</v>
      </c>
      <c r="Z1275" s="107">
        <f t="shared" si="62"/>
        <v>0</v>
      </c>
    </row>
    <row r="1276" spans="1:26" x14ac:dyDescent="0.25">
      <c r="A1276" s="55" t="str">
        <f>_xlfn.XLOOKUP($G1276,'.Auxiliar'!$G:$G,'.Auxiliar'!A:A,"-",0)</f>
        <v>VIA COSTEIRA</v>
      </c>
      <c r="B1276" s="55" t="str">
        <f>_xlfn.XLOOKUP($G1276,'.Auxiliar'!$G:$G,'.Auxiliar'!B:B,"-",0)</f>
        <v>FX ADICIONAL</v>
      </c>
      <c r="C1276" s="55" t="str">
        <f>_xlfn.XLOOKUP($G1276,'.Auxiliar'!$G:$G,'.Auxiliar'!C:C,"-",0)</f>
        <v>Faixa Adicional Pista Sul</v>
      </c>
      <c r="D1276" s="55">
        <f>_xlfn.XLOOKUP($G1276,'.Auxiliar'!$G:$G,'.Auxiliar'!D:D,"-",0)</f>
        <v>256.5</v>
      </c>
      <c r="E1276" s="55">
        <f>_xlfn.XLOOKUP($G1276,'.Auxiliar'!$G:$G,'.Auxiliar'!E:E,"-",0)</f>
        <v>258.08</v>
      </c>
      <c r="F1276" s="55">
        <f>_xlfn.XLOOKUP($G1276,'.Auxiliar'!$G:$G,'.Auxiliar'!F:F,"-",0)</f>
        <v>1.5799999999999841</v>
      </c>
      <c r="G1276" s="59" t="s">
        <v>1586</v>
      </c>
      <c r="H1276" s="108" t="s">
        <v>0</v>
      </c>
      <c r="I1276" s="109" t="s">
        <v>0</v>
      </c>
      <c r="J1276" s="109" t="s">
        <v>0</v>
      </c>
      <c r="K1276" s="109" t="s">
        <v>0</v>
      </c>
      <c r="L1276" s="109" t="s">
        <v>0</v>
      </c>
      <c r="M1276" s="109" t="s">
        <v>0</v>
      </c>
      <c r="N1276" s="110" t="s">
        <v>363</v>
      </c>
      <c r="O1276" s="111"/>
      <c r="P1276" s="112"/>
      <c r="Q1276" s="112"/>
      <c r="R1276" s="112"/>
      <c r="S1276" s="112"/>
      <c r="T1276" s="112"/>
      <c r="U1276" s="95" t="str">
        <f t="shared" si="60"/>
        <v/>
      </c>
      <c r="V1276" s="112"/>
      <c r="W1276" s="112"/>
      <c r="X1276" s="107">
        <v>100</v>
      </c>
      <c r="Y1276" s="107">
        <f t="shared" si="61"/>
        <v>100</v>
      </c>
      <c r="Z1276" s="107">
        <f t="shared" si="62"/>
        <v>0</v>
      </c>
    </row>
    <row r="1277" spans="1:26" x14ac:dyDescent="0.25">
      <c r="A1277" s="55" t="str">
        <f>_xlfn.XLOOKUP($G1277,'.Auxiliar'!$G:$G,'.Auxiliar'!A:A,"-",0)</f>
        <v>VIA COSTEIRA</v>
      </c>
      <c r="B1277" s="55" t="str">
        <f>_xlfn.XLOOKUP($G1277,'.Auxiliar'!$G:$G,'.Auxiliar'!B:B,"-",0)</f>
        <v>OAE</v>
      </c>
      <c r="C1277" s="55" t="str">
        <f>_xlfn.XLOOKUP($G1277,'.Auxiliar'!$G:$G,'.Auxiliar'!C:C,"-",0)</f>
        <v>Dispositivo em Desnível</v>
      </c>
      <c r="D1277" s="55">
        <f>_xlfn.XLOOKUP($G1277,'.Auxiliar'!$G:$G,'.Auxiliar'!D:D,"-",0)</f>
        <v>247</v>
      </c>
      <c r="E1277" s="55">
        <f>_xlfn.XLOOKUP($G1277,'.Auxiliar'!$G:$G,'.Auxiliar'!E:E,"-",0)</f>
        <v>247</v>
      </c>
      <c r="F1277" s="55">
        <f>_xlfn.XLOOKUP($G1277,'.Auxiliar'!$G:$G,'.Auxiliar'!F:F,"-",0)</f>
        <v>1</v>
      </c>
      <c r="G1277" s="59" t="s">
        <v>1253</v>
      </c>
      <c r="H1277" s="108" t="s">
        <v>0</v>
      </c>
      <c r="I1277" s="109" t="s">
        <v>0</v>
      </c>
      <c r="J1277" s="109" t="s">
        <v>0</v>
      </c>
      <c r="K1277" s="109" t="s">
        <v>0</v>
      </c>
      <c r="L1277" s="109" t="s">
        <v>363</v>
      </c>
      <c r="M1277" s="109" t="s">
        <v>0</v>
      </c>
      <c r="N1277" s="110" t="s">
        <v>0</v>
      </c>
      <c r="O1277" s="111"/>
      <c r="P1277" s="112"/>
      <c r="Q1277" s="112"/>
      <c r="R1277" s="112"/>
      <c r="S1277" s="112"/>
      <c r="T1277" s="112"/>
      <c r="U1277" s="95" t="str">
        <f t="shared" si="60"/>
        <v/>
      </c>
      <c r="V1277" s="112">
        <v>100</v>
      </c>
      <c r="W1277" s="112"/>
      <c r="X1277" s="107"/>
      <c r="Y1277" s="107">
        <f t="shared" si="61"/>
        <v>100</v>
      </c>
      <c r="Z1277" s="107">
        <f t="shared" si="62"/>
        <v>0</v>
      </c>
    </row>
    <row r="1278" spans="1:26" x14ac:dyDescent="0.25">
      <c r="A1278" s="55" t="str">
        <f>_xlfn.XLOOKUP($G1278,'.Auxiliar'!$G:$G,'.Auxiliar'!A:A,"-",0)</f>
        <v>VIA COSTEIRA</v>
      </c>
      <c r="B1278" s="55" t="str">
        <f>_xlfn.XLOOKUP($G1278,'.Auxiliar'!$G:$G,'.Auxiliar'!B:B,"-",0)</f>
        <v>OAE</v>
      </c>
      <c r="C1278" s="55" t="str">
        <f>_xlfn.XLOOKUP($G1278,'.Auxiliar'!$G:$G,'.Auxiliar'!C:C,"-",0)</f>
        <v>Dispositivo em Desnível</v>
      </c>
      <c r="D1278" s="55">
        <f>_xlfn.XLOOKUP($G1278,'.Auxiliar'!$G:$G,'.Auxiliar'!D:D,"-",0)</f>
        <v>252.27</v>
      </c>
      <c r="E1278" s="55">
        <f>_xlfn.XLOOKUP($G1278,'.Auxiliar'!$G:$G,'.Auxiliar'!E:E,"-",0)</f>
        <v>252.27</v>
      </c>
      <c r="F1278" s="55">
        <f>_xlfn.XLOOKUP($G1278,'.Auxiliar'!$G:$G,'.Auxiliar'!F:F,"-",0)</f>
        <v>1</v>
      </c>
      <c r="G1278" s="59" t="s">
        <v>1254</v>
      </c>
      <c r="H1278" s="108" t="s">
        <v>0</v>
      </c>
      <c r="I1278" s="109" t="s">
        <v>0</v>
      </c>
      <c r="J1278" s="109" t="s">
        <v>0</v>
      </c>
      <c r="K1278" s="109" t="s">
        <v>0</v>
      </c>
      <c r="L1278" s="109" t="s">
        <v>363</v>
      </c>
      <c r="M1278" s="109" t="s">
        <v>0</v>
      </c>
      <c r="N1278" s="110" t="s">
        <v>0</v>
      </c>
      <c r="O1278" s="111"/>
      <c r="P1278" s="112"/>
      <c r="Q1278" s="112"/>
      <c r="R1278" s="112"/>
      <c r="S1278" s="112"/>
      <c r="T1278" s="112"/>
      <c r="U1278" s="95" t="str">
        <f t="shared" si="60"/>
        <v/>
      </c>
      <c r="V1278" s="112">
        <v>100</v>
      </c>
      <c r="W1278" s="112"/>
      <c r="X1278" s="107"/>
      <c r="Y1278" s="107">
        <f t="shared" si="61"/>
        <v>100</v>
      </c>
      <c r="Z1278" s="107">
        <f t="shared" si="62"/>
        <v>0</v>
      </c>
    </row>
    <row r="1279" spans="1:26" x14ac:dyDescent="0.25">
      <c r="A1279" s="55" t="str">
        <f>_xlfn.XLOOKUP($G1279,'.Auxiliar'!$G:$G,'.Auxiliar'!A:A,"-",0)</f>
        <v>VIA COSTEIRA</v>
      </c>
      <c r="B1279" s="55" t="str">
        <f>_xlfn.XLOOKUP($G1279,'.Auxiliar'!$G:$G,'.Auxiliar'!B:B,"-",0)</f>
        <v>OAE</v>
      </c>
      <c r="C1279" s="55" t="str">
        <f>_xlfn.XLOOKUP($G1279,'.Auxiliar'!$G:$G,'.Auxiliar'!C:C,"-",0)</f>
        <v>Dispositivo em Desnível</v>
      </c>
      <c r="D1279" s="55">
        <f>_xlfn.XLOOKUP($G1279,'.Auxiliar'!$G:$G,'.Auxiliar'!D:D,"-",0)</f>
        <v>261.5</v>
      </c>
      <c r="E1279" s="55">
        <f>_xlfn.XLOOKUP($G1279,'.Auxiliar'!$G:$G,'.Auxiliar'!E:E,"-",0)</f>
        <v>261.5</v>
      </c>
      <c r="F1279" s="55">
        <f>_xlfn.XLOOKUP($G1279,'.Auxiliar'!$G:$G,'.Auxiliar'!F:F,"-",0)</f>
        <v>1</v>
      </c>
      <c r="G1279" s="59" t="s">
        <v>1282</v>
      </c>
      <c r="H1279" s="108" t="s">
        <v>0</v>
      </c>
      <c r="I1279" s="109" t="s">
        <v>0</v>
      </c>
      <c r="J1279" s="109" t="s">
        <v>0</v>
      </c>
      <c r="K1279" s="109" t="s">
        <v>0</v>
      </c>
      <c r="L1279" s="109" t="s">
        <v>0</v>
      </c>
      <c r="M1279" s="109" t="s">
        <v>363</v>
      </c>
      <c r="N1279" s="110" t="s">
        <v>0</v>
      </c>
      <c r="O1279" s="111"/>
      <c r="P1279" s="112"/>
      <c r="Q1279" s="112"/>
      <c r="R1279" s="112"/>
      <c r="S1279" s="112"/>
      <c r="T1279" s="112"/>
      <c r="U1279" s="95" t="str">
        <f t="shared" si="60"/>
        <v/>
      </c>
      <c r="V1279" s="112"/>
      <c r="W1279" s="112">
        <v>100</v>
      </c>
      <c r="X1279" s="107"/>
      <c r="Y1279" s="107">
        <f t="shared" si="61"/>
        <v>100</v>
      </c>
      <c r="Z1279" s="107">
        <f t="shared" si="62"/>
        <v>0</v>
      </c>
    </row>
    <row r="1280" spans="1:26" x14ac:dyDescent="0.25">
      <c r="A1280" s="55" t="str">
        <f>_xlfn.XLOOKUP($G1280,'.Auxiliar'!$G:$G,'.Auxiliar'!A:A,"-",0)</f>
        <v>VIA COSTEIRA</v>
      </c>
      <c r="B1280" s="55" t="str">
        <f>_xlfn.XLOOKUP($G1280,'.Auxiliar'!$G:$G,'.Auxiliar'!B:B,"-",0)</f>
        <v>OAE</v>
      </c>
      <c r="C1280" s="55" t="str">
        <f>_xlfn.XLOOKUP($G1280,'.Auxiliar'!$G:$G,'.Auxiliar'!C:C,"-",0)</f>
        <v>Dispositivo em Desnível</v>
      </c>
      <c r="D1280" s="55">
        <f>_xlfn.XLOOKUP($G1280,'.Auxiliar'!$G:$G,'.Auxiliar'!D:D,"-",0)</f>
        <v>401.85</v>
      </c>
      <c r="E1280" s="55">
        <f>_xlfn.XLOOKUP($G1280,'.Auxiliar'!$G:$G,'.Auxiliar'!E:E,"-",0)</f>
        <v>401.85</v>
      </c>
      <c r="F1280" s="55">
        <f>_xlfn.XLOOKUP($G1280,'.Auxiliar'!$G:$G,'.Auxiliar'!F:F,"-",0)</f>
        <v>1</v>
      </c>
      <c r="G1280" s="59" t="s">
        <v>902</v>
      </c>
      <c r="H1280" s="108" t="s">
        <v>0</v>
      </c>
      <c r="I1280" s="109" t="s">
        <v>0</v>
      </c>
      <c r="J1280" s="109" t="s">
        <v>363</v>
      </c>
      <c r="K1280" s="109" t="s">
        <v>0</v>
      </c>
      <c r="L1280" s="109" t="s">
        <v>0</v>
      </c>
      <c r="M1280" s="109" t="s">
        <v>0</v>
      </c>
      <c r="N1280" s="110" t="s">
        <v>0</v>
      </c>
      <c r="O1280" s="111"/>
      <c r="P1280" s="112"/>
      <c r="Q1280" s="112">
        <v>0</v>
      </c>
      <c r="R1280" s="112">
        <v>2.57</v>
      </c>
      <c r="S1280" s="112">
        <f>100-R1280</f>
        <v>97.43</v>
      </c>
      <c r="T1280" s="112">
        <v>27</v>
      </c>
      <c r="U1280" s="95">
        <f t="shared" si="60"/>
        <v>97.43</v>
      </c>
      <c r="V1280" s="112"/>
      <c r="W1280" s="112"/>
      <c r="X1280" s="107"/>
      <c r="Y1280" s="107">
        <f t="shared" si="61"/>
        <v>100</v>
      </c>
      <c r="Z1280" s="107">
        <f t="shared" si="62"/>
        <v>29.57</v>
      </c>
    </row>
    <row r="1281" spans="1:26" x14ac:dyDescent="0.25">
      <c r="A1281" s="55" t="str">
        <f>_xlfn.XLOOKUP($G1281,'.Auxiliar'!$G:$G,'.Auxiliar'!A:A,"-",0)</f>
        <v>VIA COSTEIRA</v>
      </c>
      <c r="B1281" s="55" t="str">
        <f>_xlfn.XLOOKUP($G1281,'.Auxiliar'!$G:$G,'.Auxiliar'!B:B,"-",0)</f>
        <v>OAE</v>
      </c>
      <c r="C1281" s="55" t="str">
        <f>_xlfn.XLOOKUP($G1281,'.Auxiliar'!$G:$G,'.Auxiliar'!C:C,"-",0)</f>
        <v>Dispositivo em Desnível</v>
      </c>
      <c r="D1281" s="55">
        <f>_xlfn.XLOOKUP($G1281,'.Auxiliar'!$G:$G,'.Auxiliar'!D:D,"-",0)</f>
        <v>460.65</v>
      </c>
      <c r="E1281" s="55">
        <f>_xlfn.XLOOKUP($G1281,'.Auxiliar'!$G:$G,'.Auxiliar'!E:E,"-",0)</f>
        <v>460.65</v>
      </c>
      <c r="F1281" s="55">
        <f>_xlfn.XLOOKUP($G1281,'.Auxiliar'!$G:$G,'.Auxiliar'!F:F,"-",0)</f>
        <v>1</v>
      </c>
      <c r="G1281" s="59" t="s">
        <v>1318</v>
      </c>
      <c r="H1281" s="108" t="s">
        <v>0</v>
      </c>
      <c r="I1281" s="109" t="s">
        <v>0</v>
      </c>
      <c r="J1281" s="109" t="s">
        <v>0</v>
      </c>
      <c r="K1281" s="109" t="s">
        <v>0</v>
      </c>
      <c r="L1281" s="109" t="s">
        <v>0</v>
      </c>
      <c r="M1281" s="109" t="s">
        <v>0</v>
      </c>
      <c r="N1281" s="110" t="s">
        <v>363</v>
      </c>
      <c r="O1281" s="111"/>
      <c r="P1281" s="112"/>
      <c r="Q1281" s="112"/>
      <c r="R1281" s="112"/>
      <c r="S1281" s="112"/>
      <c r="T1281" s="112"/>
      <c r="U1281" s="95" t="str">
        <f t="shared" si="60"/>
        <v/>
      </c>
      <c r="V1281" s="112"/>
      <c r="W1281" s="112"/>
      <c r="X1281" s="107">
        <v>100</v>
      </c>
      <c r="Y1281" s="107">
        <f t="shared" si="61"/>
        <v>100</v>
      </c>
      <c r="Z1281" s="107">
        <f t="shared" si="62"/>
        <v>0</v>
      </c>
    </row>
    <row r="1282" spans="1:26" x14ac:dyDescent="0.25">
      <c r="A1282" s="55" t="str">
        <f>_xlfn.XLOOKUP($G1282,'.Auxiliar'!$G:$G,'.Auxiliar'!A:A,"-",0)</f>
        <v>VIA COSTEIRA</v>
      </c>
      <c r="B1282" s="55" t="str">
        <f>_xlfn.XLOOKUP($G1282,'.Auxiliar'!$G:$G,'.Auxiliar'!B:B,"-",0)</f>
        <v>OAE</v>
      </c>
      <c r="C1282" s="55" t="str">
        <f>_xlfn.XLOOKUP($G1282,'.Auxiliar'!$G:$G,'.Auxiliar'!C:C,"-",0)</f>
        <v>Pista Marginal Norte</v>
      </c>
      <c r="D1282" s="55">
        <f>_xlfn.XLOOKUP($G1282,'.Auxiliar'!$G:$G,'.Auxiliar'!D:D,"-",0)</f>
        <v>328.75</v>
      </c>
      <c r="E1282" s="55">
        <f>_xlfn.XLOOKUP($G1282,'.Auxiliar'!$G:$G,'.Auxiliar'!E:E,"-",0)</f>
        <v>328.75</v>
      </c>
      <c r="F1282" s="55">
        <f>_xlfn.XLOOKUP($G1282,'.Auxiliar'!$G:$G,'.Auxiliar'!F:F,"-",0)</f>
        <v>1</v>
      </c>
      <c r="G1282" s="59" t="s">
        <v>842</v>
      </c>
      <c r="H1282" s="108" t="s">
        <v>0</v>
      </c>
      <c r="I1282" s="109" t="s">
        <v>368</v>
      </c>
      <c r="J1282" s="109" t="s">
        <v>0</v>
      </c>
      <c r="K1282" s="109" t="s">
        <v>363</v>
      </c>
      <c r="L1282" s="109" t="s">
        <v>0</v>
      </c>
      <c r="M1282" s="109" t="s">
        <v>0</v>
      </c>
      <c r="N1282" s="110" t="s">
        <v>0</v>
      </c>
      <c r="O1282" s="111"/>
      <c r="P1282" s="112"/>
      <c r="Q1282" s="112">
        <v>100</v>
      </c>
      <c r="R1282" s="112">
        <v>99</v>
      </c>
      <c r="S1282" s="112">
        <v>1</v>
      </c>
      <c r="T1282" s="112">
        <v>1</v>
      </c>
      <c r="U1282" s="95">
        <f t="shared" si="60"/>
        <v>1</v>
      </c>
      <c r="V1282" s="112"/>
      <c r="W1282" s="112"/>
      <c r="X1282" s="107"/>
      <c r="Y1282" s="107">
        <f t="shared" si="61"/>
        <v>100</v>
      </c>
      <c r="Z1282" s="107">
        <f t="shared" si="62"/>
        <v>100</v>
      </c>
    </row>
    <row r="1283" spans="1:26" x14ac:dyDescent="0.25">
      <c r="A1283" s="55" t="str">
        <f>_xlfn.XLOOKUP($G1283,'.Auxiliar'!$G:$G,'.Auxiliar'!A:A,"-",0)</f>
        <v>VIA COSTEIRA</v>
      </c>
      <c r="B1283" s="55" t="str">
        <f>_xlfn.XLOOKUP($G1283,'.Auxiliar'!$G:$G,'.Auxiliar'!B:B,"-",0)</f>
        <v>OAE</v>
      </c>
      <c r="C1283" s="55" t="str">
        <f>_xlfn.XLOOKUP($G1283,'.Auxiliar'!$G:$G,'.Auxiliar'!C:C,"-",0)</f>
        <v>Pista Marginal Sul]</v>
      </c>
      <c r="D1283" s="55">
        <f>_xlfn.XLOOKUP($G1283,'.Auxiliar'!$G:$G,'.Auxiliar'!D:D,"-",0)</f>
        <v>328.85</v>
      </c>
      <c r="E1283" s="55">
        <f>_xlfn.XLOOKUP($G1283,'.Auxiliar'!$G:$G,'.Auxiliar'!E:E,"-",0)</f>
        <v>328.85</v>
      </c>
      <c r="F1283" s="55">
        <f>_xlfn.XLOOKUP($G1283,'.Auxiliar'!$G:$G,'.Auxiliar'!F:F,"-",0)</f>
        <v>1</v>
      </c>
      <c r="G1283" s="59" t="s">
        <v>841</v>
      </c>
      <c r="H1283" s="108" t="s">
        <v>0</v>
      </c>
      <c r="I1283" s="109" t="s">
        <v>368</v>
      </c>
      <c r="J1283" s="109" t="s">
        <v>0</v>
      </c>
      <c r="K1283" s="109" t="s">
        <v>363</v>
      </c>
      <c r="L1283" s="109" t="s">
        <v>0</v>
      </c>
      <c r="M1283" s="109" t="s">
        <v>0</v>
      </c>
      <c r="N1283" s="110" t="s">
        <v>0</v>
      </c>
      <c r="O1283" s="111"/>
      <c r="P1283" s="112"/>
      <c r="Q1283" s="112">
        <v>100</v>
      </c>
      <c r="R1283" s="112">
        <v>99</v>
      </c>
      <c r="S1283" s="112">
        <v>1</v>
      </c>
      <c r="T1283" s="112">
        <v>1</v>
      </c>
      <c r="U1283" s="95">
        <f t="shared" ref="U1283:U1339" si="63">IF(SUM(V1283:X1283)=100,"",100-(P1283+R1283))</f>
        <v>1</v>
      </c>
      <c r="V1283" s="112"/>
      <c r="W1283" s="112"/>
      <c r="X1283" s="107"/>
      <c r="Y1283" s="107">
        <f t="shared" ref="Y1283:Y1339" si="64">SUM(P1283,R1283,S1283,V1283,W1283,X1283)</f>
        <v>100</v>
      </c>
      <c r="Z1283" s="107">
        <f t="shared" ref="Z1283:Z1339" si="65">SUM(P1283,R1283,T1283)</f>
        <v>100</v>
      </c>
    </row>
    <row r="1284" spans="1:26" x14ac:dyDescent="0.25">
      <c r="A1284" s="55" t="str">
        <f>_xlfn.XLOOKUP($G1284,'.Auxiliar'!$G:$G,'.Auxiliar'!A:A,"-",0)</f>
        <v>VIA COSTEIRA</v>
      </c>
      <c r="B1284" s="55" t="str">
        <f>_xlfn.XLOOKUP($G1284,'.Auxiliar'!$G:$G,'.Auxiliar'!B:B,"-",0)</f>
        <v>PAVIMENTAÇÃO</v>
      </c>
      <c r="C1284" s="55" t="str">
        <f>_xlfn.XLOOKUP($G1284,'.Auxiliar'!$G:$G,'.Auxiliar'!C:C,"-",0)</f>
        <v>Não Consta (Pista Norte)</v>
      </c>
      <c r="D1284" s="55">
        <f>_xlfn.XLOOKUP($G1284,'.Auxiliar'!$G:$G,'.Auxiliar'!D:D,"-",0)</f>
        <v>252.15</v>
      </c>
      <c r="E1284" s="55">
        <f>_xlfn.XLOOKUP($G1284,'.Auxiliar'!$G:$G,'.Auxiliar'!E:E,"-",0)</f>
        <v>251.6</v>
      </c>
      <c r="F1284" s="55">
        <f>_xlfn.XLOOKUP($G1284,'.Auxiliar'!$G:$G,'.Auxiliar'!F:F,"-",0)</f>
        <v>0.55000000000001137</v>
      </c>
      <c r="G1284" s="59" t="s">
        <v>1100</v>
      </c>
      <c r="H1284" s="108" t="s">
        <v>0</v>
      </c>
      <c r="I1284" s="109" t="s">
        <v>0</v>
      </c>
      <c r="J1284" s="109" t="s">
        <v>0</v>
      </c>
      <c r="K1284" s="109" t="s">
        <v>0</v>
      </c>
      <c r="L1284" s="109" t="s">
        <v>0</v>
      </c>
      <c r="M1284" s="109" t="s">
        <v>0</v>
      </c>
      <c r="N1284" s="110" t="s">
        <v>363</v>
      </c>
      <c r="O1284" s="111"/>
      <c r="P1284" s="112"/>
      <c r="Q1284" s="112"/>
      <c r="R1284" s="112"/>
      <c r="S1284" s="112"/>
      <c r="T1284" s="112"/>
      <c r="U1284" s="95" t="str">
        <f t="shared" si="63"/>
        <v/>
      </c>
      <c r="V1284" s="112"/>
      <c r="W1284" s="112"/>
      <c r="X1284" s="107">
        <v>100</v>
      </c>
      <c r="Y1284" s="107">
        <f t="shared" si="64"/>
        <v>100</v>
      </c>
      <c r="Z1284" s="107">
        <f t="shared" si="65"/>
        <v>0</v>
      </c>
    </row>
    <row r="1285" spans="1:26" x14ac:dyDescent="0.25">
      <c r="A1285" s="55" t="str">
        <f>_xlfn.XLOOKUP($G1285,'.Auxiliar'!$G:$G,'.Auxiliar'!A:A,"-",0)</f>
        <v>VIA COSTEIRA</v>
      </c>
      <c r="B1285" s="55" t="str">
        <f>_xlfn.XLOOKUP($G1285,'.Auxiliar'!$G:$G,'.Auxiliar'!B:B,"-",0)</f>
        <v>PAVIMENTAÇÃO</v>
      </c>
      <c r="C1285" s="55" t="str">
        <f>_xlfn.XLOOKUP($G1285,'.Auxiliar'!$G:$G,'.Auxiliar'!C:C,"-",0)</f>
        <v>Não Consta (Pista Norte)</v>
      </c>
      <c r="D1285" s="55">
        <f>_xlfn.XLOOKUP($G1285,'.Auxiliar'!$G:$G,'.Auxiliar'!D:D,"-",0)</f>
        <v>254.4</v>
      </c>
      <c r="E1285" s="55">
        <f>_xlfn.XLOOKUP($G1285,'.Auxiliar'!$G:$G,'.Auxiliar'!E:E,"-",0)</f>
        <v>253.2</v>
      </c>
      <c r="F1285" s="55">
        <f>_xlfn.XLOOKUP($G1285,'.Auxiliar'!$G:$G,'.Auxiliar'!F:F,"-",0)</f>
        <v>1.2000000000000171</v>
      </c>
      <c r="G1285" s="59" t="s">
        <v>1099</v>
      </c>
      <c r="H1285" s="108" t="s">
        <v>0</v>
      </c>
      <c r="I1285" s="109" t="s">
        <v>0</v>
      </c>
      <c r="J1285" s="109" t="s">
        <v>0</v>
      </c>
      <c r="K1285" s="109" t="s">
        <v>0</v>
      </c>
      <c r="L1285" s="109" t="s">
        <v>0</v>
      </c>
      <c r="M1285" s="109" t="s">
        <v>0</v>
      </c>
      <c r="N1285" s="110" t="s">
        <v>363</v>
      </c>
      <c r="O1285" s="111"/>
      <c r="P1285" s="112"/>
      <c r="Q1285" s="112"/>
      <c r="R1285" s="112"/>
      <c r="S1285" s="112"/>
      <c r="T1285" s="112"/>
      <c r="U1285" s="95" t="str">
        <f t="shared" si="63"/>
        <v/>
      </c>
      <c r="V1285" s="112"/>
      <c r="W1285" s="112"/>
      <c r="X1285" s="107">
        <v>100</v>
      </c>
      <c r="Y1285" s="107">
        <f t="shared" si="64"/>
        <v>100</v>
      </c>
      <c r="Z1285" s="107">
        <f t="shared" si="65"/>
        <v>0</v>
      </c>
    </row>
    <row r="1286" spans="1:26" x14ac:dyDescent="0.25">
      <c r="A1286" s="55" t="str">
        <f>_xlfn.XLOOKUP($G1286,'.Auxiliar'!$G:$G,'.Auxiliar'!A:A,"-",0)</f>
        <v>VIA COSTEIRA</v>
      </c>
      <c r="B1286" s="55" t="str">
        <f>_xlfn.XLOOKUP($G1286,'.Auxiliar'!$G:$G,'.Auxiliar'!B:B,"-",0)</f>
        <v>PAVIMENTAÇÃO</v>
      </c>
      <c r="C1286" s="55" t="str">
        <f>_xlfn.XLOOKUP($G1286,'.Auxiliar'!$G:$G,'.Auxiliar'!C:C,"-",0)</f>
        <v>Não Consta (Pista Norte)</v>
      </c>
      <c r="D1286" s="55">
        <f>_xlfn.XLOOKUP($G1286,'.Auxiliar'!$G:$G,'.Auxiliar'!D:D,"-",0)</f>
        <v>255.5</v>
      </c>
      <c r="E1286" s="55">
        <f>_xlfn.XLOOKUP($G1286,'.Auxiliar'!$G:$G,'.Auxiliar'!E:E,"-",0)</f>
        <v>254.75</v>
      </c>
      <c r="F1286" s="55">
        <f>_xlfn.XLOOKUP($G1286,'.Auxiliar'!$G:$G,'.Auxiliar'!F:F,"-",0)</f>
        <v>0.75</v>
      </c>
      <c r="G1286" s="59" t="s">
        <v>1098</v>
      </c>
      <c r="H1286" s="108" t="s">
        <v>0</v>
      </c>
      <c r="I1286" s="109" t="s">
        <v>0</v>
      </c>
      <c r="J1286" s="109" t="s">
        <v>0</v>
      </c>
      <c r="K1286" s="109" t="s">
        <v>0</v>
      </c>
      <c r="L1286" s="109" t="s">
        <v>0</v>
      </c>
      <c r="M1286" s="109" t="s">
        <v>0</v>
      </c>
      <c r="N1286" s="110" t="s">
        <v>363</v>
      </c>
      <c r="O1286" s="111"/>
      <c r="P1286" s="112"/>
      <c r="Q1286" s="112"/>
      <c r="R1286" s="112"/>
      <c r="S1286" s="112"/>
      <c r="T1286" s="112"/>
      <c r="U1286" s="95" t="str">
        <f t="shared" si="63"/>
        <v/>
      </c>
      <c r="V1286" s="112"/>
      <c r="W1286" s="112"/>
      <c r="X1286" s="107">
        <v>100</v>
      </c>
      <c r="Y1286" s="107">
        <f t="shared" si="64"/>
        <v>100</v>
      </c>
      <c r="Z1286" s="107">
        <f t="shared" si="65"/>
        <v>0</v>
      </c>
    </row>
    <row r="1287" spans="1:26" x14ac:dyDescent="0.25">
      <c r="A1287" s="55" t="str">
        <f>_xlfn.XLOOKUP($G1287,'.Auxiliar'!$G:$G,'.Auxiliar'!A:A,"-",0)</f>
        <v>VIA COSTEIRA</v>
      </c>
      <c r="B1287" s="55" t="str">
        <f>_xlfn.XLOOKUP($G1287,'.Auxiliar'!$G:$G,'.Auxiliar'!B:B,"-",0)</f>
        <v>PAVIMENTAÇÃO</v>
      </c>
      <c r="C1287" s="55" t="str">
        <f>_xlfn.XLOOKUP($G1287,'.Auxiliar'!$G:$G,'.Auxiliar'!C:C,"-",0)</f>
        <v>Não Consta (Pista Norte)</v>
      </c>
      <c r="D1287" s="55">
        <f>_xlfn.XLOOKUP($G1287,'.Auxiliar'!$G:$G,'.Auxiliar'!D:D,"-",0)</f>
        <v>263.10000000000002</v>
      </c>
      <c r="E1287" s="55">
        <f>_xlfn.XLOOKUP($G1287,'.Auxiliar'!$G:$G,'.Auxiliar'!E:E,"-",0)</f>
        <v>262.5</v>
      </c>
      <c r="F1287" s="55">
        <f>_xlfn.XLOOKUP($G1287,'.Auxiliar'!$G:$G,'.Auxiliar'!F:F,"-",0)</f>
        <v>0.60000000000002274</v>
      </c>
      <c r="G1287" s="59" t="s">
        <v>1097</v>
      </c>
      <c r="H1287" s="108" t="s">
        <v>0</v>
      </c>
      <c r="I1287" s="109" t="s">
        <v>0</v>
      </c>
      <c r="J1287" s="109" t="s">
        <v>0</v>
      </c>
      <c r="K1287" s="109" t="s">
        <v>0</v>
      </c>
      <c r="L1287" s="109" t="s">
        <v>0</v>
      </c>
      <c r="M1287" s="109" t="s">
        <v>0</v>
      </c>
      <c r="N1287" s="110" t="s">
        <v>363</v>
      </c>
      <c r="O1287" s="111"/>
      <c r="P1287" s="112"/>
      <c r="Q1287" s="112"/>
      <c r="R1287" s="112"/>
      <c r="S1287" s="112"/>
      <c r="T1287" s="112"/>
      <c r="U1287" s="95" t="str">
        <f t="shared" si="63"/>
        <v/>
      </c>
      <c r="V1287" s="112"/>
      <c r="W1287" s="112"/>
      <c r="X1287" s="107">
        <v>100</v>
      </c>
      <c r="Y1287" s="107">
        <f t="shared" si="64"/>
        <v>100</v>
      </c>
      <c r="Z1287" s="107">
        <f t="shared" si="65"/>
        <v>0</v>
      </c>
    </row>
    <row r="1288" spans="1:26" x14ac:dyDescent="0.25">
      <c r="A1288" s="55" t="str">
        <f>_xlfn.XLOOKUP($G1288,'.Auxiliar'!$G:$G,'.Auxiliar'!A:A,"-",0)</f>
        <v>VIA COSTEIRA</v>
      </c>
      <c r="B1288" s="55" t="str">
        <f>_xlfn.XLOOKUP($G1288,'.Auxiliar'!$G:$G,'.Auxiliar'!B:B,"-",0)</f>
        <v>PAVIMENTAÇÃO</v>
      </c>
      <c r="C1288" s="55" t="str">
        <f>_xlfn.XLOOKUP($G1288,'.Auxiliar'!$G:$G,'.Auxiliar'!C:C,"-",0)</f>
        <v>Não Consta (Pista Norte)</v>
      </c>
      <c r="D1288" s="55">
        <f>_xlfn.XLOOKUP($G1288,'.Auxiliar'!$G:$G,'.Auxiliar'!D:D,"-",0)</f>
        <v>264.38</v>
      </c>
      <c r="E1288" s="55">
        <f>_xlfn.XLOOKUP($G1288,'.Auxiliar'!$G:$G,'.Auxiliar'!E:E,"-",0)</f>
        <v>263.55</v>
      </c>
      <c r="F1288" s="55">
        <f>_xlfn.XLOOKUP($G1288,'.Auxiliar'!$G:$G,'.Auxiliar'!F:F,"-",0)</f>
        <v>0.82999999999998408</v>
      </c>
      <c r="G1288" s="59" t="s">
        <v>1096</v>
      </c>
      <c r="H1288" s="108" t="s">
        <v>0</v>
      </c>
      <c r="I1288" s="109" t="s">
        <v>0</v>
      </c>
      <c r="J1288" s="109" t="s">
        <v>0</v>
      </c>
      <c r="K1288" s="109" t="s">
        <v>0</v>
      </c>
      <c r="L1288" s="109" t="s">
        <v>0</v>
      </c>
      <c r="M1288" s="109" t="s">
        <v>0</v>
      </c>
      <c r="N1288" s="110" t="s">
        <v>363</v>
      </c>
      <c r="O1288" s="111"/>
      <c r="P1288" s="112"/>
      <c r="Q1288" s="112"/>
      <c r="R1288" s="112"/>
      <c r="S1288" s="112"/>
      <c r="T1288" s="112"/>
      <c r="U1288" s="95" t="str">
        <f t="shared" si="63"/>
        <v/>
      </c>
      <c r="V1288" s="112"/>
      <c r="W1288" s="112"/>
      <c r="X1288" s="107">
        <v>100</v>
      </c>
      <c r="Y1288" s="107">
        <f t="shared" si="64"/>
        <v>100</v>
      </c>
      <c r="Z1288" s="107">
        <f t="shared" si="65"/>
        <v>0</v>
      </c>
    </row>
    <row r="1289" spans="1:26" x14ac:dyDescent="0.25">
      <c r="A1289" s="55" t="str">
        <f>_xlfn.XLOOKUP($G1289,'.Auxiliar'!$G:$G,'.Auxiliar'!A:A,"-",0)</f>
        <v>VIA COSTEIRA</v>
      </c>
      <c r="B1289" s="55" t="str">
        <f>_xlfn.XLOOKUP($G1289,'.Auxiliar'!$G:$G,'.Auxiliar'!B:B,"-",0)</f>
        <v>PAVIMENTAÇÃO</v>
      </c>
      <c r="C1289" s="55" t="str">
        <f>_xlfn.XLOOKUP($G1289,'.Auxiliar'!$G:$G,'.Auxiliar'!C:C,"-",0)</f>
        <v>Não Consta (Pista Norte)</v>
      </c>
      <c r="D1289" s="55">
        <f>_xlfn.XLOOKUP($G1289,'.Auxiliar'!$G:$G,'.Auxiliar'!D:D,"-",0)</f>
        <v>272.45</v>
      </c>
      <c r="E1289" s="55">
        <f>_xlfn.XLOOKUP($G1289,'.Auxiliar'!$G:$G,'.Auxiliar'!E:E,"-",0)</f>
        <v>271.35000000000002</v>
      </c>
      <c r="F1289" s="55">
        <f>_xlfn.XLOOKUP($G1289,'.Auxiliar'!$G:$G,'.Auxiliar'!F:F,"-",0)</f>
        <v>1.0999999999999659</v>
      </c>
      <c r="G1289" s="59" t="s">
        <v>821</v>
      </c>
      <c r="H1289" s="108" t="s">
        <v>0</v>
      </c>
      <c r="I1289" s="109" t="s">
        <v>368</v>
      </c>
      <c r="J1289" s="109" t="s">
        <v>0</v>
      </c>
      <c r="K1289" s="109" t="s">
        <v>363</v>
      </c>
      <c r="L1289" s="109" t="s">
        <v>0</v>
      </c>
      <c r="M1289" s="109" t="s">
        <v>0</v>
      </c>
      <c r="N1289" s="110" t="s">
        <v>0</v>
      </c>
      <c r="O1289" s="111"/>
      <c r="P1289" s="112"/>
      <c r="Q1289" s="112">
        <v>100</v>
      </c>
      <c r="R1289" s="112">
        <v>100</v>
      </c>
      <c r="S1289" s="112"/>
      <c r="T1289" s="112"/>
      <c r="U1289" s="95">
        <f t="shared" si="63"/>
        <v>0</v>
      </c>
      <c r="V1289" s="112"/>
      <c r="W1289" s="112"/>
      <c r="X1289" s="107"/>
      <c r="Y1289" s="107">
        <f t="shared" si="64"/>
        <v>100</v>
      </c>
      <c r="Z1289" s="107">
        <f t="shared" si="65"/>
        <v>100</v>
      </c>
    </row>
    <row r="1290" spans="1:26" x14ac:dyDescent="0.25">
      <c r="A1290" s="55" t="str">
        <f>_xlfn.XLOOKUP($G1290,'.Auxiliar'!$G:$G,'.Auxiliar'!A:A,"-",0)</f>
        <v>VIA COSTEIRA</v>
      </c>
      <c r="B1290" s="55" t="str">
        <f>_xlfn.XLOOKUP($G1290,'.Auxiliar'!$G:$G,'.Auxiliar'!B:B,"-",0)</f>
        <v>PAVIMENTAÇÃO</v>
      </c>
      <c r="C1290" s="55" t="str">
        <f>_xlfn.XLOOKUP($G1290,'.Auxiliar'!$G:$G,'.Auxiliar'!C:C,"-",0)</f>
        <v>Não Consta (Pista Norte)</v>
      </c>
      <c r="D1290" s="55">
        <f>_xlfn.XLOOKUP($G1290,'.Auxiliar'!$G:$G,'.Auxiliar'!D:D,"-",0)</f>
        <v>273.73</v>
      </c>
      <c r="E1290" s="55">
        <f>_xlfn.XLOOKUP($G1290,'.Auxiliar'!$G:$G,'.Auxiliar'!E:E,"-",0)</f>
        <v>272.85000000000002</v>
      </c>
      <c r="F1290" s="55">
        <f>_xlfn.XLOOKUP($G1290,'.Auxiliar'!$G:$G,'.Auxiliar'!F:F,"-",0)</f>
        <v>0.87999999999999545</v>
      </c>
      <c r="G1290" s="59" t="s">
        <v>820</v>
      </c>
      <c r="H1290" s="108" t="s">
        <v>0</v>
      </c>
      <c r="I1290" s="109" t="s">
        <v>368</v>
      </c>
      <c r="J1290" s="109" t="s">
        <v>0</v>
      </c>
      <c r="K1290" s="109" t="s">
        <v>363</v>
      </c>
      <c r="L1290" s="109" t="s">
        <v>0</v>
      </c>
      <c r="M1290" s="109" t="s">
        <v>0</v>
      </c>
      <c r="N1290" s="110" t="s">
        <v>0</v>
      </c>
      <c r="O1290" s="111"/>
      <c r="P1290" s="112"/>
      <c r="Q1290" s="112">
        <v>100</v>
      </c>
      <c r="R1290" s="112">
        <v>100</v>
      </c>
      <c r="S1290" s="112"/>
      <c r="T1290" s="112"/>
      <c r="U1290" s="95">
        <f t="shared" si="63"/>
        <v>0</v>
      </c>
      <c r="V1290" s="112"/>
      <c r="W1290" s="112"/>
      <c r="X1290" s="107"/>
      <c r="Y1290" s="107">
        <f t="shared" si="64"/>
        <v>100</v>
      </c>
      <c r="Z1290" s="107">
        <f t="shared" si="65"/>
        <v>100</v>
      </c>
    </row>
    <row r="1291" spans="1:26" x14ac:dyDescent="0.25">
      <c r="A1291" s="55" t="str">
        <f>_xlfn.XLOOKUP($G1291,'.Auxiliar'!$G:$G,'.Auxiliar'!A:A,"-",0)</f>
        <v>VIA COSTEIRA</v>
      </c>
      <c r="B1291" s="55" t="str">
        <f>_xlfn.XLOOKUP($G1291,'.Auxiliar'!$G:$G,'.Auxiliar'!B:B,"-",0)</f>
        <v>PAVIMENTAÇÃO</v>
      </c>
      <c r="C1291" s="55" t="str">
        <f>_xlfn.XLOOKUP($G1291,'.Auxiliar'!$G:$G,'.Auxiliar'!C:C,"-",0)</f>
        <v>Não Consta (Pista Norte)</v>
      </c>
      <c r="D1291" s="55">
        <f>_xlfn.XLOOKUP($G1291,'.Auxiliar'!$G:$G,'.Auxiliar'!D:D,"-",0)</f>
        <v>275.7</v>
      </c>
      <c r="E1291" s="55">
        <f>_xlfn.XLOOKUP($G1291,'.Auxiliar'!$G:$G,'.Auxiliar'!E:E,"-",0)</f>
        <v>273.73</v>
      </c>
      <c r="F1291" s="55">
        <f>_xlfn.XLOOKUP($G1291,'.Auxiliar'!$G:$G,'.Auxiliar'!F:F,"-",0)</f>
        <v>1.9699999999999704</v>
      </c>
      <c r="G1291" s="59" t="s">
        <v>819</v>
      </c>
      <c r="H1291" s="108" t="s">
        <v>0</v>
      </c>
      <c r="I1291" s="109" t="s">
        <v>368</v>
      </c>
      <c r="J1291" s="109" t="s">
        <v>0</v>
      </c>
      <c r="K1291" s="109" t="s">
        <v>363</v>
      </c>
      <c r="L1291" s="109" t="s">
        <v>0</v>
      </c>
      <c r="M1291" s="109" t="s">
        <v>0</v>
      </c>
      <c r="N1291" s="110" t="s">
        <v>0</v>
      </c>
      <c r="O1291" s="111"/>
      <c r="P1291" s="112"/>
      <c r="Q1291" s="112">
        <v>100</v>
      </c>
      <c r="R1291" s="112">
        <v>100</v>
      </c>
      <c r="S1291" s="112"/>
      <c r="T1291" s="112"/>
      <c r="U1291" s="95">
        <f t="shared" si="63"/>
        <v>0</v>
      </c>
      <c r="V1291" s="112"/>
      <c r="W1291" s="112"/>
      <c r="X1291" s="107"/>
      <c r="Y1291" s="107">
        <f t="shared" si="64"/>
        <v>100</v>
      </c>
      <c r="Z1291" s="107">
        <f t="shared" si="65"/>
        <v>100</v>
      </c>
    </row>
    <row r="1292" spans="1:26" x14ac:dyDescent="0.25">
      <c r="A1292" s="55" t="str">
        <f>_xlfn.XLOOKUP($G1292,'.Auxiliar'!$G:$G,'.Auxiliar'!A:A,"-",0)</f>
        <v>VIA COSTEIRA</v>
      </c>
      <c r="B1292" s="55" t="str">
        <f>_xlfn.XLOOKUP($G1292,'.Auxiliar'!$G:$G,'.Auxiliar'!B:B,"-",0)</f>
        <v>PAVIMENTAÇÃO</v>
      </c>
      <c r="C1292" s="55" t="str">
        <f>_xlfn.XLOOKUP($G1292,'.Auxiliar'!$G:$G,'.Auxiliar'!C:C,"-",0)</f>
        <v>Não Consta (Pista Norte)</v>
      </c>
      <c r="D1292" s="55">
        <f>_xlfn.XLOOKUP($G1292,'.Auxiliar'!$G:$G,'.Auxiliar'!D:D,"-",0)</f>
        <v>278</v>
      </c>
      <c r="E1292" s="55">
        <f>_xlfn.XLOOKUP($G1292,'.Auxiliar'!$G:$G,'.Auxiliar'!E:E,"-",0)</f>
        <v>276.45</v>
      </c>
      <c r="F1292" s="55">
        <f>_xlfn.XLOOKUP($G1292,'.Auxiliar'!$G:$G,'.Auxiliar'!F:F,"-",0)</f>
        <v>1.5500000000000114</v>
      </c>
      <c r="G1292" s="59" t="s">
        <v>818</v>
      </c>
      <c r="H1292" s="108" t="s">
        <v>0</v>
      </c>
      <c r="I1292" s="109" t="s">
        <v>368</v>
      </c>
      <c r="J1292" s="109" t="s">
        <v>0</v>
      </c>
      <c r="K1292" s="109" t="s">
        <v>363</v>
      </c>
      <c r="L1292" s="109" t="s">
        <v>0</v>
      </c>
      <c r="M1292" s="109" t="s">
        <v>0</v>
      </c>
      <c r="N1292" s="110" t="s">
        <v>0</v>
      </c>
      <c r="O1292" s="111"/>
      <c r="P1292" s="112"/>
      <c r="Q1292" s="112">
        <v>100</v>
      </c>
      <c r="R1292" s="112">
        <v>100</v>
      </c>
      <c r="S1292" s="112"/>
      <c r="T1292" s="112"/>
      <c r="U1292" s="95">
        <f t="shared" si="63"/>
        <v>0</v>
      </c>
      <c r="V1292" s="112"/>
      <c r="W1292" s="112"/>
      <c r="X1292" s="107"/>
      <c r="Y1292" s="107">
        <f t="shared" si="64"/>
        <v>100</v>
      </c>
      <c r="Z1292" s="107">
        <f t="shared" si="65"/>
        <v>100</v>
      </c>
    </row>
    <row r="1293" spans="1:26" x14ac:dyDescent="0.25">
      <c r="A1293" s="55" t="str">
        <f>_xlfn.XLOOKUP($G1293,'.Auxiliar'!$G:$G,'.Auxiliar'!A:A,"-",0)</f>
        <v>VIA COSTEIRA</v>
      </c>
      <c r="B1293" s="55" t="str">
        <f>_xlfn.XLOOKUP($G1293,'.Auxiliar'!$G:$G,'.Auxiliar'!B:B,"-",0)</f>
        <v>PAVIMENTAÇÃO</v>
      </c>
      <c r="C1293" s="55" t="str">
        <f>_xlfn.XLOOKUP($G1293,'.Auxiliar'!$G:$G,'.Auxiliar'!C:C,"-",0)</f>
        <v>Não Consta (Pista Norte)</v>
      </c>
      <c r="D1293" s="55">
        <f>_xlfn.XLOOKUP($G1293,'.Auxiliar'!$G:$G,'.Auxiliar'!D:D,"-",0)</f>
        <v>281.8</v>
      </c>
      <c r="E1293" s="55">
        <f>_xlfn.XLOOKUP($G1293,'.Auxiliar'!$G:$G,'.Auxiliar'!E:E,"-",0)</f>
        <v>278.60000000000002</v>
      </c>
      <c r="F1293" s="55">
        <f>_xlfn.XLOOKUP($G1293,'.Auxiliar'!$G:$G,'.Auxiliar'!F:F,"-",0)</f>
        <v>3.1999999999999886</v>
      </c>
      <c r="G1293" s="59" t="s">
        <v>874</v>
      </c>
      <c r="H1293" s="108" t="s">
        <v>0</v>
      </c>
      <c r="I1293" s="109" t="s">
        <v>0</v>
      </c>
      <c r="J1293" s="109" t="s">
        <v>363</v>
      </c>
      <c r="K1293" s="109" t="s">
        <v>0</v>
      </c>
      <c r="L1293" s="109" t="s">
        <v>0</v>
      </c>
      <c r="M1293" s="109" t="s">
        <v>0</v>
      </c>
      <c r="N1293" s="110" t="s">
        <v>0</v>
      </c>
      <c r="O1293" s="111"/>
      <c r="P1293" s="112"/>
      <c r="Q1293" s="112">
        <v>0</v>
      </c>
      <c r="R1293" s="112">
        <v>5.72</v>
      </c>
      <c r="S1293" s="112">
        <f>100-R1293</f>
        <v>94.28</v>
      </c>
      <c r="T1293" s="112">
        <v>44.64</v>
      </c>
      <c r="U1293" s="95">
        <f t="shared" si="63"/>
        <v>94.28</v>
      </c>
      <c r="V1293" s="112"/>
      <c r="W1293" s="112"/>
      <c r="X1293" s="107"/>
      <c r="Y1293" s="107">
        <f t="shared" si="64"/>
        <v>100</v>
      </c>
      <c r="Z1293" s="107">
        <f t="shared" si="65"/>
        <v>50.36</v>
      </c>
    </row>
    <row r="1294" spans="1:26" x14ac:dyDescent="0.25">
      <c r="A1294" s="55" t="str">
        <f>_xlfn.XLOOKUP($G1294,'.Auxiliar'!$G:$G,'.Auxiliar'!A:A,"-",0)</f>
        <v>VIA COSTEIRA</v>
      </c>
      <c r="B1294" s="55" t="str">
        <f>_xlfn.XLOOKUP($G1294,'.Auxiliar'!$G:$G,'.Auxiliar'!B:B,"-",0)</f>
        <v>PAVIMENTAÇÃO</v>
      </c>
      <c r="C1294" s="55" t="str">
        <f>_xlfn.XLOOKUP($G1294,'.Auxiliar'!$G:$G,'.Auxiliar'!C:C,"-",0)</f>
        <v>Não Consta (Pista Norte)</v>
      </c>
      <c r="D1294" s="55">
        <f>_xlfn.XLOOKUP($G1294,'.Auxiliar'!$G:$G,'.Auxiliar'!D:D,"-",0)</f>
        <v>286.85000000000002</v>
      </c>
      <c r="E1294" s="55">
        <f>_xlfn.XLOOKUP($G1294,'.Auxiliar'!$G:$G,'.Auxiliar'!E:E,"-",0)</f>
        <v>285.8</v>
      </c>
      <c r="F1294" s="55">
        <f>_xlfn.XLOOKUP($G1294,'.Auxiliar'!$G:$G,'.Auxiliar'!F:F,"-",0)</f>
        <v>1.0500000000000114</v>
      </c>
      <c r="G1294" s="59" t="s">
        <v>873</v>
      </c>
      <c r="H1294" s="108" t="s">
        <v>0</v>
      </c>
      <c r="I1294" s="109" t="s">
        <v>0</v>
      </c>
      <c r="J1294" s="109" t="s">
        <v>363</v>
      </c>
      <c r="K1294" s="109" t="s">
        <v>0</v>
      </c>
      <c r="L1294" s="109" t="s">
        <v>0</v>
      </c>
      <c r="M1294" s="109" t="s">
        <v>0</v>
      </c>
      <c r="N1294" s="110" t="s">
        <v>0</v>
      </c>
      <c r="O1294" s="111"/>
      <c r="P1294" s="112"/>
      <c r="Q1294" s="112"/>
      <c r="R1294" s="112"/>
      <c r="S1294" s="112">
        <v>100</v>
      </c>
      <c r="T1294" s="112">
        <v>6.53</v>
      </c>
      <c r="U1294" s="95">
        <f t="shared" si="63"/>
        <v>100</v>
      </c>
      <c r="V1294" s="112"/>
      <c r="W1294" s="112"/>
      <c r="X1294" s="107"/>
      <c r="Y1294" s="107">
        <f t="shared" si="64"/>
        <v>100</v>
      </c>
      <c r="Z1294" s="107">
        <f t="shared" si="65"/>
        <v>6.53</v>
      </c>
    </row>
    <row r="1295" spans="1:26" x14ac:dyDescent="0.25">
      <c r="A1295" s="55" t="str">
        <f>_xlfn.XLOOKUP($G1295,'.Auxiliar'!$G:$G,'.Auxiliar'!A:A,"-",0)</f>
        <v>VIA COSTEIRA</v>
      </c>
      <c r="B1295" s="55" t="str">
        <f>_xlfn.XLOOKUP($G1295,'.Auxiliar'!$G:$G,'.Auxiliar'!B:B,"-",0)</f>
        <v>PAVIMENTAÇÃO</v>
      </c>
      <c r="C1295" s="55" t="str">
        <f>_xlfn.XLOOKUP($G1295,'.Auxiliar'!$G:$G,'.Auxiliar'!C:C,"-",0)</f>
        <v>Não Consta (Pista Norte)</v>
      </c>
      <c r="D1295" s="55">
        <f>_xlfn.XLOOKUP($G1295,'.Auxiliar'!$G:$G,'.Auxiliar'!D:D,"-",0)</f>
        <v>289.3</v>
      </c>
      <c r="E1295" s="55">
        <f>_xlfn.XLOOKUP($G1295,'.Auxiliar'!$G:$G,'.Auxiliar'!E:E,"-",0)</f>
        <v>288.5</v>
      </c>
      <c r="F1295" s="55">
        <f>_xlfn.XLOOKUP($G1295,'.Auxiliar'!$G:$G,'.Auxiliar'!F:F,"-",0)</f>
        <v>0.80000000000001137</v>
      </c>
      <c r="G1295" s="59" t="s">
        <v>872</v>
      </c>
      <c r="H1295" s="108" t="s">
        <v>0</v>
      </c>
      <c r="I1295" s="109" t="s">
        <v>0</v>
      </c>
      <c r="J1295" s="109" t="s">
        <v>363</v>
      </c>
      <c r="K1295" s="109" t="s">
        <v>0</v>
      </c>
      <c r="L1295" s="109" t="s">
        <v>0</v>
      </c>
      <c r="M1295" s="109" t="s">
        <v>0</v>
      </c>
      <c r="N1295" s="110" t="s">
        <v>0</v>
      </c>
      <c r="O1295" s="111"/>
      <c r="P1295" s="112"/>
      <c r="Q1295" s="112"/>
      <c r="R1295" s="112"/>
      <c r="S1295" s="112">
        <v>100</v>
      </c>
      <c r="T1295" s="112">
        <v>30.96</v>
      </c>
      <c r="U1295" s="95">
        <f t="shared" si="63"/>
        <v>100</v>
      </c>
      <c r="V1295" s="112"/>
      <c r="W1295" s="112"/>
      <c r="X1295" s="107"/>
      <c r="Y1295" s="107">
        <f t="shared" si="64"/>
        <v>100</v>
      </c>
      <c r="Z1295" s="107">
        <f t="shared" si="65"/>
        <v>30.96</v>
      </c>
    </row>
    <row r="1296" spans="1:26" x14ac:dyDescent="0.25">
      <c r="A1296" s="55" t="str">
        <f>_xlfn.XLOOKUP($G1296,'.Auxiliar'!$G:$G,'.Auxiliar'!A:A,"-",0)</f>
        <v>VIA COSTEIRA</v>
      </c>
      <c r="B1296" s="55" t="str">
        <f>_xlfn.XLOOKUP($G1296,'.Auxiliar'!$G:$G,'.Auxiliar'!B:B,"-",0)</f>
        <v>PAVIMENTAÇÃO</v>
      </c>
      <c r="C1296" s="55" t="str">
        <f>_xlfn.XLOOKUP($G1296,'.Auxiliar'!$G:$G,'.Auxiliar'!C:C,"-",0)</f>
        <v>Não Consta (Pista Norte)</v>
      </c>
      <c r="D1296" s="55">
        <f>_xlfn.XLOOKUP($G1296,'.Auxiliar'!$G:$G,'.Auxiliar'!D:D,"-",0)</f>
        <v>296.39999999999998</v>
      </c>
      <c r="E1296" s="55">
        <f>_xlfn.XLOOKUP($G1296,'.Auxiliar'!$G:$G,'.Auxiliar'!E:E,"-",0)</f>
        <v>295.67</v>
      </c>
      <c r="F1296" s="55">
        <f>_xlfn.XLOOKUP($G1296,'.Auxiliar'!$G:$G,'.Auxiliar'!F:F,"-",0)</f>
        <v>0.72999999999996135</v>
      </c>
      <c r="G1296" s="59" t="s">
        <v>1095</v>
      </c>
      <c r="H1296" s="108" t="s">
        <v>0</v>
      </c>
      <c r="I1296" s="109" t="s">
        <v>0</v>
      </c>
      <c r="J1296" s="109" t="s">
        <v>0</v>
      </c>
      <c r="K1296" s="109" t="s">
        <v>0</v>
      </c>
      <c r="L1296" s="109" t="s">
        <v>0</v>
      </c>
      <c r="M1296" s="109" t="s">
        <v>0</v>
      </c>
      <c r="N1296" s="110" t="s">
        <v>363</v>
      </c>
      <c r="O1296" s="111"/>
      <c r="P1296" s="112"/>
      <c r="Q1296" s="112"/>
      <c r="R1296" s="112"/>
      <c r="S1296" s="112"/>
      <c r="T1296" s="112"/>
      <c r="U1296" s="95" t="str">
        <f t="shared" si="63"/>
        <v/>
      </c>
      <c r="V1296" s="112"/>
      <c r="W1296" s="112"/>
      <c r="X1296" s="107">
        <v>100</v>
      </c>
      <c r="Y1296" s="107">
        <f t="shared" si="64"/>
        <v>100</v>
      </c>
      <c r="Z1296" s="107">
        <f t="shared" si="65"/>
        <v>0</v>
      </c>
    </row>
    <row r="1297" spans="1:26" x14ac:dyDescent="0.25">
      <c r="A1297" s="55" t="str">
        <f>_xlfn.XLOOKUP($G1297,'.Auxiliar'!$G:$G,'.Auxiliar'!A:A,"-",0)</f>
        <v>VIA COSTEIRA</v>
      </c>
      <c r="B1297" s="55" t="str">
        <f>_xlfn.XLOOKUP($G1297,'.Auxiliar'!$G:$G,'.Auxiliar'!B:B,"-",0)</f>
        <v>PAVIMENTAÇÃO</v>
      </c>
      <c r="C1297" s="55" t="str">
        <f>_xlfn.XLOOKUP($G1297,'.Auxiliar'!$G:$G,'.Auxiliar'!C:C,"-",0)</f>
        <v>Não Consta (Pista Norte)</v>
      </c>
      <c r="D1297" s="55">
        <f>_xlfn.XLOOKUP($G1297,'.Auxiliar'!$G:$G,'.Auxiliar'!D:D,"-",0)</f>
        <v>297.85000000000002</v>
      </c>
      <c r="E1297" s="55">
        <f>_xlfn.XLOOKUP($G1297,'.Auxiliar'!$G:$G,'.Auxiliar'!E:E,"-",0)</f>
        <v>297.14999999999998</v>
      </c>
      <c r="F1297" s="55">
        <f>_xlfn.XLOOKUP($G1297,'.Auxiliar'!$G:$G,'.Auxiliar'!F:F,"-",0)</f>
        <v>0.70000000000004547</v>
      </c>
      <c r="G1297" s="59" t="s">
        <v>1094</v>
      </c>
      <c r="H1297" s="108" t="s">
        <v>0</v>
      </c>
      <c r="I1297" s="109" t="s">
        <v>0</v>
      </c>
      <c r="J1297" s="109" t="s">
        <v>0</v>
      </c>
      <c r="K1297" s="109" t="s">
        <v>0</v>
      </c>
      <c r="L1297" s="109" t="s">
        <v>0</v>
      </c>
      <c r="M1297" s="109" t="s">
        <v>0</v>
      </c>
      <c r="N1297" s="110" t="s">
        <v>363</v>
      </c>
      <c r="O1297" s="111"/>
      <c r="P1297" s="112"/>
      <c r="Q1297" s="112"/>
      <c r="R1297" s="112"/>
      <c r="S1297" s="112"/>
      <c r="T1297" s="112"/>
      <c r="U1297" s="95" t="str">
        <f t="shared" si="63"/>
        <v/>
      </c>
      <c r="V1297" s="112"/>
      <c r="W1297" s="112"/>
      <c r="X1297" s="107">
        <v>100</v>
      </c>
      <c r="Y1297" s="107">
        <f t="shared" si="64"/>
        <v>100</v>
      </c>
      <c r="Z1297" s="107">
        <f t="shared" si="65"/>
        <v>0</v>
      </c>
    </row>
    <row r="1298" spans="1:26" x14ac:dyDescent="0.25">
      <c r="A1298" s="55" t="str">
        <f>_xlfn.XLOOKUP($G1298,'.Auxiliar'!$G:$G,'.Auxiliar'!A:A,"-",0)</f>
        <v>VIA COSTEIRA</v>
      </c>
      <c r="B1298" s="55" t="str">
        <f>_xlfn.XLOOKUP($G1298,'.Auxiliar'!$G:$G,'.Auxiliar'!B:B,"-",0)</f>
        <v>PAVIMENTAÇÃO</v>
      </c>
      <c r="C1298" s="55" t="str">
        <f>_xlfn.XLOOKUP($G1298,'.Auxiliar'!$G:$G,'.Auxiliar'!C:C,"-",0)</f>
        <v>Não Consta (Pista Norte)</v>
      </c>
      <c r="D1298" s="55">
        <f>_xlfn.XLOOKUP($G1298,'.Auxiliar'!$G:$G,'.Auxiliar'!D:D,"-",0)</f>
        <v>298.67</v>
      </c>
      <c r="E1298" s="55">
        <f>_xlfn.XLOOKUP($G1298,'.Auxiliar'!$G:$G,'.Auxiliar'!E:E,"-",0)</f>
        <v>297.85000000000002</v>
      </c>
      <c r="F1298" s="55">
        <f>_xlfn.XLOOKUP($G1298,'.Auxiliar'!$G:$G,'.Auxiliar'!F:F,"-",0)</f>
        <v>0.81999999999999318</v>
      </c>
      <c r="G1298" s="59" t="s">
        <v>1093</v>
      </c>
      <c r="H1298" s="108" t="s">
        <v>0</v>
      </c>
      <c r="I1298" s="109" t="s">
        <v>0</v>
      </c>
      <c r="J1298" s="109" t="s">
        <v>0</v>
      </c>
      <c r="K1298" s="109" t="s">
        <v>0</v>
      </c>
      <c r="L1298" s="109" t="s">
        <v>0</v>
      </c>
      <c r="M1298" s="109" t="s">
        <v>0</v>
      </c>
      <c r="N1298" s="110" t="s">
        <v>363</v>
      </c>
      <c r="O1298" s="111"/>
      <c r="P1298" s="112"/>
      <c r="Q1298" s="112"/>
      <c r="R1298" s="112"/>
      <c r="S1298" s="112"/>
      <c r="T1298" s="112"/>
      <c r="U1298" s="95" t="str">
        <f t="shared" si="63"/>
        <v/>
      </c>
      <c r="V1298" s="112"/>
      <c r="W1298" s="112"/>
      <c r="X1298" s="107">
        <v>100</v>
      </c>
      <c r="Y1298" s="107">
        <f t="shared" si="64"/>
        <v>100</v>
      </c>
      <c r="Z1298" s="107">
        <f t="shared" si="65"/>
        <v>0</v>
      </c>
    </row>
    <row r="1299" spans="1:26" x14ac:dyDescent="0.25">
      <c r="A1299" s="55" t="str">
        <f>_xlfn.XLOOKUP($G1299,'.Auxiliar'!$G:$G,'.Auxiliar'!A:A,"-",0)</f>
        <v>VIA COSTEIRA</v>
      </c>
      <c r="B1299" s="55" t="str">
        <f>_xlfn.XLOOKUP($G1299,'.Auxiliar'!$G:$G,'.Auxiliar'!B:B,"-",0)</f>
        <v>PAVIMENTAÇÃO</v>
      </c>
      <c r="C1299" s="55" t="str">
        <f>_xlfn.XLOOKUP($G1299,'.Auxiliar'!$G:$G,'.Auxiliar'!C:C,"-",0)</f>
        <v>Não Consta (Pista Norte)</v>
      </c>
      <c r="D1299" s="55">
        <f>_xlfn.XLOOKUP($G1299,'.Auxiliar'!$G:$G,'.Auxiliar'!D:D,"-",0)</f>
        <v>324.10000000000002</v>
      </c>
      <c r="E1299" s="55">
        <f>_xlfn.XLOOKUP($G1299,'.Auxiliar'!$G:$G,'.Auxiliar'!E:E,"-",0)</f>
        <v>320.14999999999998</v>
      </c>
      <c r="F1299" s="55">
        <f>_xlfn.XLOOKUP($G1299,'.Auxiliar'!$G:$G,'.Auxiliar'!F:F,"-",0)</f>
        <v>3.9500000000000455</v>
      </c>
      <c r="G1299" s="59" t="s">
        <v>990</v>
      </c>
      <c r="H1299" s="108" t="s">
        <v>0</v>
      </c>
      <c r="I1299" s="109" t="s">
        <v>0</v>
      </c>
      <c r="J1299" s="109" t="s">
        <v>0</v>
      </c>
      <c r="K1299" s="109" t="s">
        <v>0</v>
      </c>
      <c r="L1299" s="109" t="s">
        <v>363</v>
      </c>
      <c r="M1299" s="109" t="s">
        <v>0</v>
      </c>
      <c r="N1299" s="110" t="s">
        <v>0</v>
      </c>
      <c r="O1299" s="111"/>
      <c r="P1299" s="112"/>
      <c r="Q1299" s="112"/>
      <c r="R1299" s="112"/>
      <c r="S1299" s="112"/>
      <c r="T1299" s="112"/>
      <c r="U1299" s="95" t="str">
        <f t="shared" si="63"/>
        <v/>
      </c>
      <c r="V1299" s="112">
        <v>100</v>
      </c>
      <c r="W1299" s="112"/>
      <c r="X1299" s="107"/>
      <c r="Y1299" s="107">
        <f t="shared" si="64"/>
        <v>100</v>
      </c>
      <c r="Z1299" s="107">
        <f t="shared" si="65"/>
        <v>0</v>
      </c>
    </row>
    <row r="1300" spans="1:26" x14ac:dyDescent="0.25">
      <c r="A1300" s="55" t="str">
        <f>_xlfn.XLOOKUP($G1300,'.Auxiliar'!$G:$G,'.Auxiliar'!A:A,"-",0)</f>
        <v>VIA COSTEIRA</v>
      </c>
      <c r="B1300" s="55" t="str">
        <f>_xlfn.XLOOKUP($G1300,'.Auxiliar'!$G:$G,'.Auxiliar'!B:B,"-",0)</f>
        <v>PAVIMENTAÇÃO</v>
      </c>
      <c r="C1300" s="55" t="str">
        <f>_xlfn.XLOOKUP($G1300,'.Auxiliar'!$G:$G,'.Auxiliar'!C:C,"-",0)</f>
        <v>Não Consta (Pista Norte)</v>
      </c>
      <c r="D1300" s="55">
        <f>_xlfn.XLOOKUP($G1300,'.Auxiliar'!$G:$G,'.Auxiliar'!D:D,"-",0)</f>
        <v>329.6</v>
      </c>
      <c r="E1300" s="55">
        <f>_xlfn.XLOOKUP($G1300,'.Auxiliar'!$G:$G,'.Auxiliar'!E:E,"-",0)</f>
        <v>328.45</v>
      </c>
      <c r="F1300" s="55">
        <f>_xlfn.XLOOKUP($G1300,'.Auxiliar'!$G:$G,'.Auxiliar'!F:F,"-",0)</f>
        <v>1.1500000000000341</v>
      </c>
      <c r="G1300" s="59" t="s">
        <v>817</v>
      </c>
      <c r="H1300" s="108" t="s">
        <v>0</v>
      </c>
      <c r="I1300" s="109" t="s">
        <v>368</v>
      </c>
      <c r="J1300" s="109" t="s">
        <v>0</v>
      </c>
      <c r="K1300" s="109" t="s">
        <v>363</v>
      </c>
      <c r="L1300" s="109" t="s">
        <v>0</v>
      </c>
      <c r="M1300" s="109" t="s">
        <v>0</v>
      </c>
      <c r="N1300" s="110" t="s">
        <v>0</v>
      </c>
      <c r="O1300" s="111"/>
      <c r="P1300" s="112"/>
      <c r="Q1300" s="112">
        <v>100</v>
      </c>
      <c r="R1300" s="112">
        <v>99.86</v>
      </c>
      <c r="S1300" s="112">
        <f>100-R1300</f>
        <v>0.14000000000000057</v>
      </c>
      <c r="T1300" s="112">
        <v>0.14000000000000001</v>
      </c>
      <c r="U1300" s="95">
        <f t="shared" si="63"/>
        <v>0.14000000000000057</v>
      </c>
      <c r="V1300" s="112"/>
      <c r="W1300" s="112"/>
      <c r="X1300" s="107"/>
      <c r="Y1300" s="107">
        <f t="shared" si="64"/>
        <v>100</v>
      </c>
      <c r="Z1300" s="107">
        <f t="shared" si="65"/>
        <v>100</v>
      </c>
    </row>
    <row r="1301" spans="1:26" x14ac:dyDescent="0.25">
      <c r="A1301" s="55" t="str">
        <f>_xlfn.XLOOKUP($G1301,'.Auxiliar'!$G:$G,'.Auxiliar'!A:A,"-",0)</f>
        <v>VIA COSTEIRA</v>
      </c>
      <c r="B1301" s="55" t="str">
        <f>_xlfn.XLOOKUP($G1301,'.Auxiliar'!$G:$G,'.Auxiliar'!B:B,"-",0)</f>
        <v>PAVIMENTAÇÃO</v>
      </c>
      <c r="C1301" s="55" t="str">
        <f>_xlfn.XLOOKUP($G1301,'.Auxiliar'!$G:$G,'.Auxiliar'!C:C,"-",0)</f>
        <v>Não Consta (Pista Norte)</v>
      </c>
      <c r="D1301" s="55">
        <f>_xlfn.XLOOKUP($G1301,'.Auxiliar'!$G:$G,'.Auxiliar'!D:D,"-",0)</f>
        <v>383.3</v>
      </c>
      <c r="E1301" s="55">
        <f>_xlfn.XLOOKUP($G1301,'.Auxiliar'!$G:$G,'.Auxiliar'!E:E,"-",0)</f>
        <v>382.63</v>
      </c>
      <c r="F1301" s="55">
        <f>_xlfn.XLOOKUP($G1301,'.Auxiliar'!$G:$G,'.Auxiliar'!F:F,"-",0)</f>
        <v>0.67000000000001592</v>
      </c>
      <c r="G1301" s="59" t="s">
        <v>1092</v>
      </c>
      <c r="H1301" s="108" t="s">
        <v>0</v>
      </c>
      <c r="I1301" s="109" t="s">
        <v>0</v>
      </c>
      <c r="J1301" s="109" t="s">
        <v>0</v>
      </c>
      <c r="K1301" s="109" t="s">
        <v>0</v>
      </c>
      <c r="L1301" s="109" t="s">
        <v>0</v>
      </c>
      <c r="M1301" s="109" t="s">
        <v>0</v>
      </c>
      <c r="N1301" s="110" t="s">
        <v>363</v>
      </c>
      <c r="O1301" s="111"/>
      <c r="P1301" s="112"/>
      <c r="Q1301" s="112"/>
      <c r="R1301" s="112"/>
      <c r="S1301" s="112"/>
      <c r="T1301" s="112"/>
      <c r="U1301" s="95" t="str">
        <f t="shared" si="63"/>
        <v/>
      </c>
      <c r="V1301" s="112"/>
      <c r="W1301" s="112"/>
      <c r="X1301" s="107">
        <v>100</v>
      </c>
      <c r="Y1301" s="107">
        <f t="shared" si="64"/>
        <v>100</v>
      </c>
      <c r="Z1301" s="107">
        <f t="shared" si="65"/>
        <v>0</v>
      </c>
    </row>
    <row r="1302" spans="1:26" x14ac:dyDescent="0.25">
      <c r="A1302" s="55" t="str">
        <f>_xlfn.XLOOKUP($G1302,'.Auxiliar'!$G:$G,'.Auxiliar'!A:A,"-",0)</f>
        <v>VIA COSTEIRA</v>
      </c>
      <c r="B1302" s="55" t="str">
        <f>_xlfn.XLOOKUP($G1302,'.Auxiliar'!$G:$G,'.Auxiliar'!B:B,"-",0)</f>
        <v>PAVIMENTAÇÃO</v>
      </c>
      <c r="C1302" s="55" t="str">
        <f>_xlfn.XLOOKUP($G1302,'.Auxiliar'!$G:$G,'.Auxiliar'!C:C,"-",0)</f>
        <v>Não Consta (Pista Norte)</v>
      </c>
      <c r="D1302" s="55">
        <f>_xlfn.XLOOKUP($G1302,'.Auxiliar'!$G:$G,'.Auxiliar'!D:D,"-",0)</f>
        <v>385.9</v>
      </c>
      <c r="E1302" s="55">
        <f>_xlfn.XLOOKUP($G1302,'.Auxiliar'!$G:$G,'.Auxiliar'!E:E,"-",0)</f>
        <v>384</v>
      </c>
      <c r="F1302" s="55">
        <f>_xlfn.XLOOKUP($G1302,'.Auxiliar'!$G:$G,'.Auxiliar'!F:F,"-",0)</f>
        <v>1.8999999999999773</v>
      </c>
      <c r="G1302" s="59" t="s">
        <v>1091</v>
      </c>
      <c r="H1302" s="108" t="s">
        <v>0</v>
      </c>
      <c r="I1302" s="109" t="s">
        <v>0</v>
      </c>
      <c r="J1302" s="109" t="s">
        <v>0</v>
      </c>
      <c r="K1302" s="109" t="s">
        <v>0</v>
      </c>
      <c r="L1302" s="109" t="s">
        <v>0</v>
      </c>
      <c r="M1302" s="109" t="s">
        <v>0</v>
      </c>
      <c r="N1302" s="110" t="s">
        <v>363</v>
      </c>
      <c r="O1302" s="111"/>
      <c r="P1302" s="112"/>
      <c r="Q1302" s="112"/>
      <c r="R1302" s="112"/>
      <c r="S1302" s="112"/>
      <c r="T1302" s="112"/>
      <c r="U1302" s="95" t="str">
        <f t="shared" si="63"/>
        <v/>
      </c>
      <c r="V1302" s="112"/>
      <c r="W1302" s="112"/>
      <c r="X1302" s="107">
        <v>100</v>
      </c>
      <c r="Y1302" s="107">
        <f t="shared" si="64"/>
        <v>100</v>
      </c>
      <c r="Z1302" s="107">
        <f t="shared" si="65"/>
        <v>0</v>
      </c>
    </row>
    <row r="1303" spans="1:26" x14ac:dyDescent="0.25">
      <c r="A1303" s="55" t="str">
        <f>_xlfn.XLOOKUP($G1303,'.Auxiliar'!$G:$G,'.Auxiliar'!A:A,"-",0)</f>
        <v>VIA COSTEIRA</v>
      </c>
      <c r="B1303" s="55" t="str">
        <f>_xlfn.XLOOKUP($G1303,'.Auxiliar'!$G:$G,'.Auxiliar'!B:B,"-",0)</f>
        <v>PAVIMENTAÇÃO</v>
      </c>
      <c r="C1303" s="55" t="str">
        <f>_xlfn.XLOOKUP($G1303,'.Auxiliar'!$G:$G,'.Auxiliar'!C:C,"-",0)</f>
        <v>Não Consta (Pista Norte)</v>
      </c>
      <c r="D1303" s="55">
        <f>_xlfn.XLOOKUP($G1303,'.Auxiliar'!$G:$G,'.Auxiliar'!D:D,"-",0)</f>
        <v>388.85</v>
      </c>
      <c r="E1303" s="55">
        <f>_xlfn.XLOOKUP($G1303,'.Auxiliar'!$G:$G,'.Auxiliar'!E:E,"-",0)</f>
        <v>386.2</v>
      </c>
      <c r="F1303" s="55">
        <f>_xlfn.XLOOKUP($G1303,'.Auxiliar'!$G:$G,'.Auxiliar'!F:F,"-",0)</f>
        <v>2.6500000000000341</v>
      </c>
      <c r="G1303" s="59" t="s">
        <v>1090</v>
      </c>
      <c r="H1303" s="108" t="s">
        <v>0</v>
      </c>
      <c r="I1303" s="109" t="s">
        <v>0</v>
      </c>
      <c r="J1303" s="109" t="s">
        <v>0</v>
      </c>
      <c r="K1303" s="109" t="s">
        <v>0</v>
      </c>
      <c r="L1303" s="109" t="s">
        <v>0</v>
      </c>
      <c r="M1303" s="109" t="s">
        <v>0</v>
      </c>
      <c r="N1303" s="110" t="s">
        <v>363</v>
      </c>
      <c r="O1303" s="111"/>
      <c r="P1303" s="112"/>
      <c r="Q1303" s="112"/>
      <c r="R1303" s="112"/>
      <c r="S1303" s="112"/>
      <c r="T1303" s="112"/>
      <c r="U1303" s="95" t="str">
        <f t="shared" si="63"/>
        <v/>
      </c>
      <c r="V1303" s="112"/>
      <c r="W1303" s="112"/>
      <c r="X1303" s="107">
        <v>100</v>
      </c>
      <c r="Y1303" s="107">
        <f t="shared" si="64"/>
        <v>100</v>
      </c>
      <c r="Z1303" s="107">
        <f t="shared" si="65"/>
        <v>0</v>
      </c>
    </row>
    <row r="1304" spans="1:26" x14ac:dyDescent="0.25">
      <c r="A1304" s="55" t="str">
        <f>_xlfn.XLOOKUP($G1304,'.Auxiliar'!$G:$G,'.Auxiliar'!A:A,"-",0)</f>
        <v>VIA COSTEIRA</v>
      </c>
      <c r="B1304" s="55" t="str">
        <f>_xlfn.XLOOKUP($G1304,'.Auxiliar'!$G:$G,'.Auxiliar'!B:B,"-",0)</f>
        <v>PAVIMENTAÇÃO</v>
      </c>
      <c r="C1304" s="55" t="str">
        <f>_xlfn.XLOOKUP($G1304,'.Auxiliar'!$G:$G,'.Auxiliar'!C:C,"-",0)</f>
        <v>Não Consta (Pista Norte)</v>
      </c>
      <c r="D1304" s="55">
        <f>_xlfn.XLOOKUP($G1304,'.Auxiliar'!$G:$G,'.Auxiliar'!D:D,"-",0)</f>
        <v>407.4</v>
      </c>
      <c r="E1304" s="55">
        <f>_xlfn.XLOOKUP($G1304,'.Auxiliar'!$G:$G,'.Auxiliar'!E:E,"-",0)</f>
        <v>404.8</v>
      </c>
      <c r="F1304" s="55">
        <f>_xlfn.XLOOKUP($G1304,'.Auxiliar'!$G:$G,'.Auxiliar'!F:F,"-",0)</f>
        <v>2.5999999999999659</v>
      </c>
      <c r="G1304" s="59" t="s">
        <v>1026</v>
      </c>
      <c r="H1304" s="108" t="s">
        <v>0</v>
      </c>
      <c r="I1304" s="109" t="s">
        <v>0</v>
      </c>
      <c r="J1304" s="109" t="s">
        <v>0</v>
      </c>
      <c r="K1304" s="109" t="s">
        <v>0</v>
      </c>
      <c r="L1304" s="109" t="s">
        <v>0</v>
      </c>
      <c r="M1304" s="109" t="s">
        <v>363</v>
      </c>
      <c r="N1304" s="110" t="s">
        <v>0</v>
      </c>
      <c r="O1304" s="111"/>
      <c r="P1304" s="112"/>
      <c r="Q1304" s="112"/>
      <c r="R1304" s="112"/>
      <c r="S1304" s="112"/>
      <c r="T1304" s="112"/>
      <c r="U1304" s="95" t="str">
        <f t="shared" si="63"/>
        <v/>
      </c>
      <c r="V1304" s="112"/>
      <c r="W1304" s="112">
        <v>100</v>
      </c>
      <c r="X1304" s="107"/>
      <c r="Y1304" s="107">
        <f t="shared" si="64"/>
        <v>100</v>
      </c>
      <c r="Z1304" s="107">
        <f t="shared" si="65"/>
        <v>0</v>
      </c>
    </row>
    <row r="1305" spans="1:26" x14ac:dyDescent="0.25">
      <c r="A1305" s="55" t="str">
        <f>_xlfn.XLOOKUP($G1305,'.Auxiliar'!$G:$G,'.Auxiliar'!A:A,"-",0)</f>
        <v>VIA COSTEIRA</v>
      </c>
      <c r="B1305" s="55" t="str">
        <f>_xlfn.XLOOKUP($G1305,'.Auxiliar'!$G:$G,'.Auxiliar'!B:B,"-",0)</f>
        <v>PAVIMENTAÇÃO</v>
      </c>
      <c r="C1305" s="55" t="str">
        <f>_xlfn.XLOOKUP($G1305,'.Auxiliar'!$G:$G,'.Auxiliar'!C:C,"-",0)</f>
        <v>Não Consta (Pista Norte)</v>
      </c>
      <c r="D1305" s="55">
        <f>_xlfn.XLOOKUP($G1305,'.Auxiliar'!$G:$G,'.Auxiliar'!D:D,"-",0)</f>
        <v>414.65</v>
      </c>
      <c r="E1305" s="55">
        <f>_xlfn.XLOOKUP($G1305,'.Auxiliar'!$G:$G,'.Auxiliar'!E:E,"-",0)</f>
        <v>413.2</v>
      </c>
      <c r="F1305" s="55">
        <f>_xlfn.XLOOKUP($G1305,'.Auxiliar'!$G:$G,'.Auxiliar'!F:F,"-",0)</f>
        <v>1.4499999999999886</v>
      </c>
      <c r="G1305" s="59" t="s">
        <v>1025</v>
      </c>
      <c r="H1305" s="108" t="s">
        <v>0</v>
      </c>
      <c r="I1305" s="109" t="s">
        <v>0</v>
      </c>
      <c r="J1305" s="109" t="s">
        <v>0</v>
      </c>
      <c r="K1305" s="109" t="s">
        <v>0</v>
      </c>
      <c r="L1305" s="109" t="s">
        <v>0</v>
      </c>
      <c r="M1305" s="109" t="s">
        <v>363</v>
      </c>
      <c r="N1305" s="110" t="s">
        <v>0</v>
      </c>
      <c r="O1305" s="111"/>
      <c r="P1305" s="112"/>
      <c r="Q1305" s="112"/>
      <c r="R1305" s="112"/>
      <c r="S1305" s="112"/>
      <c r="T1305" s="112"/>
      <c r="U1305" s="95" t="str">
        <f t="shared" si="63"/>
        <v/>
      </c>
      <c r="V1305" s="112"/>
      <c r="W1305" s="112">
        <v>100</v>
      </c>
      <c r="X1305" s="107"/>
      <c r="Y1305" s="107">
        <f t="shared" si="64"/>
        <v>100</v>
      </c>
      <c r="Z1305" s="107">
        <f t="shared" si="65"/>
        <v>0</v>
      </c>
    </row>
    <row r="1306" spans="1:26" x14ac:dyDescent="0.25">
      <c r="A1306" s="55" t="str">
        <f>_xlfn.XLOOKUP($G1306,'.Auxiliar'!$G:$G,'.Auxiliar'!A:A,"-",0)</f>
        <v>VIA COSTEIRA</v>
      </c>
      <c r="B1306" s="55" t="str">
        <f>_xlfn.XLOOKUP($G1306,'.Auxiliar'!$G:$G,'.Auxiliar'!B:B,"-",0)</f>
        <v>PAVIMENTAÇÃO</v>
      </c>
      <c r="C1306" s="55" t="str">
        <f>_xlfn.XLOOKUP($G1306,'.Auxiliar'!$G:$G,'.Auxiliar'!C:C,"-",0)</f>
        <v>Não Consta (Pista Norte)</v>
      </c>
      <c r="D1306" s="55">
        <f>_xlfn.XLOOKUP($G1306,'.Auxiliar'!$G:$G,'.Auxiliar'!D:D,"-",0)</f>
        <v>439.65</v>
      </c>
      <c r="E1306" s="55">
        <f>_xlfn.XLOOKUP($G1306,'.Auxiliar'!$G:$G,'.Auxiliar'!E:E,"-",0)</f>
        <v>437.65</v>
      </c>
      <c r="F1306" s="55">
        <f>_xlfn.XLOOKUP($G1306,'.Auxiliar'!$G:$G,'.Auxiliar'!F:F,"-",0)</f>
        <v>2</v>
      </c>
      <c r="G1306" s="59" t="s">
        <v>1024</v>
      </c>
      <c r="H1306" s="108" t="s">
        <v>0</v>
      </c>
      <c r="I1306" s="109" t="s">
        <v>0</v>
      </c>
      <c r="J1306" s="109" t="s">
        <v>0</v>
      </c>
      <c r="K1306" s="109" t="s">
        <v>0</v>
      </c>
      <c r="L1306" s="109" t="s">
        <v>0</v>
      </c>
      <c r="M1306" s="109" t="s">
        <v>363</v>
      </c>
      <c r="N1306" s="110" t="s">
        <v>0</v>
      </c>
      <c r="O1306" s="111"/>
      <c r="P1306" s="112"/>
      <c r="Q1306" s="112"/>
      <c r="R1306" s="112"/>
      <c r="S1306" s="112"/>
      <c r="T1306" s="112"/>
      <c r="U1306" s="95" t="str">
        <f t="shared" si="63"/>
        <v/>
      </c>
      <c r="V1306" s="112"/>
      <c r="W1306" s="112">
        <v>100</v>
      </c>
      <c r="X1306" s="107"/>
      <c r="Y1306" s="107">
        <f t="shared" si="64"/>
        <v>100</v>
      </c>
      <c r="Z1306" s="107">
        <f t="shared" si="65"/>
        <v>0</v>
      </c>
    </row>
    <row r="1307" spans="1:26" x14ac:dyDescent="0.25">
      <c r="A1307" s="55" t="str">
        <f>_xlfn.XLOOKUP($G1307,'.Auxiliar'!$G:$G,'.Auxiliar'!A:A,"-",0)</f>
        <v>VIA COSTEIRA</v>
      </c>
      <c r="B1307" s="55" t="str">
        <f>_xlfn.XLOOKUP($G1307,'.Auxiliar'!$G:$G,'.Auxiliar'!B:B,"-",0)</f>
        <v>PAVIMENTAÇÃO</v>
      </c>
      <c r="C1307" s="55" t="str">
        <f>_xlfn.XLOOKUP($G1307,'.Auxiliar'!$G:$G,'.Auxiliar'!C:C,"-",0)</f>
        <v>Não Consta (Pista Norte)</v>
      </c>
      <c r="D1307" s="55">
        <f>_xlfn.XLOOKUP($G1307,'.Auxiliar'!$G:$G,'.Auxiliar'!D:D,"-",0)</f>
        <v>443.05</v>
      </c>
      <c r="E1307" s="55">
        <f>_xlfn.XLOOKUP($G1307,'.Auxiliar'!$G:$G,'.Auxiliar'!E:E,"-",0)</f>
        <v>441.75</v>
      </c>
      <c r="F1307" s="55">
        <f>_xlfn.XLOOKUP($G1307,'.Auxiliar'!$G:$G,'.Auxiliar'!F:F,"-",0)</f>
        <v>1.3000000000000114</v>
      </c>
      <c r="G1307" s="59" t="s">
        <v>1089</v>
      </c>
      <c r="H1307" s="108" t="s">
        <v>0</v>
      </c>
      <c r="I1307" s="109" t="s">
        <v>0</v>
      </c>
      <c r="J1307" s="109" t="s">
        <v>0</v>
      </c>
      <c r="K1307" s="109" t="s">
        <v>0</v>
      </c>
      <c r="L1307" s="109" t="s">
        <v>0</v>
      </c>
      <c r="M1307" s="109" t="s">
        <v>0</v>
      </c>
      <c r="N1307" s="110" t="s">
        <v>363</v>
      </c>
      <c r="O1307" s="111"/>
      <c r="P1307" s="112"/>
      <c r="Q1307" s="112"/>
      <c r="R1307" s="112"/>
      <c r="S1307" s="112"/>
      <c r="T1307" s="112"/>
      <c r="U1307" s="95" t="str">
        <f t="shared" si="63"/>
        <v/>
      </c>
      <c r="V1307" s="112"/>
      <c r="W1307" s="112"/>
      <c r="X1307" s="107">
        <v>100</v>
      </c>
      <c r="Y1307" s="107">
        <f t="shared" si="64"/>
        <v>100</v>
      </c>
      <c r="Z1307" s="107">
        <f t="shared" si="65"/>
        <v>0</v>
      </c>
    </row>
    <row r="1308" spans="1:26" x14ac:dyDescent="0.25">
      <c r="A1308" s="55" t="str">
        <f>_xlfn.XLOOKUP($G1308,'.Auxiliar'!$G:$G,'.Auxiliar'!A:A,"-",0)</f>
        <v>VIA COSTEIRA</v>
      </c>
      <c r="B1308" s="55" t="str">
        <f>_xlfn.XLOOKUP($G1308,'.Auxiliar'!$G:$G,'.Auxiliar'!B:B,"-",0)</f>
        <v>PAVIMENTAÇÃO</v>
      </c>
      <c r="C1308" s="55" t="str">
        <f>_xlfn.XLOOKUP($G1308,'.Auxiliar'!$G:$G,'.Auxiliar'!C:C,"-",0)</f>
        <v>Não Consta (Pista Norte)</v>
      </c>
      <c r="D1308" s="55">
        <f>_xlfn.XLOOKUP($G1308,'.Auxiliar'!$G:$G,'.Auxiliar'!D:D,"-",0)</f>
        <v>448.2</v>
      </c>
      <c r="E1308" s="55">
        <f>_xlfn.XLOOKUP($G1308,'.Auxiliar'!$G:$G,'.Auxiliar'!E:E,"-",0)</f>
        <v>447.2</v>
      </c>
      <c r="F1308" s="55">
        <f>_xlfn.XLOOKUP($G1308,'.Auxiliar'!$G:$G,'.Auxiliar'!F:F,"-",0)</f>
        <v>1</v>
      </c>
      <c r="G1308" s="59" t="s">
        <v>1088</v>
      </c>
      <c r="H1308" s="108" t="s">
        <v>0</v>
      </c>
      <c r="I1308" s="109" t="s">
        <v>0</v>
      </c>
      <c r="J1308" s="109" t="s">
        <v>0</v>
      </c>
      <c r="K1308" s="109" t="s">
        <v>0</v>
      </c>
      <c r="L1308" s="109" t="s">
        <v>0</v>
      </c>
      <c r="M1308" s="109" t="s">
        <v>0</v>
      </c>
      <c r="N1308" s="110" t="s">
        <v>363</v>
      </c>
      <c r="O1308" s="111"/>
      <c r="P1308" s="112"/>
      <c r="Q1308" s="112"/>
      <c r="R1308" s="112"/>
      <c r="S1308" s="112"/>
      <c r="T1308" s="112"/>
      <c r="U1308" s="95" t="str">
        <f t="shared" si="63"/>
        <v/>
      </c>
      <c r="V1308" s="112"/>
      <c r="W1308" s="112"/>
      <c r="X1308" s="107">
        <v>100</v>
      </c>
      <c r="Y1308" s="107">
        <f t="shared" si="64"/>
        <v>100</v>
      </c>
      <c r="Z1308" s="107">
        <f t="shared" si="65"/>
        <v>0</v>
      </c>
    </row>
    <row r="1309" spans="1:26" x14ac:dyDescent="0.25">
      <c r="A1309" s="55" t="str">
        <f>_xlfn.XLOOKUP($G1309,'.Auxiliar'!$G:$G,'.Auxiliar'!A:A,"-",0)</f>
        <v>VIA COSTEIRA</v>
      </c>
      <c r="B1309" s="55" t="str">
        <f>_xlfn.XLOOKUP($G1309,'.Auxiliar'!$G:$G,'.Auxiliar'!B:B,"-",0)</f>
        <v>PAVIMENTAÇÃO</v>
      </c>
      <c r="C1309" s="55" t="str">
        <f>_xlfn.XLOOKUP($G1309,'.Auxiliar'!$G:$G,'.Auxiliar'!C:C,"-",0)</f>
        <v>Não Consta (Pista Norte)</v>
      </c>
      <c r="D1309" s="55">
        <f>_xlfn.XLOOKUP($G1309,'.Auxiliar'!$G:$G,'.Auxiliar'!D:D,"-",0)</f>
        <v>458</v>
      </c>
      <c r="E1309" s="55">
        <f>_xlfn.XLOOKUP($G1309,'.Auxiliar'!$G:$G,'.Auxiliar'!E:E,"-",0)</f>
        <v>456</v>
      </c>
      <c r="F1309" s="55">
        <f>_xlfn.XLOOKUP($G1309,'.Auxiliar'!$G:$G,'.Auxiliar'!F:F,"-",0)</f>
        <v>2</v>
      </c>
      <c r="G1309" s="59" t="s">
        <v>1087</v>
      </c>
      <c r="H1309" s="108" t="s">
        <v>0</v>
      </c>
      <c r="I1309" s="109" t="s">
        <v>0</v>
      </c>
      <c r="J1309" s="109" t="s">
        <v>0</v>
      </c>
      <c r="K1309" s="109" t="s">
        <v>0</v>
      </c>
      <c r="L1309" s="109" t="s">
        <v>0</v>
      </c>
      <c r="M1309" s="109" t="s">
        <v>0</v>
      </c>
      <c r="N1309" s="110" t="s">
        <v>363</v>
      </c>
      <c r="O1309" s="111"/>
      <c r="P1309" s="112"/>
      <c r="Q1309" s="112"/>
      <c r="R1309" s="112"/>
      <c r="S1309" s="112"/>
      <c r="T1309" s="112"/>
      <c r="U1309" s="95" t="str">
        <f t="shared" si="63"/>
        <v/>
      </c>
      <c r="V1309" s="112"/>
      <c r="W1309" s="112"/>
      <c r="X1309" s="107">
        <v>100</v>
      </c>
      <c r="Y1309" s="107">
        <f t="shared" si="64"/>
        <v>100</v>
      </c>
      <c r="Z1309" s="107">
        <f t="shared" si="65"/>
        <v>0</v>
      </c>
    </row>
    <row r="1310" spans="1:26" x14ac:dyDescent="0.25">
      <c r="A1310" s="55" t="str">
        <f>_xlfn.XLOOKUP($G1310,'.Auxiliar'!$G:$G,'.Auxiliar'!A:A,"-",0)</f>
        <v>VIA COSTEIRA</v>
      </c>
      <c r="B1310" s="55" t="str">
        <f>_xlfn.XLOOKUP($G1310,'.Auxiliar'!$G:$G,'.Auxiliar'!B:B,"-",0)</f>
        <v>PAVIMENTAÇÃO</v>
      </c>
      <c r="C1310" s="55" t="str">
        <f>_xlfn.XLOOKUP($G1310,'.Auxiliar'!$G:$G,'.Auxiliar'!C:C,"-",0)</f>
        <v>Não Consta (pista Sul)</v>
      </c>
      <c r="D1310" s="55">
        <f>_xlfn.XLOOKUP($G1310,'.Auxiliar'!$G:$G,'.Auxiliar'!D:D,"-",0)</f>
        <v>249.78</v>
      </c>
      <c r="E1310" s="55">
        <f>_xlfn.XLOOKUP($G1310,'.Auxiliar'!$G:$G,'.Auxiliar'!E:E,"-",0)</f>
        <v>250.42</v>
      </c>
      <c r="F1310" s="55">
        <f>_xlfn.XLOOKUP($G1310,'.Auxiliar'!$G:$G,'.Auxiliar'!F:F,"-",0)</f>
        <v>0.63999999999998636</v>
      </c>
      <c r="G1310" s="59" t="s">
        <v>1018</v>
      </c>
      <c r="H1310" s="108" t="s">
        <v>0</v>
      </c>
      <c r="I1310" s="109" t="s">
        <v>0</v>
      </c>
      <c r="J1310" s="109" t="s">
        <v>0</v>
      </c>
      <c r="K1310" s="109" t="s">
        <v>0</v>
      </c>
      <c r="L1310" s="109" t="s">
        <v>0</v>
      </c>
      <c r="M1310" s="109" t="s">
        <v>363</v>
      </c>
      <c r="N1310" s="110" t="s">
        <v>0</v>
      </c>
      <c r="O1310" s="111"/>
      <c r="P1310" s="112"/>
      <c r="Q1310" s="112"/>
      <c r="R1310" s="112"/>
      <c r="S1310" s="112"/>
      <c r="T1310" s="112"/>
      <c r="U1310" s="95" t="str">
        <f t="shared" si="63"/>
        <v/>
      </c>
      <c r="V1310" s="112"/>
      <c r="W1310" s="112">
        <v>100</v>
      </c>
      <c r="X1310" s="107"/>
      <c r="Y1310" s="107">
        <f t="shared" si="64"/>
        <v>100</v>
      </c>
      <c r="Z1310" s="107">
        <f t="shared" si="65"/>
        <v>0</v>
      </c>
    </row>
    <row r="1311" spans="1:26" x14ac:dyDescent="0.25">
      <c r="A1311" s="55" t="str">
        <f>_xlfn.XLOOKUP($G1311,'.Auxiliar'!$G:$G,'.Auxiliar'!A:A,"-",0)</f>
        <v>VIA COSTEIRA</v>
      </c>
      <c r="B1311" s="55" t="str">
        <f>_xlfn.XLOOKUP($G1311,'.Auxiliar'!$G:$G,'.Auxiliar'!B:B,"-",0)</f>
        <v>PAVIMENTAÇÃO</v>
      </c>
      <c r="C1311" s="55" t="str">
        <f>_xlfn.XLOOKUP($G1311,'.Auxiliar'!$G:$G,'.Auxiliar'!C:C,"-",0)</f>
        <v>Não Consta (pista Sul)</v>
      </c>
      <c r="D1311" s="55">
        <f>_xlfn.XLOOKUP($G1311,'.Auxiliar'!$G:$G,'.Auxiliar'!D:D,"-",0)</f>
        <v>251.7</v>
      </c>
      <c r="E1311" s="55">
        <f>_xlfn.XLOOKUP($G1311,'.Auxiliar'!$G:$G,'.Auxiliar'!E:E,"-",0)</f>
        <v>252.3</v>
      </c>
      <c r="F1311" s="55">
        <f>_xlfn.XLOOKUP($G1311,'.Auxiliar'!$G:$G,'.Auxiliar'!F:F,"-",0)</f>
        <v>0.60000000000002274</v>
      </c>
      <c r="G1311" s="59" t="s">
        <v>1019</v>
      </c>
      <c r="H1311" s="108" t="s">
        <v>0</v>
      </c>
      <c r="I1311" s="109" t="s">
        <v>0</v>
      </c>
      <c r="J1311" s="109" t="s">
        <v>0</v>
      </c>
      <c r="K1311" s="109" t="s">
        <v>0</v>
      </c>
      <c r="L1311" s="109" t="s">
        <v>0</v>
      </c>
      <c r="M1311" s="109" t="s">
        <v>363</v>
      </c>
      <c r="N1311" s="110" t="s">
        <v>0</v>
      </c>
      <c r="O1311" s="111"/>
      <c r="P1311" s="112"/>
      <c r="Q1311" s="112"/>
      <c r="R1311" s="112"/>
      <c r="S1311" s="112"/>
      <c r="T1311" s="112"/>
      <c r="U1311" s="95" t="str">
        <f t="shared" si="63"/>
        <v/>
      </c>
      <c r="V1311" s="112"/>
      <c r="W1311" s="112">
        <v>100</v>
      </c>
      <c r="X1311" s="107"/>
      <c r="Y1311" s="107">
        <f t="shared" si="64"/>
        <v>100</v>
      </c>
      <c r="Z1311" s="107">
        <f t="shared" si="65"/>
        <v>0</v>
      </c>
    </row>
    <row r="1312" spans="1:26" x14ac:dyDescent="0.25">
      <c r="A1312" s="55" t="str">
        <f>_xlfn.XLOOKUP($G1312,'.Auxiliar'!$G:$G,'.Auxiliar'!A:A,"-",0)</f>
        <v>VIA COSTEIRA</v>
      </c>
      <c r="B1312" s="55" t="str">
        <f>_xlfn.XLOOKUP($G1312,'.Auxiliar'!$G:$G,'.Auxiliar'!B:B,"-",0)</f>
        <v>PAVIMENTAÇÃO</v>
      </c>
      <c r="C1312" s="55" t="str">
        <f>_xlfn.XLOOKUP($G1312,'.Auxiliar'!$G:$G,'.Auxiliar'!C:C,"-",0)</f>
        <v>Não Consta (pista Sul)</v>
      </c>
      <c r="D1312" s="55">
        <f>_xlfn.XLOOKUP($G1312,'.Auxiliar'!$G:$G,'.Auxiliar'!D:D,"-",0)</f>
        <v>252.35</v>
      </c>
      <c r="E1312" s="55">
        <f>_xlfn.XLOOKUP($G1312,'.Auxiliar'!$G:$G,'.Auxiliar'!E:E,"-",0)</f>
        <v>252.92</v>
      </c>
      <c r="F1312" s="55">
        <f>_xlfn.XLOOKUP($G1312,'.Auxiliar'!$G:$G,'.Auxiliar'!F:F,"-",0)</f>
        <v>0.56999999999999318</v>
      </c>
      <c r="G1312" s="59" t="s">
        <v>1020</v>
      </c>
      <c r="H1312" s="108" t="s">
        <v>0</v>
      </c>
      <c r="I1312" s="109" t="s">
        <v>0</v>
      </c>
      <c r="J1312" s="109" t="s">
        <v>0</v>
      </c>
      <c r="K1312" s="109" t="s">
        <v>0</v>
      </c>
      <c r="L1312" s="109" t="s">
        <v>0</v>
      </c>
      <c r="M1312" s="109" t="s">
        <v>363</v>
      </c>
      <c r="N1312" s="110" t="s">
        <v>0</v>
      </c>
      <c r="O1312" s="111"/>
      <c r="P1312" s="112"/>
      <c r="Q1312" s="112"/>
      <c r="R1312" s="112"/>
      <c r="S1312" s="112"/>
      <c r="T1312" s="112"/>
      <c r="U1312" s="95" t="str">
        <f t="shared" si="63"/>
        <v/>
      </c>
      <c r="V1312" s="112"/>
      <c r="W1312" s="112">
        <v>100</v>
      </c>
      <c r="X1312" s="107"/>
      <c r="Y1312" s="107">
        <f t="shared" si="64"/>
        <v>100</v>
      </c>
      <c r="Z1312" s="107">
        <f t="shared" si="65"/>
        <v>0</v>
      </c>
    </row>
    <row r="1313" spans="1:26" x14ac:dyDescent="0.25">
      <c r="A1313" s="55" t="str">
        <f>_xlfn.XLOOKUP($G1313,'.Auxiliar'!$G:$G,'.Auxiliar'!A:A,"-",0)</f>
        <v>VIA COSTEIRA</v>
      </c>
      <c r="B1313" s="55" t="str">
        <f>_xlfn.XLOOKUP($G1313,'.Auxiliar'!$G:$G,'.Auxiliar'!B:B,"-",0)</f>
        <v>PAVIMENTAÇÃO</v>
      </c>
      <c r="C1313" s="55" t="str">
        <f>_xlfn.XLOOKUP($G1313,'.Auxiliar'!$G:$G,'.Auxiliar'!C:C,"-",0)</f>
        <v>Não Consta (pista Sul)</v>
      </c>
      <c r="D1313" s="55">
        <f>_xlfn.XLOOKUP($G1313,'.Auxiliar'!$G:$G,'.Auxiliar'!D:D,"-",0)</f>
        <v>263.63</v>
      </c>
      <c r="E1313" s="55">
        <f>_xlfn.XLOOKUP($G1313,'.Auxiliar'!$G:$G,'.Auxiliar'!E:E,"-",0)</f>
        <v>264.47000000000003</v>
      </c>
      <c r="F1313" s="55">
        <f>_xlfn.XLOOKUP($G1313,'.Auxiliar'!$G:$G,'.Auxiliar'!F:F,"-",0)</f>
        <v>0.84000000000003183</v>
      </c>
      <c r="G1313" s="59" t="s">
        <v>1021</v>
      </c>
      <c r="H1313" s="108" t="s">
        <v>0</v>
      </c>
      <c r="I1313" s="109" t="s">
        <v>0</v>
      </c>
      <c r="J1313" s="109" t="s">
        <v>0</v>
      </c>
      <c r="K1313" s="109" t="s">
        <v>0</v>
      </c>
      <c r="L1313" s="109" t="s">
        <v>0</v>
      </c>
      <c r="M1313" s="109" t="s">
        <v>363</v>
      </c>
      <c r="N1313" s="110" t="s">
        <v>0</v>
      </c>
      <c r="O1313" s="111"/>
      <c r="P1313" s="112"/>
      <c r="Q1313" s="112"/>
      <c r="R1313" s="112"/>
      <c r="S1313" s="112"/>
      <c r="T1313" s="112"/>
      <c r="U1313" s="95" t="str">
        <f t="shared" si="63"/>
        <v/>
      </c>
      <c r="V1313" s="112"/>
      <c r="W1313" s="112">
        <v>100</v>
      </c>
      <c r="X1313" s="107"/>
      <c r="Y1313" s="107">
        <f t="shared" si="64"/>
        <v>100</v>
      </c>
      <c r="Z1313" s="107">
        <f t="shared" si="65"/>
        <v>0</v>
      </c>
    </row>
    <row r="1314" spans="1:26" x14ac:dyDescent="0.25">
      <c r="A1314" s="55" t="str">
        <f>_xlfn.XLOOKUP($G1314,'.Auxiliar'!$G:$G,'.Auxiliar'!A:A,"-",0)</f>
        <v>VIA COSTEIRA</v>
      </c>
      <c r="B1314" s="55" t="str">
        <f>_xlfn.XLOOKUP($G1314,'.Auxiliar'!$G:$G,'.Auxiliar'!B:B,"-",0)</f>
        <v>PAVIMENTAÇÃO</v>
      </c>
      <c r="C1314" s="55" t="str">
        <f>_xlfn.XLOOKUP($G1314,'.Auxiliar'!$G:$G,'.Auxiliar'!C:C,"-",0)</f>
        <v>Não Consta (pista Sul)</v>
      </c>
      <c r="D1314" s="55">
        <f>_xlfn.XLOOKUP($G1314,'.Auxiliar'!$G:$G,'.Auxiliar'!D:D,"-",0)</f>
        <v>268.95999999999998</v>
      </c>
      <c r="E1314" s="55">
        <f>_xlfn.XLOOKUP($G1314,'.Auxiliar'!$G:$G,'.Auxiliar'!E:E,"-",0)</f>
        <v>269.08</v>
      </c>
      <c r="F1314" s="55">
        <f>_xlfn.XLOOKUP($G1314,'.Auxiliar'!$G:$G,'.Auxiliar'!F:F,"-",0)</f>
        <v>0.12000000000000455</v>
      </c>
      <c r="G1314" s="59" t="s">
        <v>1022</v>
      </c>
      <c r="H1314" s="108" t="s">
        <v>0</v>
      </c>
      <c r="I1314" s="109" t="s">
        <v>0</v>
      </c>
      <c r="J1314" s="109" t="s">
        <v>0</v>
      </c>
      <c r="K1314" s="109" t="s">
        <v>0</v>
      </c>
      <c r="L1314" s="109" t="s">
        <v>0</v>
      </c>
      <c r="M1314" s="109" t="s">
        <v>363</v>
      </c>
      <c r="N1314" s="110" t="s">
        <v>0</v>
      </c>
      <c r="O1314" s="111"/>
      <c r="P1314" s="112"/>
      <c r="Q1314" s="112"/>
      <c r="R1314" s="112"/>
      <c r="S1314" s="112"/>
      <c r="T1314" s="112"/>
      <c r="U1314" s="95" t="str">
        <f t="shared" si="63"/>
        <v/>
      </c>
      <c r="V1314" s="112"/>
      <c r="W1314" s="112">
        <v>100</v>
      </c>
      <c r="X1314" s="107"/>
      <c r="Y1314" s="107">
        <f t="shared" si="64"/>
        <v>100</v>
      </c>
      <c r="Z1314" s="107">
        <f t="shared" si="65"/>
        <v>0</v>
      </c>
    </row>
    <row r="1315" spans="1:26" x14ac:dyDescent="0.25">
      <c r="A1315" s="55" t="str">
        <f>_xlfn.XLOOKUP($G1315,'.Auxiliar'!$G:$G,'.Auxiliar'!A:A,"-",0)</f>
        <v>VIA COSTEIRA</v>
      </c>
      <c r="B1315" s="55" t="str">
        <f>_xlfn.XLOOKUP($G1315,'.Auxiliar'!$G:$G,'.Auxiliar'!B:B,"-",0)</f>
        <v>PAVIMENTAÇÃO</v>
      </c>
      <c r="C1315" s="55" t="str">
        <f>_xlfn.XLOOKUP($G1315,'.Auxiliar'!$G:$G,'.Auxiliar'!C:C,"-",0)</f>
        <v>Não Consta (pista Sul)</v>
      </c>
      <c r="D1315" s="55">
        <f>_xlfn.XLOOKUP($G1315,'.Auxiliar'!$G:$G,'.Auxiliar'!D:D,"-",0)</f>
        <v>269.42</v>
      </c>
      <c r="E1315" s="55">
        <f>_xlfn.XLOOKUP($G1315,'.Auxiliar'!$G:$G,'.Auxiliar'!E:E,"-",0)</f>
        <v>269.98</v>
      </c>
      <c r="F1315" s="55">
        <f>_xlfn.XLOOKUP($G1315,'.Auxiliar'!$G:$G,'.Auxiliar'!F:F,"-",0)</f>
        <v>0.56000000000000227</v>
      </c>
      <c r="G1315" s="59" t="s">
        <v>1023</v>
      </c>
      <c r="H1315" s="108" t="s">
        <v>0</v>
      </c>
      <c r="I1315" s="109" t="s">
        <v>0</v>
      </c>
      <c r="J1315" s="109" t="s">
        <v>0</v>
      </c>
      <c r="K1315" s="109" t="s">
        <v>0</v>
      </c>
      <c r="L1315" s="109" t="s">
        <v>0</v>
      </c>
      <c r="M1315" s="109" t="s">
        <v>363</v>
      </c>
      <c r="N1315" s="110" t="s">
        <v>0</v>
      </c>
      <c r="O1315" s="111"/>
      <c r="P1315" s="112"/>
      <c r="Q1315" s="112"/>
      <c r="R1315" s="112"/>
      <c r="S1315" s="112"/>
      <c r="T1315" s="112"/>
      <c r="U1315" s="95" t="str">
        <f t="shared" si="63"/>
        <v/>
      </c>
      <c r="V1315" s="112"/>
      <c r="W1315" s="112">
        <v>100</v>
      </c>
      <c r="X1315" s="107"/>
      <c r="Y1315" s="107">
        <f t="shared" si="64"/>
        <v>100</v>
      </c>
      <c r="Z1315" s="107">
        <f t="shared" si="65"/>
        <v>0</v>
      </c>
    </row>
    <row r="1316" spans="1:26" x14ac:dyDescent="0.25">
      <c r="A1316" s="55" t="str">
        <f>_xlfn.XLOOKUP($G1316,'.Auxiliar'!$G:$G,'.Auxiliar'!A:A,"-",0)</f>
        <v>VIA COSTEIRA</v>
      </c>
      <c r="B1316" s="55" t="str">
        <f>_xlfn.XLOOKUP($G1316,'.Auxiliar'!$G:$G,'.Auxiliar'!B:B,"-",0)</f>
        <v>PAVIMENTAÇÃO</v>
      </c>
      <c r="C1316" s="55" t="str">
        <f>_xlfn.XLOOKUP($G1316,'.Auxiliar'!$G:$G,'.Auxiliar'!C:C,"-",0)</f>
        <v>Não Consta (pista Sul)</v>
      </c>
      <c r="D1316" s="55">
        <f>_xlfn.XLOOKUP($G1316,'.Auxiliar'!$G:$G,'.Auxiliar'!D:D,"-",0)</f>
        <v>273.02999999999997</v>
      </c>
      <c r="E1316" s="55">
        <f>_xlfn.XLOOKUP($G1316,'.Auxiliar'!$G:$G,'.Auxiliar'!E:E,"-",0)</f>
        <v>276</v>
      </c>
      <c r="F1316" s="55">
        <f>_xlfn.XLOOKUP($G1316,'.Auxiliar'!$G:$G,'.Auxiliar'!F:F,"-",0)</f>
        <v>2.9700000000000273</v>
      </c>
      <c r="G1316" s="59" t="s">
        <v>869</v>
      </c>
      <c r="H1316" s="108" t="s">
        <v>0</v>
      </c>
      <c r="I1316" s="109" t="s">
        <v>0</v>
      </c>
      <c r="J1316" s="109" t="s">
        <v>363</v>
      </c>
      <c r="K1316" s="109" t="s">
        <v>0</v>
      </c>
      <c r="L1316" s="109" t="s">
        <v>0</v>
      </c>
      <c r="M1316" s="109" t="s">
        <v>0</v>
      </c>
      <c r="N1316" s="110" t="s">
        <v>0</v>
      </c>
      <c r="O1316" s="111"/>
      <c r="P1316" s="112"/>
      <c r="Q1316" s="112">
        <v>0</v>
      </c>
      <c r="R1316" s="112">
        <v>26.8</v>
      </c>
      <c r="S1316" s="112">
        <f t="shared" ref="S1316:S1318" si="66">100-R1316</f>
        <v>73.2</v>
      </c>
      <c r="T1316" s="112">
        <v>58.28</v>
      </c>
      <c r="U1316" s="95">
        <f t="shared" si="63"/>
        <v>73.2</v>
      </c>
      <c r="V1316" s="112"/>
      <c r="W1316" s="112"/>
      <c r="X1316" s="107"/>
      <c r="Y1316" s="107">
        <f t="shared" si="64"/>
        <v>100</v>
      </c>
      <c r="Z1316" s="107">
        <f t="shared" si="65"/>
        <v>85.08</v>
      </c>
    </row>
    <row r="1317" spans="1:26" x14ac:dyDescent="0.25">
      <c r="A1317" s="55" t="str">
        <f>_xlfn.XLOOKUP($G1317,'.Auxiliar'!$G:$G,'.Auxiliar'!A:A,"-",0)</f>
        <v>VIA COSTEIRA</v>
      </c>
      <c r="B1317" s="55" t="str">
        <f>_xlfn.XLOOKUP($G1317,'.Auxiliar'!$G:$G,'.Auxiliar'!B:B,"-",0)</f>
        <v>PAVIMENTAÇÃO</v>
      </c>
      <c r="C1317" s="55" t="str">
        <f>_xlfn.XLOOKUP($G1317,'.Auxiliar'!$G:$G,'.Auxiliar'!C:C,"-",0)</f>
        <v>Não Consta (pista Sul)</v>
      </c>
      <c r="D1317" s="55">
        <f>_xlfn.XLOOKUP($G1317,'.Auxiliar'!$G:$G,'.Auxiliar'!D:D,"-",0)</f>
        <v>276.72000000000003</v>
      </c>
      <c r="E1317" s="55">
        <f>_xlfn.XLOOKUP($G1317,'.Auxiliar'!$G:$G,'.Auxiliar'!E:E,"-",0)</f>
        <v>277.83999999999997</v>
      </c>
      <c r="F1317" s="55">
        <f>_xlfn.XLOOKUP($G1317,'.Auxiliar'!$G:$G,'.Auxiliar'!F:F,"-",0)</f>
        <v>1.1199999999999477</v>
      </c>
      <c r="G1317" s="59" t="s">
        <v>870</v>
      </c>
      <c r="H1317" s="108" t="s">
        <v>0</v>
      </c>
      <c r="I1317" s="109" t="s">
        <v>0</v>
      </c>
      <c r="J1317" s="109" t="s">
        <v>363</v>
      </c>
      <c r="K1317" s="109" t="s">
        <v>0</v>
      </c>
      <c r="L1317" s="109" t="s">
        <v>0</v>
      </c>
      <c r="M1317" s="109" t="s">
        <v>0</v>
      </c>
      <c r="N1317" s="110" t="s">
        <v>0</v>
      </c>
      <c r="O1317" s="111"/>
      <c r="P1317" s="112"/>
      <c r="Q1317" s="112">
        <v>0</v>
      </c>
      <c r="R1317" s="112">
        <v>26.8</v>
      </c>
      <c r="S1317" s="112">
        <f t="shared" si="66"/>
        <v>73.2</v>
      </c>
      <c r="T1317" s="112">
        <v>59.59</v>
      </c>
      <c r="U1317" s="95">
        <f t="shared" si="63"/>
        <v>73.2</v>
      </c>
      <c r="V1317" s="112"/>
      <c r="W1317" s="112"/>
      <c r="X1317" s="107"/>
      <c r="Y1317" s="107">
        <f t="shared" si="64"/>
        <v>100</v>
      </c>
      <c r="Z1317" s="107">
        <f t="shared" si="65"/>
        <v>86.39</v>
      </c>
    </row>
    <row r="1318" spans="1:26" x14ac:dyDescent="0.25">
      <c r="A1318" s="55" t="str">
        <f>_xlfn.XLOOKUP($G1318,'.Auxiliar'!$G:$G,'.Auxiliar'!A:A,"-",0)</f>
        <v>VIA COSTEIRA</v>
      </c>
      <c r="B1318" s="55" t="str">
        <f>_xlfn.XLOOKUP($G1318,'.Auxiliar'!$G:$G,'.Auxiliar'!B:B,"-",0)</f>
        <v>PAVIMENTAÇÃO</v>
      </c>
      <c r="C1318" s="55" t="str">
        <f>_xlfn.XLOOKUP($G1318,'.Auxiliar'!$G:$G,'.Auxiliar'!C:C,"-",0)</f>
        <v>Não Consta (pista Sul)</v>
      </c>
      <c r="D1318" s="55">
        <f>_xlfn.XLOOKUP($G1318,'.Auxiliar'!$G:$G,'.Auxiliar'!D:D,"-",0)</f>
        <v>279.07</v>
      </c>
      <c r="E1318" s="55">
        <f>_xlfn.XLOOKUP($G1318,'.Auxiliar'!$G:$G,'.Auxiliar'!E:E,"-",0)</f>
        <v>279.75</v>
      </c>
      <c r="F1318" s="55">
        <f>_xlfn.XLOOKUP($G1318,'.Auxiliar'!$G:$G,'.Auxiliar'!F:F,"-",0)</f>
        <v>0.68000000000000682</v>
      </c>
      <c r="G1318" s="59" t="s">
        <v>871</v>
      </c>
      <c r="H1318" s="108" t="s">
        <v>0</v>
      </c>
      <c r="I1318" s="109" t="s">
        <v>0</v>
      </c>
      <c r="J1318" s="109" t="s">
        <v>363</v>
      </c>
      <c r="K1318" s="109" t="s">
        <v>0</v>
      </c>
      <c r="L1318" s="109" t="s">
        <v>0</v>
      </c>
      <c r="M1318" s="109" t="s">
        <v>0</v>
      </c>
      <c r="N1318" s="110" t="s">
        <v>0</v>
      </c>
      <c r="O1318" s="111"/>
      <c r="P1318" s="112"/>
      <c r="Q1318" s="112">
        <v>0</v>
      </c>
      <c r="R1318" s="112">
        <v>13.98</v>
      </c>
      <c r="S1318" s="112">
        <f t="shared" si="66"/>
        <v>86.02</v>
      </c>
      <c r="T1318" s="112">
        <v>81.91</v>
      </c>
      <c r="U1318" s="95">
        <f t="shared" si="63"/>
        <v>86.02</v>
      </c>
      <c r="V1318" s="112"/>
      <c r="W1318" s="112"/>
      <c r="X1318" s="107"/>
      <c r="Y1318" s="107">
        <f t="shared" si="64"/>
        <v>100</v>
      </c>
      <c r="Z1318" s="107">
        <f t="shared" si="65"/>
        <v>95.89</v>
      </c>
    </row>
    <row r="1319" spans="1:26" x14ac:dyDescent="0.25">
      <c r="A1319" s="55" t="str">
        <f>_xlfn.XLOOKUP($G1319,'.Auxiliar'!$G:$G,'.Auxiliar'!A:A,"-",0)</f>
        <v>VIA COSTEIRA</v>
      </c>
      <c r="B1319" s="55" t="str">
        <f>_xlfn.XLOOKUP($G1319,'.Auxiliar'!$G:$G,'.Auxiliar'!B:B,"-",0)</f>
        <v>PAVIMENTAÇÃO</v>
      </c>
      <c r="C1319" s="55" t="str">
        <f>_xlfn.XLOOKUP($G1319,'.Auxiliar'!$G:$G,'.Auxiliar'!C:C,"-",0)</f>
        <v>Não Consta (pista Sul)</v>
      </c>
      <c r="D1319" s="55">
        <f>_xlfn.XLOOKUP($G1319,'.Auxiliar'!$G:$G,'.Auxiliar'!D:D,"-",0)</f>
        <v>280</v>
      </c>
      <c r="E1319" s="55">
        <f>_xlfn.XLOOKUP($G1319,'.Auxiliar'!$G:$G,'.Auxiliar'!E:E,"-",0)</f>
        <v>281.8</v>
      </c>
      <c r="F1319" s="55">
        <f>_xlfn.XLOOKUP($G1319,'.Auxiliar'!$G:$G,'.Auxiliar'!F:F,"-",0)</f>
        <v>1.8000000000000114</v>
      </c>
      <c r="G1319" s="59" t="s">
        <v>985</v>
      </c>
      <c r="H1319" s="108" t="s">
        <v>0</v>
      </c>
      <c r="I1319" s="109" t="s">
        <v>0</v>
      </c>
      <c r="J1319" s="109" t="s">
        <v>0</v>
      </c>
      <c r="K1319" s="109" t="s">
        <v>0</v>
      </c>
      <c r="L1319" s="109" t="s">
        <v>363</v>
      </c>
      <c r="M1319" s="109" t="s">
        <v>0</v>
      </c>
      <c r="N1319" s="110" t="s">
        <v>0</v>
      </c>
      <c r="O1319" s="111"/>
      <c r="P1319" s="112"/>
      <c r="Q1319" s="112"/>
      <c r="R1319" s="112"/>
      <c r="S1319" s="112"/>
      <c r="T1319" s="112"/>
      <c r="U1319" s="95" t="str">
        <f t="shared" si="63"/>
        <v/>
      </c>
      <c r="V1319" s="112">
        <v>100</v>
      </c>
      <c r="W1319" s="112"/>
      <c r="X1319" s="107"/>
      <c r="Y1319" s="107">
        <f t="shared" si="64"/>
        <v>100</v>
      </c>
      <c r="Z1319" s="107">
        <f t="shared" si="65"/>
        <v>0</v>
      </c>
    </row>
    <row r="1320" spans="1:26" x14ac:dyDescent="0.25">
      <c r="A1320" s="55" t="str">
        <f>_xlfn.XLOOKUP($G1320,'.Auxiliar'!$G:$G,'.Auxiliar'!A:A,"-",0)</f>
        <v>VIA COSTEIRA</v>
      </c>
      <c r="B1320" s="55" t="str">
        <f>_xlfn.XLOOKUP($G1320,'.Auxiliar'!$G:$G,'.Auxiliar'!B:B,"-",0)</f>
        <v>PAVIMENTAÇÃO</v>
      </c>
      <c r="C1320" s="55" t="str">
        <f>_xlfn.XLOOKUP($G1320,'.Auxiliar'!$G:$G,'.Auxiliar'!C:C,"-",0)</f>
        <v>Não Consta (pista Sul)</v>
      </c>
      <c r="D1320" s="55">
        <f>_xlfn.XLOOKUP($G1320,'.Auxiliar'!$G:$G,'.Auxiliar'!D:D,"-",0)</f>
        <v>282.7</v>
      </c>
      <c r="E1320" s="55">
        <f>_xlfn.XLOOKUP($G1320,'.Auxiliar'!$G:$G,'.Auxiliar'!E:E,"-",0)</f>
        <v>284.02999999999997</v>
      </c>
      <c r="F1320" s="55">
        <f>_xlfn.XLOOKUP($G1320,'.Auxiliar'!$G:$G,'.Auxiliar'!F:F,"-",0)</f>
        <v>1.3299999999999841</v>
      </c>
      <c r="G1320" s="59" t="s">
        <v>986</v>
      </c>
      <c r="H1320" s="108" t="s">
        <v>0</v>
      </c>
      <c r="I1320" s="109" t="s">
        <v>0</v>
      </c>
      <c r="J1320" s="109" t="s">
        <v>0</v>
      </c>
      <c r="K1320" s="109" t="s">
        <v>0</v>
      </c>
      <c r="L1320" s="109" t="s">
        <v>363</v>
      </c>
      <c r="M1320" s="109" t="s">
        <v>0</v>
      </c>
      <c r="N1320" s="110" t="s">
        <v>0</v>
      </c>
      <c r="O1320" s="111"/>
      <c r="P1320" s="112"/>
      <c r="Q1320" s="112"/>
      <c r="R1320" s="112"/>
      <c r="S1320" s="112"/>
      <c r="T1320" s="112"/>
      <c r="U1320" s="95" t="str">
        <f t="shared" si="63"/>
        <v/>
      </c>
      <c r="V1320" s="112">
        <v>100</v>
      </c>
      <c r="W1320" s="112"/>
      <c r="X1320" s="107"/>
      <c r="Y1320" s="107">
        <f t="shared" si="64"/>
        <v>100</v>
      </c>
      <c r="Z1320" s="107">
        <f t="shared" si="65"/>
        <v>0</v>
      </c>
    </row>
    <row r="1321" spans="1:26" x14ac:dyDescent="0.25">
      <c r="A1321" s="55" t="str">
        <f>_xlfn.XLOOKUP($G1321,'.Auxiliar'!$G:$G,'.Auxiliar'!A:A,"-",0)</f>
        <v>VIA COSTEIRA</v>
      </c>
      <c r="B1321" s="55" t="str">
        <f>_xlfn.XLOOKUP($G1321,'.Auxiliar'!$G:$G,'.Auxiliar'!B:B,"-",0)</f>
        <v>PAVIMENTAÇÃO</v>
      </c>
      <c r="C1321" s="55" t="str">
        <f>_xlfn.XLOOKUP($G1321,'.Auxiliar'!$G:$G,'.Auxiliar'!C:C,"-",0)</f>
        <v>Não Consta (pista Sul)</v>
      </c>
      <c r="D1321" s="55">
        <f>_xlfn.XLOOKUP($G1321,'.Auxiliar'!$G:$G,'.Auxiliar'!D:D,"-",0)</f>
        <v>287.5</v>
      </c>
      <c r="E1321" s="55">
        <f>_xlfn.XLOOKUP($G1321,'.Auxiliar'!$G:$G,'.Auxiliar'!E:E,"-",0)</f>
        <v>288.04000000000002</v>
      </c>
      <c r="F1321" s="55">
        <f>_xlfn.XLOOKUP($G1321,'.Auxiliar'!$G:$G,'.Auxiliar'!F:F,"-",0)</f>
        <v>0.54000000000002046</v>
      </c>
      <c r="G1321" s="59" t="s">
        <v>987</v>
      </c>
      <c r="H1321" s="108" t="s">
        <v>0</v>
      </c>
      <c r="I1321" s="109" t="s">
        <v>0</v>
      </c>
      <c r="J1321" s="109" t="s">
        <v>0</v>
      </c>
      <c r="K1321" s="109" t="s">
        <v>0</v>
      </c>
      <c r="L1321" s="109" t="s">
        <v>363</v>
      </c>
      <c r="M1321" s="109" t="s">
        <v>0</v>
      </c>
      <c r="N1321" s="110" t="s">
        <v>0</v>
      </c>
      <c r="O1321" s="111"/>
      <c r="P1321" s="112"/>
      <c r="Q1321" s="112"/>
      <c r="R1321" s="112"/>
      <c r="S1321" s="112"/>
      <c r="T1321" s="112"/>
      <c r="U1321" s="95" t="str">
        <f t="shared" si="63"/>
        <v/>
      </c>
      <c r="V1321" s="112">
        <v>100</v>
      </c>
      <c r="W1321" s="112"/>
      <c r="X1321" s="107"/>
      <c r="Y1321" s="107">
        <f t="shared" si="64"/>
        <v>100</v>
      </c>
      <c r="Z1321" s="107">
        <f t="shared" si="65"/>
        <v>0</v>
      </c>
    </row>
    <row r="1322" spans="1:26" x14ac:dyDescent="0.25">
      <c r="A1322" s="55" t="str">
        <f>_xlfn.XLOOKUP($G1322,'.Auxiliar'!$G:$G,'.Auxiliar'!A:A,"-",0)</f>
        <v>VIA COSTEIRA</v>
      </c>
      <c r="B1322" s="55" t="str">
        <f>_xlfn.XLOOKUP($G1322,'.Auxiliar'!$G:$G,'.Auxiliar'!B:B,"-",0)</f>
        <v>PAVIMENTAÇÃO</v>
      </c>
      <c r="C1322" s="55" t="str">
        <f>_xlfn.XLOOKUP($G1322,'.Auxiliar'!$G:$G,'.Auxiliar'!C:C,"-",0)</f>
        <v>Não Consta (pista Sul)</v>
      </c>
      <c r="D1322" s="55">
        <f>_xlfn.XLOOKUP($G1322,'.Auxiliar'!$G:$G,'.Auxiliar'!D:D,"-",0)</f>
        <v>288.92</v>
      </c>
      <c r="E1322" s="55">
        <f>_xlfn.XLOOKUP($G1322,'.Auxiliar'!$G:$G,'.Auxiliar'!E:E,"-",0)</f>
        <v>291.2</v>
      </c>
      <c r="F1322" s="55">
        <f>_xlfn.XLOOKUP($G1322,'.Auxiliar'!$G:$G,'.Auxiliar'!F:F,"-",0)</f>
        <v>2.2799999999999727</v>
      </c>
      <c r="G1322" s="59" t="s">
        <v>1074</v>
      </c>
      <c r="H1322" s="108" t="s">
        <v>0</v>
      </c>
      <c r="I1322" s="109" t="s">
        <v>0</v>
      </c>
      <c r="J1322" s="109" t="s">
        <v>0</v>
      </c>
      <c r="K1322" s="109" t="s">
        <v>0</v>
      </c>
      <c r="L1322" s="109" t="s">
        <v>0</v>
      </c>
      <c r="M1322" s="109" t="s">
        <v>0</v>
      </c>
      <c r="N1322" s="110" t="s">
        <v>363</v>
      </c>
      <c r="O1322" s="111"/>
      <c r="P1322" s="112"/>
      <c r="Q1322" s="112"/>
      <c r="R1322" s="112"/>
      <c r="S1322" s="112"/>
      <c r="T1322" s="112"/>
      <c r="U1322" s="95" t="str">
        <f t="shared" si="63"/>
        <v/>
      </c>
      <c r="V1322" s="112"/>
      <c r="W1322" s="112"/>
      <c r="X1322" s="107">
        <v>100</v>
      </c>
      <c r="Y1322" s="107">
        <f t="shared" si="64"/>
        <v>100</v>
      </c>
      <c r="Z1322" s="107">
        <f t="shared" si="65"/>
        <v>0</v>
      </c>
    </row>
    <row r="1323" spans="1:26" x14ac:dyDescent="0.25">
      <c r="A1323" s="55" t="str">
        <f>_xlfn.XLOOKUP($G1323,'.Auxiliar'!$G:$G,'.Auxiliar'!A:A,"-",0)</f>
        <v>VIA COSTEIRA</v>
      </c>
      <c r="B1323" s="55" t="str">
        <f>_xlfn.XLOOKUP($G1323,'.Auxiliar'!$G:$G,'.Auxiliar'!B:B,"-",0)</f>
        <v>PAVIMENTAÇÃO</v>
      </c>
      <c r="C1323" s="55" t="str">
        <f>_xlfn.XLOOKUP($G1323,'.Auxiliar'!$G:$G,'.Auxiliar'!C:C,"-",0)</f>
        <v>Não Consta (pista Sul)</v>
      </c>
      <c r="D1323" s="55">
        <f>_xlfn.XLOOKUP($G1323,'.Auxiliar'!$G:$G,'.Auxiliar'!D:D,"-",0)</f>
        <v>291.89999999999998</v>
      </c>
      <c r="E1323" s="55">
        <f>_xlfn.XLOOKUP($G1323,'.Auxiliar'!$G:$G,'.Auxiliar'!E:E,"-",0)</f>
        <v>294.54000000000002</v>
      </c>
      <c r="F1323" s="55">
        <f>_xlfn.XLOOKUP($G1323,'.Auxiliar'!$G:$G,'.Auxiliar'!F:F,"-",0)</f>
        <v>2.6400000000000432</v>
      </c>
      <c r="G1323" s="59" t="s">
        <v>1075</v>
      </c>
      <c r="H1323" s="108" t="s">
        <v>0</v>
      </c>
      <c r="I1323" s="109" t="s">
        <v>0</v>
      </c>
      <c r="J1323" s="109" t="s">
        <v>0</v>
      </c>
      <c r="K1323" s="109" t="s">
        <v>0</v>
      </c>
      <c r="L1323" s="109" t="s">
        <v>0</v>
      </c>
      <c r="M1323" s="109" t="s">
        <v>0</v>
      </c>
      <c r="N1323" s="110" t="s">
        <v>363</v>
      </c>
      <c r="O1323" s="111"/>
      <c r="P1323" s="112"/>
      <c r="Q1323" s="112"/>
      <c r="R1323" s="112"/>
      <c r="S1323" s="112"/>
      <c r="T1323" s="112"/>
      <c r="U1323" s="95" t="str">
        <f t="shared" si="63"/>
        <v/>
      </c>
      <c r="V1323" s="112"/>
      <c r="W1323" s="112"/>
      <c r="X1323" s="107">
        <v>100</v>
      </c>
      <c r="Y1323" s="107">
        <f t="shared" si="64"/>
        <v>100</v>
      </c>
      <c r="Z1323" s="107">
        <f t="shared" si="65"/>
        <v>0</v>
      </c>
    </row>
    <row r="1324" spans="1:26" x14ac:dyDescent="0.25">
      <c r="A1324" s="55" t="str">
        <f>_xlfn.XLOOKUP($G1324,'.Auxiliar'!$G:$G,'.Auxiliar'!A:A,"-",0)</f>
        <v>VIA COSTEIRA</v>
      </c>
      <c r="B1324" s="55" t="str">
        <f>_xlfn.XLOOKUP($G1324,'.Auxiliar'!$G:$G,'.Auxiliar'!B:B,"-",0)</f>
        <v>PAVIMENTAÇÃO</v>
      </c>
      <c r="C1324" s="55" t="str">
        <f>_xlfn.XLOOKUP($G1324,'.Auxiliar'!$G:$G,'.Auxiliar'!C:C,"-",0)</f>
        <v>Não Consta (pista Sul)</v>
      </c>
      <c r="D1324" s="55">
        <f>_xlfn.XLOOKUP($G1324,'.Auxiliar'!$G:$G,'.Auxiliar'!D:D,"-",0)</f>
        <v>295.95999999999998</v>
      </c>
      <c r="E1324" s="55">
        <f>_xlfn.XLOOKUP($G1324,'.Auxiliar'!$G:$G,'.Auxiliar'!E:E,"-",0)</f>
        <v>296.64</v>
      </c>
      <c r="F1324" s="55">
        <f>_xlfn.XLOOKUP($G1324,'.Auxiliar'!$G:$G,'.Auxiliar'!F:F,"-",0)</f>
        <v>0.68000000000000682</v>
      </c>
      <c r="G1324" s="59" t="s">
        <v>1076</v>
      </c>
      <c r="H1324" s="108" t="s">
        <v>0</v>
      </c>
      <c r="I1324" s="109" t="s">
        <v>0</v>
      </c>
      <c r="J1324" s="109" t="s">
        <v>0</v>
      </c>
      <c r="K1324" s="109" t="s">
        <v>0</v>
      </c>
      <c r="L1324" s="109" t="s">
        <v>0</v>
      </c>
      <c r="M1324" s="109" t="s">
        <v>0</v>
      </c>
      <c r="N1324" s="110" t="s">
        <v>363</v>
      </c>
      <c r="O1324" s="111"/>
      <c r="P1324" s="112"/>
      <c r="Q1324" s="112"/>
      <c r="R1324" s="112"/>
      <c r="S1324" s="112"/>
      <c r="T1324" s="112"/>
      <c r="U1324" s="95" t="str">
        <f t="shared" si="63"/>
        <v/>
      </c>
      <c r="V1324" s="112"/>
      <c r="W1324" s="112"/>
      <c r="X1324" s="107">
        <v>100</v>
      </c>
      <c r="Y1324" s="107">
        <f t="shared" si="64"/>
        <v>100</v>
      </c>
      <c r="Z1324" s="107">
        <f t="shared" si="65"/>
        <v>0</v>
      </c>
    </row>
    <row r="1325" spans="1:26" x14ac:dyDescent="0.25">
      <c r="A1325" s="55" t="str">
        <f>_xlfn.XLOOKUP($G1325,'.Auxiliar'!$G:$G,'.Auxiliar'!A:A,"-",0)</f>
        <v>VIA COSTEIRA</v>
      </c>
      <c r="B1325" s="55" t="str">
        <f>_xlfn.XLOOKUP($G1325,'.Auxiliar'!$G:$G,'.Auxiliar'!B:B,"-",0)</f>
        <v>PAVIMENTAÇÃO</v>
      </c>
      <c r="C1325" s="55" t="str">
        <f>_xlfn.XLOOKUP($G1325,'.Auxiliar'!$G:$G,'.Auxiliar'!C:C,"-",0)</f>
        <v>Não Consta (pista Sul)</v>
      </c>
      <c r="D1325" s="55">
        <f>_xlfn.XLOOKUP($G1325,'.Auxiliar'!$G:$G,'.Auxiliar'!D:D,"-",0)</f>
        <v>297.36</v>
      </c>
      <c r="E1325" s="55">
        <f>_xlfn.XLOOKUP($G1325,'.Auxiliar'!$G:$G,'.Auxiliar'!E:E,"-",0)</f>
        <v>298.45999999999998</v>
      </c>
      <c r="F1325" s="55">
        <f>_xlfn.XLOOKUP($G1325,'.Auxiliar'!$G:$G,'.Auxiliar'!F:F,"-",0)</f>
        <v>1.0999999999999659</v>
      </c>
      <c r="G1325" s="59" t="s">
        <v>1077</v>
      </c>
      <c r="H1325" s="108" t="s">
        <v>0</v>
      </c>
      <c r="I1325" s="109" t="s">
        <v>0</v>
      </c>
      <c r="J1325" s="109" t="s">
        <v>0</v>
      </c>
      <c r="K1325" s="109" t="s">
        <v>0</v>
      </c>
      <c r="L1325" s="109" t="s">
        <v>0</v>
      </c>
      <c r="M1325" s="109" t="s">
        <v>0</v>
      </c>
      <c r="N1325" s="110" t="s">
        <v>363</v>
      </c>
      <c r="O1325" s="111"/>
      <c r="P1325" s="112"/>
      <c r="Q1325" s="112"/>
      <c r="R1325" s="112"/>
      <c r="S1325" s="112"/>
      <c r="T1325" s="112"/>
      <c r="U1325" s="95" t="str">
        <f t="shared" si="63"/>
        <v/>
      </c>
      <c r="V1325" s="112"/>
      <c r="W1325" s="112"/>
      <c r="X1325" s="107">
        <v>100</v>
      </c>
      <c r="Y1325" s="107">
        <f t="shared" si="64"/>
        <v>100</v>
      </c>
      <c r="Z1325" s="107">
        <f t="shared" si="65"/>
        <v>0</v>
      </c>
    </row>
    <row r="1326" spans="1:26" x14ac:dyDescent="0.25">
      <c r="A1326" s="55" t="str">
        <f>_xlfn.XLOOKUP($G1326,'.Auxiliar'!$G:$G,'.Auxiliar'!A:A,"-",0)</f>
        <v>VIA COSTEIRA</v>
      </c>
      <c r="B1326" s="55" t="str">
        <f>_xlfn.XLOOKUP($G1326,'.Auxiliar'!$G:$G,'.Auxiliar'!B:B,"-",0)</f>
        <v>PAVIMENTAÇÃO</v>
      </c>
      <c r="C1326" s="55" t="str">
        <f>_xlfn.XLOOKUP($G1326,'.Auxiliar'!$G:$G,'.Auxiliar'!C:C,"-",0)</f>
        <v>Não Consta (pista Sul)</v>
      </c>
      <c r="D1326" s="55">
        <f>_xlfn.XLOOKUP($G1326,'.Auxiliar'!$G:$G,'.Auxiliar'!D:D,"-",0)</f>
        <v>298.45999999999998</v>
      </c>
      <c r="E1326" s="55">
        <f>_xlfn.XLOOKUP($G1326,'.Auxiliar'!$G:$G,'.Auxiliar'!E:E,"-",0)</f>
        <v>299.39999999999998</v>
      </c>
      <c r="F1326" s="55">
        <f>_xlfn.XLOOKUP($G1326,'.Auxiliar'!$G:$G,'.Auxiliar'!F:F,"-",0)</f>
        <v>0.93999999999999773</v>
      </c>
      <c r="G1326" s="59" t="s">
        <v>1078</v>
      </c>
      <c r="H1326" s="108" t="s">
        <v>0</v>
      </c>
      <c r="I1326" s="109" t="s">
        <v>0</v>
      </c>
      <c r="J1326" s="109" t="s">
        <v>0</v>
      </c>
      <c r="K1326" s="109" t="s">
        <v>0</v>
      </c>
      <c r="L1326" s="109" t="s">
        <v>0</v>
      </c>
      <c r="M1326" s="109" t="s">
        <v>0</v>
      </c>
      <c r="N1326" s="110" t="s">
        <v>363</v>
      </c>
      <c r="O1326" s="111"/>
      <c r="P1326" s="112"/>
      <c r="Q1326" s="112"/>
      <c r="R1326" s="112"/>
      <c r="S1326" s="112"/>
      <c r="T1326" s="112"/>
      <c r="U1326" s="95" t="str">
        <f t="shared" si="63"/>
        <v/>
      </c>
      <c r="V1326" s="112"/>
      <c r="W1326" s="112"/>
      <c r="X1326" s="107">
        <v>100</v>
      </c>
      <c r="Y1326" s="107">
        <f t="shared" si="64"/>
        <v>100</v>
      </c>
      <c r="Z1326" s="107">
        <f t="shared" si="65"/>
        <v>0</v>
      </c>
    </row>
    <row r="1327" spans="1:26" x14ac:dyDescent="0.25">
      <c r="A1327" s="55" t="str">
        <f>_xlfn.XLOOKUP($G1327,'.Auxiliar'!$G:$G,'.Auxiliar'!A:A,"-",0)</f>
        <v>VIA COSTEIRA</v>
      </c>
      <c r="B1327" s="55" t="str">
        <f>_xlfn.XLOOKUP($G1327,'.Auxiliar'!$G:$G,'.Auxiliar'!B:B,"-",0)</f>
        <v>PAVIMENTAÇÃO</v>
      </c>
      <c r="C1327" s="55" t="str">
        <f>_xlfn.XLOOKUP($G1327,'.Auxiliar'!$G:$G,'.Auxiliar'!C:C,"-",0)</f>
        <v>Não Consta (pista Sul)</v>
      </c>
      <c r="D1327" s="55">
        <f>_xlfn.XLOOKUP($G1327,'.Auxiliar'!$G:$G,'.Auxiliar'!D:D,"-",0)</f>
        <v>327.5</v>
      </c>
      <c r="E1327" s="55">
        <f>_xlfn.XLOOKUP($G1327,'.Auxiliar'!$G:$G,'.Auxiliar'!E:E,"-",0)</f>
        <v>328.83</v>
      </c>
      <c r="F1327" s="55">
        <f>_xlfn.XLOOKUP($G1327,'.Auxiliar'!$G:$G,'.Auxiliar'!F:F,"-",0)</f>
        <v>1.3299999999999841</v>
      </c>
      <c r="G1327" s="59" t="s">
        <v>814</v>
      </c>
      <c r="H1327" s="108" t="s">
        <v>0</v>
      </c>
      <c r="I1327" s="109" t="s">
        <v>368</v>
      </c>
      <c r="J1327" s="109" t="s">
        <v>0</v>
      </c>
      <c r="K1327" s="109" t="s">
        <v>363</v>
      </c>
      <c r="L1327" s="109" t="s">
        <v>0</v>
      </c>
      <c r="M1327" s="109" t="s">
        <v>0</v>
      </c>
      <c r="N1327" s="110" t="s">
        <v>0</v>
      </c>
      <c r="O1327" s="111"/>
      <c r="P1327" s="112"/>
      <c r="Q1327" s="112"/>
      <c r="R1327" s="112"/>
      <c r="S1327" s="112">
        <v>100</v>
      </c>
      <c r="T1327" s="112">
        <v>0</v>
      </c>
      <c r="U1327" s="95">
        <f t="shared" si="63"/>
        <v>100</v>
      </c>
      <c r="V1327" s="112"/>
      <c r="W1327" s="112"/>
      <c r="X1327" s="107"/>
      <c r="Y1327" s="107">
        <f t="shared" si="64"/>
        <v>100</v>
      </c>
      <c r="Z1327" s="107">
        <f t="shared" si="65"/>
        <v>0</v>
      </c>
    </row>
    <row r="1328" spans="1:26" x14ac:dyDescent="0.25">
      <c r="A1328" s="55" t="str">
        <f>_xlfn.XLOOKUP($G1328,'.Auxiliar'!$G:$G,'.Auxiliar'!A:A,"-",0)</f>
        <v>VIA COSTEIRA</v>
      </c>
      <c r="B1328" s="55" t="str">
        <f>_xlfn.XLOOKUP($G1328,'.Auxiliar'!$G:$G,'.Auxiliar'!B:B,"-",0)</f>
        <v>PAVIMENTAÇÃO</v>
      </c>
      <c r="C1328" s="55" t="str">
        <f>_xlfn.XLOOKUP($G1328,'.Auxiliar'!$G:$G,'.Auxiliar'!C:C,"-",0)</f>
        <v>Não Consta (pista Sul)</v>
      </c>
      <c r="D1328" s="55">
        <f>_xlfn.XLOOKUP($G1328,'.Auxiliar'!$G:$G,'.Auxiliar'!D:D,"-",0)</f>
        <v>328.9</v>
      </c>
      <c r="E1328" s="55">
        <f>_xlfn.XLOOKUP($G1328,'.Auxiliar'!$G:$G,'.Auxiliar'!E:E,"-",0)</f>
        <v>331.4</v>
      </c>
      <c r="F1328" s="55">
        <f>_xlfn.XLOOKUP($G1328,'.Auxiliar'!$G:$G,'.Auxiliar'!F:F,"-",0)</f>
        <v>2.5</v>
      </c>
      <c r="G1328" s="59" t="s">
        <v>815</v>
      </c>
      <c r="H1328" s="108" t="s">
        <v>0</v>
      </c>
      <c r="I1328" s="109" t="s">
        <v>368</v>
      </c>
      <c r="J1328" s="109" t="s">
        <v>0</v>
      </c>
      <c r="K1328" s="109" t="s">
        <v>363</v>
      </c>
      <c r="L1328" s="109" t="s">
        <v>0</v>
      </c>
      <c r="M1328" s="109" t="s">
        <v>0</v>
      </c>
      <c r="N1328" s="110" t="s">
        <v>0</v>
      </c>
      <c r="O1328" s="111"/>
      <c r="P1328" s="112"/>
      <c r="Q1328" s="112">
        <v>100</v>
      </c>
      <c r="R1328" s="112">
        <v>99.86</v>
      </c>
      <c r="S1328" s="112">
        <v>0.14000000000000001</v>
      </c>
      <c r="T1328" s="112">
        <v>0</v>
      </c>
      <c r="U1328" s="95">
        <f t="shared" si="63"/>
        <v>0.14000000000000057</v>
      </c>
      <c r="V1328" s="112"/>
      <c r="W1328" s="112"/>
      <c r="X1328" s="107"/>
      <c r="Y1328" s="107">
        <f t="shared" si="64"/>
        <v>100</v>
      </c>
      <c r="Z1328" s="107">
        <f t="shared" si="65"/>
        <v>99.86</v>
      </c>
    </row>
    <row r="1329" spans="1:26" x14ac:dyDescent="0.25">
      <c r="A1329" s="55" t="str">
        <f>_xlfn.XLOOKUP($G1329,'.Auxiliar'!$G:$G,'.Auxiliar'!A:A,"-",0)</f>
        <v>VIA COSTEIRA</v>
      </c>
      <c r="B1329" s="55" t="str">
        <f>_xlfn.XLOOKUP($G1329,'.Auxiliar'!$G:$G,'.Auxiliar'!B:B,"-",0)</f>
        <v>PAVIMENTAÇÃO</v>
      </c>
      <c r="C1329" s="55" t="str">
        <f>_xlfn.XLOOKUP($G1329,'.Auxiliar'!$G:$G,'.Auxiliar'!C:C,"-",0)</f>
        <v>Não Consta (pista Sul)</v>
      </c>
      <c r="D1329" s="55">
        <f>_xlfn.XLOOKUP($G1329,'.Auxiliar'!$G:$G,'.Auxiliar'!D:D,"-",0)</f>
        <v>332.07</v>
      </c>
      <c r="E1329" s="55">
        <f>_xlfn.XLOOKUP($G1329,'.Auxiliar'!$G:$G,'.Auxiliar'!E:E,"-",0)</f>
        <v>332.77</v>
      </c>
      <c r="F1329" s="55">
        <f>_xlfn.XLOOKUP($G1329,'.Auxiliar'!$G:$G,'.Auxiliar'!F:F,"-",0)</f>
        <v>0.69999999999998863</v>
      </c>
      <c r="G1329" s="59" t="s">
        <v>816</v>
      </c>
      <c r="H1329" s="108" t="s">
        <v>0</v>
      </c>
      <c r="I1329" s="109" t="s">
        <v>368</v>
      </c>
      <c r="J1329" s="109" t="s">
        <v>0</v>
      </c>
      <c r="K1329" s="109" t="s">
        <v>363</v>
      </c>
      <c r="L1329" s="109" t="s">
        <v>0</v>
      </c>
      <c r="M1329" s="109" t="s">
        <v>0</v>
      </c>
      <c r="N1329" s="110" t="s">
        <v>0</v>
      </c>
      <c r="O1329" s="111"/>
      <c r="P1329" s="112"/>
      <c r="Q1329" s="112">
        <v>100</v>
      </c>
      <c r="R1329" s="112">
        <v>0</v>
      </c>
      <c r="S1329" s="112">
        <v>100</v>
      </c>
      <c r="T1329" s="112">
        <v>0</v>
      </c>
      <c r="U1329" s="95">
        <f t="shared" si="63"/>
        <v>100</v>
      </c>
      <c r="V1329" s="112"/>
      <c r="W1329" s="112"/>
      <c r="X1329" s="107"/>
      <c r="Y1329" s="107">
        <f t="shared" si="64"/>
        <v>100</v>
      </c>
      <c r="Z1329" s="107">
        <f t="shared" si="65"/>
        <v>0</v>
      </c>
    </row>
    <row r="1330" spans="1:26" x14ac:dyDescent="0.25">
      <c r="A1330" s="55" t="str">
        <f>_xlfn.XLOOKUP($G1330,'.Auxiliar'!$G:$G,'.Auxiliar'!A:A,"-",0)</f>
        <v>VIA COSTEIRA</v>
      </c>
      <c r="B1330" s="55" t="str">
        <f>_xlfn.XLOOKUP($G1330,'.Auxiliar'!$G:$G,'.Auxiliar'!B:B,"-",0)</f>
        <v>PAVIMENTAÇÃO</v>
      </c>
      <c r="C1330" s="55" t="str">
        <f>_xlfn.XLOOKUP($G1330,'.Auxiliar'!$G:$G,'.Auxiliar'!C:C,"-",0)</f>
        <v>Não Consta (pista Sul)</v>
      </c>
      <c r="D1330" s="55">
        <f>_xlfn.XLOOKUP($G1330,'.Auxiliar'!$G:$G,'.Auxiliar'!D:D,"-",0)</f>
        <v>385.2</v>
      </c>
      <c r="E1330" s="55">
        <f>_xlfn.XLOOKUP($G1330,'.Auxiliar'!$G:$G,'.Auxiliar'!E:E,"-",0)</f>
        <v>386</v>
      </c>
      <c r="F1330" s="55">
        <f>_xlfn.XLOOKUP($G1330,'.Auxiliar'!$G:$G,'.Auxiliar'!F:F,"-",0)</f>
        <v>0.80000000000001137</v>
      </c>
      <c r="G1330" s="59" t="s">
        <v>1079</v>
      </c>
      <c r="H1330" s="108" t="s">
        <v>0</v>
      </c>
      <c r="I1330" s="109" t="s">
        <v>0</v>
      </c>
      <c r="J1330" s="109" t="s">
        <v>0</v>
      </c>
      <c r="K1330" s="109" t="s">
        <v>0</v>
      </c>
      <c r="L1330" s="109" t="s">
        <v>0</v>
      </c>
      <c r="M1330" s="109" t="s">
        <v>0</v>
      </c>
      <c r="N1330" s="110" t="s">
        <v>363</v>
      </c>
      <c r="O1330" s="111"/>
      <c r="P1330" s="112"/>
      <c r="Q1330" s="112"/>
      <c r="R1330" s="112"/>
      <c r="S1330" s="112"/>
      <c r="T1330" s="112"/>
      <c r="U1330" s="95" t="str">
        <f t="shared" si="63"/>
        <v/>
      </c>
      <c r="V1330" s="112"/>
      <c r="W1330" s="112"/>
      <c r="X1330" s="107">
        <v>100</v>
      </c>
      <c r="Y1330" s="107">
        <f t="shared" si="64"/>
        <v>100</v>
      </c>
      <c r="Z1330" s="107">
        <f t="shared" si="65"/>
        <v>0</v>
      </c>
    </row>
    <row r="1331" spans="1:26" x14ac:dyDescent="0.25">
      <c r="A1331" s="55" t="str">
        <f>_xlfn.XLOOKUP($G1331,'.Auxiliar'!$G:$G,'.Auxiliar'!A:A,"-",0)</f>
        <v>VIA COSTEIRA</v>
      </c>
      <c r="B1331" s="55" t="str">
        <f>_xlfn.XLOOKUP($G1331,'.Auxiliar'!$G:$G,'.Auxiliar'!B:B,"-",0)</f>
        <v>PAVIMENTAÇÃO</v>
      </c>
      <c r="C1331" s="55" t="str">
        <f>_xlfn.XLOOKUP($G1331,'.Auxiliar'!$G:$G,'.Auxiliar'!C:C,"-",0)</f>
        <v>Não Consta (pista Sul)</v>
      </c>
      <c r="D1331" s="55">
        <f>_xlfn.XLOOKUP($G1331,'.Auxiliar'!$G:$G,'.Auxiliar'!D:D,"-",0)</f>
        <v>386.3</v>
      </c>
      <c r="E1331" s="55">
        <f>_xlfn.XLOOKUP($G1331,'.Auxiliar'!$G:$G,'.Auxiliar'!E:E,"-",0)</f>
        <v>387.35</v>
      </c>
      <c r="F1331" s="55">
        <f>_xlfn.XLOOKUP($G1331,'.Auxiliar'!$G:$G,'.Auxiliar'!F:F,"-",0)</f>
        <v>1.0500000000000114</v>
      </c>
      <c r="G1331" s="59" t="s">
        <v>1080</v>
      </c>
      <c r="H1331" s="108" t="s">
        <v>0</v>
      </c>
      <c r="I1331" s="109" t="s">
        <v>0</v>
      </c>
      <c r="J1331" s="109" t="s">
        <v>0</v>
      </c>
      <c r="K1331" s="109" t="s">
        <v>0</v>
      </c>
      <c r="L1331" s="109" t="s">
        <v>0</v>
      </c>
      <c r="M1331" s="109" t="s">
        <v>0</v>
      </c>
      <c r="N1331" s="110" t="s">
        <v>363</v>
      </c>
      <c r="O1331" s="111"/>
      <c r="P1331" s="112"/>
      <c r="Q1331" s="112"/>
      <c r="R1331" s="112"/>
      <c r="S1331" s="112"/>
      <c r="T1331" s="112"/>
      <c r="U1331" s="95" t="str">
        <f t="shared" si="63"/>
        <v/>
      </c>
      <c r="V1331" s="112"/>
      <c r="W1331" s="112"/>
      <c r="X1331" s="107">
        <v>100</v>
      </c>
      <c r="Y1331" s="107">
        <f t="shared" si="64"/>
        <v>100</v>
      </c>
      <c r="Z1331" s="107">
        <f t="shared" si="65"/>
        <v>0</v>
      </c>
    </row>
    <row r="1332" spans="1:26" x14ac:dyDescent="0.25">
      <c r="A1332" s="55" t="str">
        <f>_xlfn.XLOOKUP($G1332,'.Auxiliar'!$G:$G,'.Auxiliar'!A:A,"-",0)</f>
        <v>VIA COSTEIRA</v>
      </c>
      <c r="B1332" s="55" t="str">
        <f>_xlfn.XLOOKUP($G1332,'.Auxiliar'!$G:$G,'.Auxiliar'!B:B,"-",0)</f>
        <v>PAVIMENTAÇÃO</v>
      </c>
      <c r="C1332" s="55" t="str">
        <f>_xlfn.XLOOKUP($G1332,'.Auxiliar'!$G:$G,'.Auxiliar'!C:C,"-",0)</f>
        <v>Não Consta (pista Sul)</v>
      </c>
      <c r="D1332" s="55">
        <f>_xlfn.XLOOKUP($G1332,'.Auxiliar'!$G:$G,'.Auxiliar'!D:D,"-",0)</f>
        <v>391.35</v>
      </c>
      <c r="E1332" s="55">
        <f>_xlfn.XLOOKUP($G1332,'.Auxiliar'!$G:$G,'.Auxiliar'!E:E,"-",0)</f>
        <v>391.75</v>
      </c>
      <c r="F1332" s="55">
        <f>_xlfn.XLOOKUP($G1332,'.Auxiliar'!$G:$G,'.Auxiliar'!F:F,"-",0)</f>
        <v>0.39999999999997726</v>
      </c>
      <c r="G1332" s="59" t="s">
        <v>1081</v>
      </c>
      <c r="H1332" s="108" t="s">
        <v>0</v>
      </c>
      <c r="I1332" s="109" t="s">
        <v>0</v>
      </c>
      <c r="J1332" s="109" t="s">
        <v>0</v>
      </c>
      <c r="K1332" s="109" t="s">
        <v>0</v>
      </c>
      <c r="L1332" s="109" t="s">
        <v>0</v>
      </c>
      <c r="M1332" s="109" t="s">
        <v>0</v>
      </c>
      <c r="N1332" s="110" t="s">
        <v>363</v>
      </c>
      <c r="O1332" s="111"/>
      <c r="P1332" s="112"/>
      <c r="Q1332" s="112"/>
      <c r="R1332" s="112"/>
      <c r="S1332" s="112"/>
      <c r="T1332" s="112"/>
      <c r="U1332" s="95" t="str">
        <f t="shared" si="63"/>
        <v/>
      </c>
      <c r="V1332" s="112"/>
      <c r="W1332" s="112"/>
      <c r="X1332" s="107">
        <v>100</v>
      </c>
      <c r="Y1332" s="107">
        <f t="shared" si="64"/>
        <v>100</v>
      </c>
      <c r="Z1332" s="107">
        <f t="shared" si="65"/>
        <v>0</v>
      </c>
    </row>
    <row r="1333" spans="1:26" x14ac:dyDescent="0.25">
      <c r="A1333" s="55" t="str">
        <f>_xlfn.XLOOKUP($G1333,'.Auxiliar'!$G:$G,'.Auxiliar'!A:A,"-",0)</f>
        <v>VIA COSTEIRA</v>
      </c>
      <c r="B1333" s="55" t="str">
        <f>_xlfn.XLOOKUP($G1333,'.Auxiliar'!$G:$G,'.Auxiliar'!B:B,"-",0)</f>
        <v>PAVIMENTAÇÃO</v>
      </c>
      <c r="C1333" s="55" t="str">
        <f>_xlfn.XLOOKUP($G1333,'.Auxiliar'!$G:$G,'.Auxiliar'!C:C,"-",0)</f>
        <v>Não Consta (pista Sul)</v>
      </c>
      <c r="D1333" s="55">
        <f>_xlfn.XLOOKUP($G1333,'.Auxiliar'!$G:$G,'.Auxiliar'!D:D,"-",0)</f>
        <v>392.44</v>
      </c>
      <c r="E1333" s="55">
        <f>_xlfn.XLOOKUP($G1333,'.Auxiliar'!$G:$G,'.Auxiliar'!E:E,"-",0)</f>
        <v>392.91</v>
      </c>
      <c r="F1333" s="55">
        <f>_xlfn.XLOOKUP($G1333,'.Auxiliar'!$G:$G,'.Auxiliar'!F:F,"-",0)</f>
        <v>0.47000000000002728</v>
      </c>
      <c r="G1333" s="59" t="s">
        <v>1082</v>
      </c>
      <c r="H1333" s="108" t="s">
        <v>0</v>
      </c>
      <c r="I1333" s="109" t="s">
        <v>0</v>
      </c>
      <c r="J1333" s="109" t="s">
        <v>0</v>
      </c>
      <c r="K1333" s="109" t="s">
        <v>0</v>
      </c>
      <c r="L1333" s="109" t="s">
        <v>0</v>
      </c>
      <c r="M1333" s="109" t="s">
        <v>0</v>
      </c>
      <c r="N1333" s="110" t="s">
        <v>363</v>
      </c>
      <c r="O1333" s="111"/>
      <c r="P1333" s="112"/>
      <c r="Q1333" s="112"/>
      <c r="R1333" s="112"/>
      <c r="S1333" s="112"/>
      <c r="T1333" s="112"/>
      <c r="U1333" s="95" t="str">
        <f t="shared" si="63"/>
        <v/>
      </c>
      <c r="V1333" s="112"/>
      <c r="W1333" s="112"/>
      <c r="X1333" s="107">
        <v>100</v>
      </c>
      <c r="Y1333" s="107">
        <f t="shared" si="64"/>
        <v>100</v>
      </c>
      <c r="Z1333" s="107">
        <f t="shared" si="65"/>
        <v>0</v>
      </c>
    </row>
    <row r="1334" spans="1:26" x14ac:dyDescent="0.25">
      <c r="A1334" s="55" t="str">
        <f>_xlfn.XLOOKUP($G1334,'.Auxiliar'!$G:$G,'.Auxiliar'!A:A,"-",0)</f>
        <v>VIA COSTEIRA</v>
      </c>
      <c r="B1334" s="55" t="str">
        <f>_xlfn.XLOOKUP($G1334,'.Auxiliar'!$G:$G,'.Auxiliar'!B:B,"-",0)</f>
        <v>PAVIMENTAÇÃO</v>
      </c>
      <c r="C1334" s="55" t="str">
        <f>_xlfn.XLOOKUP($G1334,'.Auxiliar'!$G:$G,'.Auxiliar'!C:C,"-",0)</f>
        <v>Não Consta (pista Sul)</v>
      </c>
      <c r="D1334" s="55">
        <f>_xlfn.XLOOKUP($G1334,'.Auxiliar'!$G:$G,'.Auxiliar'!D:D,"-",0)</f>
        <v>395.2</v>
      </c>
      <c r="E1334" s="55">
        <f>_xlfn.XLOOKUP($G1334,'.Auxiliar'!$G:$G,'.Auxiliar'!E:E,"-",0)</f>
        <v>396.63</v>
      </c>
      <c r="F1334" s="55">
        <f>_xlfn.XLOOKUP($G1334,'.Auxiliar'!$G:$G,'.Auxiliar'!F:F,"-",0)</f>
        <v>1.4300000000000068</v>
      </c>
      <c r="G1334" s="59" t="s">
        <v>1083</v>
      </c>
      <c r="H1334" s="108" t="s">
        <v>0</v>
      </c>
      <c r="I1334" s="109" t="s">
        <v>0</v>
      </c>
      <c r="J1334" s="109" t="s">
        <v>0</v>
      </c>
      <c r="K1334" s="109" t="s">
        <v>0</v>
      </c>
      <c r="L1334" s="109" t="s">
        <v>0</v>
      </c>
      <c r="M1334" s="109" t="s">
        <v>0</v>
      </c>
      <c r="N1334" s="110" t="s">
        <v>363</v>
      </c>
      <c r="O1334" s="111"/>
      <c r="P1334" s="112"/>
      <c r="Q1334" s="112"/>
      <c r="R1334" s="112"/>
      <c r="S1334" s="112"/>
      <c r="T1334" s="112"/>
      <c r="U1334" s="95" t="str">
        <f t="shared" si="63"/>
        <v/>
      </c>
      <c r="V1334" s="112"/>
      <c r="W1334" s="112"/>
      <c r="X1334" s="107">
        <v>100</v>
      </c>
      <c r="Y1334" s="107">
        <f t="shared" si="64"/>
        <v>100</v>
      </c>
      <c r="Z1334" s="107">
        <f t="shared" si="65"/>
        <v>0</v>
      </c>
    </row>
    <row r="1335" spans="1:26" x14ac:dyDescent="0.25">
      <c r="A1335" s="55" t="str">
        <f>_xlfn.XLOOKUP($G1335,'.Auxiliar'!$G:$G,'.Auxiliar'!A:A,"-",0)</f>
        <v>VIA COSTEIRA</v>
      </c>
      <c r="B1335" s="55" t="str">
        <f>_xlfn.XLOOKUP($G1335,'.Auxiliar'!$G:$G,'.Auxiliar'!B:B,"-",0)</f>
        <v>PAVIMENTAÇÃO</v>
      </c>
      <c r="C1335" s="55" t="str">
        <f>_xlfn.XLOOKUP($G1335,'.Auxiliar'!$G:$G,'.Auxiliar'!C:C,"-",0)</f>
        <v>Não Consta (pista Sul)</v>
      </c>
      <c r="D1335" s="55">
        <f>_xlfn.XLOOKUP($G1335,'.Auxiliar'!$G:$G,'.Auxiliar'!D:D,"-",0)</f>
        <v>413.2</v>
      </c>
      <c r="E1335" s="55">
        <f>_xlfn.XLOOKUP($G1335,'.Auxiliar'!$G:$G,'.Auxiliar'!E:E,"-",0)</f>
        <v>415.2</v>
      </c>
      <c r="F1335" s="55">
        <f>_xlfn.XLOOKUP($G1335,'.Auxiliar'!$G:$G,'.Auxiliar'!F:F,"-",0)</f>
        <v>2</v>
      </c>
      <c r="G1335" s="59" t="s">
        <v>988</v>
      </c>
      <c r="H1335" s="108" t="s">
        <v>0</v>
      </c>
      <c r="I1335" s="109" t="s">
        <v>0</v>
      </c>
      <c r="J1335" s="109" t="s">
        <v>0</v>
      </c>
      <c r="K1335" s="109" t="s">
        <v>0</v>
      </c>
      <c r="L1335" s="109" t="s">
        <v>363</v>
      </c>
      <c r="M1335" s="109" t="s">
        <v>0</v>
      </c>
      <c r="N1335" s="110" t="s">
        <v>0</v>
      </c>
      <c r="O1335" s="111"/>
      <c r="P1335" s="112"/>
      <c r="Q1335" s="112"/>
      <c r="R1335" s="112"/>
      <c r="S1335" s="112"/>
      <c r="T1335" s="112"/>
      <c r="U1335" s="95" t="str">
        <f t="shared" si="63"/>
        <v/>
      </c>
      <c r="V1335" s="112">
        <v>100</v>
      </c>
      <c r="W1335" s="112"/>
      <c r="X1335" s="107"/>
      <c r="Y1335" s="107">
        <f t="shared" si="64"/>
        <v>100</v>
      </c>
      <c r="Z1335" s="107">
        <f t="shared" si="65"/>
        <v>0</v>
      </c>
    </row>
    <row r="1336" spans="1:26" x14ac:dyDescent="0.25">
      <c r="A1336" s="55" t="str">
        <f>_xlfn.XLOOKUP($G1336,'.Auxiliar'!$G:$G,'.Auxiliar'!A:A,"-",0)</f>
        <v>VIA COSTEIRA</v>
      </c>
      <c r="B1336" s="55" t="str">
        <f>_xlfn.XLOOKUP($G1336,'.Auxiliar'!$G:$G,'.Auxiliar'!B:B,"-",0)</f>
        <v>PAVIMENTAÇÃO</v>
      </c>
      <c r="C1336" s="55" t="str">
        <f>_xlfn.XLOOKUP($G1336,'.Auxiliar'!$G:$G,'.Auxiliar'!C:C,"-",0)</f>
        <v>Não Consta (pista Sul)</v>
      </c>
      <c r="D1336" s="55">
        <f>_xlfn.XLOOKUP($G1336,'.Auxiliar'!$G:$G,'.Auxiliar'!D:D,"-",0)</f>
        <v>417.25</v>
      </c>
      <c r="E1336" s="55">
        <f>_xlfn.XLOOKUP($G1336,'.Auxiliar'!$G:$G,'.Auxiliar'!E:E,"-",0)</f>
        <v>417.65</v>
      </c>
      <c r="F1336" s="55">
        <f>_xlfn.XLOOKUP($G1336,'.Auxiliar'!$G:$G,'.Auxiliar'!F:F,"-",0)</f>
        <v>0.39999999999997726</v>
      </c>
      <c r="G1336" s="59" t="s">
        <v>989</v>
      </c>
      <c r="H1336" s="108" t="s">
        <v>0</v>
      </c>
      <c r="I1336" s="109" t="s">
        <v>0</v>
      </c>
      <c r="J1336" s="109" t="s">
        <v>0</v>
      </c>
      <c r="K1336" s="109" t="s">
        <v>0</v>
      </c>
      <c r="L1336" s="109" t="s">
        <v>363</v>
      </c>
      <c r="M1336" s="109" t="s">
        <v>0</v>
      </c>
      <c r="N1336" s="110" t="s">
        <v>0</v>
      </c>
      <c r="O1336" s="111"/>
      <c r="P1336" s="112"/>
      <c r="Q1336" s="112"/>
      <c r="R1336" s="112"/>
      <c r="S1336" s="112"/>
      <c r="T1336" s="112"/>
      <c r="U1336" s="95" t="str">
        <f t="shared" si="63"/>
        <v/>
      </c>
      <c r="V1336" s="112">
        <v>100</v>
      </c>
      <c r="W1336" s="112"/>
      <c r="X1336" s="107"/>
      <c r="Y1336" s="107">
        <f t="shared" si="64"/>
        <v>100</v>
      </c>
      <c r="Z1336" s="107">
        <f t="shared" si="65"/>
        <v>0</v>
      </c>
    </row>
    <row r="1337" spans="1:26" x14ac:dyDescent="0.25">
      <c r="A1337" s="55" t="str">
        <f>_xlfn.XLOOKUP($G1337,'.Auxiliar'!$G:$G,'.Auxiliar'!A:A,"-",0)</f>
        <v>VIA COSTEIRA</v>
      </c>
      <c r="B1337" s="55" t="str">
        <f>_xlfn.XLOOKUP($G1337,'.Auxiliar'!$G:$G,'.Auxiliar'!B:B,"-",0)</f>
        <v>PAVIMENTAÇÃO</v>
      </c>
      <c r="C1337" s="55" t="str">
        <f>_xlfn.XLOOKUP($G1337,'.Auxiliar'!$G:$G,'.Auxiliar'!C:C,"-",0)</f>
        <v>Não Consta (pista Sul)</v>
      </c>
      <c r="D1337" s="55">
        <f>_xlfn.XLOOKUP($G1337,'.Auxiliar'!$G:$G,'.Auxiliar'!D:D,"-",0)</f>
        <v>438.1</v>
      </c>
      <c r="E1337" s="55">
        <f>_xlfn.XLOOKUP($G1337,'.Auxiliar'!$G:$G,'.Auxiliar'!E:E,"-",0)</f>
        <v>439.1</v>
      </c>
      <c r="F1337" s="55">
        <f>_xlfn.XLOOKUP($G1337,'.Auxiliar'!$G:$G,'.Auxiliar'!F:F,"-",0)</f>
        <v>1</v>
      </c>
      <c r="G1337" s="59" t="s">
        <v>1084</v>
      </c>
      <c r="H1337" s="108" t="s">
        <v>0</v>
      </c>
      <c r="I1337" s="109" t="s">
        <v>0</v>
      </c>
      <c r="J1337" s="109" t="s">
        <v>0</v>
      </c>
      <c r="K1337" s="109" t="s">
        <v>0</v>
      </c>
      <c r="L1337" s="109" t="s">
        <v>0</v>
      </c>
      <c r="M1337" s="109" t="s">
        <v>0</v>
      </c>
      <c r="N1337" s="110" t="s">
        <v>363</v>
      </c>
      <c r="O1337" s="111"/>
      <c r="P1337" s="112"/>
      <c r="Q1337" s="112"/>
      <c r="R1337" s="112"/>
      <c r="S1337" s="112"/>
      <c r="T1337" s="112"/>
      <c r="U1337" s="95" t="str">
        <f t="shared" si="63"/>
        <v/>
      </c>
      <c r="V1337" s="112"/>
      <c r="W1337" s="112"/>
      <c r="X1337" s="107">
        <v>100</v>
      </c>
      <c r="Y1337" s="107">
        <f t="shared" si="64"/>
        <v>100</v>
      </c>
      <c r="Z1337" s="107">
        <f t="shared" si="65"/>
        <v>0</v>
      </c>
    </row>
    <row r="1338" spans="1:26" x14ac:dyDescent="0.25">
      <c r="A1338" s="55" t="str">
        <f>_xlfn.XLOOKUP($G1338,'.Auxiliar'!$G:$G,'.Auxiliar'!A:A,"-",0)</f>
        <v>VIA COSTEIRA</v>
      </c>
      <c r="B1338" s="55" t="str">
        <f>_xlfn.XLOOKUP($G1338,'.Auxiliar'!$G:$G,'.Auxiliar'!B:B,"-",0)</f>
        <v>PAVIMENTAÇÃO</v>
      </c>
      <c r="C1338" s="55" t="str">
        <f>_xlfn.XLOOKUP($G1338,'.Auxiliar'!$G:$G,'.Auxiliar'!C:C,"-",0)</f>
        <v>Não Consta (pista Sul)</v>
      </c>
      <c r="D1338" s="55">
        <f>_xlfn.XLOOKUP($G1338,'.Auxiliar'!$G:$G,'.Auxiliar'!D:D,"-",0)</f>
        <v>447.2</v>
      </c>
      <c r="E1338" s="55">
        <f>_xlfn.XLOOKUP($G1338,'.Auxiliar'!$G:$G,'.Auxiliar'!E:E,"-",0)</f>
        <v>448.2</v>
      </c>
      <c r="F1338" s="55">
        <f>_xlfn.XLOOKUP($G1338,'.Auxiliar'!$G:$G,'.Auxiliar'!F:F,"-",0)</f>
        <v>1</v>
      </c>
      <c r="G1338" s="59" t="s">
        <v>1085</v>
      </c>
      <c r="H1338" s="108" t="s">
        <v>0</v>
      </c>
      <c r="I1338" s="109" t="s">
        <v>0</v>
      </c>
      <c r="J1338" s="109" t="s">
        <v>0</v>
      </c>
      <c r="K1338" s="109" t="s">
        <v>0</v>
      </c>
      <c r="L1338" s="109" t="s">
        <v>0</v>
      </c>
      <c r="M1338" s="109" t="s">
        <v>0</v>
      </c>
      <c r="N1338" s="110" t="s">
        <v>363</v>
      </c>
      <c r="O1338" s="111"/>
      <c r="P1338" s="112"/>
      <c r="Q1338" s="112"/>
      <c r="R1338" s="112"/>
      <c r="S1338" s="112"/>
      <c r="T1338" s="112"/>
      <c r="U1338" s="95" t="str">
        <f t="shared" si="63"/>
        <v/>
      </c>
      <c r="V1338" s="112"/>
      <c r="W1338" s="112"/>
      <c r="X1338" s="107">
        <v>100</v>
      </c>
      <c r="Y1338" s="107">
        <f t="shared" si="64"/>
        <v>100</v>
      </c>
      <c r="Z1338" s="107">
        <f t="shared" si="65"/>
        <v>0</v>
      </c>
    </row>
    <row r="1339" spans="1:26" x14ac:dyDescent="0.25">
      <c r="A1339" s="55" t="str">
        <f>_xlfn.XLOOKUP($G1339,'.Auxiliar'!$G:$G,'.Auxiliar'!A:A,"-",0)</f>
        <v>VIA COSTEIRA</v>
      </c>
      <c r="B1339" s="55" t="str">
        <f>_xlfn.XLOOKUP($G1339,'.Auxiliar'!$G:$G,'.Auxiliar'!B:B,"-",0)</f>
        <v>PAVIMENTAÇÃO</v>
      </c>
      <c r="C1339" s="55" t="str">
        <f>_xlfn.XLOOKUP($G1339,'.Auxiliar'!$G:$G,'.Auxiliar'!C:C,"-",0)</f>
        <v>Não Consta (pista Sul)</v>
      </c>
      <c r="D1339" s="55">
        <f>_xlfn.XLOOKUP($G1339,'.Auxiliar'!$G:$G,'.Auxiliar'!D:D,"-",0)</f>
        <v>459.7</v>
      </c>
      <c r="E1339" s="55">
        <f>_xlfn.XLOOKUP($G1339,'.Auxiliar'!$G:$G,'.Auxiliar'!E:E,"-",0)</f>
        <v>460.15</v>
      </c>
      <c r="F1339" s="55">
        <f>_xlfn.XLOOKUP($G1339,'.Auxiliar'!$G:$G,'.Auxiliar'!F:F,"-",0)</f>
        <v>0.44999999999998863</v>
      </c>
      <c r="G1339" s="59" t="s">
        <v>1086</v>
      </c>
      <c r="H1339" s="121" t="s">
        <v>0</v>
      </c>
      <c r="I1339" s="122" t="s">
        <v>0</v>
      </c>
      <c r="J1339" s="122" t="s">
        <v>0</v>
      </c>
      <c r="K1339" s="122" t="s">
        <v>0</v>
      </c>
      <c r="L1339" s="122" t="s">
        <v>0</v>
      </c>
      <c r="M1339" s="122" t="s">
        <v>0</v>
      </c>
      <c r="N1339" s="123" t="s">
        <v>363</v>
      </c>
      <c r="O1339" s="124"/>
      <c r="P1339" s="125"/>
      <c r="Q1339" s="125"/>
      <c r="R1339" s="125"/>
      <c r="S1339" s="125"/>
      <c r="T1339" s="125"/>
      <c r="U1339" s="98" t="str">
        <f t="shared" si="63"/>
        <v/>
      </c>
      <c r="V1339" s="125"/>
      <c r="W1339" s="125"/>
      <c r="X1339" s="126">
        <v>100</v>
      </c>
      <c r="Y1339" s="126">
        <f t="shared" si="64"/>
        <v>100</v>
      </c>
      <c r="Z1339" s="126">
        <f t="shared" si="65"/>
        <v>0</v>
      </c>
    </row>
    <row r="1341" spans="1:26" x14ac:dyDescent="0.25">
      <c r="S1341" s="127"/>
    </row>
    <row r="1344" spans="1:26" x14ac:dyDescent="0.25">
      <c r="L1344" s="128"/>
      <c r="M1344" s="129"/>
      <c r="N1344" s="128"/>
    </row>
    <row r="1346" spans="12:16" x14ac:dyDescent="0.25">
      <c r="L1346" s="97"/>
      <c r="M1346" s="97"/>
      <c r="N1346" s="97"/>
      <c r="O1346" s="128"/>
    </row>
    <row r="1358" spans="12:16" x14ac:dyDescent="0.25">
      <c r="P1358" s="130"/>
    </row>
  </sheetData>
  <autoFilter ref="A2:Z1339" xr:uid="{890F3259-BF3F-4158-9E40-EC1187F9B6AB}"/>
  <mergeCells count="16">
    <mergeCell ref="S1:T1"/>
    <mergeCell ref="Y1:Z1"/>
    <mergeCell ref="Q1:R1"/>
    <mergeCell ref="V1:X1"/>
    <mergeCell ref="F1:F2"/>
    <mergeCell ref="H1:H2"/>
    <mergeCell ref="I1:I2"/>
    <mergeCell ref="J1:J2"/>
    <mergeCell ref="K1:K2"/>
    <mergeCell ref="O1:P1"/>
    <mergeCell ref="L1:N1"/>
    <mergeCell ref="A1:A2"/>
    <mergeCell ref="B1:B2"/>
    <mergeCell ref="C1:C2"/>
    <mergeCell ref="D1:D2"/>
    <mergeCell ref="E1:E2"/>
  </mergeCells>
  <conditionalFormatting sqref="G1:G2">
    <cfRule type="duplicateValues" dxfId="0" priority="3"/>
  </conditionalFormatting>
  <pageMargins left="0.511811024" right="0.511811024" top="0.78740157499999996" bottom="0.78740157499999996" header="0.31496062000000002" footer="0.31496062000000002"/>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8BD97-B502-4377-89E6-49CADD34CAD4}">
  <dimension ref="B1:Q59"/>
  <sheetViews>
    <sheetView workbookViewId="0">
      <selection activeCell="C31" sqref="C31"/>
    </sheetView>
  </sheetViews>
  <sheetFormatPr defaultRowHeight="15" x14ac:dyDescent="0.25"/>
  <cols>
    <col min="2" max="2" width="47.85546875" bestFit="1" customWidth="1"/>
    <col min="4" max="4" width="12.140625" customWidth="1"/>
    <col min="5" max="5" width="12.7109375" bestFit="1" customWidth="1"/>
    <col min="6" max="6" width="12.28515625" customWidth="1"/>
    <col min="8" max="8" width="14" customWidth="1"/>
    <col min="9" max="9" width="11.42578125" bestFit="1" customWidth="1"/>
  </cols>
  <sheetData>
    <row r="1" spans="2:17" x14ac:dyDescent="0.25">
      <c r="F1" s="66" t="s">
        <v>315</v>
      </c>
      <c r="G1" s="66" t="s">
        <v>1817</v>
      </c>
      <c r="H1" s="66" t="s">
        <v>1815</v>
      </c>
      <c r="I1" s="66" t="s">
        <v>1816</v>
      </c>
      <c r="J1" s="66" t="s">
        <v>1818</v>
      </c>
      <c r="K1" s="66" t="s">
        <v>1819</v>
      </c>
      <c r="L1" s="66" t="s">
        <v>1820</v>
      </c>
      <c r="M1" s="66" t="s">
        <v>1821</v>
      </c>
    </row>
    <row r="2" spans="2:17" x14ac:dyDescent="0.25">
      <c r="B2" s="43" t="s">
        <v>1786</v>
      </c>
      <c r="C2" s="43">
        <v>0</v>
      </c>
      <c r="D2" s="43">
        <v>47.6</v>
      </c>
      <c r="E2" s="43"/>
      <c r="F2" s="43">
        <f>D2-C2</f>
        <v>47.6</v>
      </c>
      <c r="G2" s="43">
        <v>0</v>
      </c>
      <c r="H2" s="43">
        <f t="shared" ref="H2:H15" si="0">F2+G2</f>
        <v>47.6</v>
      </c>
      <c r="I2" s="43">
        <f t="shared" ref="I2:I15" si="1">F2+G2</f>
        <v>47.6</v>
      </c>
      <c r="J2" s="43">
        <f>I2</f>
        <v>47.6</v>
      </c>
      <c r="K2" s="43"/>
      <c r="L2" s="43"/>
      <c r="M2" s="43"/>
      <c r="P2" t="s">
        <v>1818</v>
      </c>
      <c r="Q2" s="64">
        <v>72.599999999999994</v>
      </c>
    </row>
    <row r="3" spans="2:17" x14ac:dyDescent="0.25">
      <c r="B3" s="43" t="s">
        <v>1787</v>
      </c>
      <c r="C3" s="43">
        <f>D2</f>
        <v>47.6</v>
      </c>
      <c r="D3" s="43">
        <v>94.2</v>
      </c>
      <c r="E3" s="43"/>
      <c r="F3" s="43">
        <f t="shared" ref="F3:F4" si="2">D3-C3</f>
        <v>46.6</v>
      </c>
      <c r="G3" s="43">
        <v>0</v>
      </c>
      <c r="H3" s="43">
        <f t="shared" si="0"/>
        <v>46.6</v>
      </c>
      <c r="I3" s="43">
        <f t="shared" si="1"/>
        <v>46.6</v>
      </c>
      <c r="J3" s="43">
        <f>Q2-J2</f>
        <v>24.999999999999993</v>
      </c>
      <c r="K3" s="43">
        <f>I3-J3</f>
        <v>21.600000000000009</v>
      </c>
      <c r="L3" s="43"/>
      <c r="M3" s="43"/>
      <c r="P3" t="s">
        <v>1819</v>
      </c>
      <c r="Q3" s="64">
        <v>108.9</v>
      </c>
    </row>
    <row r="4" spans="2:17" x14ac:dyDescent="0.25">
      <c r="B4" s="43" t="s">
        <v>1788</v>
      </c>
      <c r="C4" s="43">
        <f t="shared" ref="C4:C29" si="3">D3</f>
        <v>94.2</v>
      </c>
      <c r="D4" s="43">
        <v>111</v>
      </c>
      <c r="E4" s="43"/>
      <c r="F4" s="43">
        <f t="shared" si="2"/>
        <v>16.799999999999997</v>
      </c>
      <c r="G4" s="43">
        <v>0</v>
      </c>
      <c r="H4" s="43">
        <f t="shared" si="0"/>
        <v>16.799999999999997</v>
      </c>
      <c r="I4" s="43">
        <f t="shared" si="1"/>
        <v>16.799999999999997</v>
      </c>
      <c r="J4" s="43"/>
      <c r="K4" s="43">
        <f>I4</f>
        <v>16.799999999999997</v>
      </c>
      <c r="L4" s="43"/>
      <c r="M4" s="43"/>
      <c r="P4" t="s">
        <v>1820</v>
      </c>
      <c r="Q4" s="64">
        <v>154.20000000000002</v>
      </c>
    </row>
    <row r="5" spans="2:17" x14ac:dyDescent="0.25">
      <c r="B5" s="43" t="s">
        <v>1789</v>
      </c>
      <c r="C5" s="43">
        <f t="shared" si="3"/>
        <v>111</v>
      </c>
      <c r="D5" s="43">
        <v>119.5</v>
      </c>
      <c r="E5" s="43"/>
      <c r="F5" s="65">
        <v>6.4</v>
      </c>
      <c r="G5" s="43">
        <v>1.9</v>
      </c>
      <c r="H5" s="43">
        <f t="shared" si="0"/>
        <v>8.3000000000000007</v>
      </c>
      <c r="I5" s="43">
        <f t="shared" si="1"/>
        <v>8.3000000000000007</v>
      </c>
      <c r="J5" s="43"/>
      <c r="K5" s="43">
        <f t="shared" ref="K5:K15" si="4">I5</f>
        <v>8.3000000000000007</v>
      </c>
      <c r="L5" s="43"/>
      <c r="M5" s="43"/>
      <c r="P5" t="s">
        <v>1821</v>
      </c>
      <c r="Q5" s="64">
        <v>117.90000000000003</v>
      </c>
    </row>
    <row r="6" spans="2:17" x14ac:dyDescent="0.25">
      <c r="B6" s="43" t="s">
        <v>1790</v>
      </c>
      <c r="C6" s="43">
        <f t="shared" si="3"/>
        <v>119.5</v>
      </c>
      <c r="D6" s="43">
        <v>128.69999999999999</v>
      </c>
      <c r="E6" s="43"/>
      <c r="F6" s="43"/>
      <c r="G6" s="43">
        <v>0.4</v>
      </c>
      <c r="H6" s="43">
        <f t="shared" si="0"/>
        <v>0.4</v>
      </c>
      <c r="I6" s="43">
        <f t="shared" si="1"/>
        <v>0.4</v>
      </c>
      <c r="J6" s="43"/>
      <c r="K6" s="43">
        <f t="shared" si="4"/>
        <v>0.4</v>
      </c>
      <c r="L6" s="43"/>
      <c r="M6" s="43"/>
    </row>
    <row r="7" spans="2:17" x14ac:dyDescent="0.25">
      <c r="B7" s="43" t="s">
        <v>1791</v>
      </c>
      <c r="C7" s="43">
        <f t="shared" si="3"/>
        <v>128.69999999999999</v>
      </c>
      <c r="D7" s="43">
        <v>176.8</v>
      </c>
      <c r="E7" s="43" t="s">
        <v>1814</v>
      </c>
      <c r="F7" s="43"/>
      <c r="G7" s="43">
        <v>0</v>
      </c>
      <c r="H7" s="43">
        <f t="shared" si="0"/>
        <v>0</v>
      </c>
      <c r="I7" s="43">
        <f t="shared" si="1"/>
        <v>0</v>
      </c>
      <c r="J7" s="43"/>
      <c r="K7" s="43">
        <f t="shared" si="4"/>
        <v>0</v>
      </c>
      <c r="L7" s="43"/>
      <c r="M7" s="43"/>
    </row>
    <row r="8" spans="2:17" x14ac:dyDescent="0.25">
      <c r="B8" s="43" t="s">
        <v>1792</v>
      </c>
      <c r="C8" s="43">
        <f t="shared" si="3"/>
        <v>176.8</v>
      </c>
      <c r="D8" s="43">
        <v>188.6</v>
      </c>
      <c r="E8" s="43" t="s">
        <v>1814</v>
      </c>
      <c r="F8" s="43"/>
      <c r="G8" s="43">
        <v>0</v>
      </c>
      <c r="H8" s="43">
        <f t="shared" si="0"/>
        <v>0</v>
      </c>
      <c r="I8" s="43">
        <f t="shared" si="1"/>
        <v>0</v>
      </c>
      <c r="J8" s="43"/>
      <c r="K8" s="43">
        <f t="shared" si="4"/>
        <v>0</v>
      </c>
      <c r="L8" s="43"/>
      <c r="M8" s="43"/>
    </row>
    <row r="9" spans="2:17" x14ac:dyDescent="0.25">
      <c r="B9" s="43" t="s">
        <v>1793</v>
      </c>
      <c r="C9" s="43">
        <f t="shared" si="3"/>
        <v>188.6</v>
      </c>
      <c r="D9" s="43">
        <v>197</v>
      </c>
      <c r="E9" s="43" t="s">
        <v>1814</v>
      </c>
      <c r="F9" s="43"/>
      <c r="G9" s="43">
        <v>0</v>
      </c>
      <c r="H9" s="43">
        <f t="shared" si="0"/>
        <v>0</v>
      </c>
      <c r="I9" s="43">
        <f t="shared" si="1"/>
        <v>0</v>
      </c>
      <c r="J9" s="43"/>
      <c r="K9" s="43">
        <f t="shared" si="4"/>
        <v>0</v>
      </c>
      <c r="L9" s="43"/>
      <c r="M9" s="43"/>
    </row>
    <row r="10" spans="2:17" x14ac:dyDescent="0.25">
      <c r="B10" s="43" t="s">
        <v>1794</v>
      </c>
      <c r="C10" s="43">
        <f t="shared" si="3"/>
        <v>197</v>
      </c>
      <c r="D10" s="43">
        <v>246.9</v>
      </c>
      <c r="E10" s="43" t="s">
        <v>1814</v>
      </c>
      <c r="F10" s="43"/>
      <c r="G10" s="43">
        <v>0</v>
      </c>
      <c r="H10" s="43">
        <f t="shared" si="0"/>
        <v>0</v>
      </c>
      <c r="I10" s="43">
        <f t="shared" si="1"/>
        <v>0</v>
      </c>
      <c r="J10" s="43"/>
      <c r="K10" s="43">
        <f t="shared" si="4"/>
        <v>0</v>
      </c>
      <c r="L10" s="43"/>
      <c r="M10" s="43"/>
    </row>
    <row r="11" spans="2:17" x14ac:dyDescent="0.25">
      <c r="B11" s="43" t="s">
        <v>1795</v>
      </c>
      <c r="C11" s="43">
        <f t="shared" si="3"/>
        <v>246.9</v>
      </c>
      <c r="D11" s="43">
        <v>279</v>
      </c>
      <c r="E11" s="43" t="s">
        <v>1814</v>
      </c>
      <c r="F11" s="43"/>
      <c r="G11" s="43">
        <v>0</v>
      </c>
      <c r="H11" s="43">
        <f t="shared" si="0"/>
        <v>0</v>
      </c>
      <c r="I11" s="43">
        <f t="shared" si="1"/>
        <v>0</v>
      </c>
      <c r="J11" s="43"/>
      <c r="K11" s="43">
        <f t="shared" si="4"/>
        <v>0</v>
      </c>
      <c r="L11" s="43"/>
      <c r="M11" s="43"/>
    </row>
    <row r="12" spans="2:17" x14ac:dyDescent="0.25">
      <c r="B12" s="43" t="s">
        <v>1796</v>
      </c>
      <c r="C12" s="43">
        <f t="shared" si="3"/>
        <v>279</v>
      </c>
      <c r="D12" s="43">
        <v>315.39999999999998</v>
      </c>
      <c r="E12" s="43" t="s">
        <v>1814</v>
      </c>
      <c r="F12" s="43"/>
      <c r="G12" s="43">
        <v>0</v>
      </c>
      <c r="H12" s="43">
        <f t="shared" si="0"/>
        <v>0</v>
      </c>
      <c r="I12" s="43">
        <f t="shared" si="1"/>
        <v>0</v>
      </c>
      <c r="J12" s="43"/>
      <c r="K12" s="43">
        <f t="shared" si="4"/>
        <v>0</v>
      </c>
      <c r="L12" s="43"/>
      <c r="M12" s="43"/>
    </row>
    <row r="13" spans="2:17" x14ac:dyDescent="0.25">
      <c r="B13" s="43" t="s">
        <v>1797</v>
      </c>
      <c r="C13" s="43">
        <f t="shared" si="3"/>
        <v>315.39999999999998</v>
      </c>
      <c r="D13" s="43">
        <v>321.3</v>
      </c>
      <c r="E13" s="43" t="s">
        <v>1814</v>
      </c>
      <c r="F13" s="43"/>
      <c r="G13" s="43">
        <v>0</v>
      </c>
      <c r="H13" s="43">
        <f t="shared" si="0"/>
        <v>0</v>
      </c>
      <c r="I13" s="43">
        <f t="shared" si="1"/>
        <v>0</v>
      </c>
      <c r="J13" s="43"/>
      <c r="K13" s="43">
        <f t="shared" si="4"/>
        <v>0</v>
      </c>
      <c r="L13" s="43"/>
      <c r="M13" s="43"/>
    </row>
    <row r="14" spans="2:17" s="75" customFormat="1" x14ac:dyDescent="0.25">
      <c r="B14" s="74" t="s">
        <v>1798</v>
      </c>
      <c r="C14" s="74">
        <f t="shared" si="3"/>
        <v>321.3</v>
      </c>
      <c r="D14" s="74">
        <v>339.3</v>
      </c>
      <c r="E14" s="74"/>
      <c r="F14" s="74"/>
      <c r="G14" s="74">
        <v>18</v>
      </c>
      <c r="H14" s="74">
        <f t="shared" si="0"/>
        <v>18</v>
      </c>
      <c r="I14" s="74">
        <f t="shared" si="1"/>
        <v>18</v>
      </c>
      <c r="J14" s="74"/>
      <c r="K14" s="74">
        <f t="shared" si="4"/>
        <v>18</v>
      </c>
      <c r="L14" s="74"/>
      <c r="M14" s="74"/>
    </row>
    <row r="15" spans="2:17" x14ac:dyDescent="0.25">
      <c r="B15" s="43" t="s">
        <v>1799</v>
      </c>
      <c r="C15" s="43">
        <f t="shared" si="3"/>
        <v>339.3</v>
      </c>
      <c r="D15" s="43">
        <v>353.5</v>
      </c>
      <c r="E15" s="43"/>
      <c r="F15" s="43"/>
      <c r="G15" s="43">
        <v>10.1</v>
      </c>
      <c r="H15" s="43">
        <f t="shared" si="0"/>
        <v>10.1</v>
      </c>
      <c r="I15" s="43">
        <f t="shared" si="1"/>
        <v>10.1</v>
      </c>
      <c r="J15" s="43"/>
      <c r="K15" s="43">
        <f t="shared" si="4"/>
        <v>10.1</v>
      </c>
      <c r="L15" s="43"/>
      <c r="M15" s="43"/>
    </row>
    <row r="16" spans="2:17" x14ac:dyDescent="0.25">
      <c r="B16" s="67" t="s">
        <v>1800</v>
      </c>
      <c r="C16" s="67">
        <f t="shared" si="3"/>
        <v>353.5</v>
      </c>
      <c r="D16" s="67">
        <v>408</v>
      </c>
      <c r="E16" s="57"/>
      <c r="F16" s="57"/>
      <c r="G16" s="67"/>
      <c r="H16" s="57"/>
      <c r="I16" s="67">
        <v>54.5</v>
      </c>
      <c r="J16" s="57"/>
      <c r="K16" s="57"/>
      <c r="L16" s="57"/>
      <c r="M16" s="57"/>
    </row>
    <row r="17" spans="2:13" x14ac:dyDescent="0.25">
      <c r="B17" s="67" t="s">
        <v>1801</v>
      </c>
      <c r="C17" s="67">
        <f t="shared" si="3"/>
        <v>408</v>
      </c>
      <c r="D17" s="67">
        <v>421.5</v>
      </c>
      <c r="E17" s="57"/>
      <c r="F17" s="57"/>
      <c r="G17" s="67"/>
      <c r="H17" s="57"/>
      <c r="I17" s="67">
        <v>13.5</v>
      </c>
      <c r="J17" s="57"/>
      <c r="K17" s="57"/>
      <c r="L17" s="57"/>
      <c r="M17" s="57"/>
    </row>
    <row r="18" spans="2:13" x14ac:dyDescent="0.25">
      <c r="B18" s="67" t="s">
        <v>1802</v>
      </c>
      <c r="C18" s="67">
        <f t="shared" si="3"/>
        <v>421.5</v>
      </c>
      <c r="D18" s="67">
        <v>460</v>
      </c>
      <c r="E18" s="57"/>
      <c r="F18" s="57"/>
      <c r="G18" s="67"/>
      <c r="H18" s="57"/>
      <c r="I18" s="67">
        <v>40.200000000000003</v>
      </c>
      <c r="J18" s="57"/>
      <c r="K18" s="57"/>
      <c r="L18" s="57"/>
      <c r="M18" s="57"/>
    </row>
    <row r="19" spans="2:13" x14ac:dyDescent="0.25">
      <c r="B19" s="43" t="s">
        <v>1803</v>
      </c>
      <c r="C19" s="43">
        <f t="shared" si="3"/>
        <v>460</v>
      </c>
      <c r="D19" s="43">
        <v>481.2</v>
      </c>
      <c r="E19" s="43" t="s">
        <v>1814</v>
      </c>
      <c r="F19" s="43"/>
      <c r="G19" s="43">
        <v>0</v>
      </c>
      <c r="H19" s="43">
        <f t="shared" ref="H19:H29" si="5">F19+G19</f>
        <v>0</v>
      </c>
      <c r="I19" s="43">
        <f t="shared" ref="I19:I29" si="6">F19+G19</f>
        <v>0</v>
      </c>
      <c r="J19" s="43"/>
      <c r="K19" s="43">
        <f>I19</f>
        <v>0</v>
      </c>
      <c r="L19" s="43"/>
      <c r="M19" s="43"/>
    </row>
    <row r="20" spans="2:13" x14ac:dyDescent="0.25">
      <c r="B20" s="43" t="s">
        <v>1804</v>
      </c>
      <c r="C20" s="43">
        <f t="shared" si="3"/>
        <v>481.2</v>
      </c>
      <c r="D20" s="43">
        <v>507</v>
      </c>
      <c r="E20" s="43" t="s">
        <v>1814</v>
      </c>
      <c r="F20" s="43"/>
      <c r="G20" s="43">
        <v>0</v>
      </c>
      <c r="H20" s="43">
        <f t="shared" si="5"/>
        <v>0</v>
      </c>
      <c r="I20" s="43">
        <f t="shared" si="6"/>
        <v>0</v>
      </c>
      <c r="J20" s="43"/>
      <c r="K20" s="43">
        <f t="shared" ref="K20" si="7">I20</f>
        <v>0</v>
      </c>
      <c r="L20" s="43"/>
      <c r="M20" s="43"/>
    </row>
    <row r="21" spans="2:13" x14ac:dyDescent="0.25">
      <c r="B21" s="65" t="s">
        <v>1805</v>
      </c>
      <c r="C21" s="65">
        <f t="shared" si="3"/>
        <v>507</v>
      </c>
      <c r="D21" s="65">
        <v>590</v>
      </c>
      <c r="E21" s="65"/>
      <c r="F21" s="65"/>
      <c r="G21" s="65">
        <v>83.1</v>
      </c>
      <c r="H21" s="65">
        <f t="shared" si="5"/>
        <v>83.1</v>
      </c>
      <c r="I21" s="65">
        <f t="shared" si="6"/>
        <v>83.1</v>
      </c>
      <c r="J21" s="65"/>
      <c r="K21" s="65">
        <f>Q3-SUM(K3:K20)</f>
        <v>33.700000000000017</v>
      </c>
      <c r="L21" s="65">
        <f>I21-K21</f>
        <v>49.399999999999977</v>
      </c>
      <c r="M21" s="65"/>
    </row>
    <row r="22" spans="2:13" x14ac:dyDescent="0.25">
      <c r="B22" s="43" t="s">
        <v>1806</v>
      </c>
      <c r="C22" s="43">
        <f t="shared" si="3"/>
        <v>590</v>
      </c>
      <c r="D22" s="43">
        <v>603</v>
      </c>
      <c r="E22" s="43"/>
      <c r="F22" s="43"/>
      <c r="G22" s="43">
        <v>5.2</v>
      </c>
      <c r="H22" s="43">
        <f t="shared" si="5"/>
        <v>5.2</v>
      </c>
      <c r="I22" s="43">
        <f t="shared" si="6"/>
        <v>5.2</v>
      </c>
      <c r="J22" s="43"/>
      <c r="K22" s="43"/>
      <c r="L22" s="43">
        <f>I22</f>
        <v>5.2</v>
      </c>
      <c r="M22" s="43"/>
    </row>
    <row r="23" spans="2:13" x14ac:dyDescent="0.25">
      <c r="B23" s="43" t="s">
        <v>1807</v>
      </c>
      <c r="C23" s="43">
        <f t="shared" si="3"/>
        <v>603</v>
      </c>
      <c r="D23" s="43">
        <v>685</v>
      </c>
      <c r="E23" s="43"/>
      <c r="F23" s="43"/>
      <c r="G23" s="43">
        <v>82</v>
      </c>
      <c r="H23" s="43">
        <f t="shared" si="5"/>
        <v>82</v>
      </c>
      <c r="I23" s="43">
        <f t="shared" si="6"/>
        <v>82</v>
      </c>
      <c r="J23" s="43"/>
      <c r="K23" s="43"/>
      <c r="L23" s="43">
        <f t="shared" ref="L23:L24" si="8">I23</f>
        <v>82</v>
      </c>
      <c r="M23" s="43"/>
    </row>
    <row r="24" spans="2:13" x14ac:dyDescent="0.25">
      <c r="B24" s="43" t="s">
        <v>1808</v>
      </c>
      <c r="C24" s="43">
        <f t="shared" si="3"/>
        <v>685</v>
      </c>
      <c r="D24" s="43">
        <v>694.2</v>
      </c>
      <c r="E24" s="43"/>
      <c r="F24" s="43"/>
      <c r="G24" s="43">
        <v>9.1999999999999993</v>
      </c>
      <c r="H24" s="43">
        <f t="shared" si="5"/>
        <v>9.1999999999999993</v>
      </c>
      <c r="I24" s="43">
        <f t="shared" si="6"/>
        <v>9.1999999999999993</v>
      </c>
      <c r="J24" s="43"/>
      <c r="K24" s="43"/>
      <c r="L24" s="43">
        <f t="shared" si="8"/>
        <v>9.1999999999999993</v>
      </c>
      <c r="M24" s="43"/>
    </row>
    <row r="25" spans="2:13" x14ac:dyDescent="0.25">
      <c r="B25" s="43" t="s">
        <v>1809</v>
      </c>
      <c r="C25" s="43">
        <f t="shared" si="3"/>
        <v>694.2</v>
      </c>
      <c r="D25" s="43">
        <v>745</v>
      </c>
      <c r="E25" s="43"/>
      <c r="F25" s="43"/>
      <c r="G25" s="43">
        <v>50.8</v>
      </c>
      <c r="H25" s="43">
        <f t="shared" si="5"/>
        <v>50.8</v>
      </c>
      <c r="I25" s="43">
        <f t="shared" si="6"/>
        <v>50.8</v>
      </c>
      <c r="J25" s="43"/>
      <c r="K25" s="43"/>
      <c r="L25" s="43">
        <f>Q4-SUM(L21:L24)</f>
        <v>8.4000000000000625</v>
      </c>
      <c r="M25" s="43">
        <f>I25-L25</f>
        <v>42.399999999999935</v>
      </c>
    </row>
    <row r="26" spans="2:13" x14ac:dyDescent="0.25">
      <c r="B26" s="43" t="s">
        <v>1810</v>
      </c>
      <c r="C26" s="43">
        <f t="shared" si="3"/>
        <v>745</v>
      </c>
      <c r="D26" s="43">
        <v>760</v>
      </c>
      <c r="E26" s="43"/>
      <c r="F26" s="43"/>
      <c r="G26" s="43">
        <v>1</v>
      </c>
      <c r="H26" s="43">
        <f t="shared" si="5"/>
        <v>1</v>
      </c>
      <c r="I26" s="43">
        <f t="shared" si="6"/>
        <v>1</v>
      </c>
      <c r="J26" s="43"/>
      <c r="K26" s="43"/>
      <c r="L26" s="43"/>
      <c r="M26" s="43">
        <f t="shared" ref="M26:M29" si="9">I26-L26</f>
        <v>1</v>
      </c>
    </row>
    <row r="27" spans="2:13" x14ac:dyDescent="0.25">
      <c r="B27" s="43" t="s">
        <v>1811</v>
      </c>
      <c r="C27" s="43">
        <f t="shared" si="3"/>
        <v>760</v>
      </c>
      <c r="D27" s="43">
        <v>820</v>
      </c>
      <c r="E27" s="43"/>
      <c r="F27" s="43"/>
      <c r="G27" s="43">
        <v>60</v>
      </c>
      <c r="H27" s="43">
        <f t="shared" si="5"/>
        <v>60</v>
      </c>
      <c r="I27" s="43">
        <f t="shared" si="6"/>
        <v>60</v>
      </c>
      <c r="J27" s="43"/>
      <c r="K27" s="43"/>
      <c r="L27" s="43"/>
      <c r="M27" s="43">
        <f t="shared" si="9"/>
        <v>60</v>
      </c>
    </row>
    <row r="28" spans="2:13" x14ac:dyDescent="0.25">
      <c r="B28" s="43" t="s">
        <v>1812</v>
      </c>
      <c r="C28" s="43">
        <f t="shared" si="3"/>
        <v>820</v>
      </c>
      <c r="D28" s="43">
        <v>839</v>
      </c>
      <c r="E28" s="43"/>
      <c r="F28" s="43"/>
      <c r="G28" s="43">
        <v>1.6</v>
      </c>
      <c r="H28" s="43">
        <f t="shared" si="5"/>
        <v>1.6</v>
      </c>
      <c r="I28" s="43">
        <f t="shared" si="6"/>
        <v>1.6</v>
      </c>
      <c r="J28" s="43"/>
      <c r="K28" s="43"/>
      <c r="L28" s="43"/>
      <c r="M28" s="43">
        <f t="shared" si="9"/>
        <v>1.6</v>
      </c>
    </row>
    <row r="29" spans="2:13" x14ac:dyDescent="0.25">
      <c r="B29" s="43" t="s">
        <v>1813</v>
      </c>
      <c r="C29" s="43">
        <f t="shared" si="3"/>
        <v>839</v>
      </c>
      <c r="D29" s="43">
        <v>855</v>
      </c>
      <c r="E29" s="43"/>
      <c r="F29" s="43"/>
      <c r="G29" s="43">
        <v>15.2</v>
      </c>
      <c r="H29" s="43">
        <f t="shared" si="5"/>
        <v>15.2</v>
      </c>
      <c r="I29" s="43">
        <f t="shared" si="6"/>
        <v>15.2</v>
      </c>
      <c r="J29" s="43"/>
      <c r="K29" s="43"/>
      <c r="L29" s="43"/>
      <c r="M29" s="43">
        <f t="shared" si="9"/>
        <v>15.2</v>
      </c>
    </row>
    <row r="30" spans="2:13" x14ac:dyDescent="0.25">
      <c r="F30" s="43">
        <f>SUM(F2:F29)</f>
        <v>117.4</v>
      </c>
      <c r="G30" s="43">
        <f t="shared" ref="G30:I30" si="10">SUM(G2:G29)</f>
        <v>338.5</v>
      </c>
      <c r="H30" s="43">
        <f>SUM(H2:H29)</f>
        <v>455.9</v>
      </c>
      <c r="I30" s="43">
        <f t="shared" si="10"/>
        <v>564.1</v>
      </c>
      <c r="J30" s="43">
        <f t="shared" ref="J30" si="11">SUM(J2:J29)</f>
        <v>72.599999999999994</v>
      </c>
      <c r="K30" s="43">
        <f t="shared" ref="K30" si="12">SUM(K2:K29)</f>
        <v>108.9</v>
      </c>
      <c r="L30" s="43">
        <f t="shared" ref="L30" si="13">SUM(L2:L29)</f>
        <v>154.20000000000002</v>
      </c>
      <c r="M30" s="43">
        <f t="shared" ref="M30" si="14">SUM(M2:M29)</f>
        <v>120.19999999999993</v>
      </c>
    </row>
    <row r="33" spans="2:14" x14ac:dyDescent="0.25">
      <c r="B33" s="155" t="s">
        <v>1805</v>
      </c>
      <c r="C33" s="157" t="s">
        <v>1824</v>
      </c>
      <c r="D33" s="157" t="s">
        <v>1825</v>
      </c>
      <c r="E33" s="157" t="s">
        <v>1826</v>
      </c>
      <c r="F33" s="159">
        <v>2023</v>
      </c>
      <c r="G33" s="159"/>
      <c r="H33" s="159">
        <v>2024</v>
      </c>
      <c r="I33" s="159"/>
      <c r="J33" s="2">
        <v>2025</v>
      </c>
    </row>
    <row r="34" spans="2:14" x14ac:dyDescent="0.25">
      <c r="B34" s="156"/>
      <c r="C34" s="158"/>
      <c r="D34" s="158"/>
      <c r="E34" s="158"/>
      <c r="F34" s="33" t="s">
        <v>1817</v>
      </c>
      <c r="G34" s="33" t="s">
        <v>315</v>
      </c>
      <c r="H34" s="33" t="s">
        <v>1817</v>
      </c>
      <c r="I34" s="33" t="s">
        <v>315</v>
      </c>
      <c r="J34" s="33" t="s">
        <v>1817</v>
      </c>
    </row>
    <row r="35" spans="2:14" x14ac:dyDescent="0.25">
      <c r="B35" s="43" t="s">
        <v>1822</v>
      </c>
      <c r="C35" s="68">
        <v>507</v>
      </c>
      <c r="D35" s="68">
        <v>515</v>
      </c>
      <c r="E35" s="68">
        <f>D35-C35</f>
        <v>8</v>
      </c>
      <c r="F35" s="69">
        <v>0.57379999999999998</v>
      </c>
      <c r="G35" s="69">
        <v>0.57379999999999998</v>
      </c>
      <c r="H35" s="69">
        <v>0.42620000000000002</v>
      </c>
      <c r="I35" s="69">
        <v>0.42620000000000002</v>
      </c>
      <c r="J35" s="70">
        <v>0</v>
      </c>
    </row>
    <row r="36" spans="2:14" x14ac:dyDescent="0.25">
      <c r="B36" s="43" t="s">
        <v>1823</v>
      </c>
      <c r="C36" s="43">
        <v>515</v>
      </c>
      <c r="D36" s="43">
        <v>574</v>
      </c>
      <c r="E36" s="43">
        <f>D36-C36</f>
        <v>59</v>
      </c>
      <c r="F36" s="69">
        <v>6.4699999999999994E-2</v>
      </c>
      <c r="G36" s="70">
        <v>0.06</v>
      </c>
      <c r="H36" s="69">
        <v>0.58860000000000001</v>
      </c>
      <c r="I36" s="69">
        <v>0.1195</v>
      </c>
      <c r="J36" s="69">
        <f>1-(H36+G36)</f>
        <v>0.35139999999999993</v>
      </c>
    </row>
    <row r="37" spans="2:14" x14ac:dyDescent="0.25">
      <c r="B37" s="43" t="s">
        <v>1832</v>
      </c>
      <c r="C37" s="43">
        <v>574</v>
      </c>
      <c r="D37" s="43">
        <v>590.1</v>
      </c>
      <c r="E37" s="43">
        <f>D37-C37</f>
        <v>16.100000000000023</v>
      </c>
      <c r="F37" s="69">
        <v>0</v>
      </c>
      <c r="G37" s="70">
        <v>0</v>
      </c>
      <c r="H37" s="69">
        <v>0.66010000000000002</v>
      </c>
      <c r="I37" s="69">
        <v>6.8099999999999994E-2</v>
      </c>
      <c r="J37" s="69">
        <f>1-H37</f>
        <v>0.33989999999999998</v>
      </c>
    </row>
    <row r="38" spans="2:14" x14ac:dyDescent="0.25">
      <c r="G38" s="71">
        <f>G36*$E$36</f>
        <v>3.54</v>
      </c>
      <c r="H38" s="71">
        <f>H36*$E$36</f>
        <v>34.727400000000003</v>
      </c>
      <c r="I38" s="71">
        <f>I36*$E$36</f>
        <v>7.0504999999999995</v>
      </c>
      <c r="J38" s="71">
        <f>J36*$E$36</f>
        <v>20.732599999999998</v>
      </c>
    </row>
    <row r="39" spans="2:14" x14ac:dyDescent="0.25">
      <c r="G39" s="1"/>
      <c r="H39" s="1"/>
      <c r="I39" s="1"/>
      <c r="J39" s="1"/>
    </row>
    <row r="40" spans="2:14" x14ac:dyDescent="0.25">
      <c r="B40" s="155" t="s">
        <v>1805</v>
      </c>
      <c r="C40" s="157" t="s">
        <v>1826</v>
      </c>
      <c r="D40" s="145" t="s">
        <v>1827</v>
      </c>
      <c r="E40" s="146" t="s">
        <v>1826</v>
      </c>
      <c r="F40" s="145" t="s">
        <v>1828</v>
      </c>
      <c r="G40" s="146" t="s">
        <v>1826</v>
      </c>
      <c r="H40" s="145" t="s">
        <v>1833</v>
      </c>
      <c r="I40" s="146" t="s">
        <v>1826</v>
      </c>
      <c r="J40" s="76">
        <v>2023</v>
      </c>
      <c r="K40" s="77"/>
      <c r="L40" s="76">
        <v>2024</v>
      </c>
      <c r="M40" s="77"/>
      <c r="N40" s="2">
        <v>2025</v>
      </c>
    </row>
    <row r="41" spans="2:14" x14ac:dyDescent="0.25">
      <c r="B41" s="156"/>
      <c r="C41" s="158"/>
      <c r="D41" s="145"/>
      <c r="E41" s="147"/>
      <c r="F41" s="145"/>
      <c r="G41" s="147"/>
      <c r="H41" s="145"/>
      <c r="I41" s="147"/>
      <c r="J41" s="33" t="s">
        <v>1817</v>
      </c>
      <c r="K41" s="33" t="s">
        <v>315</v>
      </c>
      <c r="L41" s="33" t="s">
        <v>1817</v>
      </c>
      <c r="M41" s="33" t="s">
        <v>315</v>
      </c>
      <c r="N41" s="33" t="s">
        <v>1817</v>
      </c>
    </row>
    <row r="42" spans="2:14" x14ac:dyDescent="0.25">
      <c r="B42" s="43" t="s">
        <v>1829</v>
      </c>
      <c r="C42" s="43">
        <v>108.9</v>
      </c>
      <c r="D42" s="70">
        <v>1</v>
      </c>
      <c r="E42" s="43">
        <v>8</v>
      </c>
      <c r="F42" s="72">
        <f>(G42)/$E$36</f>
        <v>0.43559322033898334</v>
      </c>
      <c r="G42" s="43">
        <f>K21-8</f>
        <v>25.700000000000017</v>
      </c>
      <c r="H42" s="78">
        <f>(I42)/$E$37</f>
        <v>0</v>
      </c>
      <c r="I42" s="43">
        <v>0</v>
      </c>
      <c r="J42" s="61">
        <f>(($E$35*F35*$D$42)+($E$36*F36*$F$42)+($E$37*F37*$H$42))/$C$42</f>
        <v>5.7421395775941235E-2</v>
      </c>
      <c r="K42" s="61">
        <f t="shared" ref="K42:N42" si="15">(($E$35*G35*$D$42)+($E$36*G36*$F$42)+($E$37*G37*$H$42))/$C$42</f>
        <v>5.6312213039485769E-2</v>
      </c>
      <c r="L42" s="61">
        <f t="shared" si="15"/>
        <v>0.17021689623507816</v>
      </c>
      <c r="M42" s="61">
        <f t="shared" si="15"/>
        <v>5.9511019283746573E-2</v>
      </c>
      <c r="N42" s="61">
        <f t="shared" si="15"/>
        <v>8.2929109274563859E-2</v>
      </c>
    </row>
    <row r="43" spans="2:14" x14ac:dyDescent="0.25">
      <c r="B43" s="43" t="s">
        <v>1830</v>
      </c>
      <c r="C43" s="43">
        <v>154.19999999999999</v>
      </c>
      <c r="D43" s="43"/>
      <c r="E43" s="43">
        <v>0</v>
      </c>
      <c r="F43" s="72">
        <f>(G43)/$E$36</f>
        <v>0.56440677966101671</v>
      </c>
      <c r="G43" s="43">
        <f>E36-G42</f>
        <v>33.299999999999983</v>
      </c>
      <c r="H43" s="78">
        <f>(I43)/$E$37</f>
        <v>0.99999999999999867</v>
      </c>
      <c r="I43" s="43">
        <v>16.100000000000001</v>
      </c>
      <c r="J43" s="61">
        <f>(($E$35*F35*$D$43)+($E$36*F36*$F$43)+($E$37*F37*$H$43))/$C$43</f>
        <v>1.3972178988326842E-2</v>
      </c>
      <c r="K43" s="61">
        <f t="shared" ref="K43:N43" si="16">(($E$35*G35*$D$43)+($E$36*G36*$F$43)+($E$37*G37*$H$43))/$C$43</f>
        <v>1.2957198443579761E-2</v>
      </c>
      <c r="L43" s="61">
        <f t="shared" si="16"/>
        <v>0.19603106355382618</v>
      </c>
      <c r="M43" s="61">
        <f t="shared" si="16"/>
        <v>3.291673151750972E-2</v>
      </c>
      <c r="N43" s="61">
        <f t="shared" si="16"/>
        <v>0.11137490272373536</v>
      </c>
    </row>
    <row r="46" spans="2:14" x14ac:dyDescent="0.25">
      <c r="E46" s="43">
        <v>2023</v>
      </c>
      <c r="F46" s="43">
        <v>2024</v>
      </c>
    </row>
    <row r="47" spans="2:14" x14ac:dyDescent="0.25">
      <c r="D47" s="73" t="s">
        <v>1827</v>
      </c>
      <c r="E47" s="43">
        <f>E35*G35</f>
        <v>4.5903999999999998</v>
      </c>
      <c r="F47" s="43">
        <f>E35*H35</f>
        <v>3.4096000000000002</v>
      </c>
    </row>
    <row r="48" spans="2:14" x14ac:dyDescent="0.25">
      <c r="D48" s="73" t="s">
        <v>1828</v>
      </c>
      <c r="E48" s="43">
        <f>E36*G36</f>
        <v>3.54</v>
      </c>
      <c r="F48" s="43">
        <f>E36*H36</f>
        <v>34.727400000000003</v>
      </c>
    </row>
    <row r="49" spans="2:8" x14ac:dyDescent="0.25">
      <c r="D49" s="73" t="s">
        <v>1833</v>
      </c>
      <c r="E49" s="43">
        <f>E37*G37</f>
        <v>0</v>
      </c>
      <c r="F49" s="43">
        <f>E37*H37</f>
        <v>10.627610000000015</v>
      </c>
    </row>
    <row r="50" spans="2:8" x14ac:dyDescent="0.25">
      <c r="E50" s="43">
        <f>SUM(E47:E49)</f>
        <v>8.1303999999999998</v>
      </c>
      <c r="F50" s="43">
        <f>SUM(F47:F49)</f>
        <v>48.764610000000019</v>
      </c>
    </row>
    <row r="52" spans="2:8" x14ac:dyDescent="0.25">
      <c r="E52" s="43">
        <v>2023</v>
      </c>
      <c r="F52" s="43">
        <v>2024</v>
      </c>
    </row>
    <row r="53" spans="2:8" x14ac:dyDescent="0.25">
      <c r="D53" s="43" t="s">
        <v>1829</v>
      </c>
      <c r="E53" s="43">
        <f>K42*C42</f>
        <v>6.1324000000000005</v>
      </c>
      <c r="F53" s="43">
        <f>L42*C42</f>
        <v>18.536620000000013</v>
      </c>
    </row>
    <row r="54" spans="2:8" x14ac:dyDescent="0.25">
      <c r="D54" s="43" t="s">
        <v>1830</v>
      </c>
      <c r="E54" s="43">
        <f>K43*C43</f>
        <v>1.9979999999999991</v>
      </c>
      <c r="F54" s="43">
        <f>L43*C43</f>
        <v>30.227989999999995</v>
      </c>
    </row>
    <row r="55" spans="2:8" x14ac:dyDescent="0.25">
      <c r="E55" s="43">
        <f>SUM(E53:E54)</f>
        <v>8.1303999999999998</v>
      </c>
      <c r="F55" s="43">
        <f>SUM(F53:F54)</f>
        <v>48.764610000000005</v>
      </c>
    </row>
    <row r="57" spans="2:8" x14ac:dyDescent="0.25">
      <c r="G57" s="43">
        <v>2024</v>
      </c>
      <c r="H57" s="43">
        <v>2025</v>
      </c>
    </row>
    <row r="58" spans="2:8" x14ac:dyDescent="0.25">
      <c r="B58" s="148" t="s">
        <v>1831</v>
      </c>
      <c r="C58" s="150">
        <v>321.3</v>
      </c>
      <c r="D58" s="150">
        <v>328.3</v>
      </c>
      <c r="E58" s="152">
        <f>D58-C58</f>
        <v>7</v>
      </c>
      <c r="F58" s="153">
        <f>E58/K30</f>
        <v>6.427915518824609E-2</v>
      </c>
      <c r="G58" s="69">
        <v>0.55210000000000004</v>
      </c>
      <c r="H58" s="69">
        <v>0.44790000000000002</v>
      </c>
    </row>
    <row r="59" spans="2:8" x14ac:dyDescent="0.25">
      <c r="B59" s="149"/>
      <c r="C59" s="151"/>
      <c r="D59" s="151"/>
      <c r="E59" s="152"/>
      <c r="F59" s="154"/>
      <c r="G59" s="69">
        <f>G58*F58</f>
        <v>3.5488521579430665E-2</v>
      </c>
      <c r="H59" s="69">
        <f>H58*F58</f>
        <v>2.8790633608815425E-2</v>
      </c>
    </row>
  </sheetData>
  <mergeCells count="19">
    <mergeCell ref="F33:G33"/>
    <mergeCell ref="H33:I33"/>
    <mergeCell ref="B33:B34"/>
    <mergeCell ref="C33:C34"/>
    <mergeCell ref="D33:D34"/>
    <mergeCell ref="E33:E34"/>
    <mergeCell ref="H40:H41"/>
    <mergeCell ref="I40:I41"/>
    <mergeCell ref="E40:E41"/>
    <mergeCell ref="G40:G41"/>
    <mergeCell ref="B58:B59"/>
    <mergeCell ref="C58:C59"/>
    <mergeCell ref="D58:D59"/>
    <mergeCell ref="E58:E59"/>
    <mergeCell ref="F58:F59"/>
    <mergeCell ref="B40:B41"/>
    <mergeCell ref="C40:C41"/>
    <mergeCell ref="D40:D41"/>
    <mergeCell ref="F40:F41"/>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0E69E-56D9-4980-9742-0F9240882E5E}">
  <dimension ref="B1:K29"/>
  <sheetViews>
    <sheetView topLeftCell="A24" workbookViewId="0">
      <selection activeCell="C31" sqref="C31"/>
    </sheetView>
  </sheetViews>
  <sheetFormatPr defaultRowHeight="15" x14ac:dyDescent="0.25"/>
  <cols>
    <col min="2" max="2" width="48" bestFit="1" customWidth="1"/>
    <col min="3" max="4" width="8" bestFit="1" customWidth="1"/>
  </cols>
  <sheetData>
    <row r="1" spans="2:11" x14ac:dyDescent="0.25">
      <c r="J1" t="s">
        <v>1834</v>
      </c>
      <c r="K1" t="s">
        <v>1835</v>
      </c>
    </row>
    <row r="3" spans="2:11" x14ac:dyDescent="0.25">
      <c r="B3" t="s">
        <v>1837</v>
      </c>
      <c r="C3" t="s">
        <v>1846</v>
      </c>
      <c r="D3" t="s">
        <v>1849</v>
      </c>
      <c r="E3" s="79">
        <v>40330</v>
      </c>
      <c r="F3" s="79">
        <v>41244</v>
      </c>
    </row>
    <row r="4" spans="2:11" x14ac:dyDescent="0.25">
      <c r="B4" t="s">
        <v>1840</v>
      </c>
      <c r="C4" t="s">
        <v>1849</v>
      </c>
      <c r="D4" t="s">
        <v>1853</v>
      </c>
      <c r="E4" s="79">
        <v>41426</v>
      </c>
      <c r="F4" s="79">
        <v>42767</v>
      </c>
    </row>
    <row r="5" spans="2:11" x14ac:dyDescent="0.25">
      <c r="B5" t="s">
        <v>1844</v>
      </c>
      <c r="C5" t="s">
        <v>1853</v>
      </c>
      <c r="D5" t="s">
        <v>1852</v>
      </c>
      <c r="E5" s="79">
        <v>42005</v>
      </c>
      <c r="F5" s="79">
        <v>43132</v>
      </c>
    </row>
    <row r="6" spans="2:11" x14ac:dyDescent="0.25">
      <c r="B6" t="s">
        <v>1843</v>
      </c>
      <c r="C6" t="s">
        <v>1852</v>
      </c>
      <c r="D6" t="s">
        <v>1848</v>
      </c>
      <c r="E6" s="79">
        <v>42064</v>
      </c>
      <c r="F6" s="79">
        <v>43070</v>
      </c>
    </row>
    <row r="7" spans="2:11" x14ac:dyDescent="0.25">
      <c r="B7" t="s">
        <v>1839</v>
      </c>
      <c r="C7" t="s">
        <v>1848</v>
      </c>
      <c r="D7" t="s">
        <v>1850</v>
      </c>
      <c r="E7" s="79">
        <v>41944</v>
      </c>
      <c r="F7" s="79">
        <v>42767</v>
      </c>
    </row>
    <row r="8" spans="2:11" x14ac:dyDescent="0.25">
      <c r="B8" t="s">
        <v>1841</v>
      </c>
      <c r="C8" t="s">
        <v>1850</v>
      </c>
      <c r="D8" t="s">
        <v>1851</v>
      </c>
      <c r="E8" s="79">
        <v>41760</v>
      </c>
      <c r="F8" s="79">
        <v>42767</v>
      </c>
    </row>
    <row r="9" spans="2:11" x14ac:dyDescent="0.25">
      <c r="B9" t="s">
        <v>1842</v>
      </c>
      <c r="C9" t="s">
        <v>1851</v>
      </c>
      <c r="D9" t="s">
        <v>1847</v>
      </c>
      <c r="E9" s="79">
        <v>41760</v>
      </c>
      <c r="F9" s="79">
        <v>42767</v>
      </c>
    </row>
    <row r="10" spans="2:11" x14ac:dyDescent="0.25">
      <c r="B10" t="s">
        <v>1838</v>
      </c>
      <c r="C10" t="s">
        <v>1847</v>
      </c>
      <c r="D10" t="s">
        <v>1845</v>
      </c>
      <c r="E10" s="79">
        <v>41426</v>
      </c>
      <c r="F10" s="79">
        <v>41852</v>
      </c>
    </row>
    <row r="11" spans="2:11" x14ac:dyDescent="0.25">
      <c r="B11" t="s">
        <v>1836</v>
      </c>
      <c r="C11" t="s">
        <v>1845</v>
      </c>
      <c r="D11" t="s">
        <v>1854</v>
      </c>
      <c r="E11" s="79">
        <v>40391</v>
      </c>
      <c r="F11" s="79">
        <v>40969</v>
      </c>
    </row>
    <row r="13" spans="2:11" ht="45" x14ac:dyDescent="0.25">
      <c r="B13" s="80" t="s">
        <v>1864</v>
      </c>
      <c r="C13" s="79">
        <v>40299</v>
      </c>
      <c r="D13" s="79">
        <v>40544</v>
      </c>
    </row>
    <row r="14" spans="2:11" ht="45" x14ac:dyDescent="0.25">
      <c r="B14" s="80" t="s">
        <v>1865</v>
      </c>
      <c r="C14" s="79">
        <v>40969</v>
      </c>
      <c r="D14" s="79">
        <v>41395</v>
      </c>
    </row>
    <row r="15" spans="2:11" ht="45" x14ac:dyDescent="0.25">
      <c r="B15" s="80" t="s">
        <v>1866</v>
      </c>
      <c r="C15" s="79">
        <v>40969</v>
      </c>
      <c r="D15" s="79">
        <v>41456</v>
      </c>
    </row>
    <row r="16" spans="2:11" ht="45" x14ac:dyDescent="0.25">
      <c r="B16" s="80" t="s">
        <v>1867</v>
      </c>
      <c r="C16" s="79">
        <v>41609</v>
      </c>
      <c r="D16" s="79">
        <v>41791</v>
      </c>
    </row>
    <row r="17" spans="2:4" ht="45" x14ac:dyDescent="0.25">
      <c r="B17" s="80" t="s">
        <v>1868</v>
      </c>
      <c r="C17" s="79">
        <v>41640</v>
      </c>
      <c r="D17" s="79">
        <v>41974</v>
      </c>
    </row>
    <row r="18" spans="2:4" ht="45" x14ac:dyDescent="0.25">
      <c r="B18" s="80" t="s">
        <v>1869</v>
      </c>
      <c r="C18" s="79">
        <v>41671</v>
      </c>
      <c r="D18" s="79">
        <v>41974</v>
      </c>
    </row>
    <row r="19" spans="2:4" ht="45" x14ac:dyDescent="0.25">
      <c r="B19" s="80" t="s">
        <v>1870</v>
      </c>
      <c r="C19" s="79">
        <v>41609</v>
      </c>
      <c r="D19" s="79">
        <v>42036</v>
      </c>
    </row>
    <row r="20" spans="2:4" ht="45" x14ac:dyDescent="0.25">
      <c r="B20" s="80" t="s">
        <v>1871</v>
      </c>
      <c r="C20" s="79">
        <v>41640</v>
      </c>
      <c r="D20" s="79">
        <v>42064</v>
      </c>
    </row>
    <row r="21" spans="2:4" ht="45" x14ac:dyDescent="0.25">
      <c r="B21" s="80" t="s">
        <v>1872</v>
      </c>
      <c r="C21" s="79">
        <v>41640</v>
      </c>
      <c r="D21" s="79">
        <v>42095</v>
      </c>
    </row>
    <row r="22" spans="2:4" ht="45" x14ac:dyDescent="0.25">
      <c r="B22" s="80" t="s">
        <v>1873</v>
      </c>
      <c r="C22" s="79">
        <v>41640</v>
      </c>
      <c r="D22" s="79">
        <v>42125</v>
      </c>
    </row>
    <row r="23" spans="2:4" ht="45" x14ac:dyDescent="0.25">
      <c r="B23" s="80" t="s">
        <v>1874</v>
      </c>
      <c r="C23" s="79">
        <v>41640</v>
      </c>
      <c r="D23" s="79">
        <v>42186</v>
      </c>
    </row>
    <row r="24" spans="2:4" ht="45" x14ac:dyDescent="0.25">
      <c r="B24" s="80" t="s">
        <v>1875</v>
      </c>
      <c r="C24" s="79">
        <v>41640</v>
      </c>
      <c r="D24" s="79">
        <v>42767</v>
      </c>
    </row>
    <row r="25" spans="2:4" ht="45" x14ac:dyDescent="0.25">
      <c r="B25" s="80" t="s">
        <v>1876</v>
      </c>
      <c r="C25" s="79">
        <v>41671</v>
      </c>
      <c r="D25" s="79">
        <v>43466</v>
      </c>
    </row>
    <row r="26" spans="2:4" ht="45" x14ac:dyDescent="0.25">
      <c r="B26" s="80" t="s">
        <v>1877</v>
      </c>
      <c r="C26" s="79">
        <v>41671</v>
      </c>
      <c r="D26" s="79">
        <v>43497</v>
      </c>
    </row>
    <row r="27" spans="2:4" ht="120" x14ac:dyDescent="0.25">
      <c r="B27" s="80" t="s">
        <v>1878</v>
      </c>
      <c r="C27" s="89">
        <v>0</v>
      </c>
    </row>
    <row r="28" spans="2:4" ht="105" x14ac:dyDescent="0.25">
      <c r="B28" s="80" t="s">
        <v>1879</v>
      </c>
      <c r="C28" s="89">
        <v>0.9405</v>
      </c>
    </row>
    <row r="29" spans="2:4" ht="90" x14ac:dyDescent="0.25">
      <c r="B29" s="80" t="s">
        <v>1880</v>
      </c>
      <c r="C29" s="89">
        <v>0.9153</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c9b494f-5c24-4d83-ae0c-161c6c5bfe2e" xsi:nil="true"/>
    <lcf76f155ced4ddcb4097134ff3c332f xmlns="ba9e080a-e027-49ae-ba80-13b212c038b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D2A644FDF5D9B241B78F5FF462CC6580" ma:contentTypeVersion="14" ma:contentTypeDescription="Criar um novo documento." ma:contentTypeScope="" ma:versionID="55f78645bb74afadb8b04b497b16c9f9">
  <xsd:schema xmlns:xsd="http://www.w3.org/2001/XMLSchema" xmlns:xs="http://www.w3.org/2001/XMLSchema" xmlns:p="http://schemas.microsoft.com/office/2006/metadata/properties" xmlns:ns2="ba9e080a-e027-49ae-ba80-13b212c038b0" xmlns:ns3="cc9b494f-5c24-4d83-ae0c-161c6c5bfe2e" targetNamespace="http://schemas.microsoft.com/office/2006/metadata/properties" ma:root="true" ma:fieldsID="6a110f8733a1cd1cb924d0dadaeae9d1" ns2:_="" ns3:_="">
    <xsd:import namespace="ba9e080a-e027-49ae-ba80-13b212c038b0"/>
    <xsd:import namespace="cc9b494f-5c24-4d83-ae0c-161c6c5bfe2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9e080a-e027-49ae-ba80-13b212c038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m" ma:readOnly="false" ma:fieldId="{5cf76f15-5ced-4ddc-b409-7134ff3c332f}" ma:taxonomyMulti="true" ma:sspId="4eb9a08d-f8e5-44d2-81cf-7f1865917069"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9b494f-5c24-4d83-ae0c-161c6c5bfe2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6d6dce4-1f43-4067-996c-6f581d640a39}" ma:internalName="TaxCatchAll" ma:showField="CatchAllData" ma:web="cc9b494f-5c24-4d83-ae0c-161c6c5bfe2e">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6405B4-DD08-4D80-928D-9DDE8D0FB5ED}">
  <ds:schemaRefs>
    <ds:schemaRef ds:uri="http://schemas.microsoft.com/sharepoint/v3/contenttype/forms"/>
  </ds:schemaRefs>
</ds:datastoreItem>
</file>

<file path=customXml/itemProps2.xml><?xml version="1.0" encoding="utf-8"?>
<ds:datastoreItem xmlns:ds="http://schemas.openxmlformats.org/officeDocument/2006/customXml" ds:itemID="{C68C849C-848C-48A7-9264-341DCB8AADB9}">
  <ds:schemaRefs>
    <ds:schemaRef ds:uri="http://schemas.microsoft.com/office/2006/metadata/properties"/>
    <ds:schemaRef ds:uri="http://purl.org/dc/dcmitype/"/>
    <ds:schemaRef ds:uri="http://schemas.microsoft.com/office/2006/documentManagement/types"/>
    <ds:schemaRef ds:uri="http://purl.org/dc/elements/1.1/"/>
    <ds:schemaRef ds:uri="http://schemas.microsoft.com/office/infopath/2007/PartnerControls"/>
    <ds:schemaRef ds:uri="http://purl.org/dc/terms/"/>
    <ds:schemaRef ds:uri="ba9e080a-e027-49ae-ba80-13b212c038b0"/>
    <ds:schemaRef ds:uri="http://schemas.openxmlformats.org/package/2006/metadata/core-properties"/>
    <ds:schemaRef ds:uri="cc9b494f-5c24-4d83-ae0c-161c6c5bfe2e"/>
    <ds:schemaRef ds:uri="http://www.w3.org/XML/1998/namespace"/>
  </ds:schemaRefs>
</ds:datastoreItem>
</file>

<file path=customXml/itemProps3.xml><?xml version="1.0" encoding="utf-8"?>
<ds:datastoreItem xmlns:ds="http://schemas.openxmlformats.org/officeDocument/2006/customXml" ds:itemID="{3D179ECB-420A-4FAC-9BF0-24D6132F5B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9e080a-e027-49ae-ba80-13b212c038b0"/>
    <ds:schemaRef ds:uri="cc9b494f-5c24-4d83-ae0c-161c6c5bfe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.Auxiliar</vt:lpstr>
      <vt:lpstr>.concessionárias</vt:lpstr>
      <vt:lpstr>PPI</vt:lpstr>
      <vt:lpstr>CRO</vt:lpstr>
      <vt:lpstr>Regis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Basilio Romano</dc:creator>
  <cp:lastModifiedBy>Amanda Basilio Romano</cp:lastModifiedBy>
  <dcterms:created xsi:type="dcterms:W3CDTF">2024-05-29T13:59:35Z</dcterms:created>
  <dcterms:modified xsi:type="dcterms:W3CDTF">2024-07-31T21:05:31Z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0x010100D2A644FDF5D9B241B78F5FF462CC6580</vt:lpwstr>
  </property>
  <property fmtid="{D5CDD505-2E9C-101B-9397-08002B2CF9AE}" pid="3" name="MediaServiceImageTags">
    <vt:lpwstr/>
  </property>
</Properties>
</file>