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ocuments\AR\diaginosys\data\"/>
    </mc:Choice>
  </mc:AlternateContent>
  <bookViews>
    <workbookView xWindow="0" yWindow="0" windowWidth="16380" windowHeight="8190" tabRatio="709" firstSheet="8" activeTab="15"/>
  </bookViews>
  <sheets>
    <sheet name="Nouveau" sheetId="1" r:id="rId1"/>
    <sheet name="Mode emploi" sheetId="2" r:id="rId2"/>
    <sheet name="Aide à la Saisie" sheetId="3" r:id="rId3"/>
    <sheet name="Saisie" sheetId="4" r:id="rId4"/>
    <sheet name="Critères Techniques" sheetId="5" r:id="rId5"/>
    <sheet name="Calcul" sheetId="6" r:id="rId6"/>
    <sheet name="Edition éleveur" sheetId="7" r:id="rId7"/>
    <sheet name="Edition Vente directe - Transfo" sheetId="8" r:id="rId8"/>
    <sheet name="Edition Compléments" sheetId="9" r:id="rId9"/>
    <sheet name="Actualisation" sheetId="10" r:id="rId10"/>
    <sheet name="Cuisine" sheetId="11" state="hidden" r:id="rId11"/>
    <sheet name="Référentiel" sheetId="12" r:id="rId12"/>
    <sheet name="Paramètres" sheetId="13" r:id="rId13"/>
    <sheet name="Clés" sheetId="14" r:id="rId14"/>
    <sheet name="Capitalisation" sheetId="15" r:id="rId15"/>
    <sheet name="diagessai" sheetId="16" r:id="rId16"/>
    <sheet name="Regroupements" sheetId="17" state="hidden" r:id="rId17"/>
    <sheet name="Notes méthodo" sheetId="18" state="hidden" r:id="rId18"/>
  </sheets>
  <definedNames>
    <definedName name="__xlnm.Print_Area" localSheetId="9">Actualisation!$E$1:$L$74</definedName>
    <definedName name="__xlnm.Print_Area" localSheetId="2">'Aide à la Saisie'!$B$1:$R$142</definedName>
    <definedName name="__xlnm.Print_Area" localSheetId="5">Calcul!$A$14:$F$84</definedName>
    <definedName name="__xlnm.Print_Area" localSheetId="13">Clés!$A$1:$I$50</definedName>
    <definedName name="__xlnm.Print_Area" localSheetId="8">'Edition Compléments'!$A$1:$H$72</definedName>
    <definedName name="__xlnm.Print_Area" localSheetId="6">'Edition éleveur'!$A$1:$J$68</definedName>
    <definedName name="__xlnm.Print_Area" localSheetId="12">Paramètres!$A$1:$F$40</definedName>
    <definedName name="__xlnm.Print_Area" localSheetId="11">Référentiel!$A$1:$AE$85</definedName>
    <definedName name="__xlnm.Print_Area" localSheetId="3">Saisie!$A$13:$E$133</definedName>
    <definedName name="__xlnm.Print_Titles" localSheetId="2">'Aide à la Saisie'!$1:$12</definedName>
    <definedName name="__xlnm.Print_Titles" localSheetId="5">Calcul!$1:$13</definedName>
    <definedName name="__xlnm.Print_Titles" localSheetId="14">Capitalisation!$1:$8</definedName>
    <definedName name="__xlnm.Print_Titles" localSheetId="1">'Mode emploi'!$1:$7</definedName>
    <definedName name="__xlnm.Print_Titles" localSheetId="17">'Notes méthodo'!$1:$7</definedName>
    <definedName name="__xlnm.Print_Titles" localSheetId="0">Nouveau!$1:$6</definedName>
    <definedName name="__xlnm.Print_Titles" localSheetId="11">(Référentiel!$A:$A,Référentiel!$1:$9)</definedName>
    <definedName name="__xlnm.Print_Titles" localSheetId="16">Regroupements!$1:$8</definedName>
    <definedName name="__xlnm.Print_Titles" localSheetId="3">Saisie!$1:$12</definedName>
    <definedName name="ACAU">Saisie!$C$45</definedName>
    <definedName name="ACBL">Saisie!$C$44</definedName>
    <definedName name="ACCINTBL">Saisie!$C$102</definedName>
    <definedName name="ACF">Saisie!$C$42</definedName>
    <definedName name="ACFOU">Saisie!$C$52</definedName>
    <definedName name="ACFOUBL">Saisie!$C$53</definedName>
    <definedName name="ACV">Saisie!$C$43</definedName>
    <definedName name="ACVECF">Saisie!$C$63</definedName>
    <definedName name="ACVEG">Saisie!$C$61</definedName>
    <definedName name="ACVEGCF">Saisie!$C$63</definedName>
    <definedName name="ACVEGF">Saisie!$C$63</definedName>
    <definedName name="ACVEGH">Saisie!$C$62</definedName>
    <definedName name="ACVEGSH">Saisie!$C$62</definedName>
    <definedName name="ADANI">Saisie!$C$48</definedName>
    <definedName name="ADNONA">Saisie!$C$49</definedName>
    <definedName name="ADPU">Saisie!$C$46</definedName>
    <definedName name="AHsys">Saisie!$C$10</definedName>
    <definedName name="AMORTBAT">Saisie!$C$91</definedName>
    <definedName name="AMORTMAT">Saisie!$C$90</definedName>
    <definedName name="ANI">Saisie!$C$70</definedName>
    <definedName name="ANIBL">Saisie!$C$71</definedName>
    <definedName name="BLsys">Saisie!$C$9</definedName>
    <definedName name="BRUT">Cuisine!$B$74</definedName>
    <definedName name="CAMP">Saisie!$C$15</definedName>
    <definedName name="CAP">Saisie!$C$95</definedName>
    <definedName name="CARBU">Saisie!$C$77</definedName>
    <definedName name="CF">Saisie!$C$30</definedName>
    <definedName name="CFBL">Saisie!$C$31</definedName>
    <definedName name="CFBV">Saisie!$C$32</definedName>
    <definedName name="cle_AH">Clés!$A$18:$I$33</definedName>
    <definedName name="Cle_BL">Clés!$A$12:$I$17</definedName>
    <definedName name="Cle_BV">Clés!$A$18:$I$33</definedName>
    <definedName name="Cle_GCU">Clés!$A$35:$I$37</definedName>
    <definedName name="Cle_MF">Clés!$A$38:$I$41</definedName>
    <definedName name="CM">Saisie!$C$50</definedName>
    <definedName name="CMBL">Saisie!$C$51</definedName>
    <definedName name="COCS">Cuisine!$C$47</definedName>
    <definedName name="CV">Saisie!$C$33</definedName>
    <definedName name="CVBL">Saisie!$C$34</definedName>
    <definedName name="CVEN">Calcul!$B$81</definedName>
    <definedName name="DATEVER">Paramètres!$B$9</definedName>
    <definedName name="EAU">Saisie!$C$81</definedName>
    <definedName name="EDF">Saisie!$C$82</definedName>
    <definedName name="ENGA">Saisie!$C$55</definedName>
    <definedName name="ENGACF">Saisie!$C$57</definedName>
    <definedName name="ENGACINTBL">Saisie!$C$100</definedName>
    <definedName name="ENGASH">Saisie!$C$56</definedName>
    <definedName name="ENTBAT">Saisie!$C$83</definedName>
    <definedName name="ENTMAT">Saisie!$C$78</definedName>
    <definedName name="EXP">Saisie!$C$13</definedName>
    <definedName name="FELA">Saisie!$C$67</definedName>
    <definedName name="FELABL">Saisie!$C$68</definedName>
    <definedName name="FELV">Saisie!$C$65</definedName>
    <definedName name="FELVBL">Saisie!$C$66</definedName>
    <definedName name="FERM">Saisie!$C$86</definedName>
    <definedName name="FERMOP">Saisie!$C$93</definedName>
    <definedName name="FFIN">Saisie!$C$88</definedName>
    <definedName name="FORFMSA">NA()</definedName>
    <definedName name="FORFMSA_6">NA()</definedName>
    <definedName name="GCUsys">Saisie!$C$11</definedName>
    <definedName name="GEST">Saisie!$C$85</definedName>
    <definedName name="ICP">Cuisine!$B$72</definedName>
    <definedName name="IF">Saisie!$C$97</definedName>
    <definedName name="_xlnm.Print_Titles" localSheetId="2">'Aide à la Saisie'!$1:$12</definedName>
    <definedName name="_xlnm.Print_Titles" localSheetId="5">Calcul!$1:$13</definedName>
    <definedName name="_xlnm.Print_Titles" localSheetId="14">Capitalisation!$1:$8</definedName>
    <definedName name="_xlnm.Print_Titles" localSheetId="1">'Mode emploi'!$1:$7</definedName>
    <definedName name="_xlnm.Print_Titles" localSheetId="17">'Notes méthodo'!$1:$7</definedName>
    <definedName name="_xlnm.Print_Titles" localSheetId="0">Nouveau!$1:$6</definedName>
    <definedName name="_xlnm.Print_Titles" localSheetId="11">(Référentiel!$A:$A,Référentiel!$1:$9)</definedName>
    <definedName name="_xlnm.Print_Titles" localSheetId="16">Regroupements!$1:$8</definedName>
    <definedName name="_xlnm.Print_Titles" localSheetId="3">Saisie!$1:$12</definedName>
    <definedName name="LCB">Calcul!$B$99</definedName>
    <definedName name="Liste_sys">Cuisine!$A$50:$A$50</definedName>
    <definedName name="MSA">Saisie!$C$94</definedName>
    <definedName name="MSABL">Calcul!$C$72</definedName>
    <definedName name="MSAKTYP_6">NA()</definedName>
    <definedName name="MSAparSMIC_6">NA()</definedName>
    <definedName name="NUMREF">Cuisine!$A$2:$A$29</definedName>
    <definedName name="paraman">Paramètres!$C$10:$P$14</definedName>
    <definedName name="PAUMO">Saisie!$E$119</definedName>
    <definedName name="PAUT">Saisie!$C$41</definedName>
    <definedName name="PAUTBL">Saisie!$C$40</definedName>
    <definedName name="PCV">Saisie!$C$39</definedName>
    <definedName name="PETIMAT">Saisie!$C$79</definedName>
    <definedName name="PHAE">Saisie!$C$47</definedName>
    <definedName name="PLAFERM">Cuisine!$B$75</definedName>
    <definedName name="Plamont">Cuisine!$A$66:$A$67</definedName>
    <definedName name="PML">Calcul!$C$99</definedName>
    <definedName name="prilaitajuste">Cuisine!$A$96:$C$133</definedName>
    <definedName name="pumonsaut">Cuisine!$C$81</definedName>
    <definedName name="PumonsBL">Cuisine!$C$79</definedName>
    <definedName name="pumonsBV">Cuisine!$C$81</definedName>
    <definedName name="pumonscv">Cuisine!$C$83</definedName>
    <definedName name="pumosaut">Cuisine!$C$82</definedName>
    <definedName name="pumosBL">Cuisine!$C$80</definedName>
    <definedName name="pumosBV">Cuisine!$C$82</definedName>
    <definedName name="pumoscv">Cuisine!$C$84</definedName>
    <definedName name="PVBL">Saisie!$C$36</definedName>
    <definedName name="PVBV">Saisie!$C$37</definedName>
    <definedName name="PVSF">Saisie!$C$38</definedName>
    <definedName name="refdata">Référentiel!$C$7:$AE$87</definedName>
    <definedName name="SAL">Saisie!$C$87</definedName>
    <definedName name="SAU">Saisie!$C$25</definedName>
    <definedName name="SEM">Saisie!$C$58</definedName>
    <definedName name="SEMCF">Saisie!$C$60</definedName>
    <definedName name="SEMCINTBL">Saisie!$C$101</definedName>
    <definedName name="SEMSH">Saisie!$C$59</definedName>
    <definedName name="SH">Saisie!$C$27</definedName>
    <definedName name="SHBL">Saisie!$C$28</definedName>
    <definedName name="SHBV">Saisie!$C$29</definedName>
    <definedName name="SMIC">Cuisine!$C$48</definedName>
    <definedName name="SMICKT">Cuisine!$D$48</definedName>
    <definedName name="SMICNETAN">Cuisine!$B$73</definedName>
    <definedName name="SMICSIM">Cuisine!$E$48</definedName>
    <definedName name="SPRO">Saisie!$C$26</definedName>
    <definedName name="SPROP">Saisie!$C$93</definedName>
    <definedName name="SysBL">Clés!$A$12:$A$17</definedName>
    <definedName name="SysBV">Clés!$A$18:$A$33</definedName>
    <definedName name="tabCS">Cuisine!$C$72:$E$137</definedName>
    <definedName name="TPA">Saisie!$C$72</definedName>
    <definedName name="TPT">Saisie!$C$73</definedName>
    <definedName name="TPTA">Saisie!$C$73</definedName>
    <definedName name="TPTACINTBL">Saisie!$C$103</definedName>
    <definedName name="TPTCF">Saisie!$C$75</definedName>
    <definedName name="TPTNA">Saisie!$C$76</definedName>
    <definedName name="TPTSH">Saisie!$C$74</definedName>
    <definedName name="TYPE_RACIAL">Cuisine!$W$1:$W$70</definedName>
    <definedName name="UGB">Calcul!$L$14</definedName>
    <definedName name="UGBA">Saisie!$C$23</definedName>
    <definedName name="UGBBL">Saisie!$C$22</definedName>
    <definedName name="UMOf">'Mode emploi'!$D$25</definedName>
    <definedName name="UMOns">Saisie!$C$20</definedName>
    <definedName name="UMOnsBL">Cuisine!$C$43</definedName>
    <definedName name="UMOnsBV">Cuisine!$B$81</definedName>
    <definedName name="UMOnsCV">Cuisine!$B$83</definedName>
    <definedName name="UMOs">Saisie!$C$21</definedName>
    <definedName name="UMOsBL">Cuisine!$B$80</definedName>
    <definedName name="UMOsBV">Cuisine!$B$82</definedName>
    <definedName name="UMOsCV">Cuisine!$B$84</definedName>
    <definedName name="VALFERM">Saisie!$C$93</definedName>
    <definedName name="_xlnm.Print_Area" localSheetId="9">Actualisation!$E$1:$L$74</definedName>
    <definedName name="_xlnm.Print_Area" localSheetId="2">'Aide à la Saisie'!$B$1:$R$142</definedName>
    <definedName name="_xlnm.Print_Area" localSheetId="5">Calcul!$A$14:$F$84</definedName>
    <definedName name="_xlnm.Print_Area" localSheetId="13">Clés!$A$1:$I$50</definedName>
    <definedName name="_xlnm.Print_Area" localSheetId="8">'Edition Compléments'!$A$1:$H$72</definedName>
    <definedName name="_xlnm.Print_Area" localSheetId="6">'Edition éleveur'!$A$1:$J$68</definedName>
    <definedName name="_xlnm.Print_Area" localSheetId="12">Paramètres!$A$1:$F$40</definedName>
    <definedName name="_xlnm.Print_Area" localSheetId="11">Référentiel!$A$1:$AE$85</definedName>
    <definedName name="_xlnm.Print_Area" localSheetId="3">Saisie!$A$13:$E$133</definedName>
  </definedNames>
  <calcPr calcId="152511" fullCalcOnLoad="1" iterateDelta="1E-4"/>
</workbook>
</file>

<file path=xl/calcChain.xml><?xml version="1.0" encoding="utf-8"?>
<calcChain xmlns="http://schemas.openxmlformats.org/spreadsheetml/2006/main">
  <c r="D25" i="15" l="1"/>
  <c r="M2" i="16" s="1"/>
  <c r="L4" i="10"/>
  <c r="E5" i="10"/>
  <c r="F6" i="10"/>
  <c r="J10" i="10"/>
  <c r="K10" i="10"/>
  <c r="L10" i="10"/>
  <c r="I55" i="10"/>
  <c r="I57" i="10"/>
  <c r="K61" i="10"/>
  <c r="I63" i="10"/>
  <c r="G64" i="10"/>
  <c r="L64" i="10"/>
  <c r="E3" i="3"/>
  <c r="D28" i="3"/>
  <c r="D31" i="3"/>
  <c r="D34" i="3"/>
  <c r="D35" i="3"/>
  <c r="C37" i="3"/>
  <c r="C40" i="3"/>
  <c r="C42" i="3"/>
  <c r="C43" i="3"/>
  <c r="C44" i="3"/>
  <c r="C45" i="3"/>
  <c r="C47" i="3"/>
  <c r="C48" i="3"/>
  <c r="C49" i="3"/>
  <c r="C50" i="3"/>
  <c r="C9" i="3" s="1"/>
  <c r="C51" i="3"/>
  <c r="C52" i="3"/>
  <c r="D53" i="3"/>
  <c r="C55" i="3"/>
  <c r="D57" i="3"/>
  <c r="C58" i="3"/>
  <c r="D60" i="3"/>
  <c r="C61" i="3"/>
  <c r="D63" i="3"/>
  <c r="C65" i="3"/>
  <c r="D66" i="3"/>
  <c r="C67" i="3"/>
  <c r="D68" i="3"/>
  <c r="C70" i="3"/>
  <c r="C71" i="3"/>
  <c r="C80" i="3"/>
  <c r="C88" i="3"/>
  <c r="C89" i="3"/>
  <c r="C90" i="3"/>
  <c r="C91" i="3"/>
  <c r="C97" i="3"/>
  <c r="C107" i="3"/>
  <c r="C108" i="3"/>
  <c r="E110" i="3"/>
  <c r="E119" i="3"/>
  <c r="D120" i="3"/>
  <c r="D122" i="3"/>
  <c r="D124" i="3"/>
  <c r="D128" i="3"/>
  <c r="E128" i="3" s="1"/>
  <c r="D129" i="3"/>
  <c r="E129" i="3"/>
  <c r="B2" i="6"/>
  <c r="F5" i="6"/>
  <c r="L6" i="6"/>
  <c r="K6" i="6" s="1"/>
  <c r="M6" i="6"/>
  <c r="N6" i="6"/>
  <c r="L7" i="6"/>
  <c r="K7" i="6" s="1"/>
  <c r="M7" i="6"/>
  <c r="J11" i="6"/>
  <c r="K11" i="6"/>
  <c r="L11" i="6"/>
  <c r="M11" i="6"/>
  <c r="N11" i="6"/>
  <c r="L14" i="6"/>
  <c r="B17" i="6"/>
  <c r="C17" i="6"/>
  <c r="B19" i="6"/>
  <c r="C19" i="6" s="1"/>
  <c r="B20" i="6"/>
  <c r="D20" i="6"/>
  <c r="B21" i="6"/>
  <c r="C21" i="6" s="1"/>
  <c r="D21" i="6" s="1"/>
  <c r="B22" i="6"/>
  <c r="E22" i="6" s="1"/>
  <c r="B23" i="6"/>
  <c r="B24" i="6"/>
  <c r="B25" i="6"/>
  <c r="C25" i="6" s="1"/>
  <c r="K25" i="6"/>
  <c r="B26" i="6"/>
  <c r="E26" i="6" s="1"/>
  <c r="B27" i="6"/>
  <c r="C27" i="6" s="1"/>
  <c r="B28" i="6"/>
  <c r="D28" i="6"/>
  <c r="B30" i="6"/>
  <c r="Q30" i="6" s="1"/>
  <c r="B31" i="6"/>
  <c r="C31" i="6" s="1"/>
  <c r="D31" i="6" s="1"/>
  <c r="B32" i="6"/>
  <c r="B33" i="6"/>
  <c r="Q33" i="6"/>
  <c r="B35" i="6"/>
  <c r="B36" i="6"/>
  <c r="C36" i="6"/>
  <c r="C35" i="6" s="1"/>
  <c r="B37" i="6"/>
  <c r="C37" i="6"/>
  <c r="D37" i="6"/>
  <c r="B39" i="6"/>
  <c r="B40" i="6"/>
  <c r="L40" i="6"/>
  <c r="B41" i="6"/>
  <c r="L41" i="6"/>
  <c r="H42" i="6"/>
  <c r="B43" i="6"/>
  <c r="B42" i="6" s="1"/>
  <c r="C43" i="6"/>
  <c r="D43" i="6"/>
  <c r="J43" i="6"/>
  <c r="K43" i="6"/>
  <c r="K44" i="6" s="1"/>
  <c r="B44" i="6"/>
  <c r="C44" i="6"/>
  <c r="D44" i="6" s="1"/>
  <c r="J44" i="6"/>
  <c r="B46" i="6"/>
  <c r="B47" i="6"/>
  <c r="B48" i="6"/>
  <c r="B49" i="6"/>
  <c r="B50" i="6"/>
  <c r="B51" i="6"/>
  <c r="L51" i="6"/>
  <c r="B53" i="6"/>
  <c r="B54" i="6"/>
  <c r="B52" i="6" s="1"/>
  <c r="B55" i="6"/>
  <c r="B57" i="6"/>
  <c r="J57" i="6"/>
  <c r="B59" i="6"/>
  <c r="B60" i="6"/>
  <c r="B62" i="6"/>
  <c r="B63" i="6"/>
  <c r="B61" i="6" s="1"/>
  <c r="Y2" i="16" s="1"/>
  <c r="B64" i="6"/>
  <c r="Q64" i="6" s="1"/>
  <c r="B65" i="6"/>
  <c r="B58" i="6" s="1"/>
  <c r="Q58" i="6" s="1"/>
  <c r="R58" i="6" s="1"/>
  <c r="S58" i="6" s="1"/>
  <c r="E58" i="6" s="1"/>
  <c r="F58" i="6" s="1"/>
  <c r="Q65" i="6"/>
  <c r="B67" i="6"/>
  <c r="Q67" i="6" s="1"/>
  <c r="D67" i="6" s="1"/>
  <c r="R67" i="6"/>
  <c r="S67" i="6"/>
  <c r="E67" i="6" s="1"/>
  <c r="J69" i="6"/>
  <c r="J72" i="6" s="1"/>
  <c r="B72" i="6"/>
  <c r="B74" i="6"/>
  <c r="B76" i="6"/>
  <c r="B81" i="6"/>
  <c r="B100" i="6"/>
  <c r="C100" i="6"/>
  <c r="D100" i="6"/>
  <c r="B101" i="6"/>
  <c r="C101" i="6"/>
  <c r="D101" i="6"/>
  <c r="B102" i="6"/>
  <c r="D102" i="6"/>
  <c r="B103" i="6"/>
  <c r="C103" i="6"/>
  <c r="B104" i="6"/>
  <c r="C104" i="6"/>
  <c r="D104" i="6" s="1"/>
  <c r="B105" i="6"/>
  <c r="C105" i="6"/>
  <c r="D105" i="6"/>
  <c r="B106" i="6"/>
  <c r="E113" i="6"/>
  <c r="A114" i="6"/>
  <c r="D114" i="6"/>
  <c r="A115" i="6"/>
  <c r="D115" i="6"/>
  <c r="D113" i="6" s="1"/>
  <c r="A116" i="6"/>
  <c r="D116" i="6"/>
  <c r="E116" i="6"/>
  <c r="A119" i="6"/>
  <c r="D119" i="6"/>
  <c r="A122" i="6"/>
  <c r="D122" i="6"/>
  <c r="D124" i="6"/>
  <c r="A125" i="6"/>
  <c r="D6" i="15"/>
  <c r="D12" i="15"/>
  <c r="D13" i="15"/>
  <c r="D14" i="15"/>
  <c r="D15" i="15"/>
  <c r="D9" i="15" s="1"/>
  <c r="A2" i="16" s="1"/>
  <c r="D16" i="15"/>
  <c r="D319" i="15" s="1"/>
  <c r="D17" i="15"/>
  <c r="D18" i="15"/>
  <c r="D19" i="15"/>
  <c r="D20" i="15"/>
  <c r="D22" i="15"/>
  <c r="D23" i="15"/>
  <c r="D24"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7" i="15"/>
  <c r="D58" i="15"/>
  <c r="D59" i="15"/>
  <c r="D60" i="15"/>
  <c r="D61" i="15"/>
  <c r="D62" i="15"/>
  <c r="D63" i="15"/>
  <c r="D64" i="15"/>
  <c r="D65" i="15"/>
  <c r="D67" i="15"/>
  <c r="D68" i="15"/>
  <c r="D69" i="15"/>
  <c r="D70" i="15"/>
  <c r="D72" i="15"/>
  <c r="D73" i="15"/>
  <c r="D74" i="15"/>
  <c r="D75" i="15"/>
  <c r="D76" i="15"/>
  <c r="D77" i="15"/>
  <c r="D78" i="15"/>
  <c r="D79" i="15"/>
  <c r="D80" i="15"/>
  <c r="D81" i="15"/>
  <c r="D83" i="15"/>
  <c r="D84" i="15"/>
  <c r="D85" i="15"/>
  <c r="D87" i="15"/>
  <c r="D88" i="15"/>
  <c r="D89" i="15"/>
  <c r="D90" i="15"/>
  <c r="D92" i="15"/>
  <c r="D93" i="15"/>
  <c r="D95" i="15"/>
  <c r="D96" i="15"/>
  <c r="D97" i="15"/>
  <c r="D99" i="15"/>
  <c r="D100" i="15"/>
  <c r="D102" i="15"/>
  <c r="D103" i="15"/>
  <c r="D104" i="15"/>
  <c r="D105" i="15"/>
  <c r="D107" i="15"/>
  <c r="D108" i="15"/>
  <c r="D109" i="15"/>
  <c r="D110" i="15"/>
  <c r="D112" i="15"/>
  <c r="D113" i="15"/>
  <c r="D114" i="15"/>
  <c r="D115" i="15"/>
  <c r="D116" i="15"/>
  <c r="D117" i="15"/>
  <c r="D118" i="15"/>
  <c r="D119" i="15"/>
  <c r="D120" i="15"/>
  <c r="D122" i="15"/>
  <c r="D123" i="15"/>
  <c r="D124" i="15"/>
  <c r="D125" i="15"/>
  <c r="D126" i="15"/>
  <c r="D127" i="15"/>
  <c r="D130" i="15"/>
  <c r="D131" i="15"/>
  <c r="D134" i="15"/>
  <c r="D135" i="15"/>
  <c r="D136" i="15"/>
  <c r="D147" i="15"/>
  <c r="D150" i="15"/>
  <c r="D151" i="15"/>
  <c r="D153" i="15"/>
  <c r="D154" i="15"/>
  <c r="D155"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5" i="15"/>
  <c r="D186" i="15"/>
  <c r="D187" i="15"/>
  <c r="D189" i="15"/>
  <c r="D193" i="15"/>
  <c r="D195" i="15"/>
  <c r="D197" i="15"/>
  <c r="D199" i="15"/>
  <c r="D200" i="15"/>
  <c r="D201" i="15"/>
  <c r="D202" i="15"/>
  <c r="D203" i="15"/>
  <c r="D204" i="15"/>
  <c r="D205" i="15"/>
  <c r="D206" i="15"/>
  <c r="D295" i="15"/>
  <c r="D301" i="15"/>
  <c r="D379" i="15" s="1"/>
  <c r="D317" i="15"/>
  <c r="D318" i="15"/>
  <c r="D381" i="15"/>
  <c r="D382" i="15"/>
  <c r="D387" i="15"/>
  <c r="D389" i="15"/>
  <c r="D391" i="15"/>
  <c r="I5" i="14"/>
  <c r="E12" i="14"/>
  <c r="B54" i="11" s="1"/>
  <c r="B55" i="11" s="1"/>
  <c r="J48" i="6" s="1"/>
  <c r="F12" i="14"/>
  <c r="G12" i="14"/>
  <c r="H12" i="14"/>
  <c r="B60" i="11" s="1"/>
  <c r="I12" i="14"/>
  <c r="B62" i="11" s="1"/>
  <c r="B63" i="11" s="1"/>
  <c r="J59" i="6" s="1"/>
  <c r="E13" i="14"/>
  <c r="F13" i="14"/>
  <c r="G13" i="14"/>
  <c r="H13" i="14"/>
  <c r="I13" i="14"/>
  <c r="E14" i="14"/>
  <c r="F14" i="14"/>
  <c r="G14" i="14"/>
  <c r="H14" i="14"/>
  <c r="I14" i="14"/>
  <c r="F15" i="14"/>
  <c r="G15" i="14"/>
  <c r="I15" i="14"/>
  <c r="K15" i="14"/>
  <c r="E15" i="14" s="1"/>
  <c r="L15" i="14"/>
  <c r="M15" i="14"/>
  <c r="N15" i="14"/>
  <c r="H15" i="14" s="1"/>
  <c r="E18" i="14"/>
  <c r="F18" i="14"/>
  <c r="G18" i="14"/>
  <c r="H18" i="14"/>
  <c r="I18" i="14"/>
  <c r="E19" i="14"/>
  <c r="F19" i="14"/>
  <c r="G19" i="14"/>
  <c r="H19" i="14"/>
  <c r="I19" i="14"/>
  <c r="E20" i="14"/>
  <c r="F20" i="14"/>
  <c r="G20" i="14"/>
  <c r="H20" i="14"/>
  <c r="I20" i="14"/>
  <c r="E21" i="14"/>
  <c r="F21" i="14"/>
  <c r="G21" i="14"/>
  <c r="H21" i="14"/>
  <c r="I21" i="14"/>
  <c r="E22" i="14"/>
  <c r="F22" i="14"/>
  <c r="G22" i="14"/>
  <c r="H22" i="14"/>
  <c r="I22" i="14"/>
  <c r="E23" i="14"/>
  <c r="F23" i="14"/>
  <c r="G23" i="14"/>
  <c r="H23" i="14"/>
  <c r="I23" i="14"/>
  <c r="E24" i="14"/>
  <c r="F24" i="14"/>
  <c r="G24" i="14"/>
  <c r="H24" i="14"/>
  <c r="I24" i="14"/>
  <c r="E25" i="14"/>
  <c r="F25" i="14"/>
  <c r="G25" i="14"/>
  <c r="H25" i="14"/>
  <c r="I25" i="14"/>
  <c r="E26" i="14"/>
  <c r="F26" i="14"/>
  <c r="G26" i="14"/>
  <c r="H26" i="14"/>
  <c r="I26" i="14"/>
  <c r="E27" i="14"/>
  <c r="F27" i="14"/>
  <c r="G27" i="14"/>
  <c r="H27" i="14"/>
  <c r="I27" i="14"/>
  <c r="E28" i="14"/>
  <c r="F28" i="14"/>
  <c r="G28" i="14"/>
  <c r="H28" i="14"/>
  <c r="I28" i="14"/>
  <c r="E29" i="14"/>
  <c r="F29" i="14"/>
  <c r="G29" i="14"/>
  <c r="H29" i="14"/>
  <c r="I29" i="14"/>
  <c r="E30" i="14"/>
  <c r="F30" i="14"/>
  <c r="G30" i="14"/>
  <c r="H30" i="14"/>
  <c r="I30" i="14"/>
  <c r="E31" i="14"/>
  <c r="F31" i="14"/>
  <c r="G31" i="14"/>
  <c r="H31" i="14"/>
  <c r="I31" i="14"/>
  <c r="E32" i="14"/>
  <c r="F32" i="14"/>
  <c r="G32" i="14"/>
  <c r="H32" i="14"/>
  <c r="I32" i="14"/>
  <c r="E33" i="14"/>
  <c r="F33" i="14"/>
  <c r="G33" i="14"/>
  <c r="H33" i="14"/>
  <c r="I33" i="14"/>
  <c r="E35" i="14"/>
  <c r="F35" i="14"/>
  <c r="G35" i="14"/>
  <c r="H35" i="14"/>
  <c r="I35" i="14"/>
  <c r="E36" i="14"/>
  <c r="F36" i="14"/>
  <c r="G36" i="14"/>
  <c r="H36" i="14"/>
  <c r="I36" i="14"/>
  <c r="E38" i="14"/>
  <c r="E39" i="14"/>
  <c r="E5" i="5"/>
  <c r="C15" i="5"/>
  <c r="D152" i="15" s="1"/>
  <c r="C16" i="5"/>
  <c r="C17" i="5"/>
  <c r="C22" i="5"/>
  <c r="D156" i="15" s="1"/>
  <c r="C40" i="5"/>
  <c r="C56" i="5"/>
  <c r="C62" i="5"/>
  <c r="D184" i="15" s="1"/>
  <c r="C66" i="5"/>
  <c r="D188" i="15" s="1"/>
  <c r="C67" i="5"/>
  <c r="C68" i="5"/>
  <c r="D190" i="15" s="1"/>
  <c r="C69" i="5"/>
  <c r="D191" i="15" s="1"/>
  <c r="C70" i="5"/>
  <c r="D192" i="15" s="1"/>
  <c r="C76" i="5"/>
  <c r="D194" i="15" s="1"/>
  <c r="C78" i="5"/>
  <c r="D196" i="15" s="1"/>
  <c r="C80" i="5"/>
  <c r="D198" i="15" s="1"/>
  <c r="A2" i="11"/>
  <c r="A3" i="11"/>
  <c r="A4" i="11"/>
  <c r="C4" i="11"/>
  <c r="A5" i="11"/>
  <c r="C5" i="11"/>
  <c r="A6" i="11"/>
  <c r="C6" i="11"/>
  <c r="A7" i="11"/>
  <c r="C7" i="11"/>
  <c r="A8" i="11"/>
  <c r="A9" i="11"/>
  <c r="C9" i="11"/>
  <c r="A10" i="11"/>
  <c r="C10" i="11"/>
  <c r="A11" i="11"/>
  <c r="C11" i="11"/>
  <c r="A12" i="11"/>
  <c r="C12" i="11"/>
  <c r="J12" i="11"/>
  <c r="A13" i="11"/>
  <c r="C13" i="11"/>
  <c r="G13" i="11"/>
  <c r="J13" i="11"/>
  <c r="A14" i="11"/>
  <c r="C14" i="11"/>
  <c r="J14" i="11"/>
  <c r="A15" i="11"/>
  <c r="A16" i="11"/>
  <c r="A17" i="11"/>
  <c r="A18" i="11"/>
  <c r="A19" i="11"/>
  <c r="A20" i="11"/>
  <c r="A21" i="11"/>
  <c r="A22" i="11"/>
  <c r="A23" i="11"/>
  <c r="C23" i="11"/>
  <c r="A24" i="11"/>
  <c r="C24" i="11"/>
  <c r="A25" i="11"/>
  <c r="C25" i="11"/>
  <c r="A26" i="11"/>
  <c r="C26" i="11"/>
  <c r="A27" i="11"/>
  <c r="C27" i="11"/>
  <c r="A28" i="11"/>
  <c r="C28" i="11"/>
  <c r="A29" i="11"/>
  <c r="C29" i="11"/>
  <c r="C30" i="11"/>
  <c r="C31" i="11"/>
  <c r="J31" i="11"/>
  <c r="J32" i="11"/>
  <c r="J33" i="11"/>
  <c r="C40" i="11"/>
  <c r="E40" i="11"/>
  <c r="C41" i="11"/>
  <c r="C42" i="11"/>
  <c r="D42" i="11"/>
  <c r="D41" i="11" s="1"/>
  <c r="D43" i="11"/>
  <c r="D44" i="11"/>
  <c r="D46" i="11"/>
  <c r="E48" i="11"/>
  <c r="B53" i="11"/>
  <c r="C53" i="11"/>
  <c r="E53" i="11"/>
  <c r="F53" i="11"/>
  <c r="C54" i="11"/>
  <c r="C55" i="11"/>
  <c r="D55" i="11"/>
  <c r="B56" i="11"/>
  <c r="C56" i="11"/>
  <c r="C57" i="11" s="1"/>
  <c r="B57" i="11"/>
  <c r="D57" i="11"/>
  <c r="L63" i="6" s="1"/>
  <c r="B58" i="11"/>
  <c r="D59" i="11" s="1"/>
  <c r="L57" i="6" s="1"/>
  <c r="C58" i="11"/>
  <c r="B59" i="11"/>
  <c r="C59" i="11"/>
  <c r="K57" i="6" s="1"/>
  <c r="C60" i="11"/>
  <c r="F60" i="11"/>
  <c r="F61" i="11" s="1"/>
  <c r="C61" i="11"/>
  <c r="C62" i="11"/>
  <c r="C63" i="11"/>
  <c r="D63" i="11"/>
  <c r="B71" i="11"/>
  <c r="B74" i="11" s="1"/>
  <c r="E47" i="11" s="1"/>
  <c r="B72" i="11"/>
  <c r="B68" i="6" s="1"/>
  <c r="B73" i="11"/>
  <c r="B75" i="11"/>
  <c r="B77" i="11"/>
  <c r="B78" i="11"/>
  <c r="B82" i="11"/>
  <c r="C82" i="11"/>
  <c r="B85" i="11"/>
  <c r="B2" i="16"/>
  <c r="F2" i="16"/>
  <c r="G2" i="16"/>
  <c r="I2" i="16"/>
  <c r="J2" i="16"/>
  <c r="Q2" i="16"/>
  <c r="V2" i="16"/>
  <c r="X2" i="16"/>
  <c r="Z2" i="16"/>
  <c r="AA2" i="16"/>
  <c r="AB2" i="16"/>
  <c r="AC2" i="16"/>
  <c r="AD2" i="16"/>
  <c r="H4" i="9"/>
  <c r="A5" i="9"/>
  <c r="A6" i="9"/>
  <c r="C6" i="9"/>
  <c r="C11" i="9" s="1"/>
  <c r="G13" i="9"/>
  <c r="G16" i="9"/>
  <c r="E17" i="9"/>
  <c r="C18" i="9"/>
  <c r="E18" i="9"/>
  <c r="E19" i="9"/>
  <c r="C30" i="9"/>
  <c r="C34" i="9"/>
  <c r="C38" i="9"/>
  <c r="C43" i="9"/>
  <c r="G53" i="9"/>
  <c r="C55" i="9"/>
  <c r="E57" i="9"/>
  <c r="C61" i="9"/>
  <c r="C63" i="9"/>
  <c r="J4" i="7"/>
  <c r="A5" i="7"/>
  <c r="A6" i="7"/>
  <c r="E6" i="7"/>
  <c r="H6" i="7"/>
  <c r="J6" i="7"/>
  <c r="I8" i="7"/>
  <c r="C9" i="7"/>
  <c r="C11" i="7"/>
  <c r="C10" i="7" s="1"/>
  <c r="C12" i="7"/>
  <c r="C14" i="7"/>
  <c r="C13" i="7" s="1"/>
  <c r="I26" i="7" s="1"/>
  <c r="C15" i="7"/>
  <c r="C16" i="7"/>
  <c r="C18" i="7"/>
  <c r="C17" i="7" s="1"/>
  <c r="I25" i="7" s="1"/>
  <c r="C19" i="7"/>
  <c r="C23" i="7"/>
  <c r="C22" i="7" s="1"/>
  <c r="I24" i="7" s="1"/>
  <c r="C24" i="7"/>
  <c r="C25" i="7"/>
  <c r="C26" i="7"/>
  <c r="C28" i="7"/>
  <c r="I11" i="7" s="1"/>
  <c r="C30" i="7"/>
  <c r="I30" i="7"/>
  <c r="C31" i="7"/>
  <c r="I31" i="7"/>
  <c r="C32" i="7"/>
  <c r="C29" i="7" s="1"/>
  <c r="I23" i="7" s="1"/>
  <c r="C33" i="7"/>
  <c r="C35" i="7"/>
  <c r="C34" i="7" s="1"/>
  <c r="I22" i="7" s="1"/>
  <c r="C38" i="7"/>
  <c r="C39" i="7"/>
  <c r="I12" i="7" s="1"/>
  <c r="C41" i="7"/>
  <c r="C42" i="7"/>
  <c r="C44" i="7"/>
  <c r="C43" i="7" s="1"/>
  <c r="I20" i="7" s="1"/>
  <c r="C45" i="7"/>
  <c r="C46" i="7"/>
  <c r="C49" i="7"/>
  <c r="C50" i="7"/>
  <c r="C51" i="7"/>
  <c r="C52" i="7"/>
  <c r="I32" i="7" s="1"/>
  <c r="C54" i="7"/>
  <c r="C55" i="7"/>
  <c r="C53" i="7" s="1"/>
  <c r="C56" i="7"/>
  <c r="I59" i="7"/>
  <c r="I60" i="7"/>
  <c r="I61" i="7"/>
  <c r="B6" i="8"/>
  <c r="B7" i="8"/>
  <c r="F7" i="8"/>
  <c r="C10" i="8"/>
  <c r="E10" i="8"/>
  <c r="F10" i="8"/>
  <c r="C11" i="8"/>
  <c r="E11" i="8"/>
  <c r="E27" i="8" s="1"/>
  <c r="G11" i="8"/>
  <c r="C12" i="8"/>
  <c r="E12" i="8"/>
  <c r="G12" i="8"/>
  <c r="B13" i="8"/>
  <c r="C13" i="8"/>
  <c r="E13" i="8"/>
  <c r="D388" i="15" s="1"/>
  <c r="G13" i="8"/>
  <c r="B16" i="8"/>
  <c r="F16" i="8"/>
  <c r="G16" i="8"/>
  <c r="F19" i="8"/>
  <c r="G19" i="8"/>
  <c r="F20" i="8"/>
  <c r="G20" i="8"/>
  <c r="E25" i="8"/>
  <c r="E24" i="8" s="1"/>
  <c r="F25" i="8"/>
  <c r="G25" i="8" s="1"/>
  <c r="E26" i="8"/>
  <c r="F26" i="8"/>
  <c r="E29" i="8"/>
  <c r="F29" i="8"/>
  <c r="E30" i="8"/>
  <c r="F30" i="8"/>
  <c r="G30" i="8"/>
  <c r="E36" i="8"/>
  <c r="C3" i="2"/>
  <c r="B4" i="18"/>
  <c r="D3" i="1"/>
  <c r="F3" i="13"/>
  <c r="D79" i="12"/>
  <c r="E79" i="12"/>
  <c r="F79" i="12"/>
  <c r="G79" i="12"/>
  <c r="H79" i="12"/>
  <c r="I79" i="12"/>
  <c r="D86" i="12"/>
  <c r="E86" i="12"/>
  <c r="F86" i="12"/>
  <c r="G86" i="12"/>
  <c r="H86" i="12"/>
  <c r="I86" i="12"/>
  <c r="C4" i="17"/>
  <c r="E3" i="4"/>
  <c r="D28" i="4"/>
  <c r="D31" i="4"/>
  <c r="D34" i="4"/>
  <c r="D35" i="4"/>
  <c r="D53" i="4"/>
  <c r="D57" i="4"/>
  <c r="D60" i="4"/>
  <c r="D63" i="4"/>
  <c r="D66" i="4"/>
  <c r="D68" i="4"/>
  <c r="D69" i="4"/>
  <c r="E110" i="4"/>
  <c r="E119" i="4"/>
  <c r="D120" i="4"/>
  <c r="D122" i="4"/>
  <c r="D124" i="4"/>
  <c r="D128" i="4"/>
  <c r="E128" i="4" s="1"/>
  <c r="D129" i="4"/>
  <c r="E129" i="4"/>
  <c r="I33" i="7" l="1"/>
  <c r="I28" i="7" s="1"/>
  <c r="C58" i="7"/>
  <c r="G26" i="8"/>
  <c r="F24" i="8"/>
  <c r="E8" i="11"/>
  <c r="E7" i="11"/>
  <c r="G14" i="11"/>
  <c r="E5" i="11"/>
  <c r="E10" i="11"/>
  <c r="I10" i="7"/>
  <c r="D61" i="11"/>
  <c r="B61" i="11"/>
  <c r="F35" i="8"/>
  <c r="E31" i="8"/>
  <c r="G10" i="8"/>
  <c r="C48" i="9"/>
  <c r="N16" i="11"/>
  <c r="C48" i="7"/>
  <c r="E6" i="11"/>
  <c r="G12" i="11"/>
  <c r="E4" i="11"/>
  <c r="N23" i="6"/>
  <c r="N68" i="6"/>
  <c r="N76" i="6"/>
  <c r="N60" i="6"/>
  <c r="K53" i="6"/>
  <c r="K63" i="6"/>
  <c r="G62" i="9"/>
  <c r="G60" i="9"/>
  <c r="G54" i="9"/>
  <c r="C24" i="9"/>
  <c r="C20" i="9"/>
  <c r="C16" i="9"/>
  <c r="C10" i="9"/>
  <c r="M39" i="6"/>
  <c r="E58" i="11"/>
  <c r="E59" i="11" s="1"/>
  <c r="M57" i="6" s="1"/>
  <c r="E60" i="11"/>
  <c r="E61" i="11" s="1"/>
  <c r="F67" i="6"/>
  <c r="D58" i="6"/>
  <c r="C51" i="9"/>
  <c r="G49" i="9"/>
  <c r="C45" i="9"/>
  <c r="C41" i="9"/>
  <c r="C36" i="9"/>
  <c r="C32" i="9"/>
  <c r="C28" i="9"/>
  <c r="W2" i="16"/>
  <c r="E62" i="11"/>
  <c r="E63" i="11" s="1"/>
  <c r="E54" i="11"/>
  <c r="E55" i="11" s="1"/>
  <c r="D47" i="11"/>
  <c r="D48" i="11" s="1"/>
  <c r="C102" i="6"/>
  <c r="E16" i="8" s="1"/>
  <c r="D390" i="15" s="1"/>
  <c r="C12" i="5"/>
  <c r="D149" i="15" s="1"/>
  <c r="C106" i="6"/>
  <c r="D106" i="6" s="1"/>
  <c r="D99" i="6" s="1"/>
  <c r="B99" i="6"/>
  <c r="R64" i="6"/>
  <c r="C58" i="6"/>
  <c r="E6" i="9"/>
  <c r="C9" i="9"/>
  <c r="C12" i="9"/>
  <c r="C15" i="9"/>
  <c r="C27" i="9"/>
  <c r="C29" i="9"/>
  <c r="C31" i="9"/>
  <c r="C33" i="9"/>
  <c r="C35" i="9"/>
  <c r="C37" i="9"/>
  <c r="C42" i="9"/>
  <c r="C44" i="9"/>
  <c r="G11" i="9" s="1"/>
  <c r="C47" i="9"/>
  <c r="C49" i="9"/>
  <c r="G51" i="9"/>
  <c r="G61" i="9"/>
  <c r="G63" i="9"/>
  <c r="F6" i="9"/>
  <c r="C13" i="9"/>
  <c r="C17" i="9"/>
  <c r="C19" i="9"/>
  <c r="C21" i="9"/>
  <c r="C23" i="9"/>
  <c r="C25" i="9"/>
  <c r="C50" i="9"/>
  <c r="G52" i="9"/>
  <c r="C54" i="9"/>
  <c r="N39" i="6"/>
  <c r="N40" i="6" s="1"/>
  <c r="N41" i="6" s="1"/>
  <c r="F56" i="11"/>
  <c r="F57" i="11" s="1"/>
  <c r="F58" i="11"/>
  <c r="F59" i="11" s="1"/>
  <c r="N57" i="6" s="1"/>
  <c r="C37" i="7"/>
  <c r="I21" i="7" s="1"/>
  <c r="G64" i="9"/>
  <c r="F62" i="11"/>
  <c r="F63" i="11" s="1"/>
  <c r="F54" i="11"/>
  <c r="F55" i="11" s="1"/>
  <c r="D121" i="15"/>
  <c r="B79" i="11"/>
  <c r="C79" i="11" s="1"/>
  <c r="B81" i="11"/>
  <c r="C81" i="11" s="1"/>
  <c r="B83" i="11"/>
  <c r="C83" i="11" s="1"/>
  <c r="F36" i="8"/>
  <c r="G36" i="8" s="1"/>
  <c r="E35" i="8"/>
  <c r="G35" i="8" s="1"/>
  <c r="C52" i="9"/>
  <c r="G50" i="9"/>
  <c r="C22" i="9"/>
  <c r="C14" i="9"/>
  <c r="H6" i="9"/>
  <c r="B84" i="11"/>
  <c r="C84" i="11" s="1"/>
  <c r="B80" i="11"/>
  <c r="C80" i="11" s="1"/>
  <c r="L59" i="6"/>
  <c r="L69" i="6"/>
  <c r="L72" i="6" s="1"/>
  <c r="E56" i="11"/>
  <c r="E57" i="11" s="1"/>
  <c r="L47" i="6"/>
  <c r="L49" i="6"/>
  <c r="L48" i="6"/>
  <c r="L50" i="6"/>
  <c r="L62" i="6"/>
  <c r="L46" i="6"/>
  <c r="C47" i="11"/>
  <c r="C48" i="11" s="1"/>
  <c r="L5" i="11" s="1"/>
  <c r="J49" i="6"/>
  <c r="J46" i="6"/>
  <c r="J50" i="6"/>
  <c r="J51" i="6"/>
  <c r="J47" i="6"/>
  <c r="J62" i="6"/>
  <c r="B56" i="6"/>
  <c r="L53" i="6"/>
  <c r="L54" i="6" s="1"/>
  <c r="L55" i="6" s="1"/>
  <c r="D42" i="6"/>
  <c r="K69" i="6"/>
  <c r="K72" i="6" s="1"/>
  <c r="K59" i="6"/>
  <c r="J63" i="6"/>
  <c r="J53" i="6"/>
  <c r="J54" i="6" s="1"/>
  <c r="J55" i="6" s="1"/>
  <c r="K46" i="6"/>
  <c r="K50" i="6"/>
  <c r="K47" i="6"/>
  <c r="K48" i="6"/>
  <c r="K49" i="6"/>
  <c r="K62" i="6"/>
  <c r="K51" i="6"/>
  <c r="L8" i="11"/>
  <c r="D103" i="6"/>
  <c r="C24" i="6"/>
  <c r="B54" i="7" s="1"/>
  <c r="D25" i="6"/>
  <c r="D24" i="6" s="1"/>
  <c r="K76" i="6"/>
  <c r="K60" i="6"/>
  <c r="K68" i="6"/>
  <c r="K23" i="6"/>
  <c r="C23" i="6" s="1"/>
  <c r="C67" i="6"/>
  <c r="O57" i="6"/>
  <c r="C30" i="6"/>
  <c r="D30" i="6"/>
  <c r="R30" i="6"/>
  <c r="S30" i="6" s="1"/>
  <c r="E30" i="6" s="1"/>
  <c r="R65" i="6"/>
  <c r="S65" i="6" s="1"/>
  <c r="E65" i="6" s="1"/>
  <c r="F65" i="6" s="1"/>
  <c r="B34" i="6"/>
  <c r="C32" i="6"/>
  <c r="B29" i="6"/>
  <c r="B45" i="6"/>
  <c r="C42" i="6"/>
  <c r="B38" i="6"/>
  <c r="T2" i="16" s="1"/>
  <c r="D33" i="6"/>
  <c r="R33" i="6"/>
  <c r="S33" i="6" s="1"/>
  <c r="E33" i="6" s="1"/>
  <c r="F33" i="6" s="1"/>
  <c r="D36" i="6"/>
  <c r="D35" i="6" s="1"/>
  <c r="C33" i="6"/>
  <c r="E24" i="6"/>
  <c r="F26" i="6"/>
  <c r="F24" i="6" s="1"/>
  <c r="O47" i="6" l="1"/>
  <c r="B39" i="7"/>
  <c r="B42" i="9"/>
  <c r="S64" i="6"/>
  <c r="E64" i="6" s="1"/>
  <c r="F64" i="6" s="1"/>
  <c r="C64" i="6"/>
  <c r="B36" i="7" s="1"/>
  <c r="M23" i="6"/>
  <c r="M60" i="6"/>
  <c r="M76" i="6"/>
  <c r="M68" i="6"/>
  <c r="I9" i="7"/>
  <c r="C29" i="6"/>
  <c r="E9" i="11"/>
  <c r="C53" i="9"/>
  <c r="G12" i="9"/>
  <c r="G57" i="9"/>
  <c r="D64" i="6"/>
  <c r="M59" i="6"/>
  <c r="O59" i="6" s="1"/>
  <c r="M69" i="6"/>
  <c r="M72" i="6" s="1"/>
  <c r="O72" i="6" s="1"/>
  <c r="O53" i="6"/>
  <c r="K54" i="6"/>
  <c r="L23" i="6"/>
  <c r="L60" i="6"/>
  <c r="L68" i="6"/>
  <c r="O68" i="6" s="1"/>
  <c r="L76" i="6"/>
  <c r="O76" i="6" s="1"/>
  <c r="I18" i="7"/>
  <c r="R2" i="16"/>
  <c r="D302" i="15"/>
  <c r="D65" i="6"/>
  <c r="L7" i="11"/>
  <c r="O60" i="6"/>
  <c r="L10" i="11"/>
  <c r="N49" i="6"/>
  <c r="N46" i="6"/>
  <c r="N47" i="6"/>
  <c r="N48" i="6"/>
  <c r="N50" i="6"/>
  <c r="N62" i="6"/>
  <c r="N51" i="6"/>
  <c r="G10" i="9"/>
  <c r="G17" i="9"/>
  <c r="G19" i="9"/>
  <c r="G18" i="9"/>
  <c r="Q39" i="6"/>
  <c r="M40" i="6"/>
  <c r="C60" i="7"/>
  <c r="J16" i="11" s="1"/>
  <c r="C64" i="7"/>
  <c r="C62" i="7"/>
  <c r="D45" i="11"/>
  <c r="E23" i="6"/>
  <c r="D23" i="6"/>
  <c r="D15" i="6" s="1"/>
  <c r="M53" i="6"/>
  <c r="M54" i="6" s="1"/>
  <c r="M55" i="6" s="1"/>
  <c r="M63" i="6"/>
  <c r="O63" i="6" s="1"/>
  <c r="B16" i="6"/>
  <c r="C99" i="6"/>
  <c r="M48" i="6"/>
  <c r="O48" i="6" s="1"/>
  <c r="M50" i="6"/>
  <c r="O50" i="6" s="1"/>
  <c r="M51" i="6"/>
  <c r="O51" i="6" s="1"/>
  <c r="M62" i="6"/>
  <c r="M49" i="6"/>
  <c r="O49" i="6" s="1"/>
  <c r="M46" i="6"/>
  <c r="O46" i="6" s="1"/>
  <c r="M47" i="6"/>
  <c r="J23" i="6"/>
  <c r="J68" i="6"/>
  <c r="J60" i="6"/>
  <c r="J76" i="6"/>
  <c r="F51" i="10"/>
  <c r="D260" i="15"/>
  <c r="D360" i="15" s="1"/>
  <c r="B52" i="9"/>
  <c r="O62" i="6"/>
  <c r="B69" i="6"/>
  <c r="L12" i="11"/>
  <c r="L6" i="11"/>
  <c r="L9" i="11"/>
  <c r="L11" i="11"/>
  <c r="U2" i="16"/>
  <c r="D32" i="6"/>
  <c r="D29" i="6" s="1"/>
  <c r="B56" i="7"/>
  <c r="F30" i="6"/>
  <c r="F29" i="6" s="1"/>
  <c r="E29" i="6"/>
  <c r="S57" i="6"/>
  <c r="E57" i="6" s="1"/>
  <c r="R57" i="6"/>
  <c r="P57" i="6"/>
  <c r="D57" i="6" s="1"/>
  <c r="C57" i="6"/>
  <c r="Q57" i="6"/>
  <c r="L14" i="11"/>
  <c r="C65" i="6"/>
  <c r="B40" i="7" s="1"/>
  <c r="L13" i="11"/>
  <c r="N59" i="6"/>
  <c r="N69" i="6"/>
  <c r="N72" i="6" s="1"/>
  <c r="N63" i="6"/>
  <c r="N53" i="6"/>
  <c r="N54" i="6" s="1"/>
  <c r="N55" i="6" s="1"/>
  <c r="C58" i="9"/>
  <c r="C59" i="9" s="1"/>
  <c r="B33" i="9"/>
  <c r="B38" i="7"/>
  <c r="C11" i="5"/>
  <c r="D148" i="15" s="1"/>
  <c r="B13" i="9"/>
  <c r="B19" i="9"/>
  <c r="B50" i="9"/>
  <c r="B20" i="7"/>
  <c r="B50" i="7"/>
  <c r="B12" i="7"/>
  <c r="B51" i="7"/>
  <c r="B12" i="9"/>
  <c r="B11" i="9" s="1"/>
  <c r="B11" i="7"/>
  <c r="B18" i="7"/>
  <c r="B20" i="9"/>
  <c r="B19" i="7"/>
  <c r="G55" i="9"/>
  <c r="B21" i="7"/>
  <c r="G11" i="11"/>
  <c r="S50" i="6" l="1"/>
  <c r="E50" i="6" s="1"/>
  <c r="F50" i="6" s="1"/>
  <c r="R50" i="6"/>
  <c r="C50" i="6" s="1"/>
  <c r="Q50" i="6"/>
  <c r="P50" i="6"/>
  <c r="C63" i="6"/>
  <c r="R63" i="6"/>
  <c r="Q63" i="6"/>
  <c r="S63" i="6"/>
  <c r="E63" i="6" s="1"/>
  <c r="F63" i="6" s="1"/>
  <c r="P63" i="6"/>
  <c r="D63" i="6" s="1"/>
  <c r="R49" i="6"/>
  <c r="Q49" i="6"/>
  <c r="C49" i="6" s="1"/>
  <c r="S49" i="6"/>
  <c r="E49" i="6" s="1"/>
  <c r="F49" i="6" s="1"/>
  <c r="P49" i="6"/>
  <c r="Q48" i="6"/>
  <c r="C48" i="6" s="1"/>
  <c r="P48" i="6"/>
  <c r="D48" i="6" s="1"/>
  <c r="S48" i="6"/>
  <c r="E48" i="6" s="1"/>
  <c r="F48" i="6" s="1"/>
  <c r="R48" i="6"/>
  <c r="R68" i="6"/>
  <c r="P68" i="6"/>
  <c r="Q68" i="6"/>
  <c r="C68" i="6" s="1"/>
  <c r="S68" i="6"/>
  <c r="E68" i="6" s="1"/>
  <c r="P72" i="6"/>
  <c r="D72" i="6" s="1"/>
  <c r="S72" i="6"/>
  <c r="E72" i="6" s="1"/>
  <c r="F72" i="6" s="1"/>
  <c r="Q72" i="6"/>
  <c r="R72" i="6"/>
  <c r="C72" i="6"/>
  <c r="Q51" i="6"/>
  <c r="P51" i="6"/>
  <c r="R51" i="6"/>
  <c r="C51" i="6" s="1"/>
  <c r="S51" i="6"/>
  <c r="E51" i="6" s="1"/>
  <c r="F51" i="6" s="1"/>
  <c r="P59" i="6"/>
  <c r="Q59" i="6"/>
  <c r="R59" i="6"/>
  <c r="C59" i="6" s="1"/>
  <c r="S59" i="6"/>
  <c r="E59" i="6" s="1"/>
  <c r="F59" i="6" s="1"/>
  <c r="F49" i="10"/>
  <c r="G49" i="10" s="1"/>
  <c r="D258" i="15"/>
  <c r="D358" i="15" s="1"/>
  <c r="D14" i="6"/>
  <c r="R39" i="6"/>
  <c r="C39" i="6"/>
  <c r="S39" i="6"/>
  <c r="D39" i="6"/>
  <c r="Q60" i="6"/>
  <c r="C60" i="6" s="1"/>
  <c r="P60" i="6"/>
  <c r="R60" i="6"/>
  <c r="S60" i="6"/>
  <c r="E60" i="6" s="1"/>
  <c r="F60" i="6" s="1"/>
  <c r="Q53" i="6"/>
  <c r="P53" i="6"/>
  <c r="R53" i="6"/>
  <c r="C53" i="6" s="1"/>
  <c r="S53" i="6"/>
  <c r="E53" i="6" s="1"/>
  <c r="F41" i="10"/>
  <c r="D251" i="15"/>
  <c r="AT2" i="16"/>
  <c r="F19" i="10"/>
  <c r="B17" i="7"/>
  <c r="BK2" i="16"/>
  <c r="D230" i="15"/>
  <c r="D330" i="15" s="1"/>
  <c r="F13" i="10"/>
  <c r="G13" i="10" s="1"/>
  <c r="D224" i="15"/>
  <c r="D324" i="15" s="1"/>
  <c r="F52" i="10"/>
  <c r="G52" i="10" s="1"/>
  <c r="D261" i="15"/>
  <c r="D361" i="15" s="1"/>
  <c r="B54" i="9"/>
  <c r="B48" i="9"/>
  <c r="B49" i="7"/>
  <c r="F23" i="6"/>
  <c r="E15" i="6"/>
  <c r="E14" i="6" s="1"/>
  <c r="B55" i="7"/>
  <c r="F39" i="10"/>
  <c r="G39" i="10" s="1"/>
  <c r="B40" i="9"/>
  <c r="F12" i="10"/>
  <c r="B10" i="7"/>
  <c r="AJ2" i="16"/>
  <c r="D223" i="15"/>
  <c r="D323" i="15" s="1"/>
  <c r="F48" i="10"/>
  <c r="D257" i="15"/>
  <c r="D357" i="15" s="1"/>
  <c r="B49" i="9"/>
  <c r="AF2" i="16"/>
  <c r="H31" i="7"/>
  <c r="B18" i="9"/>
  <c r="F32" i="10"/>
  <c r="G32" i="10" s="1"/>
  <c r="D244" i="15"/>
  <c r="D344" i="15" s="1"/>
  <c r="AR2" i="16"/>
  <c r="F57" i="6"/>
  <c r="C16" i="6"/>
  <c r="C15" i="6" s="1"/>
  <c r="C14" i="6" s="1"/>
  <c r="B15" i="6"/>
  <c r="B14" i="6" s="1"/>
  <c r="F38" i="10"/>
  <c r="G38" i="10" s="1"/>
  <c r="AS2" i="16"/>
  <c r="B39" i="9"/>
  <c r="O69" i="6"/>
  <c r="B66" i="6"/>
  <c r="F20" i="10"/>
  <c r="G20" i="10" s="1"/>
  <c r="D231" i="15"/>
  <c r="D331" i="15" s="1"/>
  <c r="B32" i="9"/>
  <c r="B35" i="7"/>
  <c r="Q62" i="6"/>
  <c r="P62" i="6"/>
  <c r="R62" i="6"/>
  <c r="C62" i="6" s="1"/>
  <c r="S62" i="6"/>
  <c r="E62" i="6" s="1"/>
  <c r="G51" i="10"/>
  <c r="S46" i="6"/>
  <c r="E46" i="6" s="1"/>
  <c r="P46" i="6"/>
  <c r="Q46" i="6"/>
  <c r="R46" i="6"/>
  <c r="C46" i="6"/>
  <c r="Q40" i="6"/>
  <c r="M41" i="6"/>
  <c r="Q41" i="6" s="1"/>
  <c r="S76" i="6"/>
  <c r="E76" i="6" s="1"/>
  <c r="F76" i="6" s="1"/>
  <c r="R76" i="6"/>
  <c r="P76" i="6"/>
  <c r="Q76" i="6"/>
  <c r="C76" i="6" s="1"/>
  <c r="K55" i="6"/>
  <c r="O55" i="6" s="1"/>
  <c r="O54" i="6"/>
  <c r="P47" i="6"/>
  <c r="Q47" i="6"/>
  <c r="R47" i="6"/>
  <c r="C47" i="6" s="1"/>
  <c r="S47" i="6"/>
  <c r="E47" i="6" s="1"/>
  <c r="F47" i="6" s="1"/>
  <c r="B35" i="9" l="1"/>
  <c r="F53" i="9" s="1"/>
  <c r="B41" i="7"/>
  <c r="B23" i="9"/>
  <c r="B24" i="7"/>
  <c r="B25" i="9"/>
  <c r="B26" i="7"/>
  <c r="B34" i="9"/>
  <c r="B44" i="7"/>
  <c r="C46" i="11"/>
  <c r="D384" i="15" s="1"/>
  <c r="C56" i="6"/>
  <c r="B27" i="7"/>
  <c r="B26" i="9"/>
  <c r="C61" i="6"/>
  <c r="B28" i="7"/>
  <c r="B28" i="9"/>
  <c r="B30" i="7"/>
  <c r="B24" i="9"/>
  <c r="B25" i="7"/>
  <c r="C45" i="6"/>
  <c r="B22" i="9"/>
  <c r="B21" i="9" s="1"/>
  <c r="F31" i="10"/>
  <c r="D243" i="15"/>
  <c r="B34" i="7"/>
  <c r="S69" i="6"/>
  <c r="E69" i="6" s="1"/>
  <c r="E66" i="6" s="1"/>
  <c r="Q69" i="6"/>
  <c r="R69" i="6"/>
  <c r="P69" i="6"/>
  <c r="D69" i="6" s="1"/>
  <c r="C69" i="6"/>
  <c r="G48" i="10"/>
  <c r="E39" i="6"/>
  <c r="F44" i="10"/>
  <c r="G44" i="10" s="1"/>
  <c r="B45" i="9"/>
  <c r="B46" i="7"/>
  <c r="D254" i="15" s="1"/>
  <c r="D354" i="15" s="1"/>
  <c r="R54" i="6"/>
  <c r="C54" i="6" s="1"/>
  <c r="P54" i="6"/>
  <c r="D54" i="6" s="1"/>
  <c r="Q54" i="6"/>
  <c r="S54" i="6"/>
  <c r="E54" i="6" s="1"/>
  <c r="F54" i="6" s="1"/>
  <c r="D76" i="6"/>
  <c r="C41" i="6"/>
  <c r="R41" i="6"/>
  <c r="S41" i="6"/>
  <c r="E41" i="6" s="1"/>
  <c r="F41" i="6" s="1"/>
  <c r="B31" i="9"/>
  <c r="E56" i="6"/>
  <c r="E81" i="6"/>
  <c r="F12" i="9"/>
  <c r="G19" i="10"/>
  <c r="G18" i="10" s="1"/>
  <c r="K15" i="10" s="1"/>
  <c r="F18" i="10"/>
  <c r="J15" i="10" s="1"/>
  <c r="D24" i="11" s="1"/>
  <c r="G41" i="10"/>
  <c r="D60" i="6"/>
  <c r="D59" i="6"/>
  <c r="D51" i="6"/>
  <c r="D50" i="6"/>
  <c r="D47" i="6"/>
  <c r="S55" i="6"/>
  <c r="E55" i="6" s="1"/>
  <c r="F55" i="6" s="1"/>
  <c r="Q55" i="6"/>
  <c r="C55" i="6" s="1"/>
  <c r="R55" i="6"/>
  <c r="P55" i="6"/>
  <c r="S40" i="6"/>
  <c r="E40" i="6" s="1"/>
  <c r="F40" i="6" s="1"/>
  <c r="R40" i="6"/>
  <c r="C40" i="6" s="1"/>
  <c r="D46" i="6"/>
  <c r="F62" i="6"/>
  <c r="F61" i="6" s="1"/>
  <c r="B92" i="6" s="1"/>
  <c r="E61" i="6"/>
  <c r="B73" i="6"/>
  <c r="B77" i="6"/>
  <c r="F63" i="9"/>
  <c r="S2" i="16"/>
  <c r="F60" i="9"/>
  <c r="D222" i="15"/>
  <c r="D322" i="15" s="1"/>
  <c r="AI2" i="16"/>
  <c r="E19" i="8"/>
  <c r="F53" i="10"/>
  <c r="G53" i="10" s="1"/>
  <c r="K26" i="10" s="1"/>
  <c r="D262" i="15"/>
  <c r="D362" i="15" s="1"/>
  <c r="B55" i="9"/>
  <c r="B53" i="9" s="1"/>
  <c r="B53" i="7"/>
  <c r="F15" i="6"/>
  <c r="F14" i="6" s="1"/>
  <c r="B52" i="7"/>
  <c r="F53" i="6"/>
  <c r="E52" i="6"/>
  <c r="D68" i="6"/>
  <c r="D66" i="6" s="1"/>
  <c r="D49" i="6"/>
  <c r="E45" i="6"/>
  <c r="F46" i="6"/>
  <c r="F45" i="6" s="1"/>
  <c r="B89" i="6" s="1"/>
  <c r="F13" i="11"/>
  <c r="D285" i="15"/>
  <c r="J31" i="7"/>
  <c r="G12" i="10"/>
  <c r="G11" i="10" s="1"/>
  <c r="F11" i="10"/>
  <c r="F47" i="10"/>
  <c r="AE2" i="16"/>
  <c r="H30" i="7"/>
  <c r="M15" i="11"/>
  <c r="D256" i="15"/>
  <c r="D356" i="15" s="1"/>
  <c r="B38" i="9"/>
  <c r="B33" i="7"/>
  <c r="D62" i="6"/>
  <c r="D61" i="6" s="1"/>
  <c r="F56" i="6"/>
  <c r="B91" i="6" s="1"/>
  <c r="D229" i="15"/>
  <c r="D329" i="15" s="1"/>
  <c r="AL2" i="16"/>
  <c r="H25" i="7"/>
  <c r="E21" i="8"/>
  <c r="D395" i="15" s="1"/>
  <c r="D351" i="15"/>
  <c r="D53" i="6"/>
  <c r="F68" i="6"/>
  <c r="B31" i="7" l="1"/>
  <c r="B29" i="7" s="1"/>
  <c r="B29" i="9"/>
  <c r="B27" i="9" s="1"/>
  <c r="F51" i="9" s="1"/>
  <c r="C52" i="6"/>
  <c r="B47" i="9"/>
  <c r="G31" i="11"/>
  <c r="B15" i="7"/>
  <c r="B16" i="9"/>
  <c r="D40" i="6"/>
  <c r="C38" i="6"/>
  <c r="C34" i="6" s="1"/>
  <c r="C71" i="6" s="1"/>
  <c r="B30" i="9"/>
  <c r="B32" i="7"/>
  <c r="F37" i="10"/>
  <c r="G37" i="10" s="1"/>
  <c r="D249" i="15"/>
  <c r="D349" i="15" s="1"/>
  <c r="AP2" i="16"/>
  <c r="F50" i="10"/>
  <c r="D259" i="15"/>
  <c r="D359" i="15" s="1"/>
  <c r="AG2" i="16"/>
  <c r="B51" i="9"/>
  <c r="H32" i="7"/>
  <c r="D41" i="6"/>
  <c r="B17" i="9"/>
  <c r="B16" i="7"/>
  <c r="F27" i="10"/>
  <c r="BH2" i="16"/>
  <c r="D239" i="15"/>
  <c r="D339" i="15" s="1"/>
  <c r="F25" i="10"/>
  <c r="G25" i="10" s="1"/>
  <c r="D237" i="15"/>
  <c r="D337" i="15" s="1"/>
  <c r="D5" i="11"/>
  <c r="D282" i="15"/>
  <c r="J25" i="7"/>
  <c r="B48" i="7"/>
  <c r="B96" i="6"/>
  <c r="AH2" i="16"/>
  <c r="H33" i="7"/>
  <c r="D393" i="15"/>
  <c r="D45" i="6"/>
  <c r="D55" i="6"/>
  <c r="D52" i="6" s="1"/>
  <c r="D56" i="6"/>
  <c r="L15" i="10"/>
  <c r="E24" i="11"/>
  <c r="D343" i="15"/>
  <c r="B42" i="7"/>
  <c r="F33" i="10"/>
  <c r="G33" i="10" s="1"/>
  <c r="D245" i="15"/>
  <c r="D345" i="15" s="1"/>
  <c r="AX2" i="16"/>
  <c r="F23" i="10"/>
  <c r="G23" i="10" s="1"/>
  <c r="D235" i="15"/>
  <c r="D335" i="15" s="1"/>
  <c r="BF2" i="16"/>
  <c r="J24" i="10"/>
  <c r="G47" i="10"/>
  <c r="F46" i="10"/>
  <c r="M34" i="11"/>
  <c r="E83" i="6"/>
  <c r="F52" i="6"/>
  <c r="B90" i="6" s="1"/>
  <c r="D296" i="15"/>
  <c r="D374" i="15" s="1"/>
  <c r="H59" i="7"/>
  <c r="J59" i="7" s="1"/>
  <c r="H60" i="9"/>
  <c r="F61" i="9"/>
  <c r="F62" i="9"/>
  <c r="F64" i="9"/>
  <c r="J18" i="10"/>
  <c r="G31" i="10"/>
  <c r="F24" i="10"/>
  <c r="G24" i="10" s="1"/>
  <c r="D236" i="15"/>
  <c r="D336" i="15" s="1"/>
  <c r="BG2" i="16"/>
  <c r="B43" i="9"/>
  <c r="B37" i="9"/>
  <c r="B36" i="9" s="1"/>
  <c r="D247" i="15" s="1"/>
  <c r="D287" i="15"/>
  <c r="F14" i="11"/>
  <c r="H28" i="7"/>
  <c r="J30" i="7"/>
  <c r="D271" i="15"/>
  <c r="H12" i="9"/>
  <c r="B44" i="9"/>
  <c r="F11" i="9" s="1"/>
  <c r="F69" i="6"/>
  <c r="F66" i="6" s="1"/>
  <c r="B94" i="6" s="1"/>
  <c r="B82" i="6"/>
  <c r="B83" i="6" s="1"/>
  <c r="F36" i="10"/>
  <c r="H11" i="7"/>
  <c r="J11" i="7" s="1"/>
  <c r="AN2" i="16"/>
  <c r="D248" i="15"/>
  <c r="D348" i="15" s="1"/>
  <c r="F34" i="10"/>
  <c r="G34" i="10" s="1"/>
  <c r="D246" i="15"/>
  <c r="D346" i="15" s="1"/>
  <c r="AU2" i="16"/>
  <c r="B37" i="7"/>
  <c r="H21" i="7" s="1"/>
  <c r="D299" i="15"/>
  <c r="D377" i="15" s="1"/>
  <c r="H63" i="9"/>
  <c r="J26" i="10"/>
  <c r="F31" i="11" s="1"/>
  <c r="F39" i="6"/>
  <c r="E38" i="6"/>
  <c r="AQ2" i="16"/>
  <c r="H22" i="7"/>
  <c r="B23" i="7"/>
  <c r="C66" i="6"/>
  <c r="J53" i="10"/>
  <c r="K53" i="10" s="1"/>
  <c r="L53" i="10" s="1"/>
  <c r="D292" i="15"/>
  <c r="H53" i="9"/>
  <c r="D290" i="15" l="1"/>
  <c r="D369" i="15" s="1"/>
  <c r="H51" i="9"/>
  <c r="D238" i="15"/>
  <c r="D338" i="15" s="1"/>
  <c r="AO2" i="16"/>
  <c r="H23" i="7"/>
  <c r="F38" i="6"/>
  <c r="B15" i="9"/>
  <c r="B14" i="9" s="1"/>
  <c r="B14" i="7"/>
  <c r="D9" i="11"/>
  <c r="D278" i="15"/>
  <c r="J21" i="7"/>
  <c r="B41" i="9"/>
  <c r="D298" i="15"/>
  <c r="D376" i="15" s="1"/>
  <c r="H62" i="9"/>
  <c r="D242" i="15"/>
  <c r="D342" i="15" s="1"/>
  <c r="D279" i="15"/>
  <c r="D8" i="11"/>
  <c r="J22" i="7"/>
  <c r="C43" i="11"/>
  <c r="F30" i="10"/>
  <c r="F29" i="11"/>
  <c r="F42" i="10"/>
  <c r="D252" i="15"/>
  <c r="AV2" i="16"/>
  <c r="H12" i="7"/>
  <c r="J12" i="7" s="1"/>
  <c r="F12" i="11"/>
  <c r="J32" i="7"/>
  <c r="G50" i="10"/>
  <c r="K25" i="10" s="1"/>
  <c r="J25" i="10"/>
  <c r="F30" i="11" s="1"/>
  <c r="F29" i="10"/>
  <c r="G29" i="10" s="1"/>
  <c r="D241" i="15"/>
  <c r="D341" i="15" s="1"/>
  <c r="BJ2" i="16"/>
  <c r="F49" i="9"/>
  <c r="E34" i="6"/>
  <c r="E71" i="6" s="1"/>
  <c r="E82" i="6"/>
  <c r="E84" i="6" s="1"/>
  <c r="G36" i="10"/>
  <c r="G35" i="10" s="1"/>
  <c r="F35" i="10"/>
  <c r="B45" i="7"/>
  <c r="D347" i="15"/>
  <c r="AY2" i="16"/>
  <c r="D300" i="15"/>
  <c r="D378" i="15" s="1"/>
  <c r="H61" i="7"/>
  <c r="J61" i="7" s="1"/>
  <c r="H64" i="9"/>
  <c r="F11" i="11"/>
  <c r="D286" i="15"/>
  <c r="J33" i="7"/>
  <c r="D255" i="15"/>
  <c r="D355" i="15" s="1"/>
  <c r="F17" i="10"/>
  <c r="G17" i="10" s="1"/>
  <c r="D228" i="15"/>
  <c r="D328" i="15" s="1"/>
  <c r="F16" i="10"/>
  <c r="G16" i="10" s="1"/>
  <c r="D227" i="15"/>
  <c r="D327" i="15" s="1"/>
  <c r="BA2" i="16"/>
  <c r="D371" i="15"/>
  <c r="F22" i="10"/>
  <c r="D234" i="15"/>
  <c r="D334" i="15" s="1"/>
  <c r="BE2" i="16"/>
  <c r="B22" i="7"/>
  <c r="D270" i="15"/>
  <c r="H11" i="9"/>
  <c r="D284" i="15"/>
  <c r="J28" i="7"/>
  <c r="G30" i="10"/>
  <c r="K18" i="10"/>
  <c r="L18" i="10" s="1"/>
  <c r="J49" i="10"/>
  <c r="D297" i="15"/>
  <c r="D375" i="15" s="1"/>
  <c r="H60" i="7"/>
  <c r="J60" i="7" s="1"/>
  <c r="H61" i="9"/>
  <c r="K24" i="10"/>
  <c r="N35" i="11"/>
  <c r="G27" i="10"/>
  <c r="G26" i="10" s="1"/>
  <c r="K17" i="10" s="1"/>
  <c r="D38" i="6"/>
  <c r="D34" i="6" s="1"/>
  <c r="D71" i="6" s="1"/>
  <c r="L26" i="10"/>
  <c r="F28" i="10"/>
  <c r="G28" i="10" s="1"/>
  <c r="BI2" i="16"/>
  <c r="D240" i="15"/>
  <c r="D340" i="15" s="1"/>
  <c r="L17" i="10" l="1"/>
  <c r="E26" i="11"/>
  <c r="K22" i="10"/>
  <c r="L24" i="10"/>
  <c r="G29" i="11"/>
  <c r="F52" i="9"/>
  <c r="D288" i="15"/>
  <c r="D367" i="15" s="1"/>
  <c r="H49" i="9"/>
  <c r="F34" i="6"/>
  <c r="F71" i="6" s="1"/>
  <c r="B88" i="6"/>
  <c r="B87" i="6" s="1"/>
  <c r="C86" i="6" s="1"/>
  <c r="F26" i="10"/>
  <c r="J17" i="10" s="1"/>
  <c r="D26" i="11" s="1"/>
  <c r="L25" i="10"/>
  <c r="G30" i="11"/>
  <c r="F43" i="10"/>
  <c r="D253" i="15"/>
  <c r="D353" i="15" s="1"/>
  <c r="AW2" i="16"/>
  <c r="B43" i="7"/>
  <c r="H20" i="7" s="1"/>
  <c r="D352" i="15"/>
  <c r="D250" i="15"/>
  <c r="F15" i="10"/>
  <c r="D226" i="15"/>
  <c r="D326" i="15" s="1"/>
  <c r="B13" i="7"/>
  <c r="G46" i="10"/>
  <c r="G22" i="10"/>
  <c r="G21" i="10" s="1"/>
  <c r="F21" i="10"/>
  <c r="G42" i="10"/>
  <c r="J19" i="10"/>
  <c r="D27" i="11" s="1"/>
  <c r="F61" i="10"/>
  <c r="D266" i="15"/>
  <c r="D383" i="15"/>
  <c r="B61" i="9"/>
  <c r="F13" i="9"/>
  <c r="C44" i="11"/>
  <c r="F50" i="9"/>
  <c r="B10" i="9"/>
  <c r="D221" i="15" s="1"/>
  <c r="D321" i="15" s="1"/>
  <c r="D233" i="15"/>
  <c r="D333" i="15" s="1"/>
  <c r="AM2" i="16"/>
  <c r="H24" i="7"/>
  <c r="J22" i="10"/>
  <c r="D280" i="15"/>
  <c r="D7" i="11"/>
  <c r="J23" i="7"/>
  <c r="J51" i="10" l="1"/>
  <c r="J16" i="10"/>
  <c r="D25" i="11" s="1"/>
  <c r="D291" i="15"/>
  <c r="D370" i="15" s="1"/>
  <c r="F54" i="9"/>
  <c r="H52" i="9"/>
  <c r="D281" i="15"/>
  <c r="D6" i="11"/>
  <c r="J24" i="7"/>
  <c r="D265" i="15"/>
  <c r="D364" i="15" s="1"/>
  <c r="B63" i="9"/>
  <c r="D267" i="15" s="1"/>
  <c r="D365" i="15" s="1"/>
  <c r="D289" i="15"/>
  <c r="D368" i="15" s="1"/>
  <c r="H50" i="9"/>
  <c r="K49" i="10"/>
  <c r="B9" i="9"/>
  <c r="D268" i="15"/>
  <c r="D385" i="15" s="1"/>
  <c r="K19" i="10"/>
  <c r="D225" i="15"/>
  <c r="D325" i="15" s="1"/>
  <c r="AK2" i="16"/>
  <c r="E20" i="8"/>
  <c r="H26" i="7"/>
  <c r="H10" i="7"/>
  <c r="B9" i="7"/>
  <c r="D350" i="15"/>
  <c r="AZ2" i="16"/>
  <c r="L22" i="10"/>
  <c r="D272" i="15"/>
  <c r="D380" i="15" s="1"/>
  <c r="H13" i="9"/>
  <c r="G61" i="10"/>
  <c r="E43" i="11" s="1"/>
  <c r="E44" i="11" s="1"/>
  <c r="F63" i="10"/>
  <c r="G63" i="10" s="1"/>
  <c r="J20" i="10"/>
  <c r="D28" i="11" s="1"/>
  <c r="G43" i="10"/>
  <c r="K20" i="10" s="1"/>
  <c r="F40" i="10"/>
  <c r="K16" i="10"/>
  <c r="K51" i="10"/>
  <c r="L51" i="10" s="1"/>
  <c r="G15" i="10"/>
  <c r="G14" i="10" s="1"/>
  <c r="F14" i="10"/>
  <c r="H18" i="7"/>
  <c r="D10" i="11"/>
  <c r="D277" i="15"/>
  <c r="J20" i="7"/>
  <c r="D394" i="15" l="1"/>
  <c r="E18" i="8"/>
  <c r="D220" i="15"/>
  <c r="D320" i="15" s="1"/>
  <c r="K8" i="11"/>
  <c r="K10" i="11"/>
  <c r="K13" i="11"/>
  <c r="K6" i="11"/>
  <c r="K12" i="11"/>
  <c r="K14" i="11"/>
  <c r="B58" i="7"/>
  <c r="K9" i="11"/>
  <c r="K11" i="11"/>
  <c r="K5" i="11"/>
  <c r="K7" i="11"/>
  <c r="B60" i="7"/>
  <c r="J15" i="11" s="1"/>
  <c r="D276" i="15"/>
  <c r="J18" i="7"/>
  <c r="L16" i="10"/>
  <c r="E25" i="11"/>
  <c r="H9" i="7"/>
  <c r="J9" i="7" s="1"/>
  <c r="J10" i="7"/>
  <c r="B64" i="7"/>
  <c r="D305" i="15" s="1"/>
  <c r="L49" i="10"/>
  <c r="K50" i="10"/>
  <c r="G10" i="10"/>
  <c r="K14" i="10"/>
  <c r="L20" i="10"/>
  <c r="E28" i="11"/>
  <c r="G40" i="10"/>
  <c r="G9" i="10" s="1"/>
  <c r="F55" i="9"/>
  <c r="D293" i="15"/>
  <c r="D372" i="15" s="1"/>
  <c r="H54" i="9"/>
  <c r="D303" i="15"/>
  <c r="F18" i="9"/>
  <c r="F19" i="9"/>
  <c r="H19" i="9" s="1"/>
  <c r="F10" i="9"/>
  <c r="F17" i="9"/>
  <c r="H17" i="9" s="1"/>
  <c r="B58" i="9"/>
  <c r="F10" i="10"/>
  <c r="F9" i="10" s="1"/>
  <c r="J50" i="10"/>
  <c r="J14" i="10"/>
  <c r="D283" i="15"/>
  <c r="D4" i="11"/>
  <c r="J26" i="7"/>
  <c r="L19" i="10"/>
  <c r="E27" i="11"/>
  <c r="J63" i="10" l="1"/>
  <c r="K30" i="11"/>
  <c r="K33" i="11"/>
  <c r="K24" i="11"/>
  <c r="K26" i="11"/>
  <c r="K28" i="11"/>
  <c r="K32" i="11"/>
  <c r="K25" i="11"/>
  <c r="K31" i="11"/>
  <c r="K27" i="11"/>
  <c r="K29" i="11"/>
  <c r="F57" i="10"/>
  <c r="F59" i="10" s="1"/>
  <c r="J34" i="11" s="1"/>
  <c r="D269" i="15"/>
  <c r="D273" i="15" s="1"/>
  <c r="H10" i="9"/>
  <c r="L50" i="10"/>
  <c r="B59" i="9"/>
  <c r="D264" i="15" s="1"/>
  <c r="D263" i="15"/>
  <c r="F57" i="9"/>
  <c r="H57" i="9" s="1"/>
  <c r="H18" i="9"/>
  <c r="D294" i="15"/>
  <c r="H55" i="9"/>
  <c r="K12" i="10"/>
  <c r="L12" i="10" s="1"/>
  <c r="L14" i="10"/>
  <c r="E23" i="11"/>
  <c r="J12" i="10"/>
  <c r="D23" i="11"/>
  <c r="K63" i="10"/>
  <c r="L63" i="10" s="1"/>
  <c r="L25" i="11"/>
  <c r="L27" i="11"/>
  <c r="L29" i="11"/>
  <c r="L30" i="11"/>
  <c r="L33" i="11"/>
  <c r="L32" i="11"/>
  <c r="L28" i="11"/>
  <c r="L24" i="11"/>
  <c r="L26" i="11"/>
  <c r="L31" i="11"/>
  <c r="G57" i="10"/>
  <c r="G59" i="10" s="1"/>
  <c r="J35" i="11" s="1"/>
  <c r="B62" i="7"/>
  <c r="D304" i="15" s="1"/>
  <c r="C45" i="11"/>
  <c r="D392" i="15"/>
  <c r="E22" i="8"/>
  <c r="D396" i="15" s="1"/>
  <c r="J52" i="10"/>
  <c r="J54" i="10" s="1"/>
  <c r="J55" i="10"/>
  <c r="K52" i="10"/>
  <c r="K55" i="10"/>
  <c r="L55" i="10" s="1"/>
  <c r="K54" i="10" l="1"/>
  <c r="L54" i="10" s="1"/>
  <c r="L52" i="10"/>
  <c r="D274" i="15"/>
  <c r="D275" i="15"/>
</calcChain>
</file>

<file path=xl/sharedStrings.xml><?xml version="1.0" encoding="utf-8"?>
<sst xmlns="http://schemas.openxmlformats.org/spreadsheetml/2006/main" count="3063" uniqueCount="1421">
  <si>
    <t>Nouveautés depuis la version précédente</t>
  </si>
  <si>
    <t>Version</t>
  </si>
  <si>
    <t>Cette feuille récapitule les changements intervenus dans l'outil au fil des versions successives. Pensez à vous y reporter quand vous recevez une nouvelle version.</t>
  </si>
  <si>
    <t>liste des modifications</t>
  </si>
  <si>
    <t>Dernière version</t>
  </si>
  <si>
    <t>Onglet "Aide à la saisie"  : N° de compte et insertion de commentaires lors du dépouillement du Grand Livre</t>
  </si>
  <si>
    <t>Onglet "Aide à la saisie" et "Saisie" , "calcul" et "Edition" : Isoler les charges de Crédit bail et fais de litière BL</t>
  </si>
  <si>
    <t>Révision de l'onglet "Edition" :  qques critères d'analyse globale + espace commentaires + qques simplifications</t>
  </si>
  <si>
    <t>Révision de l'onglet "Vente Directe - Transfo"</t>
  </si>
  <si>
    <t>Paramètres valeurs 2013 remis à jour</t>
  </si>
  <si>
    <t>Nouvel onglet "Aide à la saisie" pour faciliter le dépouillement d'un Grand Livre</t>
  </si>
  <si>
    <t>Nouvel Onglet "critères Techniques" pour aider à l'analyse des réusltats économiques par grand poste de charge</t>
  </si>
  <si>
    <t>Nouvel onglet "Edition Vente directe"</t>
  </si>
  <si>
    <t>Correction concernant les coûts relatifs à la Main-d'œuvre lorsqu'il y a personnalisation de l'affectation</t>
  </si>
  <si>
    <t>Correction de l'affichage de quelques graphiques des onglets "édition"</t>
  </si>
  <si>
    <t xml:space="preserve">Intégration à la feuille "Capitalisation" de nouveaux critères techniques et relatifs au coût de fonctionnement </t>
  </si>
  <si>
    <t>Correction concernant le coût de fonctionnement</t>
  </si>
  <si>
    <t>Correction concernant les travaux par tiers</t>
  </si>
  <si>
    <t>Correction de la deduction des autres produits BL du prix de revient et de fonctionnement</t>
  </si>
  <si>
    <t>Séparation des autres produits joints  du produit viande</t>
  </si>
  <si>
    <t>Correction des coeff FGE</t>
  </si>
  <si>
    <t>Possibilité de renseigner la valeur du lait cédé à d'autres ateliers</t>
  </si>
  <si>
    <t>Correction erreur de calcul prix de fonctionnement.</t>
  </si>
  <si>
    <t>Modification de la présentation de la feuille "édition 2" et report automatique de la référence provenant de "édition 1" dans cette feuille.</t>
  </si>
  <si>
    <t>Correction du calcul revenu des cultures de vente (feuille "calcul")</t>
  </si>
  <si>
    <t>Possibilité d'utiliser des coefficients de répartition pour les Ovins viande et les caprins en plus des BV pour d'autres ateliers herbivores que les BL.</t>
  </si>
  <si>
    <t>Possibilité de mettre la date de début de campagne : "Saisie"</t>
  </si>
  <si>
    <t>Correction de diverses petites erreurs de calcul concernant les autres produits non affectables et les achats d'animaux BV et les clés d'affectations</t>
  </si>
  <si>
    <t>Correction d'une erreur de formule cellule B45 de la feuille "Edition 2"</t>
  </si>
  <si>
    <t xml:space="preserve">Possibilité dans la feuille "simulation" d'indiquer une variation du volume de lait vendu et/ou des UMO. </t>
  </si>
  <si>
    <r>
      <t xml:space="preserve">Calcul dans la feuille "édition 2" et "simulation" d'un prix du lait théorique </t>
    </r>
    <r>
      <rPr>
        <b/>
        <sz val="9"/>
        <color indexed="10"/>
        <rFont val="Arial"/>
        <family val="2"/>
      </rPr>
      <t>(qui reste à baptiser)</t>
    </r>
    <r>
      <rPr>
        <b/>
        <sz val="9"/>
        <rFont val="Arial"/>
        <family val="2"/>
      </rPr>
      <t xml:space="preserve"> permettant d'atteindre un revenu disponible d'un équivalent de "N" SMIC par UMO exploitant.</t>
    </r>
  </si>
  <si>
    <t>La dénomination SMIC brut devient SMIC qui est calculé avec le SMIC net + le coeff multiplicateur de la feuille paramètre.</t>
  </si>
  <si>
    <t>Les achats d'animaux ne sont plus en charge mais en produit négatif.</t>
  </si>
  <si>
    <t>Tirage automatique du jeu de paramètres (feuille "paramètres") en fonction de l'année de la campagne.</t>
  </si>
  <si>
    <r>
      <t xml:space="preserve">Dans cette nouvelle version </t>
    </r>
    <r>
      <rPr>
        <sz val="9"/>
        <rFont val="Arial"/>
        <family val="2"/>
      </rPr>
      <t>(encore en attente de validation par le groupe inter-filières "Coûts de production" de l'Institut de l'Elevage)</t>
    </r>
    <r>
      <rPr>
        <b/>
        <sz val="9"/>
        <rFont val="Arial"/>
        <family val="2"/>
      </rPr>
      <t xml:space="preserve">, </t>
    </r>
    <r>
      <rPr>
        <b/>
        <sz val="9"/>
        <color indexed="10"/>
        <rFont val="Arial"/>
        <family val="2"/>
      </rPr>
      <t>la rémunération du travail des exploitants est désormais calculée sur la base du SMIC brut et on ne tient donc plus compte de la MSA payée qu'à titre d'information</t>
    </r>
    <r>
      <rPr>
        <b/>
        <sz val="9"/>
        <rFont val="Arial"/>
        <family val="2"/>
      </rPr>
      <t xml:space="preserve"> (cf feuilles "</t>
    </r>
    <r>
      <rPr>
        <b/>
        <sz val="9"/>
        <color indexed="48"/>
        <rFont val="Arial"/>
        <family val="2"/>
      </rPr>
      <t>Edition 1</t>
    </r>
    <r>
      <rPr>
        <b/>
        <sz val="9"/>
        <rFont val="Arial"/>
        <family val="2"/>
      </rPr>
      <t>", "</t>
    </r>
    <r>
      <rPr>
        <b/>
        <sz val="9"/>
        <color indexed="48"/>
        <rFont val="Arial"/>
        <family val="2"/>
      </rPr>
      <t>Edition 2</t>
    </r>
    <r>
      <rPr>
        <b/>
        <sz val="9"/>
        <rFont val="Arial"/>
        <family val="2"/>
      </rPr>
      <t>" et "</t>
    </r>
    <r>
      <rPr>
        <b/>
        <sz val="9"/>
        <color indexed="48"/>
        <rFont val="Arial"/>
        <family val="2"/>
      </rPr>
      <t>Simulation</t>
    </r>
    <r>
      <rPr>
        <b/>
        <sz val="9"/>
        <rFont val="Arial"/>
        <family val="2"/>
      </rPr>
      <t xml:space="preserve">"). Le SMIC Brut s'obtient en multipliant la valeur du SMIC net par un coefficient fixé par convention à 1.30 (cf feuille "Paramètres").Dans cette nouvelle version </t>
    </r>
    <r>
      <rPr>
        <sz val="9"/>
        <rFont val="Arial"/>
        <family val="2"/>
      </rPr>
      <t>(encore en attente de validation par le groupe inter-filières "Coûts de production" de l'Institut de l'Elevage)</t>
    </r>
    <r>
      <rPr>
        <b/>
        <sz val="9"/>
        <rFont val="Arial"/>
        <family val="2"/>
      </rPr>
      <t xml:space="preserve">, </t>
    </r>
    <r>
      <rPr>
        <b/>
        <sz val="9"/>
        <color indexed="10"/>
        <rFont val="Arial"/>
        <family val="2"/>
      </rPr>
      <t>la rémunération du travail des exploitants est désormais calculée sur la base du SMIC brut et on ne tient donc plus compte de la MSA payée qu'à titre d'information</t>
    </r>
    <r>
      <rPr>
        <b/>
        <sz val="9"/>
        <rFont val="Arial"/>
        <family val="2"/>
      </rPr>
      <t xml:space="preserve"> (cf feuilles "</t>
    </r>
    <r>
      <rPr>
        <b/>
        <sz val="9"/>
        <color indexed="48"/>
        <rFont val="Arial"/>
        <family val="2"/>
      </rPr>
      <t>Edition 1</t>
    </r>
    <r>
      <rPr>
        <b/>
        <sz val="9"/>
        <rFont val="Arial"/>
        <family val="2"/>
      </rPr>
      <t>", "</t>
    </r>
    <r>
      <rPr>
        <b/>
        <sz val="9"/>
        <color indexed="48"/>
        <rFont val="Arial"/>
        <family val="2"/>
      </rPr>
      <t>Edition 2</t>
    </r>
    <r>
      <rPr>
        <b/>
        <sz val="9"/>
        <rFont val="Arial"/>
        <family val="2"/>
      </rPr>
      <t>" et "</t>
    </r>
    <r>
      <rPr>
        <b/>
        <sz val="9"/>
        <color indexed="48"/>
        <rFont val="Arial"/>
        <family val="2"/>
      </rPr>
      <t>Simulation</t>
    </r>
    <r>
      <rPr>
        <b/>
        <sz val="9"/>
        <rFont val="Arial"/>
        <family val="2"/>
      </rPr>
      <t>"). Le SMIC Brut s'obtient en multipliant la valeur du SMIC net par un coefficient fixé par convention à 1.30 (cf feuille "Paramètres").</t>
    </r>
  </si>
  <si>
    <r>
      <t>Feuille "</t>
    </r>
    <r>
      <rPr>
        <b/>
        <sz val="9"/>
        <color indexed="48"/>
        <rFont val="Arial"/>
        <family val="2"/>
      </rPr>
      <t>Calcul</t>
    </r>
    <r>
      <rPr>
        <b/>
        <sz val="9"/>
        <rFont val="Arial"/>
        <family val="2"/>
      </rPr>
      <t>" : Correction d'une erreur dans la répartition des achats de fourrages.Feuille "</t>
    </r>
    <r>
      <rPr>
        <b/>
        <sz val="9"/>
        <color indexed="48"/>
        <rFont val="Arial"/>
        <family val="2"/>
      </rPr>
      <t>Calcul</t>
    </r>
    <r>
      <rPr>
        <b/>
        <sz val="9"/>
        <rFont val="Arial"/>
        <family val="2"/>
      </rPr>
      <t>" : Correction d'une erreur dans la répartition des achats de fourrages.</t>
    </r>
  </si>
  <si>
    <r>
      <t>Feuille "</t>
    </r>
    <r>
      <rPr>
        <b/>
        <sz val="9"/>
        <color indexed="48"/>
        <rFont val="Arial"/>
        <family val="2"/>
      </rPr>
      <t>Saisie</t>
    </r>
    <r>
      <rPr>
        <b/>
        <sz val="9"/>
        <rFont val="Arial"/>
        <family val="2"/>
      </rPr>
      <t>" : Structure inchangée, mais suppression de la possibilité de répartir les travaux par tiers et regroupement de tous les travaux par tiers en cellule C76.Feuille "</t>
    </r>
    <r>
      <rPr>
        <b/>
        <sz val="9"/>
        <color indexed="48"/>
        <rFont val="Arial"/>
        <family val="2"/>
      </rPr>
      <t>Saisie</t>
    </r>
    <r>
      <rPr>
        <b/>
        <sz val="9"/>
        <rFont val="Arial"/>
        <family val="2"/>
      </rPr>
      <t>" : Structure inchangée, mais suppression de la possibilité de répartir les travaux par tiers et regroupement de tous les travaux par tiers en cellule C76.</t>
    </r>
  </si>
  <si>
    <r>
      <t>Dédoublement de la feuille "Edition"</t>
    </r>
    <r>
      <rPr>
        <b/>
        <sz val="9"/>
        <rFont val="Arial"/>
        <family val="2"/>
      </rPr>
      <t xml:space="preserve"> en une </t>
    </r>
    <r>
      <rPr>
        <b/>
        <sz val="9"/>
        <color indexed="10"/>
        <rFont val="Arial"/>
        <family val="2"/>
      </rPr>
      <t>feuille "</t>
    </r>
    <r>
      <rPr>
        <b/>
        <sz val="9"/>
        <color indexed="48"/>
        <rFont val="Arial"/>
        <family val="2"/>
      </rPr>
      <t>Edition 1</t>
    </r>
    <r>
      <rPr>
        <b/>
        <sz val="9"/>
        <color indexed="10"/>
        <rFont val="Arial"/>
        <family val="2"/>
      </rPr>
      <t>"</t>
    </r>
    <r>
      <rPr>
        <b/>
        <sz val="9"/>
        <rFont val="Arial"/>
        <family val="2"/>
      </rPr>
      <t xml:space="preserve"> simplifiée (avec histogramme charges et produits) et une </t>
    </r>
    <r>
      <rPr>
        <b/>
        <sz val="9"/>
        <color indexed="10"/>
        <rFont val="Arial"/>
        <family val="2"/>
      </rPr>
      <t>feuille "</t>
    </r>
    <r>
      <rPr>
        <b/>
        <sz val="9"/>
        <color indexed="48"/>
        <rFont val="Arial"/>
        <family val="2"/>
      </rPr>
      <t>Edition 2</t>
    </r>
    <r>
      <rPr>
        <b/>
        <sz val="9"/>
        <color indexed="10"/>
        <rFont val="Arial"/>
        <family val="2"/>
      </rPr>
      <t>"</t>
    </r>
    <r>
      <rPr>
        <b/>
        <sz val="9"/>
        <rFont val="Arial"/>
        <family val="2"/>
      </rPr>
      <t xml:space="preserve"> plus complexe (avec abaque prix de revient et développements jusqu'au disponible exploitation)Dédoublement de la feuille "Edition" en une </t>
    </r>
    <r>
      <rPr>
        <b/>
        <sz val="9"/>
        <color indexed="10"/>
        <rFont val="Arial"/>
        <family val="2"/>
      </rPr>
      <t>feuille "</t>
    </r>
    <r>
      <rPr>
        <b/>
        <sz val="9"/>
        <color indexed="48"/>
        <rFont val="Arial"/>
        <family val="2"/>
      </rPr>
      <t>Edition 1</t>
    </r>
    <r>
      <rPr>
        <b/>
        <sz val="9"/>
        <color indexed="10"/>
        <rFont val="Arial"/>
        <family val="2"/>
      </rPr>
      <t>"</t>
    </r>
    <r>
      <rPr>
        <b/>
        <sz val="9"/>
        <rFont val="Arial"/>
        <family val="2"/>
      </rPr>
      <t xml:space="preserve"> simplifiée (avec histogramme charges et produits) et une </t>
    </r>
    <r>
      <rPr>
        <b/>
        <sz val="9"/>
        <color indexed="10"/>
        <rFont val="Arial"/>
        <family val="2"/>
      </rPr>
      <t>feuille "</t>
    </r>
    <r>
      <rPr>
        <b/>
        <sz val="9"/>
        <color indexed="48"/>
        <rFont val="Arial"/>
        <family val="2"/>
      </rPr>
      <t>Edition 2</t>
    </r>
    <r>
      <rPr>
        <b/>
        <sz val="9"/>
        <color indexed="10"/>
        <rFont val="Arial"/>
        <family val="2"/>
      </rPr>
      <t>"</t>
    </r>
    <r>
      <rPr>
        <b/>
        <sz val="9"/>
        <rFont val="Arial"/>
        <family val="2"/>
      </rPr>
      <t xml:space="preserve"> plus complexe (avec abaque prix de revient et développements jusqu'au disponible exploitation)</t>
    </r>
  </si>
  <si>
    <r>
      <t>Feuilles "</t>
    </r>
    <r>
      <rPr>
        <b/>
        <sz val="9"/>
        <color indexed="48"/>
        <rFont val="Arial"/>
        <family val="2"/>
      </rPr>
      <t>Edition 1</t>
    </r>
    <r>
      <rPr>
        <b/>
        <sz val="9"/>
        <rFont val="Arial"/>
        <family val="2"/>
      </rPr>
      <t>" et "</t>
    </r>
    <r>
      <rPr>
        <b/>
        <sz val="9"/>
        <color indexed="48"/>
        <rFont val="Arial"/>
        <family val="2"/>
      </rPr>
      <t>Edition 2</t>
    </r>
    <r>
      <rPr>
        <b/>
        <sz val="9"/>
        <rFont val="Arial"/>
        <family val="2"/>
      </rPr>
      <t xml:space="preserve">" : affichage du </t>
    </r>
    <r>
      <rPr>
        <b/>
        <sz val="9"/>
        <color indexed="10"/>
        <rFont val="Arial"/>
        <family val="2"/>
      </rPr>
      <t xml:space="preserve">prix de revient hors aides découplées et aides du 2eme pilier, </t>
    </r>
    <r>
      <rPr>
        <b/>
        <sz val="9"/>
        <rFont val="Arial"/>
        <family val="2"/>
      </rPr>
      <t>avec possibilité de consulter</t>
    </r>
    <r>
      <rPr>
        <sz val="9"/>
        <color indexed="60"/>
        <rFont val="Arial"/>
        <family val="2"/>
      </rPr>
      <t xml:space="preserve"> </t>
    </r>
    <r>
      <rPr>
        <b/>
        <sz val="9"/>
        <color indexed="60"/>
        <rFont val="Arial"/>
        <family val="2"/>
      </rPr>
      <t>(1)</t>
    </r>
    <r>
      <rPr>
        <b/>
        <sz val="9"/>
        <rFont val="Arial"/>
        <family val="2"/>
      </rPr>
      <t xml:space="preserve"> un prix de revient avec aides découplées et 2eme pilier réparties au pro-rata des ha utilisés par les différents ateliers et</t>
    </r>
    <r>
      <rPr>
        <b/>
        <sz val="9"/>
        <color indexed="60"/>
        <rFont val="Arial"/>
        <family val="2"/>
      </rPr>
      <t xml:space="preserve"> (2)</t>
    </r>
    <r>
      <rPr>
        <b/>
        <sz val="9"/>
        <rFont val="Arial"/>
        <family val="2"/>
      </rPr>
      <t xml:space="preserve"> un prix de revient avec aides découplées et 2eme pilier réparties au pro-rata des UMO utilisées par les différents ateliers.Feuilles "</t>
    </r>
    <r>
      <rPr>
        <b/>
        <sz val="9"/>
        <color indexed="48"/>
        <rFont val="Arial"/>
        <family val="2"/>
      </rPr>
      <t>Edition 1</t>
    </r>
    <r>
      <rPr>
        <b/>
        <sz val="9"/>
        <rFont val="Arial"/>
        <family val="2"/>
      </rPr>
      <t>" et "</t>
    </r>
    <r>
      <rPr>
        <b/>
        <sz val="9"/>
        <color indexed="48"/>
        <rFont val="Arial"/>
        <family val="2"/>
      </rPr>
      <t>Edition 2</t>
    </r>
    <r>
      <rPr>
        <b/>
        <sz val="9"/>
        <rFont val="Arial"/>
        <family val="2"/>
      </rPr>
      <t xml:space="preserve">" : affichage du </t>
    </r>
    <r>
      <rPr>
        <b/>
        <sz val="9"/>
        <color indexed="10"/>
        <rFont val="Arial"/>
        <family val="2"/>
      </rPr>
      <t xml:space="preserve">prix de revient hors aides découplées et aides du 2eme pilier, </t>
    </r>
    <r>
      <rPr>
        <b/>
        <sz val="9"/>
        <rFont val="Arial"/>
        <family val="2"/>
      </rPr>
      <t>avec possibilité de consulter</t>
    </r>
    <r>
      <rPr>
        <sz val="9"/>
        <color indexed="60"/>
        <rFont val="Arial"/>
        <family val="2"/>
      </rPr>
      <t xml:space="preserve"> </t>
    </r>
    <r>
      <rPr>
        <b/>
        <sz val="9"/>
        <color indexed="60"/>
        <rFont val="Arial"/>
        <family val="2"/>
      </rPr>
      <t>(1)</t>
    </r>
    <r>
      <rPr>
        <b/>
        <sz val="9"/>
        <rFont val="Arial"/>
        <family val="2"/>
      </rPr>
      <t xml:space="preserve"> un prix de revient avec aides découplées et 2eme pilier réparties au pro-rata des ha utilisés par les différents ateliers et</t>
    </r>
    <r>
      <rPr>
        <b/>
        <sz val="9"/>
        <color indexed="60"/>
        <rFont val="Arial"/>
        <family val="2"/>
      </rPr>
      <t xml:space="preserve"> (2)</t>
    </r>
    <r>
      <rPr>
        <b/>
        <sz val="9"/>
        <rFont val="Arial"/>
        <family val="2"/>
      </rPr>
      <t xml:space="preserve"> un prix de revient avec aides découplées et 2eme pilier réparties au pro-rata des UMO utilisées par les différents ateliers.</t>
    </r>
  </si>
  <si>
    <r>
      <t>Feuille "</t>
    </r>
    <r>
      <rPr>
        <b/>
        <sz val="9"/>
        <color indexed="48"/>
        <rFont val="Arial"/>
        <family val="2"/>
      </rPr>
      <t>Edition 2</t>
    </r>
    <r>
      <rPr>
        <b/>
        <sz val="9"/>
        <rFont val="Arial"/>
        <family val="2"/>
      </rPr>
      <t xml:space="preserve">" : </t>
    </r>
    <r>
      <rPr>
        <b/>
        <sz val="9"/>
        <color indexed="10"/>
        <rFont val="Arial"/>
        <family val="2"/>
      </rPr>
      <t>Affichage d'un KIT DE CALCUL du prix de revient</t>
    </r>
    <r>
      <rPr>
        <b/>
        <sz val="9"/>
        <rFont val="Arial"/>
        <family val="2"/>
      </rPr>
      <t xml:space="preserve">, comprenant 4 paramètres : </t>
    </r>
    <r>
      <rPr>
        <b/>
        <sz val="9"/>
        <color indexed="10"/>
        <rFont val="Arial"/>
        <family val="2"/>
      </rPr>
      <t xml:space="preserve">(1) </t>
    </r>
    <r>
      <rPr>
        <b/>
        <sz val="9"/>
        <rFont val="Arial"/>
        <family val="2"/>
      </rPr>
      <t>le p</t>
    </r>
    <r>
      <rPr>
        <b/>
        <u/>
        <sz val="9"/>
        <rFont val="Arial"/>
        <family val="2"/>
      </rPr>
      <t>rix de revient pour 0 SMIC hors aides découplées et aides du 2ème pilier</t>
    </r>
    <r>
      <rPr>
        <b/>
        <sz val="9"/>
        <rFont val="Arial"/>
        <family val="2"/>
      </rPr>
      <t xml:space="preserve">, </t>
    </r>
    <r>
      <rPr>
        <b/>
        <sz val="9"/>
        <color indexed="10"/>
        <rFont val="Arial"/>
        <family val="2"/>
      </rPr>
      <t xml:space="preserve">(2) </t>
    </r>
    <r>
      <rPr>
        <b/>
        <sz val="9"/>
        <rFont val="Arial"/>
        <family val="2"/>
      </rPr>
      <t xml:space="preserve">le montant d'aides découplées et 2eme pilier à déduire </t>
    </r>
    <r>
      <rPr>
        <b/>
        <u/>
        <sz val="9"/>
        <rFont val="Arial"/>
        <family val="2"/>
      </rPr>
      <t>avec une répartition de ces aides sur la base des ha de SAU</t>
    </r>
    <r>
      <rPr>
        <b/>
        <sz val="9"/>
        <rFont val="Arial"/>
        <family val="2"/>
      </rPr>
      <t xml:space="preserve">, </t>
    </r>
    <r>
      <rPr>
        <b/>
        <sz val="9"/>
        <color indexed="10"/>
        <rFont val="Arial"/>
        <family val="2"/>
      </rPr>
      <t>(3)</t>
    </r>
    <r>
      <rPr>
        <b/>
        <sz val="9"/>
        <rFont val="Arial"/>
        <family val="2"/>
      </rPr>
      <t xml:space="preserve">  le montant d'aides découplées et 2eme pilier à déduire a</t>
    </r>
    <r>
      <rPr>
        <b/>
        <u/>
        <sz val="9"/>
        <rFont val="Arial"/>
        <family val="2"/>
      </rPr>
      <t>vec une répartition de ces aides sur la base de la MO</t>
    </r>
    <r>
      <rPr>
        <b/>
        <sz val="9"/>
        <rFont val="Arial"/>
        <family val="2"/>
      </rPr>
      <t xml:space="preserve">, et </t>
    </r>
    <r>
      <rPr>
        <b/>
        <sz val="9"/>
        <color indexed="10"/>
        <rFont val="Arial"/>
        <family val="2"/>
      </rPr>
      <t>(4)</t>
    </r>
    <r>
      <rPr>
        <b/>
        <sz val="9"/>
        <rFont val="Arial"/>
        <family val="2"/>
      </rPr>
      <t xml:space="preserve"> le </t>
    </r>
    <r>
      <rPr>
        <b/>
        <u/>
        <sz val="9"/>
        <rFont val="Arial"/>
        <family val="2"/>
      </rPr>
      <t>montant à rajouter par tranche de 1 SMIC</t>
    </r>
    <r>
      <rPr>
        <b/>
        <sz val="9"/>
        <rFont val="Arial"/>
        <family val="2"/>
      </rPr>
      <t xml:space="preserve"> pour la rémunération du travail des exploitants. Avec ces 4 paramètres on peut calculer le prix de revient pour différents niveaux de rémunération et selon différents modes de répartition des aides découplées et du 2° pilier.Feuille "</t>
    </r>
    <r>
      <rPr>
        <b/>
        <sz val="9"/>
        <color indexed="48"/>
        <rFont val="Arial"/>
        <family val="2"/>
      </rPr>
      <t>Edition 2</t>
    </r>
    <r>
      <rPr>
        <b/>
        <sz val="9"/>
        <rFont val="Arial"/>
        <family val="2"/>
      </rPr>
      <t xml:space="preserve">" : </t>
    </r>
    <r>
      <rPr>
        <b/>
        <sz val="9"/>
        <color indexed="10"/>
        <rFont val="Arial"/>
        <family val="2"/>
      </rPr>
      <t>Affichage d'un KIT DE CALCUL du prix de revient</t>
    </r>
    <r>
      <rPr>
        <b/>
        <sz val="9"/>
        <rFont val="Arial"/>
        <family val="2"/>
      </rPr>
      <t xml:space="preserve">, comprenant 4 paramètres : </t>
    </r>
    <r>
      <rPr>
        <b/>
        <sz val="9"/>
        <color indexed="10"/>
        <rFont val="Arial"/>
        <family val="2"/>
      </rPr>
      <t xml:space="preserve">(1) </t>
    </r>
    <r>
      <rPr>
        <b/>
        <sz val="9"/>
        <rFont val="Arial"/>
        <family val="2"/>
      </rPr>
      <t>le p</t>
    </r>
    <r>
      <rPr>
        <b/>
        <u/>
        <sz val="9"/>
        <rFont val="Arial"/>
        <family val="2"/>
      </rPr>
      <t>rix de revient pour 0 SMIC hors aides découplées et aides du 2ème pilier</t>
    </r>
    <r>
      <rPr>
        <b/>
        <sz val="9"/>
        <rFont val="Arial"/>
        <family val="2"/>
      </rPr>
      <t xml:space="preserve">, </t>
    </r>
    <r>
      <rPr>
        <b/>
        <sz val="9"/>
        <color indexed="10"/>
        <rFont val="Arial"/>
        <family val="2"/>
      </rPr>
      <t xml:space="preserve">(2) </t>
    </r>
    <r>
      <rPr>
        <b/>
        <sz val="9"/>
        <rFont val="Arial"/>
        <family val="2"/>
      </rPr>
      <t xml:space="preserve">le montant d'aides découplées et 2eme pilier à déduire </t>
    </r>
    <r>
      <rPr>
        <b/>
        <u/>
        <sz val="9"/>
        <rFont val="Arial"/>
        <family val="2"/>
      </rPr>
      <t>avec une répartition de ces aides sur la base des ha de SAU</t>
    </r>
    <r>
      <rPr>
        <b/>
        <sz val="9"/>
        <rFont val="Arial"/>
        <family val="2"/>
      </rPr>
      <t xml:space="preserve">, </t>
    </r>
    <r>
      <rPr>
        <b/>
        <sz val="9"/>
        <color indexed="10"/>
        <rFont val="Arial"/>
        <family val="2"/>
      </rPr>
      <t>(3)</t>
    </r>
    <r>
      <rPr>
        <b/>
        <sz val="9"/>
        <rFont val="Arial"/>
        <family val="2"/>
      </rPr>
      <t xml:space="preserve">  le montant d'aides découplées et 2eme pilier à déduire a</t>
    </r>
    <r>
      <rPr>
        <b/>
        <u/>
        <sz val="9"/>
        <rFont val="Arial"/>
        <family val="2"/>
      </rPr>
      <t>vec une répartition de ces aides sur la base de la MO</t>
    </r>
    <r>
      <rPr>
        <b/>
        <sz val="9"/>
        <rFont val="Arial"/>
        <family val="2"/>
      </rPr>
      <t xml:space="preserve">, et </t>
    </r>
    <r>
      <rPr>
        <b/>
        <sz val="9"/>
        <color indexed="10"/>
        <rFont val="Arial"/>
        <family val="2"/>
      </rPr>
      <t>(4)</t>
    </r>
    <r>
      <rPr>
        <b/>
        <sz val="9"/>
        <rFont val="Arial"/>
        <family val="2"/>
      </rPr>
      <t xml:space="preserve"> le </t>
    </r>
    <r>
      <rPr>
        <b/>
        <u/>
        <sz val="9"/>
        <rFont val="Arial"/>
        <family val="2"/>
      </rPr>
      <t>montant à rajouter par tranche de 1 SMIC</t>
    </r>
    <r>
      <rPr>
        <b/>
        <sz val="9"/>
        <rFont val="Arial"/>
        <family val="2"/>
      </rPr>
      <t xml:space="preserve"> pour la rémunération du travail des exploitants. Avec ces 4 paramètres on peut calculer le prix de revient pour différents niveaux de rémunération et selon différents modes de répartition des aides découplées et du 2° pilier.</t>
    </r>
  </si>
  <si>
    <t>Feuille "Edition 2" : ajout d'un calcul de disponible sans aides découplées et 2ème pilier.</t>
  </si>
  <si>
    <r>
      <t xml:space="preserve">Feuille </t>
    </r>
    <r>
      <rPr>
        <b/>
        <sz val="9"/>
        <color indexed="48"/>
        <rFont val="Arial"/>
        <family val="2"/>
      </rPr>
      <t>"Capitalisation"</t>
    </r>
    <r>
      <rPr>
        <b/>
        <sz val="9"/>
        <rFont val="Arial"/>
        <family val="2"/>
      </rPr>
      <t xml:space="preserve"> : </t>
    </r>
    <r>
      <rPr>
        <b/>
        <sz val="9"/>
        <color indexed="10"/>
        <rFont val="Arial"/>
        <family val="2"/>
      </rPr>
      <t>Attention ! la structure de cette feuille a été totalement modifiée.</t>
    </r>
    <r>
      <rPr>
        <b/>
        <sz val="9"/>
        <rFont val="Arial"/>
        <family val="2"/>
      </rPr>
      <t xml:space="preserve"> La colonne D de cette feuille compile automatiquement </t>
    </r>
    <r>
      <rPr>
        <b/>
        <sz val="9"/>
        <color indexed="10"/>
        <rFont val="Arial"/>
        <family val="2"/>
      </rPr>
      <t>(1)</t>
    </r>
    <r>
      <rPr>
        <b/>
        <sz val="9"/>
        <rFont val="Arial"/>
        <family val="2"/>
      </rPr>
      <t xml:space="preserve"> les données de la feuille saisie, </t>
    </r>
    <r>
      <rPr>
        <b/>
        <sz val="9"/>
        <color indexed="10"/>
        <rFont val="Arial"/>
        <family val="2"/>
      </rPr>
      <t xml:space="preserve">(2) </t>
    </r>
    <r>
      <rPr>
        <b/>
        <sz val="9"/>
        <rFont val="Arial"/>
        <family val="2"/>
      </rPr>
      <t xml:space="preserve">les données calculées par l'outil et </t>
    </r>
    <r>
      <rPr>
        <b/>
        <sz val="9"/>
        <color indexed="10"/>
        <rFont val="Arial"/>
        <family val="2"/>
      </rPr>
      <t>(3)</t>
    </r>
    <r>
      <rPr>
        <b/>
        <sz val="9"/>
        <rFont val="Arial"/>
        <family val="2"/>
      </rPr>
      <t xml:space="preserve"> les données nécessaires pour alimenter la feuille "référentiel". Vous devez toujours  faire un copier/collage spécial/valeur de cette colonne D vers une autre colonne libre avant de passer à un autre élevage. Des noms de variables ont été introduits pour faciliter les traitements de groupe.Feuille </t>
    </r>
    <r>
      <rPr>
        <b/>
        <sz val="9"/>
        <color indexed="48"/>
        <rFont val="Arial"/>
        <family val="2"/>
      </rPr>
      <t>"Capitalisation"</t>
    </r>
    <r>
      <rPr>
        <b/>
        <sz val="9"/>
        <rFont val="Arial"/>
        <family val="2"/>
      </rPr>
      <t xml:space="preserve"> : </t>
    </r>
    <r>
      <rPr>
        <b/>
        <sz val="9"/>
        <color indexed="10"/>
        <rFont val="Arial"/>
        <family val="2"/>
      </rPr>
      <t>Attention ! la structure de cette feuille a été totalement modifiée.</t>
    </r>
    <r>
      <rPr>
        <b/>
        <sz val="9"/>
        <rFont val="Arial"/>
        <family val="2"/>
      </rPr>
      <t xml:space="preserve"> La colonne D de cette feuille compile automatiquement </t>
    </r>
    <r>
      <rPr>
        <b/>
        <sz val="9"/>
        <color indexed="10"/>
        <rFont val="Arial"/>
        <family val="2"/>
      </rPr>
      <t>(1)</t>
    </r>
    <r>
      <rPr>
        <b/>
        <sz val="9"/>
        <rFont val="Arial"/>
        <family val="2"/>
      </rPr>
      <t xml:space="preserve"> les données de la feuille saisie, </t>
    </r>
    <r>
      <rPr>
        <b/>
        <sz val="9"/>
        <color indexed="10"/>
        <rFont val="Arial"/>
        <family val="2"/>
      </rPr>
      <t xml:space="preserve">(2) </t>
    </r>
    <r>
      <rPr>
        <b/>
        <sz val="9"/>
        <rFont val="Arial"/>
        <family val="2"/>
      </rPr>
      <t xml:space="preserve">les données calculées par l'outil et </t>
    </r>
    <r>
      <rPr>
        <b/>
        <sz val="9"/>
        <color indexed="10"/>
        <rFont val="Arial"/>
        <family val="2"/>
      </rPr>
      <t>(3)</t>
    </r>
    <r>
      <rPr>
        <b/>
        <sz val="9"/>
        <rFont val="Arial"/>
        <family val="2"/>
      </rPr>
      <t xml:space="preserve"> les données nécessaires pour alimenter la feuille "référentiel". Vous devez toujours  faire un copier/collage spécial/valeur de cette colonne D vers une autre colonne libre avant de passer à un autre élevage. Des noms de variables ont été introduits pour faciliter les traitements de groupe.</t>
    </r>
  </si>
  <si>
    <r>
      <t>Feuille "</t>
    </r>
    <r>
      <rPr>
        <b/>
        <sz val="9"/>
        <color indexed="48"/>
        <rFont val="Arial"/>
        <family val="2"/>
      </rPr>
      <t>Référentiel</t>
    </r>
    <r>
      <rPr>
        <b/>
        <sz val="9"/>
        <rFont val="Arial"/>
        <family val="2"/>
      </rPr>
      <t xml:space="preserve">" : </t>
    </r>
    <r>
      <rPr>
        <b/>
        <sz val="9"/>
        <color indexed="10"/>
        <rFont val="Arial"/>
        <family val="2"/>
      </rPr>
      <t>Attention ! la structure des données a été modifiée. Pour réalimenter votre feuille référentiel, vous devez retraiter les données de vos cas-types avec cette nouvelle version de COUPROD, puis récupérer les données stockées dans la zone verte de colonne D de la feuille "Capitalisation"</t>
    </r>
    <r>
      <rPr>
        <b/>
        <sz val="9"/>
        <rFont val="Arial"/>
        <family val="2"/>
      </rPr>
      <t>, et en faire un copier/collage spécial/valeur dans la feuille "Référentiel"Feuille "</t>
    </r>
    <r>
      <rPr>
        <b/>
        <sz val="9"/>
        <color indexed="48"/>
        <rFont val="Arial"/>
        <family val="2"/>
      </rPr>
      <t>Référentiel</t>
    </r>
    <r>
      <rPr>
        <b/>
        <sz val="9"/>
        <rFont val="Arial"/>
        <family val="2"/>
      </rPr>
      <t xml:space="preserve">" : </t>
    </r>
    <r>
      <rPr>
        <b/>
        <sz val="9"/>
        <color indexed="10"/>
        <rFont val="Arial"/>
        <family val="2"/>
      </rPr>
      <t>Attention ! la structure des données a été modifiée. Pour réalimenter votre feuille référentiel, vous devez retraiter les données de vos cas-types avec cette nouvelle version de COUPROD, puis récupérer les données stockées dans la zone verte de colonne D de la feuille "Capitalisation"</t>
    </r>
    <r>
      <rPr>
        <b/>
        <sz val="9"/>
        <rFont val="Arial"/>
        <family val="2"/>
      </rPr>
      <t>, et en faire un copier/collage spécial/valeur dans la feuille "Référentiel"</t>
    </r>
  </si>
  <si>
    <t>Version n-1</t>
  </si>
  <si>
    <t>Nouvelle feuille "capitalisation" : cette feuille permet de stocker sous une forme facilement copiable les données de la colonne saisie + édition. Possibilité de stocker autant de cas que souhaité en reprenant le vecteur d'extraction et en le collant "collage spécial valeurs" dans une colonne de droite.</t>
  </si>
  <si>
    <t>La répartition des DPU a été bloquée sur clé unique correspondant au pro-rata des ha de SAU utilisés par chaque atelier.</t>
  </si>
  <si>
    <t xml:space="preserve">Application d'un nouveau jeu de clés de répartition des charges de structure issus du traitement  statistique de la base de données Diapason pour 2007 et 2008 (Thierry CHARROIN et Marion FERRAND). Ces nouvelles clés ont été valisées par le groupe inter-filière "Coûts de production" de l'Institut de l'Elevage. </t>
  </si>
  <si>
    <t xml:space="preserve">La sélection (en entête de la feuille "Saisie") du type d'atelier BL, BV et CGU provoque la sélection automatique des clés de répartitions des charges dans la feuille "Calcul". </t>
  </si>
  <si>
    <t>Changement de la valeur du plancher MSA (2650 au lieu de 2250 précédemment).</t>
  </si>
  <si>
    <t>Feuille "Saisie" : Possibilité d'imposer la répartition des UMO entre ateliers (cf zone C114:C119 de la feuille "Saisie").</t>
  </si>
  <si>
    <t>Feuille "Simulation" : Correction d'une erreur de formule pour le calcul du prix de revient de la simulation. Reprise de la même MSA par UMOexpl que situation initiale.</t>
  </si>
  <si>
    <t>Mode d'emploi</t>
  </si>
  <si>
    <t>AVERTISSEMENT :</t>
  </si>
  <si>
    <r>
      <t xml:space="preserve">Cet utilitaire a été élaboré pour faciliter l'appropriation de la méthode de calcul du coût de production développée par l'Institut de l'Elevage en lien avec les Chambres d'agriculture dans le cadre des Réseaux d'élevage, et la diffusion des clés de répartition des charges établies à partir des données du dispositif. Il a vocation à être diffusé à l'occasion des formations organisées par les animateurs régionaux et nationaux du dispositif Réseaux d'élevage. </t>
    </r>
    <r>
      <rPr>
        <b/>
        <sz val="10"/>
        <color indexed="16"/>
        <rFont val="Arial"/>
        <family val="2"/>
      </rPr>
      <t>Merci de vous adresser à la personne qui vous a remis cet outil pour toute question relative à son utilisation.</t>
    </r>
  </si>
  <si>
    <t>Onglet</t>
  </si>
  <si>
    <t>Objet</t>
  </si>
  <si>
    <t>Remarque</t>
  </si>
  <si>
    <t>Nouveau</t>
  </si>
  <si>
    <t>Fonction informative</t>
  </si>
  <si>
    <t>Aide à la Saisie</t>
  </si>
  <si>
    <r>
      <t xml:space="preserve">Cette feuille sert de vecteur d'importation des données nécessaires aux calculs. Comme pour la feuille "Saisie", elle doit être remplie dans le respect des indications données au regard de chaque variable (voir aussi les précisions figurant dans la feuille "Regroupements"). </t>
    </r>
    <r>
      <rPr>
        <b/>
        <sz val="9"/>
        <rFont val="Arial"/>
        <family val="2"/>
      </rPr>
      <t>Les cases en jaune foncé doivent être obligatoirement renseignée</t>
    </r>
    <r>
      <rPr>
        <sz val="9"/>
        <rFont val="Arial"/>
        <family val="2"/>
      </rPr>
      <t xml:space="preserve">s (celles en jaune clair sont facultatives. 
Saisir le sinformations retrouvées dans le grand livre de façon détaillée dans les cellules bleues vous permets de suivre plus finement vos enregistrements. Les totaux se font automatiquement dans la colonne B, colonne à copier/coller dans l'onglet saisie.Cette feuille sert de vecteur d'importation des données nécessaires aux calculs. Comme pour la feuille "Saisie", elle doit être remplie dans le respect des indications données au regard de chaque variable (voir aussi les précisions figurant dans la feuille "Regroupements"). </t>
    </r>
    <r>
      <rPr>
        <b/>
        <sz val="9"/>
        <rFont val="Arial"/>
        <family val="2"/>
      </rPr>
      <t>Les cases en jaune foncé doivent être obligatoirement renseignée</t>
    </r>
    <r>
      <rPr>
        <sz val="9"/>
        <rFont val="Arial"/>
        <family val="2"/>
      </rPr>
      <t>s (celles en jaune clair sont facultatives. 
Saisir le sinformations retrouvées dans le grand livre de façon détaillée dans les cellules bleues vous permets de suivre plus finement vos enregistrements. Les totaux se font automatiquement dans la colonne B, colonne à copier/coller dans l'onglet saisie.</t>
    </r>
  </si>
  <si>
    <t>Vecteur d'introduction des données de l'exploitation.</t>
  </si>
  <si>
    <t>Saisie</t>
  </si>
  <si>
    <r>
      <t xml:space="preserve">Cette feuille sert de vecteur d'importation des données nécessaires aux calculs. Elle doit être remplie dans le respect des indications données au regard de chaque variable (voir aussi les précisions figurant dans la feuille "Regroupements"). </t>
    </r>
    <r>
      <rPr>
        <b/>
        <sz val="9"/>
        <rFont val="Arial"/>
        <family val="2"/>
      </rPr>
      <t>Les cases en jaune foncé doivent être obligatoirement renseignée</t>
    </r>
    <r>
      <rPr>
        <sz val="9"/>
        <rFont val="Arial"/>
        <family val="2"/>
      </rPr>
      <t xml:space="preserve">s (celles en jaune clair sont facultatives et permettent d'affiner les calculs de répartition des charges entre ateliers et types de surfaces).Cette feuille sert de vecteur d'importation des données nécessaires aux calculs. Elle doit être remplie dans le respect des indications données au regard de chaque variable (voir aussi les précisions figurant dans la feuille "Regroupements"). </t>
    </r>
    <r>
      <rPr>
        <b/>
        <sz val="9"/>
        <rFont val="Arial"/>
        <family val="2"/>
      </rPr>
      <t>Les cases en jaune foncé doivent être obligatoirement renseignée</t>
    </r>
    <r>
      <rPr>
        <sz val="9"/>
        <rFont val="Arial"/>
        <family val="2"/>
      </rPr>
      <t>s (celles en jaune clair sont facultatives et permettent d'affiner les calculs de répartition des charges entre ateliers et types de surfaces).</t>
    </r>
  </si>
  <si>
    <t>Attention : dans le cas d'une exploitation laitière ayant un atelier hors-sol, ou des cultures pérennes et spéciales, ou des activités non strictement agricoles (tourisme, activité d'entreprise de travaux agricoles, ...) vous devez retirer des montants saisis tout ce qui se rapporte à ces activités.</t>
  </si>
  <si>
    <t>Citères Techniques</t>
  </si>
  <si>
    <r>
      <t xml:space="preserve">Liste de critères techniques à saisir, ou calculés directement. Ces critères peuvent alors être analysés, en relation avec les postes de charges associés. Cela facilitera le diagnostic et le plan d'action.
</t>
    </r>
    <r>
      <rPr>
        <sz val="9"/>
        <color indexed="16"/>
        <rFont val="Arial"/>
        <family val="2"/>
      </rPr>
      <t>Attention : ces critères ne sont pas obligatoires pour le calcul des coûts de production. Ils permettent une meilleure compréhension des résultats, et seront très appréciés pour une analyse de groupeListe de critères techniques à saisir, ou calculés directement. Ces critères peuvent alors être analysés, en relation avec les postes de charges associés. Cela facilitera le diagnostic et le plan d'action.
Attention : ces critères ne sont pas obligatoires pour le calcul des coûts de production. Ils permettent une meilleure compréhension des résultats, et seront très appréciés pour une analyse de groupe</t>
    </r>
  </si>
  <si>
    <t>Vecteur d'introduction de données techniques de l'exploitation.</t>
  </si>
  <si>
    <t>Calcul</t>
  </si>
  <si>
    <r>
      <t xml:space="preserve">C'est dans cette feuille que les charges et les produits sont répartis entre atelier principal (bovins lait), autres ateliers herbivores et atelier "cultures de vente".  </t>
    </r>
    <r>
      <rPr>
        <sz val="9"/>
        <color indexed="60"/>
        <rFont val="Arial"/>
        <family val="2"/>
      </rPr>
      <t>Attention : vous trouverez au bas du tableau le résultat d'une reconstitution de l'EBE de l'exploitation (hors activités exclues - cf ci-dessus). Cette information est purement informative. Elle vous permet de vérifier que tous les produits et toutes les charges ont bien été prises en compte dans la saisie.C'est dans cette feuille que les charges et les produits sont répartis entre atelier principal (bovins lait), autres ateliers herbivores et atelier "cultures de vente".  Attention : vous trouverez au bas du tableau le résultat d'une reconstitution de l'EBE de l'exploitation (hors activités exclues - cf ci-dessus). Cette information est purement informative. Elle vous permet de vérifier que tous les produits et toutes les charges ont bien été prises en compte dans la saisie.</t>
    </r>
  </si>
  <si>
    <t>Cœur de calcul, avec menus déroulants pour la sélection des clés de répartition des postes non affectés.</t>
  </si>
  <si>
    <t>Edition Eleveur</t>
  </si>
  <si>
    <r>
      <t xml:space="preserve">Cette feuille restitue sous une </t>
    </r>
    <r>
      <rPr>
        <sz val="9"/>
        <color indexed="60"/>
        <rFont val="Arial"/>
        <family val="2"/>
      </rPr>
      <t xml:space="preserve">forme allégée </t>
    </r>
    <r>
      <rPr>
        <sz val="9"/>
        <rFont val="Arial"/>
        <family val="2"/>
      </rPr>
      <t xml:space="preserve">les résultats du calcul du coût de production et des produits de l'atelier sous la forme d'un tableau et d'un graphique. On peut y paramétrer l'affichage de valeurs de référence issues de la feuille "Référentiel" ainsi que le niveau de rémunération du travail souhaité par l'exploitant (en nb de SMIC brut / UMO).Cette feuille restitue sous une </t>
    </r>
    <r>
      <rPr>
        <sz val="9"/>
        <color indexed="60"/>
        <rFont val="Arial"/>
        <family val="2"/>
      </rPr>
      <t xml:space="preserve">forme allégée </t>
    </r>
    <r>
      <rPr>
        <sz val="9"/>
        <rFont val="Arial"/>
        <family val="2"/>
      </rPr>
      <t>les résultats du calcul du coût de production et des produits de l'atelier sous la forme d'un tableau et d'un graphique. On peut y paramétrer l'affichage de valeurs de référence issues de la feuille "Référentiel" ainsi que le niveau de rémunération du travail souhaité par l'exploitant (en nb de SMIC brut / UMO).</t>
    </r>
  </si>
  <si>
    <t>Remise des résultats, avec possibilité de paramétrage par l'utilisateur.</t>
  </si>
  <si>
    <t>Edition Vente Directe - Transfo</t>
  </si>
  <si>
    <r>
      <t xml:space="preserve">Cette feuille restitue sous une </t>
    </r>
    <r>
      <rPr>
        <sz val="9"/>
        <color indexed="16"/>
        <rFont val="Arial"/>
        <family val="2"/>
      </rPr>
      <t>forme allégée</t>
    </r>
    <r>
      <rPr>
        <sz val="9"/>
        <rFont val="Arial"/>
        <family val="2"/>
      </rPr>
      <t xml:space="preserve"> la marge brute d'un atelier Transformation/Vente Directe si les informations relatives à cet atelier ont été clairement identifiées sur l'onglet "Saisie" Cette feuille restitue sous une </t>
    </r>
    <r>
      <rPr>
        <sz val="9"/>
        <color indexed="16"/>
        <rFont val="Arial"/>
        <family val="2"/>
      </rPr>
      <t>forme allégée</t>
    </r>
    <r>
      <rPr>
        <sz val="9"/>
        <rFont val="Arial"/>
        <family val="2"/>
      </rPr>
      <t xml:space="preserve"> la marge brute d'un atelier Transformation/Vente Directe si les informations relatives à cet atelier ont été clairement identifiées sur l'onglet "Saisie" </t>
    </r>
  </si>
  <si>
    <t>Remise des résultats.</t>
  </si>
  <si>
    <t>Edition Compléments</t>
  </si>
  <si>
    <r>
      <t xml:space="preserve">Cette feuille restitue sous une </t>
    </r>
    <r>
      <rPr>
        <sz val="9"/>
        <color indexed="60"/>
        <rFont val="Arial"/>
        <family val="2"/>
      </rPr>
      <t>forme détaillée</t>
    </r>
    <r>
      <rPr>
        <sz val="9"/>
        <rFont val="Arial"/>
        <family val="2"/>
      </rPr>
      <t xml:space="preserve"> les résultats du calcul du coût de production et des produits de l'atelier sous la forme d'un tableau et d'un graphique. On peut y paramétrer l'affichage de valeurs de référence issues de la feuille "Référentiel" ainsi que le niveau de rémunération du travail souhaité par l'exploitant (en nb de SMIC brut / UMO).Cette feuille restitue sous une </t>
    </r>
    <r>
      <rPr>
        <sz val="9"/>
        <color indexed="60"/>
        <rFont val="Arial"/>
        <family val="2"/>
      </rPr>
      <t>forme détaillée</t>
    </r>
    <r>
      <rPr>
        <sz val="9"/>
        <rFont val="Arial"/>
        <family val="2"/>
      </rPr>
      <t xml:space="preserve"> les résultats du calcul du coût de production et des produits de l'atelier sous la forme d'un tableau et d'un graphique. On peut y paramétrer l'affichage de valeurs de référence issues de la feuille "Référentiel" ainsi que le niveau de rémunération du travail souhaité par l'exploitant (en nb de SMIC brut / UMO).</t>
    </r>
  </si>
  <si>
    <t>Actualisation / Simulation</t>
  </si>
  <si>
    <t>Cette feuille permet d'appliquer à chaque poste de coût de production des indices d'évolution (en prix et en volume) et d'éditer les résultats de la simulation obtenue sous une forme identique aux feuilles "Edition". Cela permet de faire preuve de réactivité par rapport à la conjoncture plus récente et évaluer l'incidence des choix que pourrait faire les éleveurs, avant de saisir à nouveau une comptabilité</t>
  </si>
  <si>
    <t>Remise des résultats issus d'une simulation d'évolution des différents postes</t>
  </si>
  <si>
    <t>Référentiel</t>
  </si>
  <si>
    <t>Cette feuille permet de stocker des résultats issus de cas-types ou de groupes de référence, ce qui permet de les mobiliser au regard des résultats de l'exploitation étudiée dans les feuilles "Edition 1" et "Edition 2". On peut l'alimenter par copier/collage spécial/valeurs à partir de la zone verte située au bas de la feuille "Capitalisation".</t>
  </si>
  <si>
    <t>Stockage des données destinées à être utilisées comme référence</t>
  </si>
  <si>
    <t>Capitalisation</t>
  </si>
  <si>
    <r>
      <t xml:space="preserve">Cette feuille compile les données de l'exploitation traitée, pour un traitement "EXCEL" ultérieur ou, si l'exploitation traitée est un cas-type, pour alimenter la feuille "référentiel". La colonne D reprend les données de la ferme en cours de calcul (celles introduites dans la feuille "Saisie" + celles calculées) ; </t>
    </r>
    <r>
      <rPr>
        <b/>
        <sz val="9"/>
        <color indexed="10"/>
        <rFont val="Arial"/>
        <family val="2"/>
      </rPr>
      <t>ATTENTION</t>
    </r>
    <r>
      <rPr>
        <sz val="9"/>
        <color indexed="60"/>
        <rFont val="Arial"/>
        <family val="2"/>
      </rPr>
      <t xml:space="preserve"> :</t>
    </r>
    <r>
      <rPr>
        <sz val="9"/>
        <rFont val="Arial"/>
        <family val="2"/>
      </rPr>
      <t xml:space="preserve"> pour les conserver avant de taiter une autre exploitation, il faut faire un copier / collage spécial / valeurs de la colonne D dans une des colonnes vides à droite. Les 2 cellules "cas type ou système" et "description"  sont à remplir selon une typologie régionale ou personnelle pour permettre des traitements/regroupements entre exploitations semblables. Cette feuille compile les données de l'exploitation traitée, pour un traitement "EXCEL" ultérieur ou, si l'exploitation traitée est un cas-type, pour alimenter la feuille "référentiel". La colonne D reprend les données de la ferme en cours de calcul (celles introduites dans la feuille "Saisie" + celles calculées) ; </t>
    </r>
    <r>
      <rPr>
        <b/>
        <sz val="9"/>
        <color indexed="10"/>
        <rFont val="Arial"/>
        <family val="2"/>
      </rPr>
      <t>ATTENTION</t>
    </r>
    <r>
      <rPr>
        <sz val="9"/>
        <color indexed="60"/>
        <rFont val="Arial"/>
        <family val="2"/>
      </rPr>
      <t xml:space="preserve"> :</t>
    </r>
    <r>
      <rPr>
        <sz val="9"/>
        <rFont val="Arial"/>
        <family val="2"/>
      </rPr>
      <t xml:space="preserve"> pour les conserver avant de taiter une autre exploitation, il faut faire un copier / collage spécial / valeurs de la colonne D dans une des colonnes vides à droite. Les 2 cellules "cas type ou système" et "description"  sont à remplir selon une typologie régionale ou personnelle pour permettre des traitements/regroupements entre exploitations semblables. </t>
    </r>
  </si>
  <si>
    <t>Exportation des données des exploitations traitées avec l'outil</t>
  </si>
  <si>
    <t>Pour récupérer les données nécessaires à l'alimentation de la feuille "référentiel", il suffit de copier la zone verte située au bas de la colonne D et d'en faire un collage spécial/valeur dans la feuille "Référentiel".</t>
  </si>
  <si>
    <t>Clés</t>
  </si>
  <si>
    <t>Cette feuille regroupe les clés utilisables pour la répartition des charges non affectées. Un jeu de clés prédéfinies est proposé au niveau national par l'Institut de l'Elevage et ces clés nationales sont sélectionénes par défaut dans l'onglet "Calcul". Il est possible d'ajouter des jeux de clés plus adaptées aux situations traitées en les ajoutant à la suite du tableau.</t>
  </si>
  <si>
    <t>Fonction informative, avec possibilité de paramétrage par l'utilisateur</t>
  </si>
  <si>
    <t>Regroupements</t>
  </si>
  <si>
    <t>Cette feuille présente la définition des regroupements de charges et de produits par grands postes utilisée pour le cacul du coût de production et du prix de revient.</t>
  </si>
  <si>
    <t>Notes méthodo</t>
  </si>
  <si>
    <r>
      <t xml:space="preserve">Cette feuille est destinée à rassembler totues les précisions méthodologiques utiles sur la façon dont se font les calculs. </t>
    </r>
    <r>
      <rPr>
        <sz val="9"/>
        <color indexed="60"/>
        <rFont val="Arial"/>
        <family val="2"/>
      </rPr>
      <t>Elle est encore en chantier …</t>
    </r>
  </si>
  <si>
    <t>Paramètres</t>
  </si>
  <si>
    <r>
      <t xml:space="preserve">Cette feuille regroupe la date de version de l'outil ainsi que certains paramètres-clés utilisés dans les calculs (valeur du SMIC, taux d'intérêt pour le capital propre, …).  </t>
    </r>
    <r>
      <rPr>
        <b/>
        <sz val="9"/>
        <rFont val="Arial"/>
        <family val="2"/>
      </rPr>
      <t>ATTENTION : Selon la campagne que vous traitez, vous devez modifier certaines de ces valeurs de référence !!!</t>
    </r>
  </si>
  <si>
    <t>Fonction informative avec paramétrage des valeurs de références selon l'année considérée.</t>
  </si>
  <si>
    <t>Fiche d'aide à la saisie - 
Transfert du Grand livre vers l'outil Cout Prod</t>
  </si>
  <si>
    <t>Version de l'outil</t>
  </si>
  <si>
    <r>
      <t xml:space="preserve">Mode d'emploi : </t>
    </r>
    <r>
      <rPr>
        <b/>
        <u/>
        <sz val="9"/>
        <rFont val="Arial"/>
        <family val="2"/>
      </rPr>
      <t xml:space="preserve"> </t>
    </r>
    <r>
      <rPr>
        <u/>
        <sz val="9"/>
        <rFont val="Arial"/>
        <family val="2"/>
      </rPr>
      <t>A partir du Grand Livre :</t>
    </r>
    <r>
      <rPr>
        <sz val="9"/>
        <rFont val="Arial"/>
        <family val="2"/>
      </rPr>
      <t xml:space="preserve"> 
- Saisir dans les cases bleues les montants de chaque compte que vous affectez aux  postes définis ci-dessous. Vous pouvez ainsi garder trace de vos affectations.
- Le total en ligne se fait automatiquement dans les cellules jaunes foncées
- Une fois l'ensemble des cellules jaunes complétées, recopier la colone C (à partir de la cellule C13) dans l'onglet Saisie : Copier / Collage spéciale "valeur"
</t>
    </r>
    <r>
      <rPr>
        <b/>
        <sz val="9"/>
        <rFont val="Arial"/>
        <family val="2"/>
      </rPr>
      <t xml:space="preserve">Attention :
</t>
    </r>
    <r>
      <rPr>
        <sz val="9"/>
        <rFont val="Arial"/>
        <family val="2"/>
      </rPr>
      <t>Seules les lignes aux cases bleues sont sommées.
Certaines cellules en jaunes foncées ou jaunes claires ("si connue, sinon vide") ne sont donc pas renseignées automatiquement. 
Vous pouvez  saisir directement les informations sur cette feuille Excel ou l'imprimer au format A3 (2 pages)</t>
    </r>
  </si>
  <si>
    <t>Cette feuille sert à introduire les données nécessaires aux calculs.</t>
  </si>
  <si>
    <r>
      <t>Les cases jaune foncé doivent obligatoirement être renseignées</t>
    </r>
    <r>
      <rPr>
        <sz val="10"/>
        <color indexed="16"/>
        <rFont val="Arial"/>
        <family val="2"/>
      </rPr>
      <t>.</t>
    </r>
  </si>
  <si>
    <t>Vérification de l'EBE</t>
  </si>
  <si>
    <t>Rémunération des associés à ne pas prendre en compte</t>
  </si>
  <si>
    <t>Libellé</t>
  </si>
  <si>
    <t>Unité</t>
  </si>
  <si>
    <t>N° de Compte</t>
  </si>
  <si>
    <t>Nom de l'exploitation</t>
  </si>
  <si>
    <t>earl de bel épis</t>
  </si>
  <si>
    <t>Libellé qui apparaît dans la feuille "Edition"</t>
  </si>
  <si>
    <t>Numéro Exploitation</t>
  </si>
  <si>
    <t>Campagne</t>
  </si>
  <si>
    <t>Année</t>
  </si>
  <si>
    <t>ex : 2011</t>
  </si>
  <si>
    <t>Date de clôture d'exercice</t>
  </si>
  <si>
    <t>JJ/MM/AA</t>
  </si>
  <si>
    <t>Lait livré à la laiterie</t>
  </si>
  <si>
    <t>x 1000 lit</t>
  </si>
  <si>
    <r>
      <t xml:space="preserve">Lait vendu laiterie </t>
    </r>
    <r>
      <rPr>
        <sz val="8"/>
        <color indexed="10"/>
        <rFont val="Arial"/>
        <family val="2"/>
      </rPr>
      <t>[ S'il y a du lait cédé à un autre atelier le rajouter en cellule C132 à C133 ; s'il y a transformation, le déclarer en zone C110 à C117 ]</t>
    </r>
  </si>
  <si>
    <t>Prix moyen du lait vendu</t>
  </si>
  <si>
    <t>€ / 1000 lit</t>
  </si>
  <si>
    <t>Dans les zones bleues, saisir les montants totaux en €</t>
  </si>
  <si>
    <t>70222100;7260</t>
  </si>
  <si>
    <t>UMO Exploitant</t>
  </si>
  <si>
    <t>Sans les UMO bénévoles</t>
  </si>
  <si>
    <t>UMO salarié</t>
  </si>
  <si>
    <t>UGB bovins lait</t>
  </si>
  <si>
    <t>ugb</t>
  </si>
  <si>
    <t>Autres UGB</t>
  </si>
  <si>
    <t>Surface Agricole utile</t>
  </si>
  <si>
    <t>ha</t>
  </si>
  <si>
    <t>hors parcours et estive</t>
  </si>
  <si>
    <t>dont SAU en propriété</t>
  </si>
  <si>
    <t>Surface en herbe</t>
  </si>
  <si>
    <t>dont SH utilisé par le troupeau BL</t>
  </si>
  <si>
    <t>Si pas connue, la calculer au prorata des UGB</t>
  </si>
  <si>
    <t>dont SH utilisé par le troupeau AH</t>
  </si>
  <si>
    <t>Doit être = à CF-CFBL; AH= autres herbivores</t>
  </si>
  <si>
    <t>Surface en cultures fourragères</t>
  </si>
  <si>
    <t>dont CF utilisé par troupeau le BL</t>
  </si>
  <si>
    <t>dont CF utilisé par le troupeau AH</t>
  </si>
  <si>
    <t>Doit être = à CF-CFBL</t>
  </si>
  <si>
    <t>Surface en cultures de vente</t>
  </si>
  <si>
    <t>Surface en SCOP CV + gel</t>
  </si>
  <si>
    <t>dont CV utilisé par le troupeau BL</t>
  </si>
  <si>
    <t>dont CV utilisé par les autres troupeaux</t>
  </si>
  <si>
    <t>Produit viande ventes atelier BL</t>
  </si>
  <si>
    <t>€</t>
  </si>
  <si>
    <t>Vente ou autoconsommation de génisses laitières et de vaches (réformes comprises), vente de veaux de 8 jours et cession éventuelle de veaux de 8 jours à un atelier viande au prix de vente habituel, le tout ajusté des variations d'inventaires mais hors achat d'animaux (à indiquer en C71)</t>
  </si>
  <si>
    <t>704 ; 712 ; 713 ;  703 ; 726</t>
  </si>
  <si>
    <t>Produit viande ventes atelier AH</t>
  </si>
  <si>
    <r>
      <t>Hors achats d'animaux (</t>
    </r>
    <r>
      <rPr>
        <sz val="8"/>
        <color indexed="10"/>
        <rFont val="Arial"/>
        <family val="2"/>
      </rPr>
      <t>à indiquer en C70</t>
    </r>
    <r>
      <rPr>
        <sz val="8"/>
        <rFont val="Arial"/>
        <family val="2"/>
      </rPr>
      <t>)Hors achats d'animaux (</t>
    </r>
    <r>
      <rPr>
        <sz val="8"/>
        <color indexed="10"/>
        <rFont val="Arial"/>
        <family val="2"/>
      </rPr>
      <t>à indiquer en C70</t>
    </r>
    <r>
      <rPr>
        <sz val="8"/>
        <rFont val="Arial"/>
        <family val="2"/>
      </rPr>
      <t>)Hors achats d'animaux (</t>
    </r>
    <r>
      <rPr>
        <sz val="8"/>
        <color indexed="10"/>
        <rFont val="Arial"/>
        <family val="2"/>
      </rPr>
      <t>à indiquer en C70</t>
    </r>
    <r>
      <rPr>
        <sz val="8"/>
        <rFont val="Arial"/>
        <family val="2"/>
      </rPr>
      <t>)</t>
    </r>
  </si>
  <si>
    <t>704 ; 712 ; 713 ; 703 ; 726</t>
  </si>
  <si>
    <t>Produit ventes des surf. fourragères</t>
  </si>
  <si>
    <t>Vente fourrages et variation stock fourrager (si choix d'integrer la valeur de la variation de stocks des fourrages)</t>
  </si>
  <si>
    <t>7137 ; 701 ; 706</t>
  </si>
  <si>
    <t>Produit ventes des cultures de vente</t>
  </si>
  <si>
    <t xml:space="preserve">Ventes réelles, hors cession </t>
  </si>
  <si>
    <t>701 ; 7137</t>
  </si>
  <si>
    <t>Autres produits affectable à l'atelier BL</t>
  </si>
  <si>
    <t>autre que viande et lait cédé à un autre atelier</t>
  </si>
  <si>
    <t>7454;742;743;754</t>
  </si>
  <si>
    <t>Autres produits non affectables</t>
  </si>
  <si>
    <r>
      <t>Par exemple les produits financiers (</t>
    </r>
    <r>
      <rPr>
        <sz val="8"/>
        <color indexed="10"/>
        <rFont val="Arial"/>
        <family val="2"/>
      </rPr>
      <t>indiquer également ces produits financiers en C 108)</t>
    </r>
    <r>
      <rPr>
        <sz val="8"/>
        <rFont val="Arial"/>
        <family val="2"/>
      </rPr>
      <t>…Par exemple les produits financiers (</t>
    </r>
    <r>
      <rPr>
        <sz val="8"/>
        <color indexed="10"/>
        <rFont val="Arial"/>
        <family val="2"/>
      </rPr>
      <t>indiquer également ces produits financiers en C 108)</t>
    </r>
    <r>
      <rPr>
        <sz val="8"/>
        <rFont val="Arial"/>
        <family val="2"/>
      </rPr>
      <t>…</t>
    </r>
  </si>
  <si>
    <t>705 ; 708 ; 742 ; 743 ; 745 ; 753 ; 754; 76</t>
  </si>
  <si>
    <t>Aides couplées SCOP fourrages</t>
  </si>
  <si>
    <t>Aides nettes de modulation</t>
  </si>
  <si>
    <t>Aides couplées SCOP cultures</t>
  </si>
  <si>
    <t>Aides couplées cheptel laitier</t>
  </si>
  <si>
    <t>Aides nettes de modulation (PAB VL, …)</t>
  </si>
  <si>
    <t>Aides couplées autres herbivores</t>
  </si>
  <si>
    <t xml:space="preserve">Aides découplées DPU </t>
  </si>
  <si>
    <t>DPU nettes + remboursement de la franchise</t>
  </si>
  <si>
    <t>PHAE</t>
  </si>
  <si>
    <t>Autres aides affectables aux animaux</t>
  </si>
  <si>
    <t>ex: ICHN, aides conjoncturelles…</t>
  </si>
  <si>
    <t>Autres aides affectables aux surfaces</t>
  </si>
  <si>
    <t>Concentrés et minéraux achetés</t>
  </si>
  <si>
    <t>Total ateliers herbivores et hors céréales intra-consommées</t>
  </si>
  <si>
    <t>6014 ; 60314</t>
  </si>
  <si>
    <t>dont pour l'atelier BL</t>
  </si>
  <si>
    <t>Achats de fourrages</t>
  </si>
  <si>
    <t>Total ateliers herbivores + frais de mise en pension</t>
  </si>
  <si>
    <t>6014 ; 6241 ; 6054 ; 628</t>
  </si>
  <si>
    <t>si connu (sinon vide)</t>
  </si>
  <si>
    <t>Engrais et amendements</t>
  </si>
  <si>
    <t>6011 ; 60311 ; 713411</t>
  </si>
  <si>
    <t>dont pour la surface en herbe</t>
  </si>
  <si>
    <t>dont pour les cultures fourragères</t>
  </si>
  <si>
    <t>Semences</t>
  </si>
  <si>
    <t>6012 ; 60312 ; 713412</t>
  </si>
  <si>
    <t>Autres charges végétales</t>
  </si>
  <si>
    <t>Phytos, assurances végétales, taxes végétales, frais d'irrigation, fournitures pour végétaux.</t>
  </si>
  <si>
    <t>6013 ; 60313 ; 713413 ;  6027 ; 60327 ; 6341 ; 6021 ; 6063 ; 6065 ; 616 ; 6068 ; 628</t>
  </si>
  <si>
    <t xml:space="preserve">Frais véto </t>
  </si>
  <si>
    <t>honoraires et produits</t>
  </si>
  <si>
    <t>6015 ;  60315 ;  6225 ; 6054</t>
  </si>
  <si>
    <t>dont atelier BL</t>
  </si>
  <si>
    <t>Autres frais d'élevage</t>
  </si>
  <si>
    <t>contrôle de performance, frais de reproduction, frais divers d'élevage, achat de litière, location d'animaux, assurance pour les animaux, taxes animales, frais de transformation, frais de commercialisation, pénalités, travaux par tiers animaux.</t>
  </si>
  <si>
    <r>
      <t>60149 ; 6016 ; 60316 ; 6022 : 60322 ; 6054 ; 622 ; 6284 6342 ; 6344 ; 616 ;</t>
    </r>
    <r>
      <rPr>
        <sz val="8"/>
        <color indexed="54"/>
        <rFont val="Arial"/>
        <family val="2"/>
      </rPr>
      <t xml:space="preserve"> 6019 ; 60319 ; 6027 ; 60327 ; 6241</t>
    </r>
  </si>
  <si>
    <t>Dont achat de litière pour les BL</t>
  </si>
  <si>
    <t>si connu (sinon vide) Extraire de C68 la partie litière pour BL en €</t>
  </si>
  <si>
    <t xml:space="preserve">Achats d'animaux </t>
  </si>
  <si>
    <t>Montant des achats d'animaux</t>
  </si>
  <si>
    <t>6041 ; 6042 ; 6045</t>
  </si>
  <si>
    <t>dont Achats d'animaux atelier BL</t>
  </si>
  <si>
    <t>Montant des achats d'animaux pour l'atelier BL</t>
  </si>
  <si>
    <t>Travaux par tiers affectables</t>
  </si>
  <si>
    <t>Dt Travaux par tiers surfaces en herbe</t>
  </si>
  <si>
    <t>Dt Travaux par tiers cultures fourragères</t>
  </si>
  <si>
    <t>Travaux par tiers non affectables</t>
  </si>
  <si>
    <t>Si tous les travaux par tiers sont mis ici il seront distribués par les clés.</t>
  </si>
  <si>
    <t>6051 ;</t>
  </si>
  <si>
    <t>Carburants et lubrifiants</t>
  </si>
  <si>
    <t xml:space="preserve">6021 ;  60321 ; 6064 ; </t>
  </si>
  <si>
    <t>Entretien du matériel</t>
  </si>
  <si>
    <t>6155 ; 6132 ; 742</t>
  </si>
  <si>
    <t>Achat petit matériel</t>
  </si>
  <si>
    <t>6023 ; 6026 ; 6066 ;</t>
  </si>
  <si>
    <t>Credit bail</t>
  </si>
  <si>
    <t>Eau</t>
  </si>
  <si>
    <t>Electricité et gaz</t>
  </si>
  <si>
    <t>gaz, électricité, combustible servant au chauffage ou à la production d'énergie</t>
  </si>
  <si>
    <t>6062 ; 6063 ; 6018</t>
  </si>
  <si>
    <t>Entretien du bâtiment</t>
  </si>
  <si>
    <t>Si location de bâtiment ou installation (tank par ex) l'ajouter ici.</t>
  </si>
  <si>
    <t>6153 ; 6155 ; 6026 ; 742 ; 6131 ; 6132</t>
  </si>
  <si>
    <t>Frais divers de gestion</t>
  </si>
  <si>
    <t>Frais de gestion, fourniture et frais divers (cotisation, abonnements, PTT, téléphone, …), assurances, impôts et taxes, transports et déplacements, services bancaires.</t>
  </si>
  <si>
    <t>615 ; 616 ; 617 ; 618 ;  619 ; 622 ; 624 ; 625 ; 626 ; 627; 628 ; 629 ; 6024 ; 6025 ; 6068 ; 63 ; 658</t>
  </si>
  <si>
    <t>Fermage (frais réels) + divers foncier</t>
  </si>
  <si>
    <r>
      <t>Fermages annuels + entretien du foncier + locations précaires +amortissements des améliorations foncières</t>
    </r>
    <r>
      <rPr>
        <sz val="8"/>
        <color indexed="10"/>
        <rFont val="Arial"/>
        <family val="2"/>
      </rPr>
      <t xml:space="preserve">  (à renseigner aussi en cellule C107)Fermages annuels + entretien du foncier + locations précaires +amortissements des améliorations foncières  (à renseigner aussi en cellule C107)</t>
    </r>
  </si>
  <si>
    <t>6131 ; 6132 ; 6141 ; 6151 ; 6152 ; 6026 ; 6051 ; 6056 ;  6811</t>
  </si>
  <si>
    <t>Salaires et charges salariales</t>
  </si>
  <si>
    <t>Salaires et charges sociales associées aux salaires</t>
  </si>
  <si>
    <t>621 ; 631 ; 633 ; 641 ; 645 ; 647 ; 648</t>
  </si>
  <si>
    <t>Frais financiers</t>
  </si>
  <si>
    <t>Intérêts des emprunts et frais financiers divers (dont court-terme), hors frais financier des emprunts fonciers.</t>
  </si>
  <si>
    <t>6612 ; 6613 ; 6614 ; 6615 ; 6616 ; 6617 ; 6618 ; 668</t>
  </si>
  <si>
    <t>Frais financiers des emprunts fonciers</t>
  </si>
  <si>
    <t>Amortissements du matériel</t>
  </si>
  <si>
    <t xml:space="preserve">Amortissements comptables </t>
  </si>
  <si>
    <t>681 ; 2815</t>
  </si>
  <si>
    <t>Amortissements bâtiments &amp; installations</t>
  </si>
  <si>
    <t>681 ; 2813 ; 2814 ; 2815</t>
  </si>
  <si>
    <t>Fermage moyen d'opportunité</t>
  </si>
  <si>
    <t>€ / ha</t>
  </si>
  <si>
    <t>Prix moyen du fermage par ha de l'exploitation (ou prix moyen dans la région)</t>
  </si>
  <si>
    <t>MSA exploitants</t>
  </si>
  <si>
    <t>Utilisée pour reconstituer l'EBE et le disponible de l'atelier et de l'exploitation.</t>
  </si>
  <si>
    <t xml:space="preserve">646 ; 455 </t>
  </si>
  <si>
    <t>Capitaux propres</t>
  </si>
  <si>
    <t>Actif du bilan moins emprunts et dettes. Si les comptes associés sont identifiés, ils participent au capital propre.</t>
  </si>
  <si>
    <t>Impôts fonciers</t>
  </si>
  <si>
    <t>Non pris en compte; sert à reconstituer l'EBE</t>
  </si>
  <si>
    <t>Données complémentaires concernant les surfaces de cultures intra-consommées par l'atelier BL</t>
  </si>
  <si>
    <t>Engrais</t>
  </si>
  <si>
    <t>se substitue aux calculs automatiques si renseigné</t>
  </si>
  <si>
    <t>Travaux par tiers</t>
  </si>
  <si>
    <t>Données complémentaires économiques</t>
  </si>
  <si>
    <t>EBE</t>
  </si>
  <si>
    <t>pour vérifier que toutes les charges et produits ont bien été prises en compte. Noter qu'il s'agit d'un EBE hors activités exclues (hors-sol, cultures pérennes &amp; spéciales, activités non strictement agricoles comme le tourisme à la ferme, ...).</t>
  </si>
  <si>
    <t xml:space="preserve">Remboursements annuel  de capitaux d'emprunts LTMT </t>
  </si>
  <si>
    <t>Les amortissements permettent de calculer le résultat courant; si on remplace ces amortissements par le capital d'emprunt annuel remboursé (=annuités-frais financiers). Ce coût de production sera alors plus proche de la trésorerie annuelle de l'exploitation.</t>
  </si>
  <si>
    <t>Amortissement améliorations foncières</t>
  </si>
  <si>
    <t>Produits financiers</t>
  </si>
  <si>
    <r>
      <t xml:space="preserve">Ateliers de transformation et/ou vente directe </t>
    </r>
    <r>
      <rPr>
        <b/>
        <sz val="8"/>
        <rFont val="Arial"/>
        <family val="2"/>
      </rPr>
      <t>[ Part des charges déjà saisies ci-dessus qui sont spécifiques à la VD ou transformation ]Ateliers de transformation et/ou vente directe [ Part des charges déjà saisies ci-dessus qui sont spécifiques à la VD ou transformation ]</t>
    </r>
  </si>
  <si>
    <t>Fromages vendus (Tonnes) ou vente directe (en 1000L)</t>
  </si>
  <si>
    <t>T</t>
  </si>
  <si>
    <t xml:space="preserve">Rendement fromager </t>
  </si>
  <si>
    <t>L/kg</t>
  </si>
  <si>
    <t>mettre 1 si la saisie C110 concerne du lait vente directe</t>
  </si>
  <si>
    <t>Montant des ventes directe et produits de la transformation.</t>
  </si>
  <si>
    <t>dont appros liés à la transformation et la vente directe.</t>
  </si>
  <si>
    <r>
      <t xml:space="preserve">Part des FEL correspondant à : Presure, sel, ferments, lessive, linges … </t>
    </r>
    <r>
      <rPr>
        <sz val="8"/>
        <color indexed="10"/>
        <rFont val="Arial"/>
        <family val="2"/>
      </rPr>
      <t>(nb : sans les déduire de la ligne 67)Part des FEL correspondant à : Presure, sel, ferments, lessive, linges … (nb : sans les déduire de la ligne 67)</t>
    </r>
  </si>
  <si>
    <t>60-61-62-6017</t>
  </si>
  <si>
    <t>dont frais d'analyses et de cotisations liées à la transformation (ISN, UNPSF…)</t>
  </si>
  <si>
    <r>
      <t xml:space="preserve">Part des FEL correspondant à : Analyses, plaques, cotisations… </t>
    </r>
    <r>
      <rPr>
        <sz val="8"/>
        <color indexed="10"/>
        <rFont val="Arial"/>
        <family val="2"/>
      </rPr>
      <t>(nb : sans les déduire de la ligne 67)Part des FEL correspondant à : Analyses, plaques, cotisations… (nb : sans les déduire de la ligne 67)</t>
    </r>
  </si>
  <si>
    <t>dont frais d'affinage et de commercialisation (hors main d'œuvre)</t>
  </si>
  <si>
    <r>
      <t xml:space="preserve">Part des FEL correspondant à : Frais spécifiques liés à la commercialisation et à l' affinage </t>
    </r>
    <r>
      <rPr>
        <sz val="8"/>
        <color indexed="10"/>
        <rFont val="Arial"/>
        <family val="2"/>
      </rPr>
      <t>(nb : sans les déduire de la ligne 67).</t>
    </r>
  </si>
  <si>
    <t>dont charges annexes de transformation et vente directe.</t>
  </si>
  <si>
    <r>
      <t xml:space="preserve">Part de Eau, EDF, et frais financiers liés à la transformation </t>
    </r>
    <r>
      <rPr>
        <sz val="8"/>
        <color indexed="10"/>
        <rFont val="Arial"/>
        <family val="2"/>
      </rPr>
      <t>(nb : sans les déduire des lignes globales correspondantes)</t>
    </r>
  </si>
  <si>
    <t>dont Salaires transformation et vente directe.</t>
  </si>
  <si>
    <r>
      <t>Part des salaires liés à la transformation et commercialisation (</t>
    </r>
    <r>
      <rPr>
        <sz val="8"/>
        <color indexed="10"/>
        <rFont val="Arial"/>
        <family val="2"/>
      </rPr>
      <t>nb : sans les déduire des lignes globales correspondantes)</t>
    </r>
  </si>
  <si>
    <t>dont amortissements transformation et vente directe.</t>
  </si>
  <si>
    <r>
      <t xml:space="preserve">Part des amortissements liés à la transformation et commercialisation </t>
    </r>
    <r>
      <rPr>
        <sz val="8"/>
        <color indexed="10"/>
        <rFont val="Arial"/>
        <family val="2"/>
      </rPr>
      <t>(nb : sans les déduire des lignes globales correspondantes)</t>
    </r>
  </si>
  <si>
    <t>Répartition optionnelle de la main d'œuvre</t>
  </si>
  <si>
    <t>UMO exploitant affectées à l'atelier BL</t>
  </si>
  <si>
    <t>% de la main d'œuvre affecté à l'atelier BL</t>
  </si>
  <si>
    <t>UMO salariées affectées à l'atelier BL</t>
  </si>
  <si>
    <t>UMO exploitant affectées aux autres ateliers herbivores</t>
  </si>
  <si>
    <t>% de la main d'œuvre affecté aux autres ateliers herbivores</t>
  </si>
  <si>
    <t>UMO salariées affectées aux autres ateliers herbivores</t>
  </si>
  <si>
    <t>UMO exploitant affectées à l'atelier CV</t>
  </si>
  <si>
    <r>
      <t xml:space="preserve">% de la main d'œuvre affecté à l'atelier </t>
    </r>
    <r>
      <rPr>
        <b/>
        <sz val="8"/>
        <rFont val="Arial"/>
        <family val="2"/>
      </rPr>
      <t>CV</t>
    </r>
  </si>
  <si>
    <t>UMO salariées affectées à l'atelier CV</t>
  </si>
  <si>
    <t>Répartition de la MO BL consacrée à la vente directe et/ou la transformation (atelier VDT)</t>
  </si>
  <si>
    <t>dont  UMO exploitant BL affectées à VDT</t>
  </si>
  <si>
    <t>dont  UMO salarié BL affectées à VDT</t>
  </si>
  <si>
    <t>Lait cédé à un autre atelier et Autoconsommation</t>
  </si>
  <si>
    <t>Litrage lait cédé à un autre atelier</t>
  </si>
  <si>
    <t>1000L</t>
  </si>
  <si>
    <t>Valorisation du lait cédé à un autre atelier</t>
  </si>
  <si>
    <t>€/1000L</t>
  </si>
  <si>
    <t>Litrage autoconsommé par la famille</t>
  </si>
  <si>
    <t>Valorisé dans la feuille "calcul" au prix moyen de vente</t>
  </si>
  <si>
    <t>Detail des produits transformés</t>
  </si>
  <si>
    <t>Fromages vendus en blanc</t>
  </si>
  <si>
    <t>Quantité de fromage vendu non affiné (T)</t>
  </si>
  <si>
    <t>Rendement (L/kg)</t>
  </si>
  <si>
    <t>Montant des ventes en €</t>
  </si>
  <si>
    <t>Fromages vendus affinés</t>
  </si>
  <si>
    <t>Pertes à l'affinage (% des kg)</t>
  </si>
  <si>
    <t>%</t>
  </si>
  <si>
    <t>Autres produits</t>
  </si>
  <si>
    <t>libellé</t>
  </si>
  <si>
    <t>Quantité vendue(T)</t>
  </si>
  <si>
    <t>Importation des données</t>
  </si>
  <si>
    <t>Définition du système d'exploitation</t>
  </si>
  <si>
    <t>Type atelier BL</t>
  </si>
  <si>
    <t>BLsys</t>
  </si>
  <si>
    <t>BL plaine</t>
  </si>
  <si>
    <t>Sélectionner votre type d'atelier BL</t>
  </si>
  <si>
    <t>Type autre atelier herbivore</t>
  </si>
  <si>
    <t>AHsys</t>
  </si>
  <si>
    <t>Sélectionner votre type d'autre atelier herbivore</t>
  </si>
  <si>
    <t>Plaine/Montagne</t>
  </si>
  <si>
    <t>GCUsys</t>
  </si>
  <si>
    <t>Plaine</t>
  </si>
  <si>
    <t>Sélectionner la zone (pour le maïs et les GCU)</t>
  </si>
  <si>
    <t>Variable</t>
  </si>
  <si>
    <t>EXP</t>
  </si>
  <si>
    <t>EARL BEL EPI</t>
  </si>
  <si>
    <t>CAMP</t>
  </si>
  <si>
    <t>année</t>
  </si>
  <si>
    <t>exemple : 2011</t>
  </si>
  <si>
    <t>Date de cloture d'exercice</t>
  </si>
  <si>
    <t>PML</t>
  </si>
  <si>
    <t>UMOns</t>
  </si>
  <si>
    <t>UMOs</t>
  </si>
  <si>
    <t>UGBBL</t>
  </si>
  <si>
    <t>UGBA</t>
  </si>
  <si>
    <t>SAU</t>
  </si>
  <si>
    <t>SPRO</t>
  </si>
  <si>
    <t>SH</t>
  </si>
  <si>
    <t>SHBL</t>
  </si>
  <si>
    <t>SHBV</t>
  </si>
  <si>
    <t>CF</t>
  </si>
  <si>
    <t>CFBL</t>
  </si>
  <si>
    <t>CFBV</t>
  </si>
  <si>
    <t>CV</t>
  </si>
  <si>
    <t>CVBL</t>
  </si>
  <si>
    <t>PVBL</t>
  </si>
  <si>
    <t>PVBV</t>
  </si>
  <si>
    <r>
      <t>Hors achats d'animaux</t>
    </r>
    <r>
      <rPr>
        <sz val="8"/>
        <color indexed="10"/>
        <rFont val="Arial"/>
        <family val="2"/>
      </rPr>
      <t xml:space="preserve"> (à indiquer en C70)Hors achats d'animaux (à indiquer en C70)Hors achats d'animaux (à indiquer en C70)</t>
    </r>
  </si>
  <si>
    <t>PVSF</t>
  </si>
  <si>
    <t>PCV</t>
  </si>
  <si>
    <t>Ventes réelles, sans compter l'autoconsommation</t>
  </si>
  <si>
    <t>PAUTBL</t>
  </si>
  <si>
    <t>PAUT</t>
  </si>
  <si>
    <t>ACF</t>
  </si>
  <si>
    <t>ACV</t>
  </si>
  <si>
    <t>ACBL</t>
  </si>
  <si>
    <t>ACAU</t>
  </si>
  <si>
    <t>ADPU</t>
  </si>
  <si>
    <t>ADANI</t>
  </si>
  <si>
    <t>ADNONA</t>
  </si>
  <si>
    <t>CM</t>
  </si>
  <si>
    <t>CMBL</t>
  </si>
  <si>
    <t>ACFOU</t>
  </si>
  <si>
    <t>ACFOUBL</t>
  </si>
  <si>
    <t>ENGA</t>
  </si>
  <si>
    <t>ENGASH</t>
  </si>
  <si>
    <t>ENGACF</t>
  </si>
  <si>
    <t>SEM</t>
  </si>
  <si>
    <t>SEMSH</t>
  </si>
  <si>
    <t>SEMCF</t>
  </si>
  <si>
    <t>ACVEG</t>
  </si>
  <si>
    <t>ACVEGSH</t>
  </si>
  <si>
    <t>ACVEGCF</t>
  </si>
  <si>
    <t>FELV</t>
  </si>
  <si>
    <t>FELVBL</t>
  </si>
  <si>
    <t>FELA</t>
  </si>
  <si>
    <t>FELABL</t>
  </si>
  <si>
    <t>dont achat de  litière pour les BL</t>
  </si>
  <si>
    <t>ANI</t>
  </si>
  <si>
    <t>ANIBL</t>
  </si>
  <si>
    <t>TPA</t>
  </si>
  <si>
    <t>TPTSH</t>
  </si>
  <si>
    <t>TPTCF</t>
  </si>
  <si>
    <t>TPTNA</t>
  </si>
  <si>
    <t>CARBU</t>
  </si>
  <si>
    <t>ENTMAT</t>
  </si>
  <si>
    <t>PETIMAT</t>
  </si>
  <si>
    <t>crédit bail</t>
  </si>
  <si>
    <t>EAU</t>
  </si>
  <si>
    <t>EDF</t>
  </si>
  <si>
    <t>ENTBAT</t>
  </si>
  <si>
    <t>Entretien Machine à Traire, Si location de bâtiment ou installation (tank par ex) l'ajouter ici.</t>
  </si>
  <si>
    <t>GEST</t>
  </si>
  <si>
    <t>Frais de gestion, fourniture et frais divers (cotisation, abonnements, Poste, téléphone, …), assurances, impôts et taxes, transports et déplacements, services bancaires.</t>
  </si>
  <si>
    <t>FERM</t>
  </si>
  <si>
    <r>
      <t xml:space="preserve">Fermages annuels + entretien du foncier + locations précaires +amortissements des améliorations foncières  </t>
    </r>
    <r>
      <rPr>
        <sz val="8"/>
        <color indexed="10"/>
        <rFont val="Arial"/>
        <family val="2"/>
      </rPr>
      <t>(à renseigner aussi en cellule C107)</t>
    </r>
  </si>
  <si>
    <t>SAL</t>
  </si>
  <si>
    <t>FFIN</t>
  </si>
  <si>
    <r>
      <t xml:space="preserve">Intérêts des emprunts et frais financiers divers (dont court-terme), hors frais financier des emprunts fonciers. </t>
    </r>
    <r>
      <rPr>
        <sz val="8"/>
        <color indexed="10"/>
        <rFont val="Arial"/>
        <family val="2"/>
      </rPr>
      <t>Emprunts de l’exploitation et emprunts personnels des associés  qui ont servi à financer du capital d'exploitation (figurent hors comptabilité)</t>
    </r>
  </si>
  <si>
    <t>AMORTMAT</t>
  </si>
  <si>
    <t>AMORTBAT</t>
  </si>
  <si>
    <t>FERMOP</t>
  </si>
  <si>
    <t>MSA</t>
  </si>
  <si>
    <t>CAP</t>
  </si>
  <si>
    <t>IF</t>
  </si>
  <si>
    <t>Autres amortissements</t>
  </si>
  <si>
    <t>Autres que amortissements matériel, bâtiments et foncier.</t>
  </si>
  <si>
    <t>ENGACINTBL</t>
  </si>
  <si>
    <t>SEMCINTBL</t>
  </si>
  <si>
    <t>ACCINTBL</t>
  </si>
  <si>
    <t>TPTACINTBL</t>
  </si>
  <si>
    <r>
      <t xml:space="preserve">Les amortissements permettent de calculer le revenu courant; si on remplace ces amortissements par le capital d'emprunt annuel remboursé (=annuités-frais financiers). Ce coût de production sera alors plus proche de la trésorerie annuelle de l'exploitation. </t>
    </r>
    <r>
      <rPr>
        <sz val="8"/>
        <color indexed="10"/>
        <rFont val="Arial"/>
        <family val="2"/>
      </rPr>
      <t>Emprunts de l’exploitation et emprunts personnels des associés  qui ont servi à financer du capital d'exploitation (figurent hors comptabilité)Les amortissements permettent de calculer le revenu courant; si on remplace ces amortissements par le capital d'emprunt annuel remboursé (=annuités-frais financiers). Ce coût de production sera alors plus proche de la trésorerie annuelle de l'exploitation. Emprunts de l’exploitation et emprunts personnels des associés  qui ont servi à financer du capital d'exploitation (figurent hors comptabilité)</t>
    </r>
  </si>
  <si>
    <r>
      <t xml:space="preserve">Part des FEL correspondant à : Presure, sel, ferments, lessive, linges … </t>
    </r>
    <r>
      <rPr>
        <sz val="8"/>
        <color indexed="10"/>
        <rFont val="Arial"/>
        <family val="2"/>
      </rPr>
      <t>(nb : sans les déduire de la ligne 67)</t>
    </r>
  </si>
  <si>
    <r>
      <t xml:space="preserve">Part des FEL correspondant à : Analyses, plaques, cotisations… </t>
    </r>
    <r>
      <rPr>
        <sz val="8"/>
        <color indexed="10"/>
        <rFont val="Arial"/>
        <family val="2"/>
      </rPr>
      <t>(nb : sans les déduire de la ligne 67)</t>
    </r>
  </si>
  <si>
    <t>Données techniques complémentaires</t>
  </si>
  <si>
    <r>
      <t xml:space="preserve">Mode d'emploi : </t>
    </r>
    <r>
      <rPr>
        <sz val="9"/>
        <rFont val="Arial"/>
        <family val="2"/>
      </rPr>
      <t xml:space="preserve"> 
Saisir dans les cases jaunes uniquement
Les cases oranges contiennent des formules de calculs, ne pas les écraser.
</t>
    </r>
    <r>
      <rPr>
        <b/>
        <sz val="9"/>
        <rFont val="Arial"/>
        <family val="2"/>
      </rPr>
      <t/>
    </r>
  </si>
  <si>
    <t>0- Données générales</t>
  </si>
  <si>
    <t>Lait Total produit</t>
  </si>
  <si>
    <t>Lait commercialisés, lait aux veaux de 8 jours, lait jeté, autoconso familiale</t>
  </si>
  <si>
    <t>Lait commercialisé</t>
  </si>
  <si>
    <t>Lait commercialisés (laiteie, vente directe, veaux boucherie…)</t>
  </si>
  <si>
    <t>dont lait comm. en vente directe ou Transf.</t>
  </si>
  <si>
    <t>Nombre moyen de vaches laitières traites sur l'année</t>
  </si>
  <si>
    <t>nombre</t>
  </si>
  <si>
    <t>si possible faire une moyenne  pondérée des effectifs mensuels</t>
  </si>
  <si>
    <t>Race dominante</t>
  </si>
  <si>
    <r>
      <t xml:space="preserve">Liste déroullante </t>
    </r>
    <r>
      <rPr>
        <sz val="8"/>
        <rFont val="Arial"/>
        <family val="2"/>
      </rPr>
      <t xml:space="preserve"> : Prim'Holstein, Montbéliarde, Normande, Brune...</t>
    </r>
  </si>
  <si>
    <t>Production laitière /VL</t>
  </si>
  <si>
    <t>litres /VL</t>
  </si>
  <si>
    <t>Production totale de lait / nb moyen de VL</t>
  </si>
  <si>
    <t>Chargement apparent (BL)</t>
  </si>
  <si>
    <t>UGB BL/ha SFP BL</t>
  </si>
  <si>
    <t>non corrigé des variations de stocks, mise en pension…</t>
  </si>
  <si>
    <t>Lait /Ha SFP BL</t>
  </si>
  <si>
    <t>litres / Ha SFP BL</t>
  </si>
  <si>
    <t xml:space="preserve">ici lait Total produit. </t>
  </si>
  <si>
    <t>1- Approvisionnement des animaux</t>
  </si>
  <si>
    <t>Quantité totale des concentrés utilisés /VL</t>
  </si>
  <si>
    <t>kg/VL</t>
  </si>
  <si>
    <t>Concentrés achetés et cédés consommés par vache</t>
  </si>
  <si>
    <t>g/l</t>
  </si>
  <si>
    <t>Prix des concentrés achetés</t>
  </si>
  <si>
    <t>€/T MB</t>
  </si>
  <si>
    <t>moyenne des différents concentrés achetés</t>
  </si>
  <si>
    <t>Rapport PDI/UF des concentrés</t>
  </si>
  <si>
    <t>Pas disponible facilement, mais permet de reconstituer les apports soja/ orge du concentré  et peut expliquer des différences entre exploitation</t>
  </si>
  <si>
    <t>Autonomie en concentré</t>
  </si>
  <si>
    <t>Concentrés produits et consommés sur l'exploitation / 
Quantité totale de concentrés consommés</t>
  </si>
  <si>
    <t>Quantité totale des concentrés conso /GL</t>
  </si>
  <si>
    <t>kg/GL</t>
  </si>
  <si>
    <t>Concentrés achetés et cédés consommés pour toutes les génisses</t>
  </si>
  <si>
    <t>Quantité de Minéraux /VL</t>
  </si>
  <si>
    <t>Quantité de fourrages achetés / UGB BL</t>
  </si>
  <si>
    <t>T MS / UGB BL</t>
  </si>
  <si>
    <t>Nature des fourrages achetés</t>
  </si>
  <si>
    <t>Variable qualitative</t>
  </si>
  <si>
    <t>Prix des fourrages achetés</t>
  </si>
  <si>
    <t>€/TMS</t>
  </si>
  <si>
    <t>moyenne des différents Fourrages achetés</t>
  </si>
  <si>
    <t>Date de mise à l'herbe</t>
  </si>
  <si>
    <t>JJ/MM/AAAA</t>
  </si>
  <si>
    <t>Date fermeture Silo</t>
  </si>
  <si>
    <t>Pâturage exclusif. Indiquer une date si fermeture, sinon = 0</t>
  </si>
  <si>
    <t>Date Réouverture Silo</t>
  </si>
  <si>
    <t>s'il y a eu fermeture, sinon = 0</t>
  </si>
  <si>
    <t>Date rentrée en bâtiment</t>
  </si>
  <si>
    <t>Arrêt du pâturage</t>
  </si>
  <si>
    <t>Surfaces accessibles aux VL au printemps</t>
  </si>
  <si>
    <t>ares /VL</t>
  </si>
  <si>
    <t>Surface moyenne accessible au printemps (lors du 1er cycle de pâturage)</t>
  </si>
  <si>
    <t>2- Approvisionnement des surfaces</t>
  </si>
  <si>
    <t>% cult. fourragères BL / SFP BL</t>
  </si>
  <si>
    <t>% cult. fourragères BL irriguée</t>
  </si>
  <si>
    <t>Rendement de la culture fourragère principale</t>
  </si>
  <si>
    <t>T MS /Ha</t>
  </si>
  <si>
    <t>Rendement des cult. de vente intraconsommée</t>
  </si>
  <si>
    <t>Qx/ha</t>
  </si>
  <si>
    <t>Rendement de la principale culture intraconsommée</t>
  </si>
  <si>
    <t>Fertilisation minérale azotée</t>
  </si>
  <si>
    <t>N/ha SFP</t>
  </si>
  <si>
    <r>
      <t xml:space="preserve">unités d'azote apportés </t>
    </r>
    <r>
      <rPr>
        <sz val="8"/>
        <color indexed="10"/>
        <rFont val="Arial"/>
        <family val="2"/>
      </rPr>
      <t>par ha de SFP</t>
    </r>
  </si>
  <si>
    <t>Fertilisation minérale en phosphore</t>
  </si>
  <si>
    <t>P/ha SFP</t>
  </si>
  <si>
    <r>
      <t xml:space="preserve">unités de phosphore apportés </t>
    </r>
    <r>
      <rPr>
        <sz val="8"/>
        <color indexed="10"/>
        <rFont val="Arial"/>
        <family val="2"/>
      </rPr>
      <t>par ha de SFP</t>
    </r>
  </si>
  <si>
    <t>Fertilisation minérale en potasse</t>
  </si>
  <si>
    <t>K/ha SFP</t>
  </si>
  <si>
    <r>
      <t xml:space="preserve">unités de potasse apportés </t>
    </r>
    <r>
      <rPr>
        <sz val="8"/>
        <color indexed="10"/>
        <rFont val="Arial"/>
        <family val="2"/>
      </rPr>
      <t>par ha de SFP</t>
    </r>
  </si>
  <si>
    <t>3- Frais d'Elevage</t>
  </si>
  <si>
    <t>Age au 1er vêlage</t>
  </si>
  <si>
    <t>mois</t>
  </si>
  <si>
    <t>Nombre d'IA / VL</t>
  </si>
  <si>
    <t>nombre moyen d'IA par VL remise à la reproduction</t>
  </si>
  <si>
    <t>Intervalle IA1ère / IA fécondante</t>
  </si>
  <si>
    <t>jours</t>
  </si>
  <si>
    <t>intervalle entre la 1ère Insémination et l'Insémination fécondante</t>
  </si>
  <si>
    <t>Intervalle Vêlage-Vêlage</t>
  </si>
  <si>
    <t>intervalle entre 2 vêlages</t>
  </si>
  <si>
    <t>Taux de renouvellement</t>
  </si>
  <si>
    <t>Nombre de vêlage de primipare / nombre total de vêlages sur la campagne</t>
  </si>
  <si>
    <t>Frais vétérinaires /UGB</t>
  </si>
  <si>
    <t>€/UGB</t>
  </si>
  <si>
    <t>4- Frais de mécanisation</t>
  </si>
  <si>
    <t xml:space="preserve">Puissance de traction - Nombre de Chevaux </t>
  </si>
  <si>
    <t>nombre de Cv</t>
  </si>
  <si>
    <t>somme des chevaux du matériel de traction de l'exploitation</t>
  </si>
  <si>
    <t>Nombre de Chevaux /Ha de SAU</t>
  </si>
  <si>
    <t>Cv /ha SAU</t>
  </si>
  <si>
    <t>Heures totales de traction (matériel en propre)</t>
  </si>
  <si>
    <t>heure</t>
  </si>
  <si>
    <t>Heures totales de traction (matériel de tiers, ETA, CUMA)</t>
  </si>
  <si>
    <t>Litres de fuel consommés sur l'exploitation</t>
  </si>
  <si>
    <t>litres</t>
  </si>
  <si>
    <t>Consommation de fuel sur l'exploitation</t>
  </si>
  <si>
    <t>Heures totales de traction /ha SAU</t>
  </si>
  <si>
    <t>Litres fuel exploitation / heures propres</t>
  </si>
  <si>
    <t>litres/ heure</t>
  </si>
  <si>
    <t>Litres fuel exploitation /ha SAU</t>
  </si>
  <si>
    <t>litres /ha SAU</t>
  </si>
  <si>
    <t>Coût de mécanisation / heure</t>
  </si>
  <si>
    <t>€ /h</t>
  </si>
  <si>
    <t>Coût de mécanisation / ha SAU</t>
  </si>
  <si>
    <t>€ /ha SAU</t>
  </si>
  <si>
    <t>5- Bâtiment</t>
  </si>
  <si>
    <t>Consommation en eau totale</t>
  </si>
  <si>
    <t>bâtiment + irrigation SFP + Irrigation Culture</t>
  </si>
  <si>
    <t>Conso en eau / ha SAU</t>
  </si>
  <si>
    <t>Consommation en eau atelier BL</t>
  </si>
  <si>
    <t>Bâtiment BL (dont traite) + irrigation SFP BL + irrigation Culture BL</t>
  </si>
  <si>
    <t>Conso en eau BL /1000 litres de lait produit</t>
  </si>
  <si>
    <t>l /1000 l de lait</t>
  </si>
  <si>
    <t>(Bâtiment BL + irrigation SFP BL + irrigation Culture BL) / 1000 litres lait produit</t>
  </si>
  <si>
    <t>Consommation en électricité</t>
  </si>
  <si>
    <t>Kwh</t>
  </si>
  <si>
    <t>Conso d'électricité /1000 litres de lait produit</t>
  </si>
  <si>
    <t>Kwh/ 1000 l de lait</t>
  </si>
  <si>
    <t>6- Produits</t>
  </si>
  <si>
    <t>TP</t>
  </si>
  <si>
    <t>Taux Protéique - moyenne annuelle</t>
  </si>
  <si>
    <t>TB</t>
  </si>
  <si>
    <t>Taux Butyreux - moyenne annuelle</t>
  </si>
  <si>
    <t xml:space="preserve">Comptage cellulaire </t>
  </si>
  <si>
    <t>nb de mois pénalisé /12 (relatif à la classe "super A")</t>
  </si>
  <si>
    <t>Germes</t>
  </si>
  <si>
    <t>Butyriques</t>
  </si>
  <si>
    <t>nb de mois pénalisé /12 (relatif à la classe "A")</t>
  </si>
  <si>
    <t>Nombre de VL réformée</t>
  </si>
  <si>
    <t>nombre de tête</t>
  </si>
  <si>
    <t>Prix des VL réformées</t>
  </si>
  <si>
    <t>€ / tête</t>
  </si>
  <si>
    <t>Poids des VL réformées</t>
  </si>
  <si>
    <t>kg vif</t>
  </si>
  <si>
    <t>Détail des calculs</t>
  </si>
  <si>
    <t>Cette feuille est purement informative. Elle restitue le détail des calculs de répartition des charges</t>
  </si>
  <si>
    <t>et des produits entre les différents ateliers, qui se fait désormais de façon automatique en fonction</t>
  </si>
  <si>
    <t>Total</t>
  </si>
  <si>
    <t>de la sélection réalisée en en-tête de la feuille "Saisie".</t>
  </si>
  <si>
    <t>Surfaces utilisées par le troupeau BL (ha) :</t>
  </si>
  <si>
    <t>[ choix du type d'atelier BL, du type d'atelier BV et du type d'atelier Cultures ].</t>
  </si>
  <si>
    <t>Surfaces utilisées par le troupeau BV (ha) :</t>
  </si>
  <si>
    <t>Total Exploitation</t>
  </si>
  <si>
    <t>Atelier BL</t>
  </si>
  <si>
    <t>Total autres ateliers herbivores</t>
  </si>
  <si>
    <t>Cultures de vente</t>
  </si>
  <si>
    <t>dont prélevées pour les BL</t>
  </si>
  <si>
    <t>clés de répartition</t>
  </si>
  <si>
    <t>BL</t>
  </si>
  <si>
    <t>AH</t>
  </si>
  <si>
    <t>Coûts par UGB</t>
  </si>
  <si>
    <t>Coûts par ha</t>
  </si>
  <si>
    <t>BV</t>
  </si>
  <si>
    <t>Postes de charges et produits</t>
  </si>
  <si>
    <t>Total des PRODUITS</t>
  </si>
  <si>
    <t>Total UGB :</t>
  </si>
  <si>
    <t>Produit des ventes</t>
  </si>
  <si>
    <t>Lait commercialisé brut</t>
  </si>
  <si>
    <t>Poste spécifique à l'atelier</t>
  </si>
  <si>
    <t>Produit viande de l'atelier BL (net d'achat)</t>
  </si>
  <si>
    <t>autres co-produits de l'atelier lait</t>
  </si>
  <si>
    <t>Produit viande atelier BV (net d'achat)</t>
  </si>
  <si>
    <t>Produit des ventes de fourrage</t>
  </si>
  <si>
    <t>Clé unique (prorata des UGB)</t>
  </si>
  <si>
    <t>Produit des ventes cultures de vente</t>
  </si>
  <si>
    <t>Clé automatique (cf feuille "Saisie")</t>
  </si>
  <si>
    <t>Total Aides couplées</t>
  </si>
  <si>
    <t>Aides SCOP cultures fourragères</t>
  </si>
  <si>
    <t>Clé calculée (prorata CF / UGB)</t>
  </si>
  <si>
    <t>Aides SCOP cultures de vente</t>
  </si>
  <si>
    <t>Autres aides couplées</t>
  </si>
  <si>
    <t>Aides découplées et 2ème pilier</t>
  </si>
  <si>
    <t xml:space="preserve">DPU </t>
  </si>
  <si>
    <t>Clé unique (prorata de la SAU)</t>
  </si>
  <si>
    <t>Clé unique (prorata des SH)</t>
  </si>
  <si>
    <t xml:space="preserve">Autres aides affectables aux surfaces </t>
  </si>
  <si>
    <t>Charges courantes</t>
  </si>
  <si>
    <t>Achats d'aliments</t>
  </si>
  <si>
    <t xml:space="preserve">Concentrés et minéraux </t>
  </si>
  <si>
    <t>Clé unique (prorata des ugb)</t>
  </si>
  <si>
    <t>Approvisionnement surfaces</t>
  </si>
  <si>
    <t>Répartition manuelle ou clé</t>
  </si>
  <si>
    <t>Frais d'élevage</t>
  </si>
  <si>
    <t>Mecanisation</t>
  </si>
  <si>
    <t>Bâtiment</t>
  </si>
  <si>
    <t>Frais généraux</t>
  </si>
  <si>
    <t>Fermage et frais du foncier</t>
  </si>
  <si>
    <t>Amortissements</t>
  </si>
  <si>
    <t>Matériel</t>
  </si>
  <si>
    <t>amort. améliorations foncières</t>
  </si>
  <si>
    <t>Charges supplétives</t>
  </si>
  <si>
    <t>Rémunération des terres en propriété</t>
  </si>
  <si>
    <t>Rémunération du capital propre</t>
  </si>
  <si>
    <t>Coût du travail des exploitants</t>
  </si>
  <si>
    <t>Produits - Charges totales</t>
  </si>
  <si>
    <t>Reconstitution de l'EBE</t>
  </si>
  <si>
    <t>EBE [ pour vérification ]</t>
  </si>
  <si>
    <t>Remboursement de capital emprunté</t>
  </si>
  <si>
    <t>RCAI</t>
  </si>
  <si>
    <t>Résultats économiques de l'atelier cultures de vente (hors surface intraconsommée)</t>
  </si>
  <si>
    <t>Surface CV non intraconsommée</t>
  </si>
  <si>
    <t xml:space="preserve">Produit brut </t>
  </si>
  <si>
    <t>par ha CV</t>
  </si>
  <si>
    <t>UMO cultures de vente (UMO cv)</t>
  </si>
  <si>
    <t>Charges opérationnelles</t>
  </si>
  <si>
    <t>Ha de Cultures par UMO cv</t>
  </si>
  <si>
    <t>Charges de structure</t>
  </si>
  <si>
    <t>Revenu Courant avant Impôts</t>
  </si>
  <si>
    <t>Part des céréales intra-consommées dans le CBL</t>
  </si>
  <si>
    <t>Litrages (1000L)</t>
  </si>
  <si>
    <t>Prix moyen</t>
  </si>
  <si>
    <t>Produit</t>
  </si>
  <si>
    <t>Lait total commercialisé</t>
  </si>
  <si>
    <t>Lait livré laiterie</t>
  </si>
  <si>
    <t>Lait cédé à un autre atelier</t>
  </si>
  <si>
    <t>Lait transformé et/ou vente directe</t>
  </si>
  <si>
    <t>dt en blanc (1000L)</t>
  </si>
  <si>
    <t>dt en affiné (1000L)</t>
  </si>
  <si>
    <t>dt autres (1000L)</t>
  </si>
  <si>
    <t>Lait autoconsommé par la famille</t>
  </si>
  <si>
    <t>dt spécifique commercialisation</t>
  </si>
  <si>
    <t>Frais de transformations et commercialisations (frais d'élevage)</t>
  </si>
  <si>
    <t>Frais de transformations et commercialisations (bâtiment hors amortissements)</t>
  </si>
  <si>
    <t>Frais de transformations et commercialisations (amortissements bat mat)</t>
  </si>
  <si>
    <t>Frais de transformations et commercialisations (travail)</t>
  </si>
  <si>
    <t>Version de l'outil :</t>
  </si>
  <si>
    <t>VOTRE</t>
  </si>
  <si>
    <t>Référence</t>
  </si>
  <si>
    <t>Votre groupe ou cas-type de référence :</t>
  </si>
  <si>
    <t>ATELIER</t>
  </si>
  <si>
    <t>Rosace lait 6M</t>
  </si>
  <si>
    <t>Conjoncture :</t>
  </si>
  <si>
    <t>[ en € / 1000 litres de lait vendus ]</t>
  </si>
  <si>
    <t>Ecarts</t>
  </si>
  <si>
    <t>Coût de production total atelier</t>
  </si>
  <si>
    <t>Types de charges</t>
  </si>
  <si>
    <t>Achats d'alimentation</t>
  </si>
  <si>
    <t>dt Concentrés et minéraux</t>
  </si>
  <si>
    <t>dt Achats fourrages / mises en pension</t>
  </si>
  <si>
    <t>Approvisionnement des surfaces</t>
  </si>
  <si>
    <t>dt Engrais et amendements</t>
  </si>
  <si>
    <t>dt Semences</t>
  </si>
  <si>
    <t>Décomposition par</t>
  </si>
  <si>
    <t>Ecart</t>
  </si>
  <si>
    <t>Décomposition par postes [ € / 1000 lit ]</t>
  </si>
  <si>
    <t>dt Autres charges végétales</t>
  </si>
  <si>
    <r>
      <t>postes</t>
    </r>
    <r>
      <rPr>
        <sz val="10"/>
        <color indexed="18"/>
        <rFont val="Arial"/>
        <family val="2"/>
      </rPr>
      <t xml:space="preserve"> [ € / 1000 lit ]</t>
    </r>
  </si>
  <si>
    <t>de Votre Atelier</t>
  </si>
  <si>
    <t>dt Frais vétérinaires</t>
  </si>
  <si>
    <t>Postes de charges</t>
  </si>
  <si>
    <t>dt Autres frais d'élevage</t>
  </si>
  <si>
    <t>dt Achats de litière</t>
  </si>
  <si>
    <t>Travail</t>
  </si>
  <si>
    <t>dt Frais transformation-commercialisation</t>
  </si>
  <si>
    <t>Foncier et Capital</t>
  </si>
  <si>
    <t xml:space="preserve">Mécanisation </t>
  </si>
  <si>
    <t>dt Travaux par tiers</t>
  </si>
  <si>
    <t>Bâtiments</t>
  </si>
  <si>
    <t>dt Carburants et lubrifiants</t>
  </si>
  <si>
    <t>Mécanisation</t>
  </si>
  <si>
    <t>dt Entretien du matériel</t>
  </si>
  <si>
    <t>dt Achat petit matériel et divers matériel</t>
  </si>
  <si>
    <t>Alimentation</t>
  </si>
  <si>
    <t>dt Crédit bail</t>
  </si>
  <si>
    <t>dt Amortissements du matériel</t>
  </si>
  <si>
    <t>Postes de produits</t>
  </si>
  <si>
    <t xml:space="preserve">Bâtiments </t>
  </si>
  <si>
    <t>dt Eau</t>
  </si>
  <si>
    <t xml:space="preserve">Produits lait </t>
  </si>
  <si>
    <t>dt Electricité et gaz</t>
  </si>
  <si>
    <t xml:space="preserve">Produits viande </t>
  </si>
  <si>
    <t>dt Entretien et location de bâtiments</t>
  </si>
  <si>
    <t>autres produits joints</t>
  </si>
  <si>
    <t>dt Amortissements des bâtiments</t>
  </si>
  <si>
    <t>Aides totales</t>
  </si>
  <si>
    <t>dt Transport, dep., assurances, cpta …</t>
  </si>
  <si>
    <t>dt Autres amortissements</t>
  </si>
  <si>
    <t>Foncier et capital</t>
  </si>
  <si>
    <t>dt Fermage et frais du foncier</t>
  </si>
  <si>
    <t>dt Rémunération des terres en propriété</t>
  </si>
  <si>
    <t>dt amortissement des améliorations fonc.</t>
  </si>
  <si>
    <t>dt Frais financiers</t>
  </si>
  <si>
    <t>dt Rémunération du capital propre</t>
  </si>
  <si>
    <t>dt Salaires et charges salariales</t>
  </si>
  <si>
    <t>Rémunération forfaitaire du travail expl.</t>
  </si>
  <si>
    <t>MSA affectable à l'atelier (pour info)</t>
  </si>
  <si>
    <t>Produit de l'atelier</t>
  </si>
  <si>
    <t>Prix du lait commercialisé</t>
  </si>
  <si>
    <t>Viande de l'atelier lait</t>
  </si>
  <si>
    <t>dont achats d'animaux (en -)</t>
  </si>
  <si>
    <t>Autres produits joints</t>
  </si>
  <si>
    <t>dont Aides couplées</t>
  </si>
  <si>
    <t>dont aides découplées (DPU)</t>
  </si>
  <si>
    <t>dont aides du 2° Pilier</t>
  </si>
  <si>
    <t>Prix de revient pour 1,5 SMIC/UMO</t>
  </si>
  <si>
    <t>EBE et Disponible de l'exploitation</t>
  </si>
  <si>
    <t xml:space="preserve"> = Prix auquel il faudrait vendre le lait pour couvrir l'ensemble du cout de production (yc amortissements et charges supplétives, avec une rémunération du travail à 1,5 SMIC/UMO).</t>
  </si>
  <si>
    <t>Produit brut par UMO total</t>
  </si>
  <si>
    <t>Rémunération permise par le produit (nbre de SMIC/UMO exploitant)</t>
  </si>
  <si>
    <t>EBE / Produit brut</t>
  </si>
  <si>
    <t xml:space="preserve">Disponible / UMO expl. </t>
  </si>
  <si>
    <t>Prix de fonctionnement pour 1,5 SMIC/UMO</t>
  </si>
  <si>
    <t>Commentaires :</t>
  </si>
  <si>
    <t xml:space="preserve"> = Prix auquel il faudrait vendre le lait pour couvrir les charges courantes, les remboursements d'emprunts et des prèlevements équivalents à 1,5 SMIC/UMO exploitant.</t>
  </si>
  <si>
    <t>Prèlévements permis par le produit (nbre de SMIC/UMO exploitant)</t>
  </si>
  <si>
    <t>[ en € / 1000 litres de lait vendus ou transformés ]</t>
  </si>
  <si>
    <t>Total du lait commercialisé</t>
  </si>
  <si>
    <t>valorisation</t>
  </si>
  <si>
    <t>Livré laiterie</t>
  </si>
  <si>
    <t>L</t>
  </si>
  <si>
    <t xml:space="preserve">Transformés et vendus en blanc </t>
  </si>
  <si>
    <t>Transformés et vendus en affiné</t>
  </si>
  <si>
    <t>Atelier vente directe ou transformation (VDT)</t>
  </si>
  <si>
    <t>Charges opérationnelles du lait total</t>
  </si>
  <si>
    <t>dont achat d'aliment</t>
  </si>
  <si>
    <t>dont appro des surfaces</t>
  </si>
  <si>
    <t>dont frais d'élevage</t>
  </si>
  <si>
    <t>Marge brute hors aides du lait</t>
  </si>
  <si>
    <t>Charges opérationnelles spécifiques transformation</t>
  </si>
  <si>
    <t>dont appro</t>
  </si>
  <si>
    <t>dont analyses</t>
  </si>
  <si>
    <t>Marge brute hors aides transformation</t>
  </si>
  <si>
    <t>Charges opérationnelles spécifiques vente directe</t>
  </si>
  <si>
    <t>Marge brute hors aides vente directe</t>
  </si>
  <si>
    <t>Répartition de la main d'œuvre</t>
  </si>
  <si>
    <t>Atelier lait</t>
  </si>
  <si>
    <t>dont VDT</t>
  </si>
  <si>
    <t>% VDT</t>
  </si>
  <si>
    <t>Main d'œuvre exploitant (UMO)</t>
  </si>
  <si>
    <t>Main d'œuvre salariée (UMO)</t>
  </si>
  <si>
    <t>Commentaires</t>
  </si>
  <si>
    <t>Conjoncture</t>
  </si>
  <si>
    <r>
      <t xml:space="preserve">Kit de calcul du Prix de revient du lait </t>
    </r>
    <r>
      <rPr>
        <sz val="11"/>
        <color indexed="9"/>
        <rFont val="Arial"/>
        <family val="2"/>
      </rPr>
      <t>[ € / 1000 litres ]</t>
    </r>
  </si>
  <si>
    <t>&gt; Charges courantes</t>
  </si>
  <si>
    <r>
      <t xml:space="preserve">Prix pour </t>
    </r>
    <r>
      <rPr>
        <b/>
        <sz val="9"/>
        <color indexed="60"/>
        <rFont val="Arial"/>
        <family val="2"/>
      </rPr>
      <t xml:space="preserve">0 SMIC </t>
    </r>
    <r>
      <rPr>
        <b/>
        <sz val="9"/>
        <rFont val="Arial"/>
        <family val="2"/>
      </rPr>
      <t xml:space="preserve">par UMO expl.                  </t>
    </r>
    <r>
      <rPr>
        <b/>
        <sz val="9"/>
        <color indexed="60"/>
        <rFont val="Arial"/>
        <family val="2"/>
      </rPr>
      <t>hors aides découplées et 2° pilier</t>
    </r>
  </si>
  <si>
    <t>Approvisionnement des animaux</t>
  </si>
  <si>
    <r>
      <t>Rémunération de la MO exploitant par</t>
    </r>
    <r>
      <rPr>
        <b/>
        <sz val="9"/>
        <color indexed="60"/>
        <rFont val="Arial"/>
        <family val="2"/>
      </rPr>
      <t xml:space="preserve"> tranche de 1 SMIC</t>
    </r>
  </si>
  <si>
    <t>Concentrés et minéraux</t>
  </si>
  <si>
    <r>
      <t xml:space="preserve">Aides découplées + 2° pilier avec </t>
    </r>
    <r>
      <rPr>
        <b/>
        <sz val="9"/>
        <color indexed="60"/>
        <rFont val="Arial"/>
        <family val="2"/>
      </rPr>
      <t>répartition par ha de SAU</t>
    </r>
  </si>
  <si>
    <r>
      <t xml:space="preserve">Aides découplées + 2° pilier avec </t>
    </r>
    <r>
      <rPr>
        <b/>
        <sz val="8"/>
        <color indexed="18"/>
        <rFont val="Arial"/>
        <family val="2"/>
      </rPr>
      <t>répartition par UMO (pour info)</t>
    </r>
  </si>
  <si>
    <r>
      <t xml:space="preserve">Prix de revient du lait </t>
    </r>
    <r>
      <rPr>
        <sz val="11"/>
        <color indexed="9"/>
        <rFont val="Arial"/>
        <family val="2"/>
      </rPr>
      <t>[ € / 1000 litres ]</t>
    </r>
  </si>
  <si>
    <r>
      <t xml:space="preserve">Votre objectif </t>
    </r>
    <r>
      <rPr>
        <sz val="9"/>
        <rFont val="Arial"/>
        <family val="2"/>
      </rPr>
      <t>en nb de SMIC brut par UMO exploitant</t>
    </r>
  </si>
  <si>
    <r>
      <t xml:space="preserve">Mécanisation </t>
    </r>
    <r>
      <rPr>
        <b/>
        <sz val="10"/>
        <color indexed="16"/>
        <rFont val="Arial"/>
        <family val="2"/>
      </rPr>
      <t>[ hors amortissements ]Mécanisation [ hors amortissements ]</t>
    </r>
  </si>
  <si>
    <t>Achat petit matériel et divers matériel</t>
  </si>
  <si>
    <t xml:space="preserve">Prix de revient en fonction de la rémunération du travail des exploitants </t>
  </si>
  <si>
    <t xml:space="preserve"> Crédit bail</t>
  </si>
  <si>
    <r>
      <t xml:space="preserve">Bâtiments </t>
    </r>
    <r>
      <rPr>
        <b/>
        <sz val="10"/>
        <color indexed="16"/>
        <rFont val="Arial"/>
        <family val="2"/>
      </rPr>
      <t>[ hors amortissements ]Bâtiments [ hors amortissements ]</t>
    </r>
  </si>
  <si>
    <t>&gt; Amortissements</t>
  </si>
  <si>
    <t>Amortissement des améliorations fonc.</t>
  </si>
  <si>
    <t>&gt; Charges supplétives</t>
  </si>
  <si>
    <r>
      <t xml:space="preserve">Prix de fonctionnement </t>
    </r>
    <r>
      <rPr>
        <sz val="11"/>
        <color indexed="9"/>
        <rFont val="Arial"/>
        <family val="2"/>
      </rPr>
      <t>[ € / 1000 litres ]</t>
    </r>
  </si>
  <si>
    <t>Lait vendu</t>
  </si>
  <si>
    <t>Viande et autres produits de l'atelier</t>
  </si>
  <si>
    <t>Produit de l'atelier lait</t>
  </si>
  <si>
    <t>Charges opérationnelles*</t>
  </si>
  <si>
    <t>Charges de struct. hors FF et amort.*</t>
  </si>
  <si>
    <t>EBE atelier lait*</t>
  </si>
  <si>
    <t>Total Aides découplées + 2° pilier</t>
  </si>
  <si>
    <t>Annuités affectées à l'atelier (hors foncier)</t>
  </si>
  <si>
    <r>
      <t>Revenu disponible*</t>
    </r>
    <r>
      <rPr>
        <sz val="9"/>
        <rFont val="Arial"/>
        <family val="2"/>
      </rPr>
      <t xml:space="preserve"> </t>
    </r>
    <r>
      <rPr>
        <b/>
        <sz val="9"/>
        <rFont val="Arial"/>
        <family val="2"/>
      </rPr>
      <t>/ 1000 litres</t>
    </r>
  </si>
  <si>
    <t>Disponible / UMO expl. BL</t>
  </si>
  <si>
    <t>Rémunération du travail consacré à l'atelier</t>
  </si>
  <si>
    <r>
      <t>Rémunération réelle du travail exploitant</t>
    </r>
    <r>
      <rPr>
        <sz val="10"/>
        <rFont val="Arial"/>
        <family val="2"/>
      </rPr>
      <t xml:space="preserve"> [€ / 1000 lit.]</t>
    </r>
  </si>
  <si>
    <t>Soit, en nb de SMIC annuel par UMO exploitant</t>
  </si>
  <si>
    <t>Produit brut / UMO totales</t>
  </si>
  <si>
    <r>
      <t>Nb d'</t>
    </r>
    <r>
      <rPr>
        <b/>
        <sz val="10"/>
        <rFont val="Arial"/>
        <family val="2"/>
      </rPr>
      <t xml:space="preserve">UMO salarié + exploitant </t>
    </r>
    <r>
      <rPr>
        <sz val="10"/>
        <rFont val="Arial"/>
        <family val="2"/>
      </rPr>
      <t xml:space="preserve">consacrées à l'atelier laitier </t>
    </r>
  </si>
  <si>
    <t>EBE / UMO exploitant</t>
  </si>
  <si>
    <r>
      <t xml:space="preserve">Lait vendu / UMO salarié + exploitant affectée à l’atelier </t>
    </r>
    <r>
      <rPr>
        <sz val="10"/>
        <rFont val="Arial"/>
        <family val="2"/>
      </rPr>
      <t>[ x 1000 litres ]</t>
    </r>
  </si>
  <si>
    <t>Annuités / Produit brut</t>
  </si>
  <si>
    <t>Disponible / UMO expl.</t>
  </si>
  <si>
    <r>
      <t xml:space="preserve">Introduire ici vos paramètres d'évolution des prix et des volumes </t>
    </r>
    <r>
      <rPr>
        <sz val="9"/>
        <color indexed="60"/>
        <rFont val="Arial"/>
        <family val="2"/>
      </rPr>
      <t>(en % ; sauf pour le prix du lait)</t>
    </r>
  </si>
  <si>
    <t>Actualisation</t>
  </si>
  <si>
    <t>[ en € / 1000 litres de lait commercialisé ]</t>
  </si>
  <si>
    <t>Décomposition par grands</t>
  </si>
  <si>
    <t>Résultat</t>
  </si>
  <si>
    <t>Evolution</t>
  </si>
  <si>
    <t>Prix</t>
  </si>
  <si>
    <t>Volumes</t>
  </si>
  <si>
    <r>
      <t>postes</t>
    </r>
    <r>
      <rPr>
        <sz val="10"/>
        <color indexed="58"/>
        <rFont val="Arial"/>
        <family val="2"/>
      </rPr>
      <t xml:space="preserve"> [ € / 1000 litres ]</t>
    </r>
  </si>
  <si>
    <r>
      <t xml:space="preserve">Mécanisation </t>
    </r>
    <r>
      <rPr>
        <b/>
        <sz val="10"/>
        <color indexed="16"/>
        <rFont val="Arial"/>
        <family val="2"/>
      </rPr>
      <t>[ hors amort. ]</t>
    </r>
  </si>
  <si>
    <t>Viande et autres pdts</t>
  </si>
  <si>
    <r>
      <t xml:space="preserve">Bâtiments </t>
    </r>
    <r>
      <rPr>
        <b/>
        <sz val="10"/>
        <color indexed="16"/>
        <rFont val="Arial"/>
        <family val="2"/>
      </rPr>
      <t>[ hors amort.]</t>
    </r>
  </si>
  <si>
    <t>Aides</t>
  </si>
  <si>
    <t>Prix du lait et rémunération du travail consacré à l'atelier</t>
  </si>
  <si>
    <t>Fermage (frais réels)</t>
  </si>
  <si>
    <t>Rémunération du travail non salarié</t>
  </si>
  <si>
    <t>Format €</t>
  </si>
  <si>
    <t>EBE et Revenu disponible de l'atelier lait [ €/1000 litres ]</t>
  </si>
  <si>
    <t>Dont achats</t>
  </si>
  <si>
    <t>Aides couplées</t>
  </si>
  <si>
    <t>Charges de struct. hors FF et amort.</t>
  </si>
  <si>
    <t>Aides du 2° Pilier</t>
  </si>
  <si>
    <t>EBE atelier lait</t>
  </si>
  <si>
    <t xml:space="preserve">Aides découplées </t>
  </si>
  <si>
    <t>Annuités affectées à l'atelier</t>
  </si>
  <si>
    <r>
      <t xml:space="preserve">Disponible </t>
    </r>
    <r>
      <rPr>
        <sz val="10"/>
        <rFont val="Arial"/>
        <family val="2"/>
      </rPr>
      <t xml:space="preserve">(a) </t>
    </r>
    <r>
      <rPr>
        <b/>
        <sz val="10"/>
        <rFont val="Arial"/>
        <family val="2"/>
      </rPr>
      <t>par 1000 lit.</t>
    </r>
  </si>
  <si>
    <r>
      <t xml:space="preserve">Rémunération réelle du travail exploitant </t>
    </r>
    <r>
      <rPr>
        <b/>
        <sz val="10"/>
        <color indexed="16"/>
        <rFont val="Arial"/>
        <family val="2"/>
      </rPr>
      <t>[ € / 1000 lit ]</t>
    </r>
  </si>
  <si>
    <r>
      <t xml:space="preserve">Soit, en </t>
    </r>
    <r>
      <rPr>
        <b/>
        <sz val="10"/>
        <rFont val="Arial"/>
        <family val="2"/>
      </rPr>
      <t>nombre de SMIC</t>
    </r>
    <r>
      <rPr>
        <sz val="10"/>
        <rFont val="Arial"/>
        <family val="2"/>
      </rPr>
      <t xml:space="preserve"> net annuel par UMO exploitant</t>
    </r>
  </si>
  <si>
    <t>(avec aides découplées + 2° pilier réparties selon les ha)</t>
  </si>
  <si>
    <t>Nombre UMO en + ou -</t>
  </si>
  <si>
    <r>
      <t>Nombre d'</t>
    </r>
    <r>
      <rPr>
        <b/>
        <sz val="10"/>
        <rFont val="Arial"/>
        <family val="2"/>
      </rPr>
      <t xml:space="preserve">UMO totales </t>
    </r>
    <r>
      <rPr>
        <sz val="10"/>
        <rFont val="Arial"/>
        <family val="2"/>
      </rPr>
      <t>consacrées à l'atelier laitier</t>
    </r>
  </si>
  <si>
    <r>
      <t xml:space="preserve">Votre objectif </t>
    </r>
    <r>
      <rPr>
        <sz val="10"/>
        <rFont val="Arial"/>
        <family val="2"/>
      </rPr>
      <t>en nb de SMIC par UMO non salariée</t>
    </r>
  </si>
  <si>
    <t>Lait vendu par UMO affectée à l’atelier                               [ x 1000 litres ]</t>
  </si>
  <si>
    <t>(a) Revenu disponbile pour les prélèvements privés et l'autofinancement de l'atelier lait</t>
  </si>
  <si>
    <t>[ choix Référentiel ]</t>
  </si>
  <si>
    <t>Base du graphique de la feuille "Edition 1"</t>
  </si>
  <si>
    <t>Base du graphique du bas de la feuille "Edition 2"</t>
  </si>
  <si>
    <t>TYPE RACIAL</t>
  </si>
  <si>
    <t>CODE</t>
  </si>
  <si>
    <t>Votre atelier</t>
  </si>
  <si>
    <t>ABONDANCE</t>
  </si>
  <si>
    <t xml:space="preserve">  Votre atelier</t>
  </si>
  <si>
    <t xml:space="preserve">  Référence</t>
  </si>
  <si>
    <t>ANGUS</t>
  </si>
  <si>
    <t>ARMORICAINE</t>
  </si>
  <si>
    <t>AUBRAC</t>
  </si>
  <si>
    <t>AUROCH RECONSTITUE</t>
  </si>
  <si>
    <t>Frais de gestion</t>
  </si>
  <si>
    <t>Autres races allaitantes</t>
  </si>
  <si>
    <t>Autres races traites</t>
  </si>
  <si>
    <t>AYRSHIRE</t>
  </si>
  <si>
    <t>BAZADAISE</t>
  </si>
  <si>
    <t>BEARNAISE</t>
  </si>
  <si>
    <t>BISON</t>
  </si>
  <si>
    <t>BLANC BLEU</t>
  </si>
  <si>
    <t>BLEUE DU NORD</t>
  </si>
  <si>
    <t>BLONDE D’AQUITAINE</t>
  </si>
  <si>
    <t>BORDELAISE</t>
  </si>
  <si>
    <t>BRAHMA</t>
  </si>
  <si>
    <t>BRETONNE PIE NOIRE</t>
  </si>
  <si>
    <t>Base de graphique histogramme pour feuille "Simulation"</t>
  </si>
  <si>
    <t>Base du graphique de la feuille "Simulation"</t>
  </si>
  <si>
    <t>BRUNE</t>
  </si>
  <si>
    <t>BUFFLE</t>
  </si>
  <si>
    <t>Simulation</t>
  </si>
  <si>
    <t>CANADIENNE</t>
  </si>
  <si>
    <t>CASTA (AURE et ST-GIRONS)</t>
  </si>
  <si>
    <t>CHAROLAISE</t>
  </si>
  <si>
    <t>CHIANINA</t>
  </si>
  <si>
    <t>CORSE</t>
  </si>
  <si>
    <t>CREOLE</t>
  </si>
  <si>
    <t>Croisé</t>
  </si>
  <si>
    <t>DAIRY SHORTHORN</t>
  </si>
  <si>
    <t>DE COMBAT (ESPAGNOLE BRAVA)</t>
  </si>
  <si>
    <t>FERRANDAISE</t>
  </si>
  <si>
    <t>FROMENT DU LEON</t>
  </si>
  <si>
    <t>GALLOWAY</t>
  </si>
  <si>
    <t>GASCONNE</t>
  </si>
  <si>
    <t>GELBVIEH</t>
  </si>
  <si>
    <t>GUERNESEY</t>
  </si>
  <si>
    <t>HEREFORD</t>
  </si>
  <si>
    <t>HERENS</t>
  </si>
  <si>
    <t>HIGHLAND CATTLE</t>
  </si>
  <si>
    <t>Calculs intermédiaires pour comparaisons</t>
  </si>
  <si>
    <t>cas-type</t>
  </si>
  <si>
    <t>INRA 95</t>
  </si>
  <si>
    <t>UMO totaux</t>
  </si>
  <si>
    <t>JERSIAISE</t>
  </si>
  <si>
    <t>UMO exploitants</t>
  </si>
  <si>
    <t>LIMOUSINE</t>
  </si>
  <si>
    <t>Nombre d'UMO exploitant consacrées à l'atelier laitier</t>
  </si>
  <si>
    <t>LOURDAISE</t>
  </si>
  <si>
    <t>Lait vendu par UMO exploitant affectée à l’atelier [ x 1000 litres ]</t>
  </si>
  <si>
    <t>MARAICHINE</t>
  </si>
  <si>
    <r>
      <t xml:space="preserve">Rémunération par UMO exploitant affectée à l’atelier </t>
    </r>
    <r>
      <rPr>
        <sz val="10"/>
        <color indexed="16"/>
        <rFont val="Arial"/>
        <family val="2"/>
      </rPr>
      <t>[ € / an ]Rémunération par UMO exploitant affectée à l’atelier [ € / an ]Rémunération par UMO exploitant affectée à l’atelier [ € / an ]</t>
    </r>
  </si>
  <si>
    <t>MARCHIGIANA</t>
  </si>
  <si>
    <t>Nombre d'UMO salariés consacrées à l'atelier laitier</t>
  </si>
  <si>
    <t>MIRANDAISE</t>
  </si>
  <si>
    <t>coeff multiplicateur SMIC+CS</t>
  </si>
  <si>
    <t>MONTBELIARDE</t>
  </si>
  <si>
    <t>SMIC brut</t>
  </si>
  <si>
    <t>NANTAISE</t>
  </si>
  <si>
    <t>N'DAMA</t>
  </si>
  <si>
    <t>NORMANDE</t>
  </si>
  <si>
    <t>PARTHENAISE</t>
  </si>
  <si>
    <t>Calcul des clés</t>
  </si>
  <si>
    <t>autre herbivore</t>
  </si>
  <si>
    <t>PIE ROUGE DES</t>
  </si>
  <si>
    <t>PIEMONTAISE</t>
  </si>
  <si>
    <t>MECA valeurs</t>
  </si>
  <si>
    <t>PRIM'HOLSTEIN</t>
  </si>
  <si>
    <t>MECA coeff</t>
  </si>
  <si>
    <t>Race inconnue</t>
  </si>
  <si>
    <t>BAT valeurs</t>
  </si>
  <si>
    <t>RAÇO DI BIOU</t>
  </si>
  <si>
    <t>BAT coeff</t>
  </si>
  <si>
    <t>ROUGE DES P</t>
  </si>
  <si>
    <t>FGEvaleurs</t>
  </si>
  <si>
    <t>ROUGE FLAMANDE</t>
  </si>
  <si>
    <t>FGE coeff</t>
  </si>
  <si>
    <t>SALERS</t>
  </si>
  <si>
    <t>CAP valeurs</t>
  </si>
  <si>
    <t>SAOSNOISE</t>
  </si>
  <si>
    <t>CAP coeff</t>
  </si>
  <si>
    <t>SIMMENTAL FRANCAISE</t>
  </si>
  <si>
    <t>MO valeurs</t>
  </si>
  <si>
    <t>SOUTH DEVON</t>
  </si>
  <si>
    <t>MO coeff</t>
  </si>
  <si>
    <t>TARENTAISE</t>
  </si>
  <si>
    <t>VILLARD DE LANS</t>
  </si>
  <si>
    <t>Pour liste menu déroulant (saisie C11)</t>
  </si>
  <si>
    <t>VOSGIENNE</t>
  </si>
  <si>
    <t>Montagne</t>
  </si>
  <si>
    <t>Tirage des paramètres de la campagne</t>
  </si>
  <si>
    <t>Année de validité des paramètres</t>
  </si>
  <si>
    <t>Intérêt capital propre</t>
  </si>
  <si>
    <t>SMIC annuel net</t>
  </si>
  <si>
    <t>Multiplicateur SMIC brut</t>
  </si>
  <si>
    <t>Plafond pour fermage en propriété</t>
  </si>
  <si>
    <t>UMOnsBL</t>
  </si>
  <si>
    <t>des UMOns</t>
  </si>
  <si>
    <t>UMOsBL</t>
  </si>
  <si>
    <t>des UMOs</t>
  </si>
  <si>
    <t>UMOnsaut</t>
  </si>
  <si>
    <t>UMOsaut</t>
  </si>
  <si>
    <t>UMOnsCV</t>
  </si>
  <si>
    <t>UMOsCV</t>
  </si>
  <si>
    <t>% CVintraBL</t>
  </si>
  <si>
    <t>Cette feuille rassemble les chiffres que vous souhaitez mobiliser comme références dans les feuilles "Edition 1" et "Edition 2".</t>
  </si>
  <si>
    <t>Pour pouvoir être appelées dans les feuilles "Edityion", les données peuvent être introduites dans les colonnes C à AA.</t>
  </si>
  <si>
    <t>Nom du cas-type</t>
  </si>
  <si>
    <t>Rosace lait 1H</t>
  </si>
  <si>
    <t>Rosace lait 3MS</t>
  </si>
  <si>
    <t>Rosace lait 3MS irrig</t>
  </si>
  <si>
    <t>Rosace lait 4M</t>
  </si>
  <si>
    <t>Rosace lait 7S</t>
  </si>
  <si>
    <t>Rosace lait 7p</t>
  </si>
  <si>
    <t>Numéro du cas-type</t>
  </si>
  <si>
    <t>Coût de production total de l'atelier</t>
  </si>
  <si>
    <t>Total Charges courantes</t>
  </si>
  <si>
    <t>Mécanisation hors amortissements</t>
  </si>
  <si>
    <t>Bâtiments hors amortissements</t>
  </si>
  <si>
    <t>Total Amortissements</t>
  </si>
  <si>
    <t>Ammortissement Matériel</t>
  </si>
  <si>
    <t>Ammortissement Bâtiments</t>
  </si>
  <si>
    <t>Total Charges supplétives</t>
  </si>
  <si>
    <t>Total Produit de l'atelier</t>
  </si>
  <si>
    <t>dont Achat d'animaux (en -)</t>
  </si>
  <si>
    <t>Total UMO BL exploitants + salariés</t>
  </si>
  <si>
    <t xml:space="preserve">Lait vendu par UMO BL </t>
  </si>
  <si>
    <t>Bloc EBE et Disponible ATELIER</t>
  </si>
  <si>
    <t>Bloc cpta Atelier / Produit de l'atelier lait</t>
  </si>
  <si>
    <t>Bloc cpta Atelier / Charges opérationnelles</t>
  </si>
  <si>
    <t xml:space="preserve">Bloc cpta Atelier / Charges structurelles </t>
  </si>
  <si>
    <t>Bloc cpta Atelier / EBE atelier lait</t>
  </si>
  <si>
    <t>Bloc cpta Atelier / Annuités affectées à l'atelier</t>
  </si>
  <si>
    <t>Bloc cpta Atelier / Disponible pour 1000 litres</t>
  </si>
  <si>
    <t>Bloc EBE et Disponible exploitation</t>
  </si>
  <si>
    <t>Bloc cpta expl / Produit brut par UMO totales</t>
  </si>
  <si>
    <t>Bloc cpta expl / EBE sur Produit brut</t>
  </si>
  <si>
    <t>Bloc cpta expl / EBE par UMO exploitant</t>
  </si>
  <si>
    <t>Bloc cpta expl / Annuités sur Produit brut</t>
  </si>
  <si>
    <t>Bloc cpta expl / Dispo par UMO expl. avec aides découplées</t>
  </si>
  <si>
    <t>Bloc cpta expl / Dispo par UMO expl. sans aides découplées</t>
  </si>
  <si>
    <t>Kit PR / Aides découplées + 2° pilier avec répartition par UMO</t>
  </si>
  <si>
    <t>UMO Exploitants</t>
  </si>
  <si>
    <t>UMO Salariés</t>
  </si>
  <si>
    <t>UMO exploitants affectées à l'atelier BL</t>
  </si>
  <si>
    <t>UMO salarié affectées à l'atelier BL</t>
  </si>
  <si>
    <t xml:space="preserve">Lait vendu par UMO exploitant affectés à l'atelier BL </t>
  </si>
  <si>
    <t>Bloc vente directe et/ou transformation (VDT)</t>
  </si>
  <si>
    <t>Prix de vente du lait livré à la laiterie</t>
  </si>
  <si>
    <t>Valorisation du lait VDT</t>
  </si>
  <si>
    <t>Charges spécifiques VDT</t>
  </si>
  <si>
    <t>dont frais de commercialisation</t>
  </si>
  <si>
    <t>dont charges annexes</t>
  </si>
  <si>
    <t>dont salaires</t>
  </si>
  <si>
    <t>dont amortissements</t>
  </si>
  <si>
    <t>dont travail exploitants</t>
  </si>
  <si>
    <t>Cette feuille regroupe certains paramètres-clés utilisés dans les calculs.</t>
  </si>
  <si>
    <t>Vérifiez que le taux de rémunération du capital et la valeurs du SMIC net annuel figurant dans la zone sur fond jaune correspondent bien à l'année qui vous intéresse, sinon changez-les.</t>
  </si>
  <si>
    <t>Nom de l'application</t>
  </si>
  <si>
    <t>COUPROD BL</t>
  </si>
  <si>
    <t>Date de la version</t>
  </si>
  <si>
    <t>ICP</t>
  </si>
  <si>
    <t>SMICNETAN</t>
  </si>
  <si>
    <t>BRUT</t>
  </si>
  <si>
    <t>PLAFERM</t>
  </si>
  <si>
    <t>Matrice des clés de répartition des charges non affectées</t>
  </si>
  <si>
    <t>Cette feuille présente les clés de répartion des charges utilisées dans l'outil à compter de la version du 18/02/2010.</t>
  </si>
  <si>
    <t>Ces nouvelles clés sont issues des traitements statistiques réalisés avec l'aide du service Biométrie de l'Institut</t>
  </si>
  <si>
    <t>à partir des données 2007 et 2008 de plus de 1300 exploitations de la base de données Diapason.</t>
  </si>
  <si>
    <r>
      <t xml:space="preserve">Elles ont été validées par le groupe inter-filière de l'Institut sur les coûts de production. </t>
    </r>
    <r>
      <rPr>
        <b/>
        <sz val="10"/>
        <color indexed="16"/>
        <rFont val="Arial"/>
        <family val="2"/>
      </rPr>
      <t>Ces clés ne sont plus paramétrables par les utilisateurs.</t>
    </r>
  </si>
  <si>
    <t>Types d'ateliers</t>
  </si>
  <si>
    <t>ALI</t>
  </si>
  <si>
    <t>APS</t>
  </si>
  <si>
    <t>FEL</t>
  </si>
  <si>
    <t>MECA</t>
  </si>
  <si>
    <t>BAT</t>
  </si>
  <si>
    <t>FGE</t>
  </si>
  <si>
    <t>MO</t>
  </si>
  <si>
    <t>FIN</t>
  </si>
  <si>
    <t>€/UGB                  ou ha</t>
  </si>
  <si>
    <t>UMO / 100 ha ou 100 UGB</t>
  </si>
  <si>
    <t>BL montagne</t>
  </si>
  <si>
    <t>BL transformation</t>
  </si>
  <si>
    <t>BL avec robot</t>
  </si>
  <si>
    <t>BV naisseur plaine</t>
  </si>
  <si>
    <t>BV naisseur montagne</t>
  </si>
  <si>
    <t>BV NE de plaine</t>
  </si>
  <si>
    <t>BV NE de montagne</t>
  </si>
  <si>
    <t>BV JB à partir de veaux laitiers</t>
  </si>
  <si>
    <t>BV JB à partir de broutards</t>
  </si>
  <si>
    <t>BV Bœufs ou génisses de boucherieà partir de veaux laitiers</t>
  </si>
  <si>
    <t>OV fourragers</t>
  </si>
  <si>
    <t>NC</t>
  </si>
  <si>
    <t>OV herbagers</t>
  </si>
  <si>
    <t>OV pastoraux mineurs</t>
  </si>
  <si>
    <t>OV pastoraux majeurs</t>
  </si>
  <si>
    <t>caprins plaine</t>
  </si>
  <si>
    <t>caprins montagne</t>
  </si>
  <si>
    <t>caprins avec transformation</t>
  </si>
  <si>
    <t>chevaux de trait</t>
  </si>
  <si>
    <t>autres équidés</t>
  </si>
  <si>
    <t>GCU Plaine</t>
  </si>
  <si>
    <t>GCU Montagne</t>
  </si>
  <si>
    <t>Maïs Plaine</t>
  </si>
  <si>
    <t>Maïs Montagne</t>
  </si>
  <si>
    <r>
      <t xml:space="preserve">Source </t>
    </r>
    <r>
      <rPr>
        <b/>
        <sz val="10"/>
        <rFont val="Arial"/>
        <family val="2"/>
      </rPr>
      <t>ALI</t>
    </r>
    <r>
      <rPr>
        <sz val="10"/>
        <rFont val="Arial"/>
        <family val="2"/>
      </rPr>
      <t xml:space="preserve"> : Rapport Etude CNIEL/Office de l'Elevage - Jean-Luc Reuillon - novembre 2008</t>
    </r>
  </si>
  <si>
    <r>
      <t xml:space="preserve">Source </t>
    </r>
    <r>
      <rPr>
        <b/>
        <sz val="10"/>
        <rFont val="Arial"/>
        <family val="2"/>
      </rPr>
      <t>APS</t>
    </r>
    <r>
      <rPr>
        <sz val="10"/>
        <rFont val="Arial"/>
        <family val="2"/>
      </rPr>
      <t xml:space="preserve"> : Rapport Etude CNIEL/Office de l'Elevage - Jean-Luc Reuillon - novembre 2008</t>
    </r>
  </si>
  <si>
    <r>
      <t xml:space="preserve">Source </t>
    </r>
    <r>
      <rPr>
        <b/>
        <sz val="10"/>
        <rFont val="Arial"/>
        <family val="2"/>
      </rPr>
      <t>FEL</t>
    </r>
    <r>
      <rPr>
        <sz val="10"/>
        <rFont val="Arial"/>
        <family val="2"/>
      </rPr>
      <t xml:space="preserve"> : Rapport Etude CNIEL/Office de l'Elevage - Jean-Luc Reuillon - novembre 2008</t>
    </r>
  </si>
  <si>
    <r>
      <t xml:space="preserve">Source </t>
    </r>
    <r>
      <rPr>
        <b/>
        <sz val="10"/>
        <rFont val="Arial"/>
        <family val="2"/>
      </rPr>
      <t>MECA</t>
    </r>
    <r>
      <rPr>
        <sz val="10"/>
        <rFont val="Arial"/>
        <family val="2"/>
      </rPr>
      <t xml:space="preserve"> : Traitement base diapason 2007 toutes filières - Thierry Charroin / Marion Ferrand - février 2010</t>
    </r>
  </si>
  <si>
    <r>
      <t xml:space="preserve">Source </t>
    </r>
    <r>
      <rPr>
        <b/>
        <sz val="10"/>
        <rFont val="Arial"/>
        <family val="2"/>
      </rPr>
      <t>BAT</t>
    </r>
    <r>
      <rPr>
        <sz val="10"/>
        <rFont val="Arial"/>
        <family val="2"/>
      </rPr>
      <t xml:space="preserve"> : Traitement base diapason 2007 toutes filières - Thierry Charroin / Marion Ferrand - février 2010</t>
    </r>
  </si>
  <si>
    <r>
      <t xml:space="preserve">Source </t>
    </r>
    <r>
      <rPr>
        <b/>
        <sz val="10"/>
        <rFont val="Arial"/>
        <family val="2"/>
      </rPr>
      <t>FGE</t>
    </r>
    <r>
      <rPr>
        <sz val="10"/>
        <rFont val="Arial"/>
        <family val="2"/>
      </rPr>
      <t xml:space="preserve"> : Traitement base diapason 2008 toutes filières - Thierry Charroin / Marion Ferrand - février 2010</t>
    </r>
  </si>
  <si>
    <r>
      <t xml:space="preserve">Source </t>
    </r>
    <r>
      <rPr>
        <b/>
        <sz val="10"/>
        <rFont val="Arial"/>
        <family val="2"/>
      </rPr>
      <t>CAP</t>
    </r>
    <r>
      <rPr>
        <sz val="10"/>
        <rFont val="Arial"/>
        <family val="2"/>
      </rPr>
      <t xml:space="preserve"> : Traitement base diapason 2007 toutes filières - Thierry Charroin / Marion Ferrand - février 2010</t>
    </r>
  </si>
  <si>
    <r>
      <t xml:space="preserve">Source </t>
    </r>
    <r>
      <rPr>
        <b/>
        <sz val="10"/>
        <rFont val="Arial"/>
        <family val="2"/>
      </rPr>
      <t>MO</t>
    </r>
    <r>
      <rPr>
        <sz val="10"/>
        <rFont val="Arial"/>
        <family val="2"/>
      </rPr>
      <t xml:space="preserve"> : Traitement base diapason 2007 toutes filières - Thierry Charroin / Marion Ferrand - février 2010</t>
    </r>
  </si>
  <si>
    <t>Capitalisation des données</t>
  </si>
  <si>
    <r>
      <t xml:space="preserve">Cette feuille récupère automatiquement en </t>
    </r>
    <r>
      <rPr>
        <b/>
        <sz val="9"/>
        <color indexed="60"/>
        <rFont val="Arial"/>
        <family val="2"/>
      </rPr>
      <t>colonne D</t>
    </r>
    <r>
      <rPr>
        <sz val="9"/>
        <color indexed="60"/>
        <rFont val="Arial"/>
        <family val="2"/>
      </rPr>
      <t xml:space="preserve"> les données de l'exploitation étudiée : données introduites dans le feuille "Saisie"  '+les critères techniques+ données calculées en sortie dans les feuilles "Edition". Avant de passer à une autre exploitation, pensez à faire un copier / collage spécial / valeurs de la colonne D vers une colonne libre située à droite de la colonne D.</t>
    </r>
  </si>
  <si>
    <t>TRES UTILE :  Cellules à Copier pour alimenter la feuille "Référentiel"</t>
  </si>
  <si>
    <t>si vous avez traité le cas d'un cas-type, vous pouvez copier la zone verte (lignes 317 à 396) et en faire un copier/collage spécial/valeur dans la feuille "Référentiel".</t>
  </si>
  <si>
    <t>Nom</t>
  </si>
  <si>
    <t>Libellé de la variable</t>
  </si>
  <si>
    <t>SYST</t>
  </si>
  <si>
    <t>Cas type ou Système</t>
  </si>
  <si>
    <t>BL15</t>
  </si>
  <si>
    <t>BL16</t>
  </si>
  <si>
    <t xml:space="preserve">BL 17  </t>
  </si>
  <si>
    <t>BL 18</t>
  </si>
  <si>
    <t>BL22</t>
  </si>
  <si>
    <t>BL30</t>
  </si>
  <si>
    <t>BL 31</t>
  </si>
  <si>
    <t xml:space="preserve">BL 33 </t>
  </si>
  <si>
    <t>BL44</t>
  </si>
  <si>
    <t xml:space="preserve">BL46 </t>
  </si>
  <si>
    <t>BL 50</t>
  </si>
  <si>
    <t>AB1</t>
  </si>
  <si>
    <t>AB2</t>
  </si>
  <si>
    <t>AB2+cer</t>
  </si>
  <si>
    <t>AB3</t>
  </si>
  <si>
    <t>AB3_int</t>
  </si>
  <si>
    <t>EARL de la bachasse</t>
  </si>
  <si>
    <t>BLF_CS</t>
  </si>
  <si>
    <t>COMMENT</t>
  </si>
  <si>
    <t>Commentaires (pour mémoire)</t>
  </si>
  <si>
    <t>Reprise des données de la feuille "Saisie"</t>
  </si>
  <si>
    <t>BLSYS</t>
  </si>
  <si>
    <t>Type d'atelier BL</t>
  </si>
  <si>
    <t>AHSYS</t>
  </si>
  <si>
    <t>GCUSYS</t>
  </si>
  <si>
    <t>Type de zone (plaine/montagne)</t>
  </si>
  <si>
    <t>BL 15</t>
  </si>
  <si>
    <t>NUMEXP</t>
  </si>
  <si>
    <t>LCB</t>
  </si>
  <si>
    <t>umo</t>
  </si>
  <si>
    <t>UGBBV</t>
  </si>
  <si>
    <t xml:space="preserve">Autres aides non affectables </t>
  </si>
  <si>
    <t>Achats d'animaux atelier BL</t>
  </si>
  <si>
    <t>TPT</t>
  </si>
  <si>
    <t>Travaux par tiers totaux</t>
  </si>
  <si>
    <t>Autres données complémentaires facultatives</t>
  </si>
  <si>
    <t>REMBLTMT</t>
  </si>
  <si>
    <t>AMOFONC</t>
  </si>
  <si>
    <t>PRODFIN</t>
  </si>
  <si>
    <t>Ateliers de transformation</t>
  </si>
  <si>
    <t>Attention affectation incomplète</t>
  </si>
  <si>
    <t>UMONSBL</t>
  </si>
  <si>
    <t>UMOSBL</t>
  </si>
  <si>
    <t>UMONSAUTH</t>
  </si>
  <si>
    <t>UMOSAUTH</t>
  </si>
  <si>
    <t>UMONSCV</t>
  </si>
  <si>
    <t>UMOexploitant affectées à l'atelier CV</t>
  </si>
  <si>
    <t>UMOSCV</t>
  </si>
  <si>
    <t>Reprise des données de la feuille "Critères Techniques"</t>
  </si>
  <si>
    <t>dont lait commercialisé en vente directe ou transformé</t>
  </si>
  <si>
    <t>Nombre moyen de vaches laitières</t>
  </si>
  <si>
    <t>race</t>
  </si>
  <si>
    <t>UGB/ha SFP BL</t>
  </si>
  <si>
    <t>litre / Ha SFP BL</t>
  </si>
  <si>
    <t>€/T MS</t>
  </si>
  <si>
    <t>Rapport PDI/UF des concentrés ?</t>
  </si>
  <si>
    <t>Quantité totale des concentrés utilisés /GL</t>
  </si>
  <si>
    <t>Quantité de Minéraux /VL ?</t>
  </si>
  <si>
    <t>Kg/VL</t>
  </si>
  <si>
    <t>Quantité de fourages acheté / UGB BL</t>
  </si>
  <si>
    <t>Nature des fourrages acheté</t>
  </si>
  <si>
    <t>€ /heure</t>
  </si>
  <si>
    <t>KwH</t>
  </si>
  <si>
    <t>KwH/ 1000 l de lait</t>
  </si>
  <si>
    <t>Résultats en sortie de COUPROD</t>
  </si>
  <si>
    <t>CPBL</t>
  </si>
  <si>
    <t xml:space="preserve"> € / 1000 l</t>
  </si>
  <si>
    <t>CPTCHCO</t>
  </si>
  <si>
    <t>CPSTALI</t>
  </si>
  <si>
    <t>s/total Approvisionnement des animaux</t>
  </si>
  <si>
    <t>CPCONC</t>
  </si>
  <si>
    <t>CPFOUR</t>
  </si>
  <si>
    <t>CPSTAPS</t>
  </si>
  <si>
    <t>s/total Approvisionnement des surfaces</t>
  </si>
  <si>
    <t>CPENG</t>
  </si>
  <si>
    <t>CPSEM</t>
  </si>
  <si>
    <t>CPACHVEG</t>
  </si>
  <si>
    <t>CPSTFEL</t>
  </si>
  <si>
    <t>s/total Frais d'élevage</t>
  </si>
  <si>
    <t>CPVETO</t>
  </si>
  <si>
    <t>CPAFEL</t>
  </si>
  <si>
    <t>CPSTMECA</t>
  </si>
  <si>
    <t>s/total Mécanisation hors amortissements</t>
  </si>
  <si>
    <t>CPTPT</t>
  </si>
  <si>
    <t>CPCAR</t>
  </si>
  <si>
    <t>CPENTMAT</t>
  </si>
  <si>
    <t>CPPETMAT</t>
  </si>
  <si>
    <t>CPSTBAT</t>
  </si>
  <si>
    <t>s/total Bâtiments hors amortissements</t>
  </si>
  <si>
    <t>CPEAU</t>
  </si>
  <si>
    <t>CPELGAZ</t>
  </si>
  <si>
    <t>CPENTBAT</t>
  </si>
  <si>
    <t>CPSTFGE</t>
  </si>
  <si>
    <t>s/total Frais généraux</t>
  </si>
  <si>
    <t>CPGEST</t>
  </si>
  <si>
    <t>CPFERM</t>
  </si>
  <si>
    <t>CPSAL</t>
  </si>
  <si>
    <t>CPFFI</t>
  </si>
  <si>
    <t>CPTAMO</t>
  </si>
  <si>
    <t>CPAMOMAT</t>
  </si>
  <si>
    <t>CPAMOBAT</t>
  </si>
  <si>
    <t>CPTCHSUP</t>
  </si>
  <si>
    <t>CPTERRE</t>
  </si>
  <si>
    <t>CPCAPIT</t>
  </si>
  <si>
    <t>CPTRAV</t>
  </si>
  <si>
    <t>CPMSA</t>
  </si>
  <si>
    <t>PRODBL</t>
  </si>
  <si>
    <t>PRLAIT</t>
  </si>
  <si>
    <t>PRVIANDE</t>
  </si>
  <si>
    <t>PRSTANI</t>
  </si>
  <si>
    <t>Dont achat d'animaux (en -)</t>
  </si>
  <si>
    <t>PRAIDCOU</t>
  </si>
  <si>
    <t>PRAID2P</t>
  </si>
  <si>
    <t>PRAIDEC</t>
  </si>
  <si>
    <t>RMWBL1</t>
  </si>
  <si>
    <t>Rémunération réelle du travail BL exploitant</t>
  </si>
  <si>
    <t>RMWBL2</t>
  </si>
  <si>
    <t>Smic / umo</t>
  </si>
  <si>
    <t>UMOTotBL</t>
  </si>
  <si>
    <t>UMO exploitants + salariés affectés à l'atelier BL</t>
  </si>
  <si>
    <t>UMOExpBL</t>
  </si>
  <si>
    <t>UMO exploitants affectés à l'atelier BL</t>
  </si>
  <si>
    <t>PLUMOTotBL</t>
  </si>
  <si>
    <t xml:space="preserve">Lait vendu par UMO exploitant + salarié affectés à l'atelier BL </t>
  </si>
  <si>
    <t>PLUMOExpBL</t>
  </si>
  <si>
    <t>KITZERO</t>
  </si>
  <si>
    <t>Kit PR / Prix pour 0 SMIC par UMO expl hors aides découplées et 2° pilier</t>
  </si>
  <si>
    <t>KIT1SMIC</t>
  </si>
  <si>
    <t>Kit PR / Rémunération de la MO exploitant par tranche de 1 SMIC</t>
  </si>
  <si>
    <t>KITAIDEHA</t>
  </si>
  <si>
    <t>Kit PR / Aides découplées + 2° pilier avec répartition par ha de SAU</t>
  </si>
  <si>
    <t>KITAIDEMO</t>
  </si>
  <si>
    <t>PR1,5ZERO</t>
  </si>
  <si>
    <t>Prix de revient 1.5 SMIC hors aides découpl et 2eme pilier</t>
  </si>
  <si>
    <t>PR1,5AIDEHA</t>
  </si>
  <si>
    <t>Prix pour 1.5 SMIC avec aides découpl et 2eme pilier réparties base HA</t>
  </si>
  <si>
    <t>PR1,5AIDEMO</t>
  </si>
  <si>
    <t>Prix pour 1.5 SMIC avec aides découpl et 2eme pilier réparties base UMO</t>
  </si>
  <si>
    <t>BTKCHARGE</t>
  </si>
  <si>
    <t>Bloc technique / Total postes de charges</t>
  </si>
  <si>
    <t>BTKTRAVAIL</t>
  </si>
  <si>
    <t>Bloc technique / Travail</t>
  </si>
  <si>
    <t>BTKCAPITAL</t>
  </si>
  <si>
    <t>Bloc technique / Capital</t>
  </si>
  <si>
    <t>Bloc technique / Frais de gestion</t>
  </si>
  <si>
    <t>BTKBAT</t>
  </si>
  <si>
    <t>Bloc technique / Bâtiments</t>
  </si>
  <si>
    <t>BTKMECA</t>
  </si>
  <si>
    <t>Bloc technique / Mécanisation</t>
  </si>
  <si>
    <t>BTKAUTCH</t>
  </si>
  <si>
    <t>Bloc technique / Frais d'élevage</t>
  </si>
  <si>
    <t>BTKALIM</t>
  </si>
  <si>
    <t>Bloc technique / Alimentation</t>
  </si>
  <si>
    <t>BTKPRODUIT</t>
  </si>
  <si>
    <t>Bloc technique / Total postes de produits</t>
  </si>
  <si>
    <t>BTKVIANDE</t>
  </si>
  <si>
    <t>Bloc technique / Viande et autres</t>
  </si>
  <si>
    <t>BTKAIDES</t>
  </si>
  <si>
    <t>Bloc technique / Aides totales</t>
  </si>
  <si>
    <t>BTKLAIT</t>
  </si>
  <si>
    <t>Bloc technique / Lait commercialisé</t>
  </si>
  <si>
    <t>BCAPRODUIT</t>
  </si>
  <si>
    <t>BCACHOP</t>
  </si>
  <si>
    <t>BCACHSTRU</t>
  </si>
  <si>
    <t>BCAEBE</t>
  </si>
  <si>
    <t>BCANNUITES</t>
  </si>
  <si>
    <t>BCADISPO1</t>
  </si>
  <si>
    <t>BCADISPO2</t>
  </si>
  <si>
    <t>Bloc cpta Atelier / Dispo par UMO expl. BL hors aides découplées</t>
  </si>
  <si>
    <t xml:space="preserve"> € / umo expl BL</t>
  </si>
  <si>
    <t>BCADISPO3</t>
  </si>
  <si>
    <t>Bloc cpta Atelier / Dispo par UMO expl BL avec aides dec. réparties à l'Ha</t>
  </si>
  <si>
    <t>BCEPBUMOT</t>
  </si>
  <si>
    <t>Bloc cpta exploitation / Produit brut par UMO totales</t>
  </si>
  <si>
    <t xml:space="preserve"> € / umo tot</t>
  </si>
  <si>
    <t>BCEEBEPB</t>
  </si>
  <si>
    <t>Bloc cpta exploitation / EBE sur Produit brut</t>
  </si>
  <si>
    <t>BCEEBEUMOE</t>
  </si>
  <si>
    <t>Bloc cpta exploitation / EBE par UMO exploitant</t>
  </si>
  <si>
    <t xml:space="preserve"> € / umo expl</t>
  </si>
  <si>
    <t>BCEANNUITES</t>
  </si>
  <si>
    <t>Bloc cpta exploitation / Annuités sur Produit brut</t>
  </si>
  <si>
    <t>BCEDISPO1</t>
  </si>
  <si>
    <t>Bloc cpta exploitation / Dispo par UMO expl. avec aides découplées</t>
  </si>
  <si>
    <t>BCEDISPO2</t>
  </si>
  <si>
    <t>Bloc cpta exploitation / Dispo par UMO expl. Sans aides découplées</t>
  </si>
  <si>
    <t>BCEDISPO3</t>
  </si>
  <si>
    <t>Bloc cpta exploitation / Aides découplées et 2ème pilier par UMO expl</t>
  </si>
  <si>
    <t>Coût de fonctionnement de l'atelier BL</t>
  </si>
  <si>
    <t>Prix de fonctionnement de l'atelier BL pour 1,5 SMIC/UMO</t>
  </si>
  <si>
    <t>Zone à copier pour alimenter la feuille "Référentiel"</t>
  </si>
  <si>
    <t>UMOTBL</t>
  </si>
  <si>
    <t>PLUMOBL</t>
  </si>
  <si>
    <t>Bloc cpta exploitation / Dispo par UMO expl. savec aides découplées</t>
  </si>
  <si>
    <t>Bloc cpta exploitation / Dispo par UMO expl.sans aides découplées</t>
  </si>
  <si>
    <t>UMO salariés</t>
  </si>
  <si>
    <t>UMO salariés affectées à l'atelier BL</t>
  </si>
  <si>
    <t>VALOVDT</t>
  </si>
  <si>
    <t>Valorisation du lait vente directe et/ou transformé.</t>
  </si>
  <si>
    <t>CSVDT</t>
  </si>
  <si>
    <t>dt frais de commercialisation</t>
  </si>
  <si>
    <t>dt charges annexes</t>
  </si>
  <si>
    <t>dt salaires</t>
  </si>
  <si>
    <t>dt amortissements</t>
  </si>
  <si>
    <t>Dt travail exploitants</t>
  </si>
  <si>
    <t>STRUC_NOMEXP</t>
  </si>
  <si>
    <t>STRUC_DEXERCI</t>
  </si>
  <si>
    <t>STRUC_NOMDEP</t>
  </si>
  <si>
    <t>STRUC_LIBCT</t>
  </si>
  <si>
    <t>STRUC_TATBL</t>
  </si>
  <si>
    <t>STRUC_MOFAMI</t>
  </si>
  <si>
    <t>STRUC_MOSAL</t>
  </si>
  <si>
    <t>STRUC_MOBENE</t>
  </si>
  <si>
    <t>FONC1_TSAU</t>
  </si>
  <si>
    <t>FONC1_HASFP</t>
  </si>
  <si>
    <t>SYSFOU_QDTOT</t>
  </si>
  <si>
    <t>SYSFOU_QRMAIS</t>
  </si>
  <si>
    <t>FONC1_TOTUGB</t>
  </si>
  <si>
    <t>FONC1_NBVL</t>
  </si>
  <si>
    <t>FONC1_NBVA</t>
  </si>
  <si>
    <t>FONC1_JBFININT</t>
  </si>
  <si>
    <t>DTBL_QLAITP</t>
  </si>
  <si>
    <t>ECOPA_AIDTOT</t>
  </si>
  <si>
    <t>ECOPA_TOTPRO</t>
  </si>
  <si>
    <t>ECOCO_TOTCO</t>
  </si>
  <si>
    <t>ECOCSTB_TCSHAF</t>
  </si>
  <si>
    <t>ECOCSTB_SAL</t>
  </si>
  <si>
    <t>ECOCSTB_FONCIER</t>
  </si>
  <si>
    <t>ECOCSTB_AEMPLMT</t>
  </si>
  <si>
    <t>ECOCSTB_TOTAM</t>
  </si>
  <si>
    <t>ECOCSTB_MSA</t>
  </si>
  <si>
    <t>ECOCSTB_FFLMT</t>
  </si>
  <si>
    <t>DTBLCP_BL_LAITCOM</t>
  </si>
  <si>
    <t>DCOMP_MOFAMCLEBL</t>
  </si>
  <si>
    <t>DCOMP_MOSALCLEBL</t>
  </si>
  <si>
    <t>DTBLCP_BLCP_PRODLAIT</t>
  </si>
  <si>
    <t>DTBLCP_BLCP_PRODVIANDE</t>
  </si>
  <si>
    <t>DTBLCP_BLCP_AUTPROD</t>
  </si>
  <si>
    <t>DTBLCP_BLCP_AIDES</t>
  </si>
  <si>
    <t>DTBLCP_BLCP_APPANI</t>
  </si>
  <si>
    <t>DTBLCP_BLCP_APPANI_CONCA</t>
  </si>
  <si>
    <t>DTBLCP_BLCP_APPSURF</t>
  </si>
  <si>
    <t>DTBLCP_BLCP_FELEVA</t>
  </si>
  <si>
    <t>DTBLCP_BLCP_MECA</t>
  </si>
  <si>
    <t>DTBLCP_BLCP_MECA_AMORT</t>
  </si>
  <si>
    <t>DTBLCP_BLCP_BATI</t>
  </si>
  <si>
    <t>DTBLCP_BLCP_BATI_AMORT</t>
  </si>
  <si>
    <t>DTBLCP_BLCP_FGEN</t>
  </si>
  <si>
    <t>DTBLCP_BLCP_FONCAP_FERMAREL</t>
  </si>
  <si>
    <t>DTBLCP_BLCP_FONCAP_AMORT</t>
  </si>
  <si>
    <t>DTBLCP_BLCP_FONCAP_FERMACAL</t>
  </si>
  <si>
    <t>DTBLCP_BLCP_FONCAP_FF</t>
  </si>
  <si>
    <t>DTBLCP_BLCP_FONCAP_REM</t>
  </si>
  <si>
    <t>DTBLCP_BLCP_TRAV_REMTE</t>
  </si>
  <si>
    <t>DTBLCP_BLCP_TRAV_SAL</t>
  </si>
  <si>
    <t>DTBLCP_BLCP_AMORT</t>
  </si>
  <si>
    <t>DTBLCP_BLCP_CHARSUP</t>
  </si>
  <si>
    <t>DTBLCP_BLCP_ANNUITES</t>
  </si>
  <si>
    <t>DTBL_TBMOY</t>
  </si>
  <si>
    <t>DTBL_TPMOY</t>
  </si>
  <si>
    <t>DTBL_QCL</t>
  </si>
  <si>
    <t>DTBLCP_BLCP_MECA_TPT</t>
  </si>
  <si>
    <t>DTBLCP_BLCP_MECA_CARBULUB</t>
  </si>
  <si>
    <t>DTBLCP_BLCP_MECA_ENTMAT</t>
  </si>
  <si>
    <t>DTBLCP_BLCP_BATI_EAU</t>
  </si>
  <si>
    <t>DTBLCP_BLCP_BATI_ELECGAZ</t>
  </si>
  <si>
    <t>DTBLCP_BLCP_BATI_ENTLOC</t>
  </si>
  <si>
    <t>DTBLCP_BLCP_FELEVA_VETO</t>
  </si>
  <si>
    <t>DTBLCP_BLCP_FELEVA_REPIDECP</t>
  </si>
  <si>
    <t>a saisir</t>
  </si>
  <si>
    <t>Regroupements des charges et des produits</t>
  </si>
  <si>
    <t>Vous trouverez ci-dessous les règles de regroupement utilisées pour la décompostion du coût de production.</t>
  </si>
  <si>
    <t>Sont exclus les charges et produits des ateliers hors-sol, des cultures pérennes ou spéciales et des activités non agricoles (tourisme, entreprise,…)</t>
  </si>
  <si>
    <t>Code</t>
  </si>
  <si>
    <t>Poste</t>
  </si>
  <si>
    <t>Détail des éléments pris en compte</t>
  </si>
  <si>
    <t>Charges courantes opérationnelles</t>
  </si>
  <si>
    <t>Concentrés et minéraux achetés,  fourrages achetés (sans les céréales intra-consommées), frais de mise en pension.</t>
  </si>
  <si>
    <t>Semences, phytos, engrais et eau d'irrigation des surfaces fourragères. Idem pour les cultures pour permettre la prise en compte du coût de production des cultures intra-consommées.</t>
  </si>
  <si>
    <t>Frais vétérinaires (honoraires et produits), contrôle de performance, frais de reproduction, frais divers d'élevage, achat de litière, location d'animaux, assurance pour les animaux, taxes animales, frais de transformation, frais de commercialisation, pénalités.</t>
  </si>
  <si>
    <t>Charges courantes structurelles</t>
  </si>
  <si>
    <t>Carburants et lubrifiants, travaux par tiers, entretien du matériel, petit matériel, crédit bail.</t>
  </si>
  <si>
    <t>Bâtiment et installations</t>
  </si>
  <si>
    <t xml:space="preserve">Entretien des bâtiments, eau, gaz, électricité, combustible servant au chauffage ou à la production d'énergie, loyer du matériel (tank à lait, ...) </t>
  </si>
  <si>
    <t>FDG</t>
  </si>
  <si>
    <t>FONC</t>
  </si>
  <si>
    <t>Fermages payés, entretien du foncier, amortissement des améliorations foncières, locations précaires, impôts fonciers non liés aux terres en propriété</t>
  </si>
  <si>
    <t>MOS</t>
  </si>
  <si>
    <t>Amortissements comptables pour le moment, ou éventuellement recalculées.</t>
  </si>
  <si>
    <t>Batiments et installations</t>
  </si>
  <si>
    <t>FOP</t>
  </si>
  <si>
    <t>Foncier en propriété</t>
  </si>
  <si>
    <t>"Fermages" calculés sur les terres en propriété</t>
  </si>
  <si>
    <t>MONS</t>
  </si>
  <si>
    <t>Travail non salarié</t>
  </si>
  <si>
    <t>Main d'œuvre non salariée de l'exploitation (hors main d'œuvre bénévole). La MSA n'est plus considérée dans le calcul depuis que ce dernier se fait su la base du SMIC brut (cf version du 1er mars 2010)</t>
  </si>
  <si>
    <t>Produits</t>
  </si>
  <si>
    <t>LAIT</t>
  </si>
  <si>
    <t>Lait</t>
  </si>
  <si>
    <t>Lait brut commercialisé (x 1000 litres) + lait cédé à un autre atelier</t>
  </si>
  <si>
    <t>Produit viande de l'atelier</t>
  </si>
  <si>
    <t>Génisses laitières et vaches (vendues ou autoconsommées, réformes comprises), veaux de 8 jours vendus ou "cédés" à un atelier viande. Veaux de boucherie s'ils ont été compris dans l'atelier lait.</t>
  </si>
  <si>
    <t>Autres produits de l'atelier</t>
  </si>
  <si>
    <t>exemple : produits financiers.</t>
  </si>
  <si>
    <t>AC</t>
  </si>
  <si>
    <t>PAB vaches laitières, aides SCOP des surfaces fourragères, autres aides couplées.</t>
  </si>
  <si>
    <t>ADP2</t>
  </si>
  <si>
    <t>Aides du 2eme pilier</t>
  </si>
  <si>
    <t>PHAE, autres aides du deuxième pilier (ISM, primes environnementales, …) et aides conjoncturelles</t>
  </si>
  <si>
    <t>Aides découplées</t>
  </si>
  <si>
    <t>DPU</t>
  </si>
  <si>
    <t>Autres regroupements proposés pour une lecture plus technique</t>
  </si>
  <si>
    <t>Achats d'aliments + Charges des surfaces consacrées à l'alimentation des animaux laitiers</t>
  </si>
  <si>
    <t>Autres charges courantes</t>
  </si>
  <si>
    <t>Frais d'élevage + Achats d'animaux + Autres frais généraux</t>
  </si>
  <si>
    <t>Coût des charges courantes de mécanisation + amortissement mécanisation</t>
  </si>
  <si>
    <t>Coût des charges courantes des bâtiments et installations + amortissements bâtiments et installations.</t>
  </si>
  <si>
    <t>Capital</t>
  </si>
  <si>
    <t>Fermages + rémunération des capitaux et du foncier en propriété</t>
  </si>
  <si>
    <t>Salaires + CS Salariales + rémunération de la main d'œuvre des exploitants</t>
  </si>
  <si>
    <t>Notes méthodologiques</t>
  </si>
  <si>
    <t>Dans cette feuille vous trouverez un certain nombre de précisions ou d'explications d'ordre méthodologique. La liste est encore très incomplète, mais elle s'enrichira au fil des versions. Les informations sont classées dans l'ordre des ligne de la feuille "Calcul", avec référence éventuelle à la cellule de la feuille "Calcul" à laquelle elles se rapportent.</t>
  </si>
  <si>
    <t>Objet / question</t>
  </si>
  <si>
    <t>précisions / réponse</t>
  </si>
  <si>
    <t>Lait vendu laiterie + lait cédé à un autre atelier + Lait Vente Directe ou transfo</t>
  </si>
  <si>
    <t>Produit viande atelier BL</t>
  </si>
  <si>
    <t>Vente ou autoconsommation de génisses laitières et de vaches (réformes comprises), vente de veaux de 8 jours et cession éventuelle de veaux de 8 jours à un atelier viande au prix de vente habituel, le tout ajusté des variations d'inventaires.</t>
  </si>
  <si>
    <t>Comment sont réparties les DPU ?</t>
  </si>
  <si>
    <t>La répartition est faite pour l'instant au pro-rata de la SAU mobilisée par chaque atelier.</t>
  </si>
  <si>
    <t>Comment est répartie la PHAE ?</t>
  </si>
  <si>
    <t>La répartition est faite au pro-rata des surfaces en herbe utilisée par les différents ateliers.</t>
  </si>
  <si>
    <t>Comment sont réparties les autres aides du 2eme pilier ?</t>
  </si>
  <si>
    <t>La répartition est faite au pro-rata des UGB de chaque atelier.</t>
  </si>
  <si>
    <t>Les impôts fonciers ne sont pas pris en compte ici, car le coût d'opportunité affecté aux terres en propriété est supposé couvrir cette charge. Si une partie de cet impôt n'est pas lié à des terres en propriété, alors il est à rajouter au poste "fermage (frais réels),</t>
  </si>
  <si>
    <t>Les intérêts des emprunts pour achat de foncier ne sont pas pris en compte ici, car le coût d'opportunité affecté aux terres en propriété est supposé couvrir cette charge.</t>
  </si>
  <si>
    <t>Que vient faire l'EBE dans le calcul du coût de production ?</t>
  </si>
  <si>
    <t>Sa reconstitution permet de vérifier que toutes les charges et produits ont bien été prises en compte. Noter qu'il s'agit d'un EBE hors activités exclues (hors-sol, cultures pérennes &amp; spéciales, activités non strictement agricoles comme le tourisme à la ferme, ...),</t>
  </si>
  <si>
    <t>Que viennent faire les impôts fonciers dans le calcul du coût de production ?</t>
  </si>
  <si>
    <t>Rien, sauf s'il s'agit d'impôts fonciers non liés à des terres en propriété. On a juste besoin de les avoir pour recalculer l'EBE (cf question ci-dessus).</t>
  </si>
  <si>
    <t>Peut-on remplacer les amortissements par les remboursement d'emprunt ?</t>
  </si>
  <si>
    <t>Il peut être interessant de calculer le coût de production en comptant à la place des amortissements comptables des investissements, le capital d'emprunt annuel remboursé. Ce coût sera alors plus proche de la trésorerie annuelle de l'exploitation.</t>
  </si>
  <si>
    <t>Rémunération réelle du travail non salarié ?</t>
  </si>
  <si>
    <t>C'est la rémunération du travail non salarié qui équilibre produits et coûts. Le calcul est = Produits - charges hors rémunération forfaitaire du travail non salarié.</t>
  </si>
  <si>
    <t>charges opérationnelles</t>
  </si>
  <si>
    <t>ALI + APS + FEL+achats d'animaux</t>
  </si>
  <si>
    <t xml:space="preserve">Charges struct. Hors FF, amort </t>
  </si>
  <si>
    <t>MECA+BAT+FGE (hors frais financiers)+MSA</t>
  </si>
  <si>
    <t>EBE de l'atelier lait</t>
  </si>
  <si>
    <t>EBE de l'atelier lait= produit de l'atelier lait - charges courantes hors frais financiers + MSA</t>
  </si>
  <si>
    <t>Revenu disponible de l'atelier lait</t>
  </si>
  <si>
    <t xml:space="preserve"> Revenu disponible pour prélévement privé (PP) et autofinancement (AF) = EBE de l'atelier lait - annuités de l'atelier lait. Les annuités sont réparties avec la clé "CAP".</t>
  </si>
  <si>
    <t>Lait donné aux veaux à partir au delà du moment ou il quitte l'atelier laitier.</t>
  </si>
  <si>
    <t>Comment est calculé le prix pour rémunérer le travail non salarié à 1,5 SMIC</t>
  </si>
  <si>
    <t>Coût de production de l'atelier (avec une charge supplétive du travail non salarié comptée à un coût forfaitaire de 1,5 SMIC/UMO exploitant - Produits joints - aides</t>
  </si>
  <si>
    <t>Comment est calculé le prix pour rémunérer toutes les charges excepté le travail des exploitants</t>
  </si>
  <si>
    <t>Idem calcul précédent mais en déduisant le travail exploitant (ou = à 0 SMIC) du coût de production</t>
  </si>
  <si>
    <t>Qu'est ce que le RCAI ?</t>
  </si>
  <si>
    <t>C'est l'acronyme de Revenu Courant Avant Impôt = EBE - amortissements - Frais financiers + charges sociales exploitant</t>
  </si>
  <si>
    <t>Qu'est ce que le prix de revient pour "N" SMIC ?</t>
  </si>
  <si>
    <t>C'est le prix du lait qui assure la rémunération du travail exploitants à un niveau de N SMIC brut par UMO</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</si>
</sst>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0.00&quot; € &quot;;\-#,##0.00&quot; € &quot;;&quot; -&quot;#&quot; € &quot;;@\ "/>
    <numFmt numFmtId="165" formatCode="#,##0.0&quot;   &quot;"/>
    <numFmt numFmtId="166" formatCode="0.0"/>
    <numFmt numFmtId="167" formatCode="#,##0&quot;   &quot;"/>
    <numFmt numFmtId="168" formatCode="#,##0.00&quot;   &quot;"/>
    <numFmt numFmtId="169" formatCode="#,##0\ [$€-40C]\ ;\-#,##0\ [$€-40C]\ ;&quot; -&quot;#\ [$€-40C]\ ;@\ "/>
    <numFmt numFmtId="170" formatCode="#,##0&quot; € &quot;;\-#,##0&quot; € &quot;;&quot; -&quot;#&quot; € &quot;;@\ "/>
    <numFmt numFmtId="171" formatCode="#,##0\ [$€-40C];\-#,##0\ [$€-40C]"/>
    <numFmt numFmtId="172" formatCode="0.0&quot; ha&quot;"/>
    <numFmt numFmtId="173" formatCode="#,##0.00\ ;\-#,##0.00\ "/>
    <numFmt numFmtId="174" formatCode="0&quot; ha&quot;"/>
    <numFmt numFmtId="175" formatCode="#,##0.0&quot; € &quot;;\-#,##0.0&quot; € &quot;;&quot; -&quot;#&quot; € &quot;;@\ "/>
    <numFmt numFmtId="176" formatCode="#,##0.000\ ;\-#,##0.000\ "/>
    <numFmt numFmtId="177" formatCode="#,##0.00&quot; € &quot;;\-#,##0.00&quot; € &quot;;&quot; -&quot;#.00&quot; € &quot;;@\ "/>
    <numFmt numFmtId="178" formatCode="#,##0&quot; €&quot;"/>
    <numFmt numFmtId="179" formatCode="\(#,##0&quot; €)&quot;"/>
    <numFmt numFmtId="180" formatCode="#,##0.00\ [$€-81D];\-#,##0.00\ [$€-81D]"/>
    <numFmt numFmtId="181" formatCode="#,##0.00&quot; €&quot;"/>
    <numFmt numFmtId="182" formatCode="0.0%"/>
    <numFmt numFmtId="183" formatCode="#,##0&quot; € &quot;;\-#,##0&quot; € &quot;;&quot; - € &quot;;@\ "/>
    <numFmt numFmtId="184" formatCode="0.0&quot; UMO&quot;"/>
    <numFmt numFmtId="185" formatCode="#,##0.0"/>
    <numFmt numFmtId="186" formatCode="mmmm\-yy;@"/>
    <numFmt numFmtId="187" formatCode="dd/mm/yy;@"/>
  </numFmts>
  <fonts count="103" x14ac:knownFonts="1">
    <font>
      <sz val="10"/>
      <name val="Arial"/>
      <family val="2"/>
    </font>
    <font>
      <sz val="9"/>
      <name val="Arial"/>
      <family val="2"/>
    </font>
    <font>
      <b/>
      <sz val="9"/>
      <color indexed="10"/>
      <name val="Arial"/>
      <family val="2"/>
    </font>
    <font>
      <b/>
      <sz val="14"/>
      <color indexed="16"/>
      <name val="Arial"/>
      <family val="2"/>
    </font>
    <font>
      <sz val="9"/>
      <color indexed="10"/>
      <name val="Arial"/>
      <family val="2"/>
    </font>
    <font>
      <b/>
      <sz val="10"/>
      <color indexed="16"/>
      <name val="Arial"/>
      <family val="2"/>
    </font>
    <font>
      <sz val="10"/>
      <color indexed="10"/>
      <name val="Arial"/>
      <family val="2"/>
    </font>
    <font>
      <sz val="10"/>
      <color indexed="16"/>
      <name val="Arial"/>
      <family val="2"/>
    </font>
    <font>
      <b/>
      <sz val="11"/>
      <color indexed="9"/>
      <name val="Arial"/>
      <family val="2"/>
    </font>
    <font>
      <sz val="11"/>
      <name val="Arial"/>
      <family val="2"/>
    </font>
    <font>
      <sz val="11"/>
      <color indexed="10"/>
      <name val="Arial"/>
      <family val="2"/>
    </font>
    <font>
      <sz val="11"/>
      <color indexed="9"/>
      <name val="Arial"/>
      <family val="2"/>
    </font>
    <font>
      <b/>
      <sz val="9"/>
      <name val="Arial"/>
      <family val="2"/>
    </font>
    <font>
      <sz val="11"/>
      <color indexed="55"/>
      <name val="Arial"/>
      <family val="2"/>
    </font>
    <font>
      <b/>
      <sz val="9"/>
      <color indexed="48"/>
      <name val="Arial"/>
      <family val="2"/>
    </font>
    <font>
      <sz val="9"/>
      <color indexed="60"/>
      <name val="Arial"/>
      <family val="2"/>
    </font>
    <font>
      <b/>
      <sz val="9"/>
      <color indexed="60"/>
      <name val="Arial"/>
      <family val="2"/>
    </font>
    <font>
      <b/>
      <u/>
      <sz val="9"/>
      <name val="Arial"/>
      <family val="2"/>
    </font>
    <font>
      <sz val="11"/>
      <color indexed="16"/>
      <name val="Arial"/>
      <family val="2"/>
    </font>
    <font>
      <b/>
      <sz val="12"/>
      <color indexed="10"/>
      <name val="Arial"/>
      <family val="2"/>
    </font>
    <font>
      <b/>
      <sz val="10"/>
      <color indexed="9"/>
      <name val="Arial"/>
      <family val="2"/>
    </font>
    <font>
      <i/>
      <sz val="9"/>
      <color indexed="16"/>
      <name val="Arial"/>
      <family val="2"/>
    </font>
    <font>
      <sz val="9"/>
      <color indexed="16"/>
      <name val="Arial"/>
      <family val="2"/>
    </font>
    <font>
      <sz val="8"/>
      <name val="Arial"/>
      <family val="2"/>
    </font>
    <font>
      <b/>
      <sz val="13.5"/>
      <color indexed="16"/>
      <name val="Arial"/>
      <family val="2"/>
    </font>
    <font>
      <u/>
      <sz val="9"/>
      <name val="Arial"/>
      <family val="2"/>
    </font>
    <font>
      <b/>
      <sz val="11"/>
      <color indexed="10"/>
      <name val="Calibri"/>
      <family val="2"/>
    </font>
    <font>
      <b/>
      <sz val="8"/>
      <color indexed="9"/>
      <name val="Arial"/>
      <family val="2"/>
    </font>
    <font>
      <sz val="11"/>
      <color indexed="10"/>
      <name val="Calibri"/>
      <family val="2"/>
    </font>
    <font>
      <b/>
      <sz val="11"/>
      <color indexed="8"/>
      <name val="Calibri"/>
      <family val="2"/>
    </font>
    <font>
      <i/>
      <sz val="10"/>
      <name val="Arial"/>
      <family val="2"/>
    </font>
    <font>
      <sz val="9"/>
      <color indexed="9"/>
      <name val="Arial"/>
      <family val="2"/>
    </font>
    <font>
      <b/>
      <sz val="9"/>
      <color indexed="9"/>
      <name val="Arial"/>
      <family val="2"/>
    </font>
    <font>
      <sz val="8"/>
      <color indexed="10"/>
      <name val="Arial"/>
      <family val="2"/>
    </font>
    <font>
      <sz val="8"/>
      <color indexed="54"/>
      <name val="Arial"/>
      <family val="2"/>
    </font>
    <font>
      <b/>
      <sz val="8"/>
      <name val="Arial"/>
      <family val="2"/>
    </font>
    <font>
      <sz val="8"/>
      <color indexed="9"/>
      <name val="Arial"/>
      <family val="2"/>
    </font>
    <font>
      <b/>
      <sz val="10"/>
      <name val="Arial"/>
      <family val="2"/>
    </font>
    <font>
      <b/>
      <sz val="8"/>
      <color indexed="10"/>
      <name val="Arial"/>
      <family val="2"/>
    </font>
    <font>
      <b/>
      <i/>
      <sz val="9"/>
      <color indexed="10"/>
      <name val="Arial"/>
      <family val="2"/>
    </font>
    <font>
      <sz val="9"/>
      <color indexed="62"/>
      <name val="Arial"/>
      <family val="2"/>
    </font>
    <font>
      <u/>
      <sz val="8"/>
      <name val="Arial"/>
      <family val="2"/>
    </font>
    <font>
      <sz val="10"/>
      <color indexed="8"/>
      <name val="Arial"/>
      <family val="2"/>
    </font>
    <font>
      <sz val="9"/>
      <color indexed="18"/>
      <name val="Arial"/>
      <family val="2"/>
    </font>
    <font>
      <sz val="8"/>
      <color indexed="18"/>
      <name val="Arial"/>
      <family val="2"/>
    </font>
    <font>
      <sz val="8"/>
      <color indexed="16"/>
      <name val="Arial"/>
      <family val="2"/>
    </font>
    <font>
      <b/>
      <sz val="13"/>
      <name val="Arial"/>
      <family val="2"/>
    </font>
    <font>
      <sz val="10"/>
      <color indexed="60"/>
      <name val="Arial"/>
      <family val="2"/>
    </font>
    <font>
      <b/>
      <sz val="9"/>
      <color indexed="18"/>
      <name val="Arial"/>
      <family val="2"/>
    </font>
    <font>
      <b/>
      <sz val="10"/>
      <color indexed="18"/>
      <name val="Arial"/>
      <family val="2"/>
    </font>
    <font>
      <sz val="9"/>
      <color indexed="20"/>
      <name val="Arial"/>
      <family val="2"/>
    </font>
    <font>
      <b/>
      <sz val="12"/>
      <name val="Arial"/>
      <family val="2"/>
    </font>
    <font>
      <b/>
      <sz val="12"/>
      <color indexed="18"/>
      <name val="Arial"/>
      <family val="2"/>
    </font>
    <font>
      <b/>
      <sz val="12"/>
      <color indexed="16"/>
      <name val="Arial"/>
      <family val="2"/>
    </font>
    <font>
      <sz val="10"/>
      <color indexed="18"/>
      <name val="Arial"/>
      <family val="2"/>
    </font>
    <font>
      <b/>
      <sz val="14"/>
      <color indexed="10"/>
      <name val="Arial"/>
      <family val="2"/>
    </font>
    <font>
      <b/>
      <sz val="13"/>
      <color indexed="16"/>
      <name val="Arial"/>
      <family val="2"/>
    </font>
    <font>
      <b/>
      <sz val="11"/>
      <color indexed="16"/>
      <name val="Arial"/>
      <family val="2"/>
    </font>
    <font>
      <b/>
      <sz val="7"/>
      <color indexed="60"/>
      <name val="Arial"/>
      <family val="2"/>
    </font>
    <font>
      <b/>
      <sz val="9"/>
      <color indexed="16"/>
      <name val="Arial"/>
      <family val="2"/>
    </font>
    <font>
      <b/>
      <sz val="10.5"/>
      <color indexed="9"/>
      <name val="Arial"/>
      <family val="2"/>
    </font>
    <font>
      <b/>
      <sz val="10"/>
      <color indexed="60"/>
      <name val="Arial"/>
      <family val="2"/>
    </font>
    <font>
      <b/>
      <sz val="9"/>
      <color indexed="49"/>
      <name val="Arial"/>
      <family val="2"/>
    </font>
    <font>
      <b/>
      <sz val="10.5"/>
      <color indexed="18"/>
      <name val="Arial"/>
      <family val="2"/>
    </font>
    <font>
      <b/>
      <sz val="11"/>
      <name val="Arial"/>
      <family val="2"/>
    </font>
    <font>
      <sz val="10"/>
      <color indexed="40"/>
      <name val="Arial"/>
      <family val="2"/>
    </font>
    <font>
      <b/>
      <sz val="10"/>
      <color indexed="40"/>
      <name val="Arial"/>
      <family val="2"/>
    </font>
    <font>
      <b/>
      <sz val="10.5"/>
      <color indexed="60"/>
      <name val="Arial"/>
      <family val="2"/>
    </font>
    <font>
      <i/>
      <sz val="10"/>
      <color indexed="9"/>
      <name val="Arial"/>
      <family val="2"/>
    </font>
    <font>
      <b/>
      <u/>
      <sz val="10"/>
      <name val="Arial"/>
      <family val="2"/>
    </font>
    <font>
      <b/>
      <sz val="9"/>
      <color indexed="58"/>
      <name val="Arial"/>
      <family val="2"/>
    </font>
    <font>
      <b/>
      <sz val="8"/>
      <color indexed="60"/>
      <name val="Arial"/>
      <family val="2"/>
    </font>
    <font>
      <b/>
      <sz val="11"/>
      <color indexed="10"/>
      <name val="Arial"/>
      <family val="2"/>
    </font>
    <font>
      <sz val="10"/>
      <name val="Mangal"/>
      <family val="2"/>
    </font>
    <font>
      <b/>
      <sz val="10"/>
      <color indexed="10"/>
      <name val="Arial"/>
      <family val="2"/>
    </font>
    <font>
      <b/>
      <sz val="8"/>
      <color indexed="18"/>
      <name val="Arial"/>
      <family val="2"/>
    </font>
    <font>
      <sz val="8"/>
      <color indexed="60"/>
      <name val="Arial"/>
      <family val="2"/>
    </font>
    <font>
      <b/>
      <sz val="11"/>
      <color indexed="58"/>
      <name val="Arial"/>
      <family val="2"/>
    </font>
    <font>
      <b/>
      <sz val="12"/>
      <color indexed="9"/>
      <name val="Arial"/>
      <family val="2"/>
    </font>
    <font>
      <sz val="10"/>
      <color indexed="9"/>
      <name val="Arial"/>
      <family val="2"/>
    </font>
    <font>
      <b/>
      <sz val="14"/>
      <color indexed="60"/>
      <name val="Arial"/>
      <family val="2"/>
    </font>
    <font>
      <b/>
      <sz val="10"/>
      <color indexed="58"/>
      <name val="Arial"/>
      <family val="2"/>
    </font>
    <font>
      <sz val="10"/>
      <color indexed="58"/>
      <name val="Arial"/>
      <family val="2"/>
    </font>
    <font>
      <b/>
      <sz val="11"/>
      <color indexed="60"/>
      <name val="Arial"/>
      <family val="2"/>
    </font>
    <font>
      <sz val="8"/>
      <color indexed="32"/>
      <name val="Arial"/>
      <family val="2"/>
    </font>
    <font>
      <b/>
      <sz val="10.5"/>
      <color indexed="58"/>
      <name val="Arial"/>
      <family val="2"/>
    </font>
    <font>
      <b/>
      <i/>
      <sz val="10"/>
      <color indexed="10"/>
      <name val="Arial"/>
      <family val="2"/>
    </font>
    <font>
      <i/>
      <sz val="8"/>
      <color indexed="10"/>
      <name val="Arial"/>
      <family val="2"/>
    </font>
    <font>
      <sz val="11"/>
      <color indexed="18"/>
      <name val="Arial"/>
      <family val="2"/>
    </font>
    <font>
      <sz val="18"/>
      <color indexed="10"/>
      <name val="Arial"/>
      <family val="2"/>
    </font>
    <font>
      <b/>
      <sz val="14"/>
      <name val="Arial"/>
      <family val="2"/>
    </font>
    <font>
      <i/>
      <sz val="10"/>
      <color indexed="10"/>
      <name val="Arial"/>
      <family val="2"/>
    </font>
    <font>
      <i/>
      <sz val="8"/>
      <name val="Arial"/>
      <family val="2"/>
    </font>
    <font>
      <sz val="8"/>
      <color indexed="12"/>
      <name val="Arial"/>
      <family val="2"/>
    </font>
    <font>
      <b/>
      <sz val="10"/>
      <color indexed="12"/>
      <name val="Arial"/>
      <family val="2"/>
    </font>
    <font>
      <b/>
      <sz val="11"/>
      <color indexed="13"/>
      <name val="Arial"/>
      <family val="2"/>
    </font>
    <font>
      <sz val="8"/>
      <color indexed="13"/>
      <name val="Arial"/>
      <family val="2"/>
    </font>
    <font>
      <sz val="11"/>
      <color indexed="13"/>
      <name val="Arial"/>
      <family val="2"/>
    </font>
    <font>
      <sz val="11"/>
      <color indexed="40"/>
      <name val="Arial"/>
      <family val="2"/>
    </font>
    <font>
      <i/>
      <sz val="9"/>
      <name val="Arial"/>
      <family val="2"/>
    </font>
    <font>
      <b/>
      <sz val="9"/>
      <color indexed="59"/>
      <name val="Arial"/>
      <family val="2"/>
    </font>
    <font>
      <sz val="9"/>
      <color indexed="59"/>
      <name val="Arial"/>
      <family val="2"/>
    </font>
    <font>
      <sz val="10"/>
      <name val="Arial"/>
      <family val="2"/>
    </font>
  </fonts>
  <fills count="40">
    <fill>
      <patternFill patternType="none"/>
    </fill>
    <fill>
      <patternFill patternType="gray125"/>
    </fill>
    <fill>
      <patternFill patternType="solid">
        <fgColor indexed="54"/>
        <bgColor indexed="38"/>
      </patternFill>
    </fill>
    <fill>
      <patternFill patternType="solid">
        <fgColor indexed="10"/>
        <bgColor indexed="37"/>
      </patternFill>
    </fill>
    <fill>
      <patternFill patternType="solid">
        <fgColor indexed="47"/>
        <bgColor indexed="36"/>
      </patternFill>
    </fill>
    <fill>
      <patternFill patternType="solid">
        <fgColor indexed="55"/>
        <bgColor indexed="23"/>
      </patternFill>
    </fill>
    <fill>
      <patternFill patternType="solid">
        <fgColor indexed="9"/>
        <bgColor indexed="26"/>
      </patternFill>
    </fill>
    <fill>
      <patternFill patternType="solid">
        <fgColor indexed="15"/>
        <bgColor indexed="31"/>
      </patternFill>
    </fill>
    <fill>
      <patternFill patternType="solid">
        <fgColor indexed="13"/>
        <bgColor indexed="51"/>
      </patternFill>
    </fill>
    <fill>
      <patternFill patternType="solid">
        <fgColor indexed="43"/>
        <bgColor indexed="26"/>
      </patternFill>
    </fill>
    <fill>
      <patternFill patternType="solid">
        <fgColor indexed="44"/>
        <bgColor indexed="24"/>
      </patternFill>
    </fill>
    <fill>
      <patternFill patternType="solid">
        <fgColor indexed="26"/>
        <bgColor indexed="39"/>
      </patternFill>
    </fill>
    <fill>
      <patternFill patternType="solid">
        <fgColor indexed="51"/>
        <bgColor indexed="34"/>
      </patternFill>
    </fill>
    <fill>
      <patternFill patternType="solid">
        <fgColor indexed="60"/>
        <bgColor indexed="61"/>
      </patternFill>
    </fill>
    <fill>
      <patternFill patternType="solid">
        <fgColor indexed="22"/>
        <bgColor indexed="35"/>
      </patternFill>
    </fill>
    <fill>
      <patternFill patternType="solid">
        <fgColor indexed="34"/>
        <bgColor indexed="51"/>
      </patternFill>
    </fill>
    <fill>
      <patternFill patternType="solid">
        <fgColor indexed="50"/>
        <bgColor indexed="11"/>
      </patternFill>
    </fill>
    <fill>
      <patternFill patternType="solid">
        <fgColor indexed="27"/>
        <bgColor indexed="41"/>
      </patternFill>
    </fill>
    <fill>
      <patternFill patternType="solid">
        <fgColor indexed="57"/>
        <bgColor indexed="21"/>
      </patternFill>
    </fill>
    <fill>
      <patternFill patternType="solid">
        <fgColor indexed="52"/>
        <bgColor indexed="34"/>
      </patternFill>
    </fill>
    <fill>
      <patternFill patternType="solid">
        <fgColor indexed="18"/>
        <bgColor indexed="32"/>
      </patternFill>
    </fill>
    <fill>
      <patternFill patternType="solid">
        <fgColor indexed="41"/>
        <bgColor indexed="39"/>
      </patternFill>
    </fill>
    <fill>
      <patternFill patternType="solid">
        <fgColor indexed="39"/>
        <bgColor indexed="41"/>
      </patternFill>
    </fill>
    <fill>
      <patternFill patternType="solid">
        <fgColor indexed="42"/>
        <bgColor indexed="27"/>
      </patternFill>
    </fill>
    <fill>
      <patternFill patternType="solid">
        <fgColor indexed="63"/>
        <bgColor indexed="54"/>
      </patternFill>
    </fill>
    <fill>
      <patternFill patternType="solid">
        <fgColor indexed="61"/>
        <bgColor indexed="60"/>
      </patternFill>
    </fill>
    <fill>
      <patternFill patternType="solid">
        <fgColor indexed="29"/>
        <bgColor indexed="53"/>
      </patternFill>
    </fill>
    <fill>
      <patternFill patternType="solid">
        <fgColor indexed="46"/>
        <bgColor indexed="14"/>
      </patternFill>
    </fill>
    <fill>
      <patternFill patternType="solid">
        <fgColor indexed="53"/>
        <bgColor indexed="29"/>
      </patternFill>
    </fill>
    <fill>
      <patternFill patternType="solid">
        <fgColor indexed="36"/>
        <bgColor indexed="47"/>
      </patternFill>
    </fill>
    <fill>
      <patternFill patternType="solid">
        <fgColor indexed="21"/>
        <bgColor indexed="54"/>
      </patternFill>
    </fill>
    <fill>
      <patternFill patternType="solid">
        <fgColor indexed="24"/>
        <bgColor indexed="44"/>
      </patternFill>
    </fill>
    <fill>
      <patternFill patternType="solid">
        <fgColor indexed="17"/>
        <bgColor indexed="57"/>
      </patternFill>
    </fill>
    <fill>
      <patternFill patternType="solid">
        <fgColor indexed="19"/>
        <bgColor indexed="11"/>
      </patternFill>
    </fill>
    <fill>
      <patternFill patternType="solid">
        <fgColor indexed="30"/>
        <bgColor indexed="54"/>
      </patternFill>
    </fill>
    <fill>
      <patternFill patternType="solid">
        <fgColor indexed="14"/>
        <bgColor indexed="36"/>
      </patternFill>
    </fill>
    <fill>
      <patternFill patternType="solid">
        <fgColor indexed="62"/>
        <bgColor indexed="63"/>
      </patternFill>
    </fill>
    <fill>
      <patternFill patternType="solid">
        <fgColor indexed="31"/>
        <bgColor indexed="15"/>
      </patternFill>
    </fill>
    <fill>
      <patternFill patternType="solid">
        <fgColor indexed="45"/>
        <bgColor indexed="46"/>
      </patternFill>
    </fill>
    <fill>
      <patternFill patternType="solid">
        <fgColor indexed="28"/>
        <bgColor indexed="20"/>
      </patternFill>
    </fill>
  </fills>
  <borders count="202">
    <border>
      <left/>
      <right/>
      <top/>
      <bottom/>
      <diagonal/>
    </border>
    <border>
      <left style="medium">
        <color indexed="54"/>
      </left>
      <right/>
      <top style="medium">
        <color indexed="54"/>
      </top>
      <bottom/>
      <diagonal/>
    </border>
    <border>
      <left/>
      <right/>
      <top style="medium">
        <color indexed="54"/>
      </top>
      <bottom/>
      <diagonal/>
    </border>
    <border>
      <left/>
      <right style="medium">
        <color indexed="54"/>
      </right>
      <top style="medium">
        <color indexed="54"/>
      </top>
      <bottom/>
      <diagonal/>
    </border>
    <border>
      <left/>
      <right/>
      <top/>
      <bottom style="hair">
        <color indexed="54"/>
      </bottom>
      <diagonal/>
    </border>
    <border>
      <left/>
      <right/>
      <top style="hair">
        <color indexed="54"/>
      </top>
      <bottom/>
      <diagonal/>
    </border>
    <border>
      <left/>
      <right/>
      <top style="hair">
        <color indexed="54"/>
      </top>
      <bottom style="hair">
        <color indexed="54"/>
      </bottom>
      <diagonal/>
    </border>
    <border>
      <left/>
      <right/>
      <top style="thin">
        <color indexed="8"/>
      </top>
      <bottom/>
      <diagonal/>
    </border>
    <border>
      <left/>
      <right/>
      <top/>
      <bottom style="medium">
        <color indexed="54"/>
      </bottom>
      <diagonal/>
    </border>
    <border>
      <left style="medium">
        <color indexed="54"/>
      </left>
      <right/>
      <top style="medium">
        <color indexed="54"/>
      </top>
      <bottom style="medium">
        <color indexed="54"/>
      </bottom>
      <diagonal/>
    </border>
    <border>
      <left/>
      <right/>
      <top style="medium">
        <color indexed="54"/>
      </top>
      <bottom style="medium">
        <color indexed="54"/>
      </bottom>
      <diagonal/>
    </border>
    <border>
      <left style="medium">
        <color indexed="54"/>
      </left>
      <right style="medium">
        <color indexed="54"/>
      </right>
      <top style="medium">
        <color indexed="54"/>
      </top>
      <bottom style="medium">
        <color indexed="54"/>
      </bottom>
      <diagonal/>
    </border>
    <border>
      <left/>
      <right style="medium">
        <color indexed="54"/>
      </right>
      <top style="medium">
        <color indexed="54"/>
      </top>
      <bottom style="medium">
        <color indexed="54"/>
      </bottom>
      <diagonal/>
    </border>
    <border>
      <left/>
      <right/>
      <top/>
      <bottom style="hair">
        <color indexed="8"/>
      </bottom>
      <diagonal/>
    </border>
    <border>
      <left style="medium">
        <color indexed="54"/>
      </left>
      <right style="medium">
        <color indexed="54"/>
      </right>
      <top/>
      <bottom style="hair">
        <color indexed="8"/>
      </bottom>
      <diagonal/>
    </border>
    <border>
      <left/>
      <right/>
      <top style="hair">
        <color indexed="8"/>
      </top>
      <bottom/>
      <diagonal/>
    </border>
    <border>
      <left style="medium">
        <color indexed="54"/>
      </left>
      <right style="medium">
        <color indexed="54"/>
      </right>
      <top style="hair">
        <color indexed="8"/>
      </top>
      <bottom/>
      <diagonal/>
    </border>
    <border>
      <left/>
      <right/>
      <top style="hair">
        <color indexed="8"/>
      </top>
      <bottom style="thick">
        <color indexed="54"/>
      </bottom>
      <diagonal/>
    </border>
    <border>
      <left style="medium">
        <color indexed="54"/>
      </left>
      <right style="medium">
        <color indexed="54"/>
      </right>
      <top style="hair">
        <color indexed="8"/>
      </top>
      <bottom style="thick">
        <color indexed="54"/>
      </bottom>
      <diagonal/>
    </border>
    <border>
      <left/>
      <right/>
      <top style="thick">
        <color indexed="54"/>
      </top>
      <bottom style="hair">
        <color indexed="54"/>
      </bottom>
      <diagonal/>
    </border>
    <border>
      <left style="medium">
        <color indexed="54"/>
      </left>
      <right style="medium">
        <color indexed="54"/>
      </right>
      <top style="thick">
        <color indexed="54"/>
      </top>
      <bottom style="hair">
        <color indexed="54"/>
      </bottom>
      <diagonal/>
    </border>
    <border>
      <left style="medium">
        <color indexed="54"/>
      </left>
      <right style="medium">
        <color indexed="54"/>
      </right>
      <top/>
      <bottom style="hair">
        <color indexed="54"/>
      </bottom>
      <diagonal/>
    </border>
    <border>
      <left style="medium">
        <color indexed="54"/>
      </left>
      <right/>
      <top/>
      <bottom/>
      <diagonal/>
    </border>
    <border>
      <left style="medium">
        <color indexed="54"/>
      </left>
      <right style="medium">
        <color indexed="54"/>
      </right>
      <top style="hair">
        <color indexed="54"/>
      </top>
      <bottom style="thin">
        <color indexed="54"/>
      </bottom>
      <diagonal/>
    </border>
    <border>
      <left/>
      <right style="medium">
        <color indexed="54"/>
      </right>
      <top style="hair">
        <color indexed="54"/>
      </top>
      <bottom style="thin">
        <color indexed="54"/>
      </bottom>
      <diagonal/>
    </border>
    <border>
      <left/>
      <right/>
      <top/>
      <bottom style="thick">
        <color indexed="54"/>
      </bottom>
      <diagonal/>
    </border>
    <border>
      <left style="medium">
        <color indexed="54"/>
      </left>
      <right style="medium">
        <color indexed="54"/>
      </right>
      <top/>
      <bottom style="thick">
        <color indexed="54"/>
      </bottom>
      <diagonal/>
    </border>
    <border>
      <left style="medium">
        <color indexed="54"/>
      </left>
      <right/>
      <top/>
      <bottom style="thick">
        <color indexed="54"/>
      </bottom>
      <diagonal/>
    </border>
    <border>
      <left style="medium">
        <color indexed="54"/>
      </left>
      <right style="medium">
        <color indexed="54"/>
      </right>
      <top style="thin">
        <color indexed="54"/>
      </top>
      <bottom style="thick">
        <color indexed="54"/>
      </bottom>
      <diagonal/>
    </border>
    <border>
      <left/>
      <right style="medium">
        <color indexed="54"/>
      </right>
      <top style="thin">
        <color indexed="54"/>
      </top>
      <bottom style="thick">
        <color indexed="54"/>
      </bottom>
      <diagonal/>
    </border>
    <border>
      <left style="medium">
        <color indexed="54"/>
      </left>
      <right style="medium">
        <color indexed="54"/>
      </right>
      <top/>
      <bottom/>
      <diagonal/>
    </border>
    <border>
      <left style="medium">
        <color indexed="54"/>
      </left>
      <right style="medium">
        <color indexed="54"/>
      </right>
      <top style="hair">
        <color indexed="54"/>
      </top>
      <bottom style="hair">
        <color indexed="54"/>
      </bottom>
      <diagonal/>
    </border>
    <border>
      <left/>
      <right/>
      <top style="hair">
        <color indexed="54"/>
      </top>
      <bottom style="medium">
        <color indexed="54"/>
      </bottom>
      <diagonal/>
    </border>
    <border>
      <left style="medium">
        <color indexed="54"/>
      </left>
      <right style="medium">
        <color indexed="54"/>
      </right>
      <top style="hair">
        <color indexed="54"/>
      </top>
      <bottom style="medium">
        <color indexed="54"/>
      </bottom>
      <diagonal/>
    </border>
    <border>
      <left style="medium">
        <color indexed="54"/>
      </left>
      <right style="medium">
        <color indexed="54"/>
      </right>
      <top style="medium">
        <color indexed="54"/>
      </top>
      <bottom style="thin">
        <color indexed="54"/>
      </bottom>
      <diagonal/>
    </border>
    <border>
      <left/>
      <right style="medium">
        <color indexed="54"/>
      </right>
      <top style="medium">
        <color indexed="54"/>
      </top>
      <bottom style="thin">
        <color indexed="54"/>
      </bottom>
      <diagonal/>
    </border>
    <border>
      <left style="medium">
        <color indexed="54"/>
      </left>
      <right style="medium">
        <color indexed="54"/>
      </right>
      <top style="thick">
        <color indexed="54"/>
      </top>
      <bottom style="thin">
        <color indexed="54"/>
      </bottom>
      <diagonal/>
    </border>
    <border>
      <left/>
      <right style="medium">
        <color indexed="54"/>
      </right>
      <top style="thick">
        <color indexed="54"/>
      </top>
      <bottom style="thin">
        <color indexed="54"/>
      </bottom>
      <diagonal/>
    </border>
    <border>
      <left style="medium">
        <color indexed="54"/>
      </left>
      <right style="medium">
        <color indexed="54"/>
      </right>
      <top style="thin">
        <color indexed="54"/>
      </top>
      <bottom style="thin">
        <color indexed="54"/>
      </bottom>
      <diagonal/>
    </border>
    <border>
      <left/>
      <right style="medium">
        <color indexed="54"/>
      </right>
      <top style="thin">
        <color indexed="54"/>
      </top>
      <bottom style="thin">
        <color indexed="54"/>
      </bottom>
      <diagonal/>
    </border>
    <border>
      <left style="medium">
        <color indexed="54"/>
      </left>
      <right style="medium">
        <color indexed="54"/>
      </right>
      <top style="hair">
        <color indexed="54"/>
      </top>
      <bottom style="thick">
        <color indexed="54"/>
      </bottom>
      <diagonal/>
    </border>
    <border>
      <left/>
      <right/>
      <top style="hair">
        <color indexed="8"/>
      </top>
      <bottom style="hair">
        <color indexed="54"/>
      </bottom>
      <diagonal/>
    </border>
    <border>
      <left/>
      <right/>
      <top style="hair">
        <color indexed="54"/>
      </top>
      <bottom style="thick">
        <color indexed="54"/>
      </bottom>
      <diagonal/>
    </border>
    <border>
      <left style="medium">
        <color indexed="54"/>
      </left>
      <right style="medium">
        <color indexed="54"/>
      </right>
      <top style="hair">
        <color indexed="8"/>
      </top>
      <bottom style="hair">
        <color indexed="54"/>
      </bottom>
      <diagonal/>
    </border>
    <border>
      <left/>
      <right/>
      <top style="hair">
        <color indexed="54"/>
      </top>
      <bottom style="hair">
        <color indexed="8"/>
      </bottom>
      <diagonal/>
    </border>
    <border>
      <left style="medium">
        <color indexed="54"/>
      </left>
      <right/>
      <top style="hair">
        <color indexed="54"/>
      </top>
      <bottom/>
      <diagonal/>
    </border>
    <border>
      <left style="medium">
        <color indexed="54"/>
      </left>
      <right/>
      <top/>
      <bottom style="hair">
        <color indexed="54"/>
      </bottom>
      <diagonal/>
    </border>
    <border>
      <left style="medium">
        <color indexed="54"/>
      </left>
      <right style="medium">
        <color indexed="54"/>
      </right>
      <top style="thin">
        <color indexed="54"/>
      </top>
      <bottom style="hair">
        <color indexed="54"/>
      </bottom>
      <diagonal/>
    </border>
    <border>
      <left/>
      <right style="medium">
        <color indexed="54"/>
      </right>
      <top style="thin">
        <color indexed="54"/>
      </top>
      <bottom style="hair">
        <color indexed="54"/>
      </bottom>
      <diagonal/>
    </border>
    <border>
      <left/>
      <right/>
      <top style="thick">
        <color indexed="54"/>
      </top>
      <bottom style="hair">
        <color indexed="8"/>
      </bottom>
      <diagonal/>
    </border>
    <border>
      <left style="medium">
        <color indexed="51"/>
      </left>
      <right/>
      <top style="medium">
        <color indexed="51"/>
      </top>
      <bottom style="medium">
        <color indexed="51"/>
      </bottom>
      <diagonal/>
    </border>
    <border>
      <left/>
      <right/>
      <top style="medium">
        <color indexed="51"/>
      </top>
      <bottom style="medium">
        <color indexed="51"/>
      </bottom>
      <diagonal/>
    </border>
    <border>
      <left style="medium">
        <color indexed="54"/>
      </left>
      <right style="medium">
        <color indexed="54"/>
      </right>
      <top style="medium">
        <color indexed="51"/>
      </top>
      <bottom style="medium">
        <color indexed="51"/>
      </bottom>
      <diagonal/>
    </border>
    <border>
      <left/>
      <right style="medium">
        <color indexed="51"/>
      </right>
      <top style="medium">
        <color indexed="51"/>
      </top>
      <bottom style="medium">
        <color indexed="51"/>
      </bottom>
      <diagonal/>
    </border>
    <border>
      <left style="medium">
        <color indexed="54"/>
      </left>
      <right style="medium">
        <color indexed="54"/>
      </right>
      <top style="hair">
        <color indexed="54"/>
      </top>
      <bottom/>
      <diagonal/>
    </border>
    <border>
      <left style="medium">
        <color indexed="51"/>
      </left>
      <right/>
      <top/>
      <bottom style="medium">
        <color indexed="51"/>
      </bottom>
      <diagonal/>
    </border>
    <border>
      <left/>
      <right/>
      <top/>
      <bottom style="medium">
        <color indexed="51"/>
      </bottom>
      <diagonal/>
    </border>
    <border>
      <left style="medium">
        <color indexed="54"/>
      </left>
      <right style="medium">
        <color indexed="54"/>
      </right>
      <top/>
      <bottom style="medium">
        <color indexed="51"/>
      </bottom>
      <diagonal/>
    </border>
    <border>
      <left/>
      <right style="medium">
        <color indexed="51"/>
      </right>
      <top/>
      <bottom style="medium">
        <color indexed="51"/>
      </bottom>
      <diagonal/>
    </border>
    <border>
      <left style="thick">
        <color indexed="51"/>
      </left>
      <right/>
      <top style="thick">
        <color indexed="51"/>
      </top>
      <bottom/>
      <diagonal/>
    </border>
    <border>
      <left/>
      <right/>
      <top style="thick">
        <color indexed="51"/>
      </top>
      <bottom/>
      <diagonal/>
    </border>
    <border>
      <left/>
      <right/>
      <top style="hair">
        <color indexed="37"/>
      </top>
      <bottom/>
      <diagonal/>
    </border>
    <border>
      <left style="medium">
        <color indexed="54"/>
      </left>
      <right style="medium">
        <color indexed="54"/>
      </right>
      <top style="hair">
        <color indexed="60"/>
      </top>
      <bottom/>
      <diagonal/>
    </border>
    <border>
      <left/>
      <right/>
      <top/>
      <bottom style="hair">
        <color indexed="18"/>
      </bottom>
      <diagonal/>
    </border>
    <border>
      <left style="medium">
        <color indexed="54"/>
      </left>
      <right style="medium">
        <color indexed="54"/>
      </right>
      <top/>
      <bottom style="hair">
        <color indexed="18"/>
      </bottom>
      <diagonal/>
    </border>
    <border>
      <left/>
      <right/>
      <top style="hair">
        <color indexed="18"/>
      </top>
      <bottom style="thick">
        <color indexed="51"/>
      </bottom>
      <diagonal/>
    </border>
    <border>
      <left style="medium">
        <color indexed="54"/>
      </left>
      <right style="medium">
        <color indexed="54"/>
      </right>
      <top style="hair">
        <color indexed="18"/>
      </top>
      <bottom style="thick">
        <color indexed="51"/>
      </bottom>
      <diagonal/>
    </border>
    <border>
      <left/>
      <right/>
      <top style="hair">
        <color indexed="18"/>
      </top>
      <bottom style="hair">
        <color indexed="18"/>
      </bottom>
      <diagonal/>
    </border>
    <border>
      <left/>
      <right/>
      <top style="hair">
        <color indexed="18"/>
      </top>
      <bottom style="medium">
        <color indexed="51"/>
      </bottom>
      <diagonal/>
    </border>
    <border>
      <left/>
      <right/>
      <top style="hair">
        <color indexed="8"/>
      </top>
      <bottom style="hair">
        <color indexed="8"/>
      </bottom>
      <diagonal/>
    </border>
    <border>
      <left style="thick">
        <color indexed="51"/>
      </left>
      <right/>
      <top style="thick">
        <color indexed="51"/>
      </top>
      <bottom style="thick">
        <color indexed="51"/>
      </bottom>
      <diagonal/>
    </border>
    <border>
      <left/>
      <right/>
      <top style="thick">
        <color indexed="51"/>
      </top>
      <bottom style="thick">
        <color indexed="51"/>
      </bottom>
      <diagonal/>
    </border>
    <border>
      <left/>
      <right style="thick">
        <color indexed="51"/>
      </right>
      <top style="thick">
        <color indexed="51"/>
      </top>
      <bottom style="thick">
        <color indexed="51"/>
      </bottom>
      <diagonal/>
    </border>
    <border>
      <left/>
      <right/>
      <top style="thick">
        <color indexed="54"/>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
      <left style="thin">
        <color indexed="54"/>
      </left>
      <right style="thin">
        <color indexed="54"/>
      </right>
      <top style="thin">
        <color indexed="54"/>
      </top>
      <bottom/>
      <diagonal/>
    </border>
    <border>
      <left style="thin">
        <color indexed="54"/>
      </left>
      <right style="hair">
        <color indexed="54"/>
      </right>
      <top style="thin">
        <color indexed="54"/>
      </top>
      <bottom/>
      <diagonal/>
    </border>
    <border>
      <left style="hair">
        <color indexed="54"/>
      </left>
      <right style="hair">
        <color indexed="54"/>
      </right>
      <top style="thin">
        <color indexed="54"/>
      </top>
      <bottom/>
      <diagonal/>
    </border>
    <border>
      <left style="hair">
        <color indexed="54"/>
      </left>
      <right style="thin">
        <color indexed="54"/>
      </right>
      <top style="thin">
        <color indexed="54"/>
      </top>
      <bottom/>
      <diagonal/>
    </border>
    <border>
      <left style="hair">
        <color indexed="54"/>
      </left>
      <right/>
      <top style="thin">
        <color indexed="54"/>
      </top>
      <bottom/>
      <diagonal/>
    </border>
    <border>
      <left style="thin">
        <color indexed="18"/>
      </left>
      <right style="hair">
        <color indexed="18"/>
      </right>
      <top style="thin">
        <color indexed="18"/>
      </top>
      <bottom style="thin">
        <color indexed="18"/>
      </bottom>
      <diagonal/>
    </border>
    <border>
      <left style="hair">
        <color indexed="18"/>
      </left>
      <right style="thin">
        <color indexed="18"/>
      </right>
      <top style="thin">
        <color indexed="18"/>
      </top>
      <bottom style="thin">
        <color indexed="18"/>
      </bottom>
      <diagonal/>
    </border>
    <border>
      <left style="thin">
        <color indexed="54"/>
      </left>
      <right style="hair">
        <color indexed="54"/>
      </right>
      <top/>
      <bottom/>
      <diagonal/>
    </border>
    <border>
      <left style="hair">
        <color indexed="54"/>
      </left>
      <right style="hair">
        <color indexed="54"/>
      </right>
      <top/>
      <bottom/>
      <diagonal/>
    </border>
    <border>
      <left style="hair">
        <color indexed="54"/>
      </left>
      <right/>
      <top/>
      <bottom/>
      <diagonal/>
    </border>
    <border>
      <left style="thin">
        <color indexed="18"/>
      </left>
      <right style="hair">
        <color indexed="18"/>
      </right>
      <top/>
      <bottom style="hair">
        <color indexed="18"/>
      </bottom>
      <diagonal/>
    </border>
    <border>
      <left style="hair">
        <color indexed="18"/>
      </left>
      <right style="hair">
        <color indexed="18"/>
      </right>
      <top/>
      <bottom style="hair">
        <color indexed="18"/>
      </bottom>
      <diagonal/>
    </border>
    <border>
      <left style="hair">
        <color indexed="18"/>
      </left>
      <right style="thin">
        <color indexed="18"/>
      </right>
      <top/>
      <bottom style="hair">
        <color indexed="18"/>
      </bottom>
      <diagonal/>
    </border>
    <border>
      <left style="thin">
        <color indexed="54"/>
      </left>
      <right style="thin">
        <color indexed="54"/>
      </right>
      <top/>
      <bottom style="thin">
        <color indexed="54"/>
      </bottom>
      <diagonal/>
    </border>
    <border>
      <left style="thin">
        <color indexed="54"/>
      </left>
      <right style="hair">
        <color indexed="54"/>
      </right>
      <top/>
      <bottom style="thin">
        <color indexed="54"/>
      </bottom>
      <diagonal/>
    </border>
    <border>
      <left style="hair">
        <color indexed="54"/>
      </left>
      <right style="hair">
        <color indexed="54"/>
      </right>
      <top/>
      <bottom style="thin">
        <color indexed="54"/>
      </bottom>
      <diagonal/>
    </border>
    <border>
      <left style="hair">
        <color indexed="54"/>
      </left>
      <right style="thin">
        <color indexed="54"/>
      </right>
      <top/>
      <bottom style="thin">
        <color indexed="54"/>
      </bottom>
      <diagonal/>
    </border>
    <border>
      <left style="hair">
        <color indexed="54"/>
      </left>
      <right/>
      <top/>
      <bottom style="thin">
        <color indexed="54"/>
      </bottom>
      <diagonal/>
    </border>
    <border>
      <left style="thin">
        <color indexed="18"/>
      </left>
      <right style="hair">
        <color indexed="18"/>
      </right>
      <top style="hair">
        <color indexed="18"/>
      </top>
      <bottom style="thin">
        <color indexed="18"/>
      </bottom>
      <diagonal/>
    </border>
    <border>
      <left style="hair">
        <color indexed="18"/>
      </left>
      <right style="hair">
        <color indexed="18"/>
      </right>
      <top style="hair">
        <color indexed="18"/>
      </top>
      <bottom style="thin">
        <color indexed="18"/>
      </bottom>
      <diagonal/>
    </border>
    <border>
      <left style="hair">
        <color indexed="18"/>
      </left>
      <right style="thin">
        <color indexed="18"/>
      </right>
      <top style="hair">
        <color indexed="18"/>
      </top>
      <bottom style="thin">
        <color indexed="18"/>
      </bottom>
      <diagonal/>
    </border>
    <border>
      <left style="thin">
        <color indexed="54"/>
      </left>
      <right style="hair">
        <color indexed="54"/>
      </right>
      <top style="thin">
        <color indexed="54"/>
      </top>
      <bottom style="hair">
        <color indexed="54"/>
      </bottom>
      <diagonal/>
    </border>
    <border>
      <left style="hair">
        <color indexed="54"/>
      </left>
      <right style="hair">
        <color indexed="54"/>
      </right>
      <top style="thin">
        <color indexed="54"/>
      </top>
      <bottom style="hair">
        <color indexed="54"/>
      </bottom>
      <diagonal/>
    </border>
    <border>
      <left style="hair">
        <color indexed="54"/>
      </left>
      <right style="thin">
        <color indexed="54"/>
      </right>
      <top style="thin">
        <color indexed="54"/>
      </top>
      <bottom style="hair">
        <color indexed="54"/>
      </bottom>
      <diagonal/>
    </border>
    <border>
      <left style="thin">
        <color indexed="54"/>
      </left>
      <right style="hair">
        <color indexed="54"/>
      </right>
      <top style="hair">
        <color indexed="54"/>
      </top>
      <bottom style="hair">
        <color indexed="54"/>
      </bottom>
      <diagonal/>
    </border>
    <border>
      <left style="hair">
        <color indexed="54"/>
      </left>
      <right style="hair">
        <color indexed="54"/>
      </right>
      <top style="hair">
        <color indexed="54"/>
      </top>
      <bottom style="hair">
        <color indexed="54"/>
      </bottom>
      <diagonal/>
    </border>
    <border>
      <left style="hair">
        <color indexed="54"/>
      </left>
      <right style="thin">
        <color indexed="54"/>
      </right>
      <top style="hair">
        <color indexed="54"/>
      </top>
      <bottom style="hair">
        <color indexed="54"/>
      </bottom>
      <diagonal/>
    </border>
    <border>
      <left style="thin">
        <color indexed="54"/>
      </left>
      <right style="hair">
        <color indexed="54"/>
      </right>
      <top style="hair">
        <color indexed="54"/>
      </top>
      <bottom style="thin">
        <color indexed="54"/>
      </bottom>
      <diagonal/>
    </border>
    <border>
      <left style="hair">
        <color indexed="54"/>
      </left>
      <right style="hair">
        <color indexed="54"/>
      </right>
      <top style="hair">
        <color indexed="54"/>
      </top>
      <bottom style="thin">
        <color indexed="54"/>
      </bottom>
      <diagonal/>
    </border>
    <border>
      <left style="hair">
        <color indexed="54"/>
      </left>
      <right style="thin">
        <color indexed="54"/>
      </right>
      <top style="hair">
        <color indexed="54"/>
      </top>
      <bottom style="thin">
        <color indexed="54"/>
      </bottom>
      <diagonal/>
    </border>
    <border>
      <left style="thin">
        <color indexed="54"/>
      </left>
      <right style="hair">
        <color indexed="54"/>
      </right>
      <top style="thin">
        <color indexed="54"/>
      </top>
      <bottom style="thin">
        <color indexed="54"/>
      </bottom>
      <diagonal/>
    </border>
    <border>
      <left style="hair">
        <color indexed="54"/>
      </left>
      <right style="hair">
        <color indexed="54"/>
      </right>
      <top style="thin">
        <color indexed="54"/>
      </top>
      <bottom style="thin">
        <color indexed="54"/>
      </bottom>
      <diagonal/>
    </border>
    <border>
      <left style="hair">
        <color indexed="54"/>
      </left>
      <right style="thin">
        <color indexed="54"/>
      </right>
      <top style="thin">
        <color indexed="54"/>
      </top>
      <bottom style="thin">
        <color indexed="54"/>
      </bottom>
      <diagonal/>
    </border>
    <border>
      <left style="thin">
        <color indexed="16"/>
      </left>
      <right/>
      <top style="thin">
        <color indexed="16"/>
      </top>
      <bottom/>
      <diagonal/>
    </border>
    <border>
      <left/>
      <right/>
      <top style="thin">
        <color indexed="16"/>
      </top>
      <bottom/>
      <diagonal/>
    </border>
    <border>
      <left style="thin">
        <color indexed="47"/>
      </left>
      <right/>
      <top style="thin">
        <color indexed="47"/>
      </top>
      <bottom style="thin">
        <color indexed="47"/>
      </bottom>
      <diagonal/>
    </border>
    <border>
      <left/>
      <right/>
      <top style="thin">
        <color indexed="47"/>
      </top>
      <bottom style="thin">
        <color indexed="47"/>
      </bottom>
      <diagonal/>
    </border>
    <border>
      <left/>
      <right style="thin">
        <color indexed="47"/>
      </right>
      <top style="thin">
        <color indexed="47"/>
      </top>
      <bottom style="thin">
        <color indexed="47"/>
      </bottom>
      <diagonal/>
    </border>
    <border>
      <left/>
      <right/>
      <top/>
      <bottom style="thin">
        <color indexed="54"/>
      </bottom>
      <diagonal/>
    </border>
    <border>
      <left style="thin">
        <color indexed="16"/>
      </left>
      <right/>
      <top style="thin">
        <color indexed="16"/>
      </top>
      <bottom style="thin">
        <color indexed="16"/>
      </bottom>
      <diagonal/>
    </border>
    <border>
      <left/>
      <right/>
      <top style="thin">
        <color indexed="16"/>
      </top>
      <bottom style="thin">
        <color indexed="16"/>
      </bottom>
      <diagonal/>
    </border>
    <border>
      <left/>
      <right style="thin">
        <color indexed="16"/>
      </right>
      <top style="thin">
        <color indexed="16"/>
      </top>
      <bottom style="thin">
        <color indexed="16"/>
      </bottom>
      <diagonal/>
    </border>
    <border>
      <left style="medium">
        <color indexed="57"/>
      </left>
      <right/>
      <top style="medium">
        <color indexed="57"/>
      </top>
      <bottom style="medium">
        <color indexed="57"/>
      </bottom>
      <diagonal/>
    </border>
    <border>
      <left/>
      <right/>
      <top style="medium">
        <color indexed="57"/>
      </top>
      <bottom style="medium">
        <color indexed="57"/>
      </bottom>
      <diagonal/>
    </border>
    <border>
      <left/>
      <right style="medium">
        <color indexed="57"/>
      </right>
      <top style="medium">
        <color indexed="57"/>
      </top>
      <bottom style="medium">
        <color indexed="57"/>
      </bottom>
      <diagonal/>
    </border>
    <border>
      <left style="medium">
        <color indexed="57"/>
      </left>
      <right/>
      <top style="medium">
        <color indexed="57"/>
      </top>
      <bottom/>
      <diagonal/>
    </border>
    <border>
      <left/>
      <right/>
      <top style="medium">
        <color indexed="57"/>
      </top>
      <bottom/>
      <diagonal/>
    </border>
    <border>
      <left/>
      <right style="medium">
        <color indexed="57"/>
      </right>
      <top style="medium">
        <color indexed="57"/>
      </top>
      <bottom/>
      <diagonal/>
    </border>
    <border>
      <left style="medium">
        <color indexed="57"/>
      </left>
      <right/>
      <top/>
      <bottom style="medium">
        <color indexed="57"/>
      </bottom>
      <diagonal/>
    </border>
    <border>
      <left/>
      <right/>
      <top/>
      <bottom style="medium">
        <color indexed="57"/>
      </bottom>
      <diagonal/>
    </border>
    <border>
      <left/>
      <right style="medium">
        <color indexed="57"/>
      </right>
      <top/>
      <bottom style="medium">
        <color indexed="57"/>
      </bottom>
      <diagonal/>
    </border>
    <border>
      <left style="thick">
        <color indexed="52"/>
      </left>
      <right/>
      <top style="thick">
        <color indexed="52"/>
      </top>
      <bottom style="thick">
        <color indexed="52"/>
      </bottom>
      <diagonal/>
    </border>
    <border>
      <left/>
      <right/>
      <top style="thick">
        <color indexed="52"/>
      </top>
      <bottom style="thick">
        <color indexed="52"/>
      </bottom>
      <diagonal/>
    </border>
    <border>
      <left/>
      <right style="thick">
        <color indexed="52"/>
      </right>
      <top style="thick">
        <color indexed="52"/>
      </top>
      <bottom style="thick">
        <color indexed="5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16"/>
      </right>
      <top style="thin">
        <color indexed="16"/>
      </top>
      <bottom/>
      <diagonal/>
    </border>
    <border>
      <left style="thin">
        <color indexed="16"/>
      </left>
      <right/>
      <top/>
      <bottom style="thin">
        <color indexed="16"/>
      </bottom>
      <diagonal/>
    </border>
    <border>
      <left/>
      <right/>
      <top/>
      <bottom style="thin">
        <color indexed="16"/>
      </bottom>
      <diagonal/>
    </border>
    <border>
      <left/>
      <right style="thin">
        <color indexed="16"/>
      </right>
      <top/>
      <bottom style="thin">
        <color indexed="16"/>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21"/>
      </left>
      <right/>
      <top style="medium">
        <color indexed="21"/>
      </top>
      <bottom/>
      <diagonal/>
    </border>
    <border>
      <left/>
      <right/>
      <top style="medium">
        <color indexed="21"/>
      </top>
      <bottom/>
      <diagonal/>
    </border>
    <border>
      <left style="medium">
        <color indexed="21"/>
      </left>
      <right/>
      <top/>
      <bottom/>
      <diagonal/>
    </border>
    <border>
      <left style="medium">
        <color indexed="60"/>
      </left>
      <right/>
      <top style="medium">
        <color indexed="60"/>
      </top>
      <bottom/>
      <diagonal/>
    </border>
    <border>
      <left/>
      <right/>
      <top style="medium">
        <color indexed="60"/>
      </top>
      <bottom/>
      <diagonal/>
    </border>
    <border>
      <left/>
      <right style="medium">
        <color indexed="60"/>
      </right>
      <top style="medium">
        <color indexed="60"/>
      </top>
      <bottom/>
      <diagonal/>
    </border>
    <border>
      <left style="medium">
        <color indexed="60"/>
      </left>
      <right/>
      <top/>
      <bottom/>
      <diagonal/>
    </border>
    <border>
      <left/>
      <right style="medium">
        <color indexed="60"/>
      </right>
      <top/>
      <bottom/>
      <diagonal/>
    </border>
    <border>
      <left style="medium">
        <color indexed="60"/>
      </left>
      <right style="medium">
        <color indexed="60"/>
      </right>
      <top/>
      <bottom/>
      <diagonal/>
    </border>
    <border>
      <left style="thin">
        <color indexed="56"/>
      </left>
      <right/>
      <top style="thin">
        <color indexed="56"/>
      </top>
      <bottom/>
      <diagonal/>
    </border>
    <border>
      <left/>
      <right/>
      <top style="thin">
        <color indexed="56"/>
      </top>
      <bottom/>
      <diagonal/>
    </border>
    <border>
      <left/>
      <right/>
      <top style="hair">
        <color indexed="18"/>
      </top>
      <bottom/>
      <diagonal/>
    </border>
    <border>
      <left style="medium">
        <color indexed="60"/>
      </left>
      <right/>
      <top/>
      <bottom style="medium">
        <color indexed="60"/>
      </bottom>
      <diagonal/>
    </border>
    <border>
      <left/>
      <right/>
      <top/>
      <bottom style="medium">
        <color indexed="60"/>
      </bottom>
      <diagonal/>
    </border>
    <border>
      <left/>
      <right style="medium">
        <color indexed="60"/>
      </right>
      <top/>
      <bottom style="medium">
        <color indexed="60"/>
      </bottom>
      <diagonal/>
    </border>
    <border>
      <left style="medium">
        <color indexed="8"/>
      </left>
      <right style="medium">
        <color indexed="8"/>
      </right>
      <top style="medium">
        <color indexed="8"/>
      </top>
      <bottom style="medium">
        <color indexed="8"/>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8"/>
      </left>
      <right/>
      <top/>
      <bottom style="hair">
        <color indexed="18"/>
      </bottom>
      <diagonal/>
    </border>
    <border>
      <left style="medium">
        <color indexed="8"/>
      </left>
      <right/>
      <top style="hair">
        <color indexed="18"/>
      </top>
      <bottom style="hair">
        <color indexed="18"/>
      </bottom>
      <diagonal/>
    </border>
    <border>
      <left style="medium">
        <color indexed="8"/>
      </left>
      <right/>
      <top style="hair">
        <color indexed="18"/>
      </top>
      <bottom style="medium">
        <color indexed="8"/>
      </bottom>
      <diagonal/>
    </border>
    <border>
      <left/>
      <right/>
      <top style="hair">
        <color indexed="1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16"/>
      </left>
      <right style="medium">
        <color indexed="16"/>
      </right>
      <top style="medium">
        <color indexed="16"/>
      </top>
      <bottom/>
      <diagonal/>
    </border>
    <border>
      <left style="medium">
        <color indexed="16"/>
      </left>
      <right/>
      <top/>
      <bottom/>
      <diagonal/>
    </border>
    <border>
      <left/>
      <right style="medium">
        <color indexed="16"/>
      </right>
      <top/>
      <bottom/>
      <diagonal/>
    </border>
    <border>
      <left style="medium">
        <color indexed="16"/>
      </left>
      <right/>
      <top/>
      <bottom style="medium">
        <color indexed="16"/>
      </bottom>
      <diagonal/>
    </border>
    <border>
      <left/>
      <right/>
      <top/>
      <bottom style="medium">
        <color indexed="16"/>
      </bottom>
      <diagonal/>
    </border>
    <border>
      <left/>
      <right style="medium">
        <color indexed="16"/>
      </right>
      <top/>
      <bottom style="medium">
        <color indexed="16"/>
      </bottom>
      <diagonal/>
    </border>
    <border>
      <left style="thin">
        <color indexed="56"/>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right style="thin">
        <color indexed="54"/>
      </right>
      <top style="thin">
        <color indexed="54"/>
      </top>
      <bottom style="thin">
        <color indexed="54"/>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top/>
      <bottom style="hair">
        <color indexed="56"/>
      </bottom>
      <diagonal/>
    </border>
    <border>
      <left/>
      <right/>
      <top style="hair">
        <color indexed="56"/>
      </top>
      <bottom style="hair">
        <color indexed="56"/>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54"/>
      </left>
      <right style="hair">
        <color indexed="54"/>
      </right>
      <top style="medium">
        <color indexed="8"/>
      </top>
      <bottom/>
      <diagonal/>
    </border>
    <border>
      <left style="hair">
        <color indexed="54"/>
      </left>
      <right style="hair">
        <color indexed="54"/>
      </right>
      <top style="medium">
        <color indexed="8"/>
      </top>
      <bottom/>
      <diagonal/>
    </border>
    <border>
      <left style="hair">
        <color indexed="54"/>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style="hair">
        <color indexed="54"/>
      </top>
      <bottom style="hair">
        <color indexed="54"/>
      </bottom>
      <diagonal/>
    </border>
    <border>
      <left/>
      <right style="medium">
        <color indexed="8"/>
      </right>
      <top style="hair">
        <color indexed="54"/>
      </top>
      <bottom style="hair">
        <color indexed="54"/>
      </bottom>
      <diagonal/>
    </border>
    <border>
      <left style="medium">
        <color indexed="8"/>
      </left>
      <right/>
      <top style="hair">
        <color indexed="54"/>
      </top>
      <bottom style="medium">
        <color indexed="8"/>
      </bottom>
      <diagonal/>
    </border>
    <border>
      <left/>
      <right style="medium">
        <color indexed="8"/>
      </right>
      <top style="hair">
        <color indexed="54"/>
      </top>
      <bottom style="medium">
        <color indexed="8"/>
      </bottom>
      <diagonal/>
    </border>
    <border>
      <left/>
      <right/>
      <top style="medium">
        <color indexed="54"/>
      </top>
      <bottom style="hair">
        <color indexed="54"/>
      </bottom>
      <diagonal/>
    </border>
    <border>
      <left style="double">
        <color indexed="25"/>
      </left>
      <right style="double">
        <color indexed="25"/>
      </right>
      <top style="double">
        <color indexed="25"/>
      </top>
      <bottom/>
      <diagonal/>
    </border>
    <border>
      <left style="double">
        <color indexed="25"/>
      </left>
      <right style="double">
        <color indexed="25"/>
      </right>
      <top/>
      <bottom style="double">
        <color indexed="25"/>
      </bottom>
      <diagonal/>
    </border>
    <border>
      <left style="thin">
        <color indexed="54"/>
      </left>
      <right style="thin">
        <color indexed="54"/>
      </right>
      <top style="thin">
        <color indexed="54"/>
      </top>
      <bottom style="thin">
        <color indexed="54"/>
      </bottom>
      <diagonal/>
    </border>
  </borders>
  <cellStyleXfs count="7">
    <xf numFmtId="0" fontId="0" fillId="0" borderId="0"/>
    <xf numFmtId="0" fontId="73" fillId="0" borderId="0" applyNumberFormat="0" applyFill="0" applyBorder="0" applyAlignment="0" applyProtection="0"/>
    <xf numFmtId="0" fontId="73" fillId="0" borderId="0" applyNumberFormat="0" applyFill="0" applyBorder="0" applyAlignment="0" applyProtection="0"/>
    <xf numFmtId="9" fontId="102" fillId="0" borderId="0" applyFill="0" applyBorder="0" applyAlignment="0" applyProtection="0"/>
    <xf numFmtId="0" fontId="73" fillId="0" borderId="0" applyNumberFormat="0" applyFill="0" applyBorder="0" applyAlignment="0" applyProtection="0"/>
    <xf numFmtId="164" fontId="102" fillId="0" borderId="0" applyFill="0" applyBorder="0" applyAlignment="0" applyProtection="0"/>
    <xf numFmtId="0" fontId="102" fillId="0" borderId="0"/>
  </cellStyleXfs>
  <cellXfs count="1583">
    <xf numFmtId="0" fontId="0" fillId="0" borderId="0" xfId="0"/>
    <xf numFmtId="0" fontId="1" fillId="0" borderId="0" xfId="0" applyFont="1" applyAlignment="1" applyProtection="1">
      <alignment horizontal="left" vertical="top"/>
      <protection locked="0"/>
    </xf>
    <xf numFmtId="0" fontId="1" fillId="0" borderId="0" xfId="0" applyFont="1" applyAlignment="1" applyProtection="1">
      <alignment horizontal="right" vertical="top" indent="1"/>
      <protection locked="0"/>
    </xf>
    <xf numFmtId="0" fontId="1" fillId="0" borderId="0" xfId="0" applyFont="1" applyAlignment="1" applyProtection="1">
      <alignment vertical="top"/>
      <protection locked="0"/>
    </xf>
    <xf numFmtId="0" fontId="0" fillId="0" borderId="0" xfId="0" applyAlignment="1" applyProtection="1">
      <alignment vertical="top"/>
      <protection locked="0"/>
    </xf>
    <xf numFmtId="0" fontId="0" fillId="0" borderId="0" xfId="0" applyAlignment="1" applyProtection="1">
      <alignment vertical="top"/>
    </xf>
    <xf numFmtId="0" fontId="2" fillId="0" borderId="0" xfId="0" applyFont="1" applyAlignment="1" applyProtection="1">
      <alignment vertical="top" wrapText="1"/>
    </xf>
    <xf numFmtId="0" fontId="2" fillId="0" borderId="0" xfId="0" applyFont="1" applyAlignment="1" applyProtection="1">
      <alignment horizontal="right" vertical="top" wrapText="1" indent="1"/>
    </xf>
    <xf numFmtId="0" fontId="1" fillId="0" borderId="0" xfId="0" applyFont="1" applyAlignment="1" applyProtection="1">
      <alignment horizontal="left" vertical="top" indent="1"/>
    </xf>
    <xf numFmtId="0" fontId="1" fillId="0" borderId="0" xfId="0" applyFont="1" applyAlignment="1" applyProtection="1">
      <alignment horizontal="right" vertical="top"/>
    </xf>
    <xf numFmtId="0" fontId="3" fillId="0" borderId="0" xfId="0" applyFont="1" applyAlignment="1" applyProtection="1"/>
    <xf numFmtId="0" fontId="3" fillId="0" borderId="0" xfId="0" applyFont="1" applyAlignment="1" applyProtection="1">
      <alignment horizontal="right" indent="1"/>
    </xf>
    <xf numFmtId="0" fontId="4" fillId="0" borderId="0" xfId="0" applyFont="1" applyAlignment="1" applyProtection="1">
      <alignment horizontal="left" indent="1"/>
    </xf>
    <xf numFmtId="0" fontId="1" fillId="0" borderId="0" xfId="0" applyFont="1" applyAlignment="1" applyProtection="1">
      <alignment horizontal="right" wrapText="1"/>
    </xf>
    <xf numFmtId="0" fontId="0" fillId="0" borderId="0" xfId="0" applyFont="1" applyAlignment="1" applyProtection="1"/>
    <xf numFmtId="0" fontId="5" fillId="0" borderId="0" xfId="0" applyFont="1" applyAlignment="1" applyProtection="1"/>
    <xf numFmtId="0" fontId="5" fillId="0" borderId="0" xfId="0" applyFont="1" applyAlignment="1" applyProtection="1">
      <alignment horizontal="right" indent="1"/>
    </xf>
    <xf numFmtId="0" fontId="6" fillId="0" borderId="0" xfId="0" applyFont="1" applyAlignment="1" applyProtection="1">
      <alignment horizontal="left" indent="1"/>
    </xf>
    <xf numFmtId="14" fontId="1" fillId="0" borderId="0" xfId="0" applyNumberFormat="1" applyFont="1" applyAlignment="1" applyProtection="1">
      <alignment horizontal="right" vertical="top" wrapText="1"/>
    </xf>
    <xf numFmtId="0" fontId="7" fillId="0" borderId="0" xfId="0" applyFont="1" applyBorder="1" applyAlignment="1" applyProtection="1">
      <alignment horizontal="left" vertical="top" wrapText="1"/>
    </xf>
    <xf numFmtId="0" fontId="0" fillId="0" borderId="0" xfId="0" applyFont="1" applyAlignment="1" applyProtection="1">
      <alignment vertical="top"/>
    </xf>
    <xf numFmtId="0" fontId="8" fillId="2" borderId="1" xfId="0" applyFont="1" applyFill="1" applyBorder="1" applyAlignment="1" applyProtection="1">
      <alignment vertical="center" wrapText="1"/>
    </xf>
    <xf numFmtId="0" fontId="8" fillId="2" borderId="2" xfId="0" applyFont="1" applyFill="1" applyBorder="1" applyAlignment="1" applyProtection="1">
      <alignment horizontal="right" vertical="center" wrapText="1" indent="1"/>
    </xf>
    <xf numFmtId="0" fontId="8" fillId="2" borderId="2" xfId="0" applyFont="1" applyFill="1" applyBorder="1" applyAlignment="1" applyProtection="1">
      <alignment vertical="center"/>
    </xf>
    <xf numFmtId="0" fontId="8" fillId="2" borderId="3" xfId="0" applyFont="1" applyFill="1" applyBorder="1" applyAlignment="1" applyProtection="1">
      <alignment horizontal="left" vertical="center" indent="1"/>
    </xf>
    <xf numFmtId="0" fontId="9" fillId="0" borderId="0" xfId="0" applyFont="1" applyAlignment="1" applyProtection="1">
      <alignment vertical="top"/>
    </xf>
    <xf numFmtId="14" fontId="8" fillId="3" borderId="0" xfId="0" applyNumberFormat="1" applyFont="1" applyFill="1" applyAlignment="1" applyProtection="1">
      <alignment horizontal="left" vertical="top"/>
      <protection locked="0"/>
    </xf>
    <xf numFmtId="0" fontId="10" fillId="3" borderId="0" xfId="0" applyFont="1" applyFill="1" applyAlignment="1" applyProtection="1">
      <alignment horizontal="right" vertical="top" indent="1"/>
      <protection locked="0"/>
    </xf>
    <xf numFmtId="0" fontId="11" fillId="3" borderId="0" xfId="0" applyFont="1" applyFill="1" applyAlignment="1" applyProtection="1">
      <alignment horizontal="left" vertical="top" wrapText="1"/>
      <protection locked="0"/>
    </xf>
    <xf numFmtId="0" fontId="11" fillId="3" borderId="0" xfId="0" applyFont="1" applyFill="1" applyAlignment="1" applyProtection="1">
      <alignment horizontal="left" vertical="top"/>
      <protection locked="0"/>
    </xf>
    <xf numFmtId="14" fontId="12" fillId="4" borderId="0" xfId="0" applyNumberFormat="1" applyFont="1" applyFill="1" applyAlignment="1" applyProtection="1">
      <alignment horizontal="left" vertical="top"/>
      <protection locked="0"/>
    </xf>
    <xf numFmtId="0" fontId="12" fillId="4" borderId="0" xfId="0" applyFont="1" applyFill="1" applyAlignment="1" applyProtection="1">
      <alignment horizontal="right" vertical="top" indent="1"/>
      <protection locked="0"/>
    </xf>
    <xf numFmtId="14" fontId="8" fillId="5" borderId="0" xfId="0" applyNumberFormat="1" applyFont="1" applyFill="1" applyAlignment="1" applyProtection="1">
      <alignment horizontal="left" vertical="top"/>
      <protection locked="0"/>
    </xf>
    <xf numFmtId="0" fontId="13" fillId="5" borderId="0" xfId="0" applyFont="1" applyFill="1" applyAlignment="1" applyProtection="1">
      <alignment horizontal="right" vertical="top" indent="1"/>
      <protection locked="0"/>
    </xf>
    <xf numFmtId="0" fontId="11" fillId="5" borderId="0" xfId="0" applyFont="1" applyFill="1" applyAlignment="1" applyProtection="1">
      <alignment horizontal="left" vertical="top" wrapText="1"/>
      <protection locked="0"/>
    </xf>
    <xf numFmtId="0" fontId="12" fillId="4" borderId="0" xfId="0" applyFont="1" applyFill="1" applyBorder="1" applyAlignment="1" applyProtection="1">
      <alignment vertical="top" wrapText="1"/>
      <protection locked="0"/>
    </xf>
    <xf numFmtId="0" fontId="11" fillId="5" borderId="0" xfId="0" applyFont="1" applyFill="1" applyAlignment="1" applyProtection="1">
      <alignment horizontal="left" vertical="top"/>
      <protection locked="0"/>
    </xf>
    <xf numFmtId="0" fontId="12" fillId="4" borderId="0" xfId="0" applyFont="1" applyFill="1" applyAlignment="1" applyProtection="1">
      <alignment vertical="top" wrapText="1"/>
      <protection locked="0"/>
    </xf>
    <xf numFmtId="14" fontId="1" fillId="0" borderId="0" xfId="0" applyNumberFormat="1" applyFont="1" applyAlignment="1" applyProtection="1">
      <alignment horizontal="left" vertical="top"/>
      <protection locked="0"/>
    </xf>
    <xf numFmtId="0" fontId="12" fillId="0" borderId="0" xfId="0" applyFont="1" applyAlignment="1" applyProtection="1">
      <alignment horizontal="right" vertical="top" indent="1"/>
      <protection locked="0"/>
    </xf>
    <xf numFmtId="0" fontId="1" fillId="0" borderId="0" xfId="0" applyFont="1" applyAlignment="1" applyProtection="1">
      <alignment horizontal="left" vertical="top" wrapText="1"/>
      <protection locked="0"/>
    </xf>
    <xf numFmtId="0" fontId="0" fillId="0" borderId="0" xfId="0" applyFont="1" applyAlignment="1" applyProtection="1">
      <alignment horizontal="left" vertical="top"/>
      <protection locked="0"/>
    </xf>
    <xf numFmtId="14" fontId="2" fillId="0" borderId="0" xfId="0" applyNumberFormat="1" applyFont="1" applyAlignment="1" applyProtection="1">
      <alignment horizontal="left" vertical="top"/>
      <protection locked="0"/>
    </xf>
    <xf numFmtId="0" fontId="2" fillId="0" borderId="0" xfId="0" applyFont="1" applyAlignment="1" applyProtection="1">
      <alignment horizontal="right" vertical="top" indent="1"/>
      <protection locked="0"/>
    </xf>
    <xf numFmtId="0" fontId="1" fillId="0" borderId="0" xfId="0" applyFont="1" applyAlignment="1" applyProtection="1">
      <alignment vertical="top" wrapText="1"/>
      <protection locked="0"/>
    </xf>
    <xf numFmtId="0" fontId="1" fillId="0" borderId="0" xfId="0" applyFont="1" applyAlignment="1" applyProtection="1">
      <alignment vertical="top"/>
    </xf>
    <xf numFmtId="0" fontId="19" fillId="0" borderId="0" xfId="0" applyFont="1" applyAlignment="1" applyProtection="1">
      <alignment vertical="top"/>
    </xf>
    <xf numFmtId="0" fontId="6" fillId="0" borderId="0" xfId="0" applyFont="1" applyAlignment="1" applyProtection="1">
      <alignment horizontal="left" vertical="center" indent="1"/>
    </xf>
    <xf numFmtId="0" fontId="0" fillId="0" borderId="0" xfId="0" applyFont="1" applyAlignment="1" applyProtection="1">
      <alignment horizontal="right" vertical="center"/>
    </xf>
    <xf numFmtId="0" fontId="0" fillId="0" borderId="0" xfId="0" applyFont="1" applyAlignment="1" applyProtection="1">
      <alignment vertical="center"/>
    </xf>
    <xf numFmtId="0" fontId="20" fillId="2" borderId="1" xfId="0" applyFont="1" applyFill="1" applyBorder="1" applyAlignment="1" applyProtection="1">
      <alignment vertical="center" wrapText="1"/>
    </xf>
    <xf numFmtId="0" fontId="20" fillId="2" borderId="2" xfId="0" applyFont="1" applyFill="1" applyBorder="1" applyAlignment="1" applyProtection="1">
      <alignment vertical="center"/>
    </xf>
    <xf numFmtId="0" fontId="20" fillId="2" borderId="3" xfId="0" applyFont="1" applyFill="1" applyBorder="1" applyAlignment="1" applyProtection="1">
      <alignment horizontal="left" vertical="center" indent="1"/>
    </xf>
    <xf numFmtId="0" fontId="12" fillId="0" borderId="4" xfId="0" applyFont="1" applyFill="1" applyBorder="1" applyAlignment="1" applyProtection="1">
      <alignment vertical="top" wrapText="1"/>
    </xf>
    <xf numFmtId="0" fontId="1" fillId="0" borderId="4" xfId="0" applyFont="1" applyFill="1" applyBorder="1" applyAlignment="1" applyProtection="1">
      <alignment vertical="top" wrapText="1"/>
    </xf>
    <xf numFmtId="0" fontId="15" fillId="0" borderId="4" xfId="0" applyFont="1" applyFill="1" applyBorder="1" applyAlignment="1" applyProtection="1">
      <alignment horizontal="left" vertical="top" wrapText="1" indent="1"/>
    </xf>
    <xf numFmtId="0" fontId="1" fillId="0" borderId="0" xfId="0" applyFont="1" applyFill="1" applyAlignment="1" applyProtection="1">
      <alignment vertical="top"/>
    </xf>
    <xf numFmtId="0" fontId="12" fillId="0" borderId="5" xfId="0" applyFont="1" applyFill="1" applyBorder="1" applyAlignment="1" applyProtection="1">
      <alignment vertical="top" wrapText="1"/>
    </xf>
    <xf numFmtId="0" fontId="1" fillId="0" borderId="5" xfId="0" applyFont="1" applyFill="1" applyBorder="1" applyAlignment="1" applyProtection="1">
      <alignment vertical="top" wrapText="1"/>
    </xf>
    <xf numFmtId="0" fontId="15" fillId="0" borderId="6" xfId="0" applyFont="1" applyFill="1" applyBorder="1" applyAlignment="1" applyProtection="1">
      <alignment horizontal="left" vertical="top" wrapText="1" indent="1"/>
    </xf>
    <xf numFmtId="0" fontId="15" fillId="0" borderId="5" xfId="0" applyFont="1" applyFill="1" applyBorder="1" applyAlignment="1" applyProtection="1">
      <alignment horizontal="left" vertical="top" wrapText="1" indent="1"/>
    </xf>
    <xf numFmtId="0" fontId="21" fillId="0" borderId="4" xfId="0" applyFont="1" applyFill="1" applyBorder="1" applyAlignment="1" applyProtection="1">
      <alignment vertical="top" wrapText="1"/>
    </xf>
    <xf numFmtId="0" fontId="12" fillId="0" borderId="6" xfId="0" applyFont="1" applyFill="1" applyBorder="1" applyAlignment="1" applyProtection="1">
      <alignment vertical="top" wrapText="1"/>
    </xf>
    <xf numFmtId="0" fontId="1" fillId="0" borderId="6" xfId="0" applyFont="1" applyFill="1" applyBorder="1" applyAlignment="1" applyProtection="1">
      <alignment vertical="top" wrapText="1"/>
    </xf>
    <xf numFmtId="0" fontId="1" fillId="0" borderId="0" xfId="0" applyFont="1" applyFill="1" applyBorder="1" applyAlignment="1" applyProtection="1">
      <alignment vertical="top"/>
    </xf>
    <xf numFmtId="0" fontId="15" fillId="0" borderId="4" xfId="0" applyFont="1" applyFill="1" applyBorder="1" applyAlignment="1" applyProtection="1">
      <alignment vertical="top" wrapText="1"/>
    </xf>
    <xf numFmtId="0" fontId="0" fillId="6" borderId="0" xfId="0" applyFill="1" applyAlignment="1" applyProtection="1">
      <alignment vertical="top"/>
    </xf>
    <xf numFmtId="0" fontId="1" fillId="6" borderId="0" xfId="0" applyFont="1" applyFill="1" applyAlignment="1" applyProtection="1">
      <alignment vertical="top" wrapText="1"/>
    </xf>
    <xf numFmtId="0" fontId="1" fillId="6" borderId="0" xfId="0" applyFont="1" applyFill="1" applyAlignment="1" applyProtection="1">
      <alignment horizontal="left" vertical="top"/>
      <protection locked="0"/>
    </xf>
    <xf numFmtId="0" fontId="23" fillId="6" borderId="0" xfId="0" applyFont="1" applyFill="1" applyAlignment="1" applyProtection="1">
      <alignment horizontal="left" vertical="top" indent="1"/>
    </xf>
    <xf numFmtId="0" fontId="23" fillId="6" borderId="0" xfId="0" applyFont="1" applyFill="1" applyAlignment="1" applyProtection="1">
      <alignment horizontal="left" vertical="top" wrapText="1"/>
    </xf>
    <xf numFmtId="0" fontId="2" fillId="6" borderId="0" xfId="0" applyFont="1" applyFill="1" applyAlignment="1" applyProtection="1">
      <alignment vertical="top" wrapText="1"/>
    </xf>
    <xf numFmtId="0" fontId="0" fillId="6" borderId="0" xfId="0" applyFont="1" applyFill="1" applyAlignment="1" applyProtection="1">
      <alignment vertical="top"/>
    </xf>
    <xf numFmtId="14" fontId="1" fillId="6" borderId="0" xfId="0" applyNumberFormat="1" applyFont="1" applyFill="1" applyAlignment="1" applyProtection="1">
      <alignment horizontal="right" wrapText="1"/>
    </xf>
    <xf numFmtId="0" fontId="0" fillId="6" borderId="0" xfId="0" applyFont="1" applyFill="1" applyBorder="1" applyAlignment="1" applyProtection="1"/>
    <xf numFmtId="0" fontId="7" fillId="6" borderId="0" xfId="0" applyFont="1" applyFill="1" applyAlignment="1" applyProtection="1">
      <alignment vertical="top"/>
    </xf>
    <xf numFmtId="14" fontId="1" fillId="6" borderId="0" xfId="0" applyNumberFormat="1" applyFont="1" applyFill="1" applyAlignment="1" applyProtection="1">
      <alignment horizontal="right" vertical="top" wrapText="1"/>
    </xf>
    <xf numFmtId="0" fontId="5" fillId="6" borderId="0" xfId="0" applyFont="1" applyFill="1" applyAlignment="1" applyProtection="1">
      <alignment vertical="top"/>
    </xf>
    <xf numFmtId="0" fontId="1" fillId="6" borderId="0" xfId="0" applyFont="1" applyFill="1" applyAlignment="1" applyProtection="1">
      <alignment vertical="top"/>
    </xf>
    <xf numFmtId="0" fontId="0" fillId="6" borderId="0" xfId="0" applyFill="1" applyBorder="1" applyAlignment="1" applyProtection="1"/>
    <xf numFmtId="0" fontId="0" fillId="6" borderId="0" xfId="0" applyFill="1" applyBorder="1" applyAlignment="1" applyProtection="1">
      <alignment vertical="top"/>
    </xf>
    <xf numFmtId="0" fontId="1" fillId="6" borderId="0" xfId="0" applyFont="1" applyFill="1" applyBorder="1" applyAlignment="1" applyProtection="1">
      <alignment vertical="top"/>
    </xf>
    <xf numFmtId="1" fontId="26" fillId="6" borderId="0" xfId="0" applyNumberFormat="1" applyFont="1" applyFill="1" applyBorder="1" applyAlignment="1" applyProtection="1">
      <alignment vertical="top"/>
    </xf>
    <xf numFmtId="0" fontId="27" fillId="6" borderId="0" xfId="0" applyFont="1" applyFill="1" applyBorder="1" applyAlignment="1" applyProtection="1">
      <alignment horizontal="left" vertical="top" wrapText="1" indent="1"/>
    </xf>
    <xf numFmtId="0" fontId="20" fillId="6" borderId="0" xfId="0" applyFont="1" applyFill="1" applyBorder="1" applyAlignment="1" applyProtection="1">
      <alignment horizontal="left" vertical="top" wrapText="1"/>
    </xf>
    <xf numFmtId="0" fontId="28" fillId="6" borderId="0" xfId="0" applyFont="1" applyFill="1" applyAlignment="1" applyProtection="1">
      <alignment vertical="top" wrapText="1"/>
    </xf>
    <xf numFmtId="1" fontId="29" fillId="6" borderId="0" xfId="0" applyNumberFormat="1" applyFont="1" applyFill="1" applyAlignment="1" applyProtection="1">
      <alignment horizontal="left" vertical="top"/>
      <protection locked="0"/>
    </xf>
    <xf numFmtId="0" fontId="23" fillId="6" borderId="0" xfId="0" applyFont="1" applyFill="1" applyBorder="1" applyAlignment="1" applyProtection="1">
      <alignment horizontal="left" vertical="top" indent="1"/>
    </xf>
    <xf numFmtId="0" fontId="23" fillId="6" borderId="0" xfId="0" applyFont="1" applyFill="1" applyBorder="1" applyAlignment="1" applyProtection="1">
      <alignment horizontal="left" vertical="top" wrapText="1"/>
    </xf>
    <xf numFmtId="0" fontId="30" fillId="6" borderId="0" xfId="0" applyFont="1" applyFill="1" applyAlignment="1" applyProtection="1">
      <alignment vertical="top" wrapText="1"/>
    </xf>
    <xf numFmtId="0" fontId="0" fillId="6" borderId="0" xfId="0" applyFill="1" applyAlignment="1" applyProtection="1"/>
    <xf numFmtId="0" fontId="12" fillId="6" borderId="8" xfId="0" applyFont="1" applyFill="1" applyBorder="1" applyAlignment="1" applyProtection="1">
      <alignment horizontal="left" vertical="top" wrapText="1"/>
    </xf>
    <xf numFmtId="0" fontId="23" fillId="6" borderId="8" xfId="0" applyFont="1" applyFill="1" applyBorder="1" applyAlignment="1" applyProtection="1">
      <alignment horizontal="left" vertical="top" indent="1"/>
    </xf>
    <xf numFmtId="0" fontId="20" fillId="6" borderId="0" xfId="0" applyFont="1" applyFill="1" applyAlignment="1" applyProtection="1">
      <alignment vertical="top"/>
    </xf>
    <xf numFmtId="0" fontId="20" fillId="2" borderId="9" xfId="0" applyFont="1" applyFill="1" applyBorder="1" applyAlignment="1" applyProtection="1">
      <alignment horizontal="left" vertical="top" wrapText="1"/>
    </xf>
    <xf numFmtId="0" fontId="31" fillId="2" borderId="10" xfId="0" applyFont="1" applyFill="1" applyBorder="1" applyAlignment="1" applyProtection="1">
      <alignment horizontal="left" vertical="top"/>
      <protection locked="0"/>
    </xf>
    <xf numFmtId="0" fontId="32" fillId="2" borderId="10" xfId="0" applyFont="1" applyFill="1" applyBorder="1" applyAlignment="1" applyProtection="1">
      <alignment horizontal="left" vertical="top" indent="1"/>
    </xf>
    <xf numFmtId="0" fontId="20" fillId="2" borderId="10" xfId="0" applyFont="1" applyFill="1" applyBorder="1" applyAlignment="1" applyProtection="1">
      <alignment horizontal="left" vertical="top" wrapText="1"/>
    </xf>
    <xf numFmtId="0" fontId="20" fillId="2" borderId="11" xfId="0" applyFont="1" applyFill="1" applyBorder="1" applyAlignment="1" applyProtection="1">
      <alignment horizontal="left" vertical="top" wrapText="1"/>
    </xf>
    <xf numFmtId="0" fontId="20" fillId="2" borderId="12" xfId="0" applyFont="1" applyFill="1" applyBorder="1" applyAlignment="1" applyProtection="1">
      <alignment horizontal="left" vertical="top" wrapText="1"/>
    </xf>
    <xf numFmtId="0" fontId="20" fillId="6" borderId="12" xfId="0" applyFont="1" applyFill="1" applyBorder="1" applyAlignment="1" applyProtection="1">
      <alignment horizontal="left" vertical="top" wrapText="1"/>
    </xf>
    <xf numFmtId="0" fontId="12" fillId="6" borderId="13" xfId="0" applyFont="1" applyFill="1" applyBorder="1" applyAlignment="1" applyProtection="1">
      <alignment horizontal="left" vertical="top" wrapText="1"/>
    </xf>
    <xf numFmtId="0" fontId="1" fillId="8" borderId="13" xfId="0" applyFont="1" applyFill="1" applyBorder="1" applyAlignment="1" applyProtection="1">
      <alignment horizontal="left" vertical="top" wrapText="1"/>
      <protection locked="0"/>
    </xf>
    <xf numFmtId="0" fontId="23" fillId="6" borderId="13" xfId="0" applyFont="1" applyFill="1" applyBorder="1" applyAlignment="1" applyProtection="1">
      <alignment horizontal="left" vertical="top" indent="1"/>
    </xf>
    <xf numFmtId="0" fontId="23" fillId="6" borderId="13" xfId="0" applyFont="1" applyFill="1" applyBorder="1" applyAlignment="1" applyProtection="1">
      <alignment horizontal="left" vertical="top" wrapText="1"/>
    </xf>
    <xf numFmtId="0" fontId="23" fillId="6" borderId="14" xfId="0" applyFont="1" applyFill="1" applyBorder="1" applyAlignment="1" applyProtection="1">
      <alignment horizontal="left" vertical="top" wrapText="1"/>
    </xf>
    <xf numFmtId="0" fontId="12" fillId="6" borderId="15" xfId="0" applyFont="1" applyFill="1" applyBorder="1" applyAlignment="1" applyProtection="1">
      <alignment horizontal="left" vertical="top" wrapText="1"/>
    </xf>
    <xf numFmtId="0" fontId="1" fillId="9" borderId="15" xfId="0" applyFont="1" applyFill="1" applyBorder="1" applyAlignment="1" applyProtection="1">
      <alignment horizontal="left" vertical="top" wrapText="1"/>
      <protection locked="0"/>
    </xf>
    <xf numFmtId="0" fontId="23" fillId="6" borderId="15" xfId="0" applyFont="1" applyFill="1" applyBorder="1" applyAlignment="1" applyProtection="1">
      <alignment horizontal="left" vertical="top" indent="1"/>
    </xf>
    <xf numFmtId="0" fontId="23" fillId="6" borderId="15" xfId="0" applyFont="1" applyFill="1" applyBorder="1" applyAlignment="1" applyProtection="1">
      <alignment horizontal="left" vertical="top" wrapText="1"/>
    </xf>
    <xf numFmtId="0" fontId="23" fillId="6" borderId="16" xfId="0" applyFont="1" applyFill="1" applyBorder="1" applyAlignment="1" applyProtection="1">
      <alignment horizontal="left" vertical="top" wrapText="1"/>
    </xf>
    <xf numFmtId="0" fontId="12" fillId="6" borderId="17" xfId="0" applyFont="1" applyFill="1" applyBorder="1" applyAlignment="1" applyProtection="1">
      <alignment horizontal="left" vertical="top" wrapText="1"/>
    </xf>
    <xf numFmtId="0" fontId="1" fillId="8" borderId="17" xfId="0" applyFont="1" applyFill="1" applyBorder="1" applyAlignment="1" applyProtection="1">
      <alignment horizontal="left" vertical="top"/>
      <protection locked="0"/>
    </xf>
    <xf numFmtId="0" fontId="23" fillId="6" borderId="17" xfId="0" applyFont="1" applyFill="1" applyBorder="1" applyAlignment="1" applyProtection="1">
      <alignment horizontal="left" vertical="top" indent="1"/>
    </xf>
    <xf numFmtId="0" fontId="23" fillId="6" borderId="17" xfId="0" applyFont="1" applyFill="1" applyBorder="1" applyAlignment="1" applyProtection="1">
      <alignment horizontal="left" vertical="top" wrapText="1"/>
    </xf>
    <xf numFmtId="0" fontId="23" fillId="6" borderId="18" xfId="0" applyFont="1" applyFill="1" applyBorder="1" applyAlignment="1" applyProtection="1">
      <alignment horizontal="left" vertical="top" wrapText="1"/>
    </xf>
    <xf numFmtId="0" fontId="12" fillId="6" borderId="19" xfId="0" applyFont="1" applyFill="1" applyBorder="1" applyAlignment="1" applyProtection="1">
      <alignment horizontal="left" vertical="top" wrapText="1"/>
    </xf>
    <xf numFmtId="14" fontId="1" fillId="9" borderId="19" xfId="0" applyNumberFormat="1" applyFont="1" applyFill="1" applyBorder="1" applyAlignment="1" applyProtection="1">
      <alignment horizontal="left" vertical="top"/>
      <protection locked="0"/>
    </xf>
    <xf numFmtId="0" fontId="23" fillId="6" borderId="19" xfId="0" applyFont="1" applyFill="1" applyBorder="1" applyAlignment="1" applyProtection="1">
      <alignment horizontal="left" vertical="top" indent="1"/>
    </xf>
    <xf numFmtId="0" fontId="23" fillId="6" borderId="19" xfId="0" applyFont="1" applyFill="1" applyBorder="1" applyAlignment="1" applyProtection="1">
      <alignment horizontal="left" vertical="top" wrapText="1"/>
    </xf>
    <xf numFmtId="0" fontId="23" fillId="6" borderId="20" xfId="0" applyFont="1" applyFill="1" applyBorder="1" applyAlignment="1" applyProtection="1">
      <alignment horizontal="left" vertical="top" wrapText="1"/>
    </xf>
    <xf numFmtId="0" fontId="12" fillId="6" borderId="4" xfId="0" applyFont="1" applyFill="1" applyBorder="1" applyAlignment="1" applyProtection="1">
      <alignment horizontal="left" vertical="top" wrapText="1"/>
    </xf>
    <xf numFmtId="165" fontId="1" fillId="8" borderId="4" xfId="5" applyNumberFormat="1" applyFont="1" applyFill="1" applyBorder="1" applyAlignment="1" applyProtection="1">
      <alignment horizontal="left" vertical="top"/>
      <protection locked="0"/>
    </xf>
    <xf numFmtId="0" fontId="23" fillId="6" borderId="4" xfId="0" applyFont="1" applyFill="1" applyBorder="1" applyAlignment="1" applyProtection="1">
      <alignment horizontal="left" vertical="top" indent="1"/>
    </xf>
    <xf numFmtId="0" fontId="23" fillId="6" borderId="4" xfId="0" applyFont="1" applyFill="1" applyBorder="1" applyAlignment="1" applyProtection="1">
      <alignment horizontal="left" vertical="top" wrapText="1"/>
    </xf>
    <xf numFmtId="0" fontId="23" fillId="6" borderId="21" xfId="0" applyFont="1" applyFill="1" applyBorder="1" applyAlignment="1" applyProtection="1">
      <alignment horizontal="left" vertical="top" wrapText="1"/>
    </xf>
    <xf numFmtId="0" fontId="23" fillId="6" borderId="22" xfId="0" applyFont="1" applyFill="1" applyBorder="1" applyAlignment="1" applyProtection="1">
      <alignment horizontal="left" vertical="top" wrapText="1"/>
    </xf>
    <xf numFmtId="0" fontId="20" fillId="10" borderId="23" xfId="0" applyFont="1" applyFill="1" applyBorder="1" applyAlignment="1" applyProtection="1">
      <alignment horizontal="left" vertical="top" wrapText="1"/>
    </xf>
    <xf numFmtId="0" fontId="20" fillId="6" borderId="24" xfId="0" applyFont="1" applyFill="1" applyBorder="1" applyAlignment="1" applyProtection="1">
      <alignment horizontal="left" vertical="top" wrapText="1"/>
    </xf>
    <xf numFmtId="0" fontId="20" fillId="6" borderId="23" xfId="0" applyFont="1" applyFill="1" applyBorder="1" applyAlignment="1" applyProtection="1">
      <alignment horizontal="left" vertical="top" wrapText="1"/>
    </xf>
    <xf numFmtId="0" fontId="23" fillId="10" borderId="23" xfId="0" applyFont="1" applyFill="1" applyBorder="1" applyAlignment="1" applyProtection="1">
      <alignment horizontal="left" vertical="top" wrapText="1"/>
    </xf>
    <xf numFmtId="0" fontId="23" fillId="6" borderId="23" xfId="0" applyFont="1" applyFill="1" applyBorder="1" applyAlignment="1" applyProtection="1">
      <alignment horizontal="left" vertical="top" wrapText="1"/>
    </xf>
    <xf numFmtId="0" fontId="12" fillId="6" borderId="25" xfId="0" applyFont="1" applyFill="1" applyBorder="1" applyAlignment="1" applyProtection="1">
      <alignment horizontal="left" vertical="top" wrapText="1"/>
    </xf>
    <xf numFmtId="2" fontId="1" fillId="8" borderId="17" xfId="0" applyNumberFormat="1" applyFont="1" applyFill="1" applyBorder="1" applyAlignment="1" applyProtection="1">
      <alignment horizontal="left" vertical="top"/>
      <protection locked="0"/>
    </xf>
    <xf numFmtId="0" fontId="23" fillId="6" borderId="25" xfId="0" applyFont="1" applyFill="1" applyBorder="1" applyAlignment="1" applyProtection="1">
      <alignment horizontal="left" vertical="top" indent="1"/>
    </xf>
    <xf numFmtId="0" fontId="33" fillId="6" borderId="25" xfId="0" applyFont="1" applyFill="1" applyBorder="1" applyAlignment="1" applyProtection="1">
      <alignment horizontal="left" vertical="top" wrapText="1"/>
    </xf>
    <xf numFmtId="0" fontId="23" fillId="6" borderId="26" xfId="0" applyFont="1" applyFill="1" applyBorder="1" applyAlignment="1" applyProtection="1">
      <alignment horizontal="left" vertical="top" wrapText="1"/>
    </xf>
    <xf numFmtId="0" fontId="23" fillId="6" borderId="27" xfId="0" applyFont="1" applyFill="1" applyBorder="1" applyAlignment="1" applyProtection="1">
      <alignment horizontal="left" vertical="top" wrapText="1"/>
    </xf>
    <xf numFmtId="0" fontId="20" fillId="10" borderId="28" xfId="0" applyFont="1" applyFill="1" applyBorder="1" applyAlignment="1" applyProtection="1">
      <alignment horizontal="left" vertical="top" wrapText="1"/>
    </xf>
    <xf numFmtId="0" fontId="20" fillId="6" borderId="29" xfId="0" applyFont="1" applyFill="1" applyBorder="1" applyAlignment="1" applyProtection="1">
      <alignment horizontal="left" vertical="top" wrapText="1"/>
    </xf>
    <xf numFmtId="0" fontId="20" fillId="6" borderId="28" xfId="0" applyFont="1" applyFill="1" applyBorder="1" applyAlignment="1" applyProtection="1">
      <alignment horizontal="left" vertical="top" wrapText="1"/>
    </xf>
    <xf numFmtId="0" fontId="23" fillId="10" borderId="28" xfId="0" applyFont="1" applyFill="1" applyBorder="1" applyAlignment="1" applyProtection="1">
      <alignment horizontal="left" vertical="top" wrapText="1"/>
    </xf>
    <xf numFmtId="0" fontId="23" fillId="6" borderId="28" xfId="0" applyFont="1" applyFill="1" applyBorder="1" applyAlignment="1" applyProtection="1">
      <alignment horizontal="left" vertical="top" wrapText="1"/>
    </xf>
    <xf numFmtId="0" fontId="1" fillId="6" borderId="0" xfId="0" applyFont="1" applyFill="1" applyBorder="1" applyAlignment="1" applyProtection="1">
      <alignment horizontal="left" vertical="top" wrapText="1"/>
    </xf>
    <xf numFmtId="165" fontId="1" fillId="0" borderId="0" xfId="5" applyNumberFormat="1" applyFont="1" applyFill="1" applyBorder="1" applyAlignment="1" applyProtection="1">
      <alignment horizontal="left" vertical="top"/>
    </xf>
    <xf numFmtId="0" fontId="23" fillId="6" borderId="30" xfId="0" applyFont="1" applyFill="1" applyBorder="1" applyAlignment="1" applyProtection="1">
      <alignment horizontal="left" vertical="top" wrapText="1"/>
    </xf>
    <xf numFmtId="0" fontId="12" fillId="6" borderId="6" xfId="0" applyFont="1" applyFill="1" applyBorder="1" applyAlignment="1" applyProtection="1">
      <alignment horizontal="left" vertical="top" wrapText="1"/>
    </xf>
    <xf numFmtId="165" fontId="1" fillId="8" borderId="6" xfId="5" applyNumberFormat="1" applyFont="1" applyFill="1" applyBorder="1" applyAlignment="1" applyProtection="1">
      <alignment horizontal="left" vertical="top"/>
      <protection locked="0"/>
    </xf>
    <xf numFmtId="0" fontId="23" fillId="6" borderId="6" xfId="0" applyFont="1" applyFill="1" applyBorder="1" applyAlignment="1" applyProtection="1">
      <alignment horizontal="left" vertical="top" indent="1"/>
    </xf>
    <xf numFmtId="0" fontId="23" fillId="6" borderId="6" xfId="0" applyFont="1" applyFill="1" applyBorder="1" applyAlignment="1" applyProtection="1">
      <alignment horizontal="left" vertical="top" wrapText="1"/>
    </xf>
    <xf numFmtId="0" fontId="23" fillId="6" borderId="31" xfId="0" applyFont="1" applyFill="1" applyBorder="1" applyAlignment="1" applyProtection="1">
      <alignment horizontal="left" vertical="top" wrapText="1"/>
    </xf>
    <xf numFmtId="166" fontId="1" fillId="8" borderId="17" xfId="0" applyNumberFormat="1" applyFont="1" applyFill="1" applyBorder="1" applyAlignment="1" applyProtection="1">
      <alignment horizontal="left" vertical="top"/>
      <protection locked="0"/>
    </xf>
    <xf numFmtId="0" fontId="23" fillId="6" borderId="25" xfId="0" applyFont="1" applyFill="1" applyBorder="1" applyAlignment="1" applyProtection="1">
      <alignment horizontal="left" vertical="top" wrapText="1"/>
    </xf>
    <xf numFmtId="0" fontId="23" fillId="0" borderId="19" xfId="0" applyFont="1" applyFill="1" applyBorder="1" applyAlignment="1" applyProtection="1">
      <alignment horizontal="left" vertical="top" indent="1"/>
    </xf>
    <xf numFmtId="0" fontId="23" fillId="0" borderId="6" xfId="0" applyFont="1" applyFill="1" applyBorder="1" applyAlignment="1" applyProtection="1">
      <alignment horizontal="left" vertical="top" indent="1"/>
    </xf>
    <xf numFmtId="0" fontId="1" fillId="6" borderId="25" xfId="0" applyFont="1" applyFill="1" applyBorder="1" applyAlignment="1" applyProtection="1">
      <alignment horizontal="left" vertical="top" wrapText="1"/>
    </xf>
    <xf numFmtId="0" fontId="1" fillId="6" borderId="0" xfId="0" applyFont="1" applyFill="1" applyAlignment="1" applyProtection="1">
      <alignment vertical="top"/>
      <protection locked="0"/>
    </xf>
    <xf numFmtId="0" fontId="23" fillId="0" borderId="25" xfId="0" applyFont="1" applyFill="1" applyBorder="1" applyAlignment="1" applyProtection="1">
      <alignment horizontal="left" vertical="top" indent="1"/>
    </xf>
    <xf numFmtId="165" fontId="1" fillId="8" borderId="19" xfId="0" applyNumberFormat="1" applyFont="1" applyFill="1" applyBorder="1" applyAlignment="1" applyProtection="1">
      <alignment horizontal="left" vertical="top"/>
      <protection locked="0"/>
    </xf>
    <xf numFmtId="0" fontId="1" fillId="6" borderId="6" xfId="0" applyFont="1" applyFill="1" applyBorder="1" applyAlignment="1" applyProtection="1">
      <alignment horizontal="left" vertical="top" wrapText="1"/>
    </xf>
    <xf numFmtId="165" fontId="1" fillId="8" borderId="6" xfId="0" applyNumberFormat="1" applyFont="1" applyFill="1" applyBorder="1" applyAlignment="1" applyProtection="1">
      <alignment horizontal="left" vertical="top"/>
      <protection locked="0"/>
    </xf>
    <xf numFmtId="0" fontId="33" fillId="6" borderId="6" xfId="0" applyFont="1" applyFill="1" applyBorder="1" applyAlignment="1" applyProtection="1">
      <alignment horizontal="left" vertical="top" wrapText="1"/>
    </xf>
    <xf numFmtId="0" fontId="33" fillId="6" borderId="31" xfId="0" applyFont="1" applyFill="1" applyBorder="1" applyAlignment="1" applyProtection="1">
      <alignment horizontal="left" vertical="top" wrapText="1"/>
    </xf>
    <xf numFmtId="0" fontId="23" fillId="0" borderId="6" xfId="0" applyFont="1" applyFill="1" applyBorder="1" applyAlignment="1" applyProtection="1">
      <alignment horizontal="left" vertical="top" wrapText="1" indent="1"/>
    </xf>
    <xf numFmtId="165" fontId="1" fillId="11" borderId="6" xfId="0" applyNumberFormat="1" applyFont="1" applyFill="1" applyBorder="1" applyAlignment="1" applyProtection="1">
      <alignment horizontal="left" vertical="top"/>
      <protection locked="0"/>
    </xf>
    <xf numFmtId="0" fontId="1" fillId="6" borderId="32" xfId="0" applyFont="1" applyFill="1" applyBorder="1" applyAlignment="1" applyProtection="1">
      <alignment horizontal="left" vertical="top" wrapText="1"/>
    </xf>
    <xf numFmtId="166" fontId="1" fillId="9" borderId="32" xfId="0" applyNumberFormat="1" applyFont="1" applyFill="1" applyBorder="1" applyAlignment="1" applyProtection="1">
      <alignment horizontal="left" vertical="top"/>
      <protection locked="0"/>
    </xf>
    <xf numFmtId="0" fontId="23" fillId="6" borderId="32" xfId="0" applyFont="1" applyFill="1" applyBorder="1" applyAlignment="1" applyProtection="1">
      <alignment horizontal="left" vertical="top" indent="1"/>
    </xf>
    <xf numFmtId="0" fontId="4" fillId="6" borderId="32" xfId="0" applyFont="1" applyFill="1" applyBorder="1" applyAlignment="1" applyProtection="1">
      <alignment horizontal="left" vertical="top" wrapText="1"/>
    </xf>
    <xf numFmtId="0" fontId="4" fillId="6" borderId="33" xfId="0" applyFont="1" applyFill="1" applyBorder="1" applyAlignment="1" applyProtection="1">
      <alignment horizontal="left" vertical="top" wrapText="1"/>
    </xf>
    <xf numFmtId="167" fontId="1" fillId="8" borderId="4" xfId="5" applyNumberFormat="1" applyFont="1" applyFill="1" applyBorder="1" applyAlignment="1" applyProtection="1">
      <alignment horizontal="left" vertical="top"/>
      <protection locked="0"/>
    </xf>
    <xf numFmtId="0" fontId="20" fillId="10" borderId="34" xfId="0" applyFont="1" applyFill="1" applyBorder="1" applyAlignment="1" applyProtection="1">
      <alignment horizontal="left" vertical="top" wrapText="1"/>
    </xf>
    <xf numFmtId="0" fontId="20" fillId="6" borderId="35" xfId="0" applyFont="1" applyFill="1" applyBorder="1" applyAlignment="1" applyProtection="1">
      <alignment horizontal="left" vertical="top" wrapText="1"/>
    </xf>
    <xf numFmtId="0" fontId="20" fillId="6" borderId="34" xfId="0" applyFont="1" applyFill="1" applyBorder="1" applyAlignment="1" applyProtection="1">
      <alignment horizontal="left" vertical="top" wrapText="1"/>
    </xf>
    <xf numFmtId="0" fontId="23" fillId="10" borderId="34" xfId="0" applyFont="1" applyFill="1" applyBorder="1" applyAlignment="1" applyProtection="1">
      <alignment horizontal="left" vertical="top" wrapText="1"/>
    </xf>
    <xf numFmtId="0" fontId="23" fillId="6" borderId="34" xfId="0" applyFont="1" applyFill="1" applyBorder="1" applyAlignment="1" applyProtection="1">
      <alignment horizontal="left" vertical="top" wrapText="1"/>
    </xf>
    <xf numFmtId="0" fontId="12" fillId="6" borderId="32" xfId="0" applyFont="1" applyFill="1" applyBorder="1" applyAlignment="1" applyProtection="1">
      <alignment horizontal="left" vertical="top" wrapText="1"/>
    </xf>
    <xf numFmtId="167" fontId="1" fillId="8" borderId="32" xfId="5" applyNumberFormat="1" applyFont="1" applyFill="1" applyBorder="1" applyAlignment="1" applyProtection="1">
      <alignment horizontal="left" vertical="top"/>
      <protection locked="0"/>
    </xf>
    <xf numFmtId="0" fontId="23" fillId="6" borderId="32" xfId="0" applyFont="1" applyFill="1" applyBorder="1" applyAlignment="1" applyProtection="1">
      <alignment horizontal="left" vertical="top" wrapText="1"/>
    </xf>
    <xf numFmtId="0" fontId="23" fillId="6" borderId="33" xfId="0" applyFont="1" applyFill="1" applyBorder="1" applyAlignment="1" applyProtection="1">
      <alignment horizontal="left" vertical="top" wrapText="1"/>
    </xf>
    <xf numFmtId="0" fontId="20" fillId="10" borderId="36" xfId="0" applyFont="1" applyFill="1" applyBorder="1" applyAlignment="1" applyProtection="1">
      <alignment horizontal="left" vertical="top" wrapText="1"/>
    </xf>
    <xf numFmtId="0" fontId="20" fillId="6" borderId="37" xfId="0" applyFont="1" applyFill="1" applyBorder="1" applyAlignment="1" applyProtection="1">
      <alignment horizontal="left" vertical="top" wrapText="1"/>
    </xf>
    <xf numFmtId="0" fontId="20" fillId="6" borderId="36" xfId="0" applyFont="1" applyFill="1" applyBorder="1" applyAlignment="1" applyProtection="1">
      <alignment horizontal="left" vertical="top" wrapText="1"/>
    </xf>
    <xf numFmtId="0" fontId="23" fillId="10" borderId="36" xfId="0" applyFont="1" applyFill="1" applyBorder="1" applyAlignment="1" applyProtection="1">
      <alignment horizontal="left" vertical="top" wrapText="1"/>
    </xf>
    <xf numFmtId="0" fontId="23" fillId="6" borderId="36" xfId="0" applyFont="1" applyFill="1" applyBorder="1" applyAlignment="1" applyProtection="1">
      <alignment horizontal="left" vertical="top" wrapText="1"/>
    </xf>
    <xf numFmtId="0" fontId="20" fillId="10" borderId="38" xfId="0" applyFont="1" applyFill="1" applyBorder="1" applyAlignment="1" applyProtection="1">
      <alignment horizontal="left" vertical="top" wrapText="1"/>
    </xf>
    <xf numFmtId="0" fontId="20" fillId="6" borderId="39" xfId="0" applyFont="1" applyFill="1" applyBorder="1" applyAlignment="1" applyProtection="1">
      <alignment horizontal="left" vertical="top" wrapText="1"/>
    </xf>
    <xf numFmtId="0" fontId="20" fillId="6" borderId="38" xfId="0" applyFont="1" applyFill="1" applyBorder="1" applyAlignment="1" applyProtection="1">
      <alignment horizontal="left" vertical="top" wrapText="1"/>
    </xf>
    <xf numFmtId="0" fontId="23" fillId="10" borderId="38" xfId="0" applyFont="1" applyFill="1" applyBorder="1" applyAlignment="1" applyProtection="1">
      <alignment horizontal="left" vertical="top" wrapText="1"/>
    </xf>
    <xf numFmtId="0" fontId="23" fillId="6" borderId="38" xfId="0" applyFont="1" applyFill="1" applyBorder="1" applyAlignment="1" applyProtection="1">
      <alignment horizontal="left" vertical="top" wrapText="1"/>
    </xf>
    <xf numFmtId="167" fontId="1" fillId="8" borderId="5" xfId="5" applyNumberFormat="1" applyFont="1" applyFill="1" applyBorder="1" applyAlignment="1" applyProtection="1">
      <alignment horizontal="left" vertical="top"/>
      <protection locked="0"/>
    </xf>
    <xf numFmtId="0" fontId="23" fillId="6" borderId="40" xfId="0" applyFont="1" applyFill="1" applyBorder="1" applyAlignment="1" applyProtection="1">
      <alignment horizontal="left" vertical="top" wrapText="1"/>
    </xf>
    <xf numFmtId="0" fontId="12" fillId="6" borderId="41" xfId="0" applyFont="1" applyFill="1" applyBorder="1" applyAlignment="1" applyProtection="1">
      <alignment horizontal="left" vertical="top" wrapText="1"/>
    </xf>
    <xf numFmtId="167" fontId="1" fillId="8" borderId="19" xfId="5" applyNumberFormat="1" applyFont="1" applyFill="1" applyBorder="1" applyAlignment="1" applyProtection="1">
      <alignment horizontal="left" vertical="top"/>
      <protection locked="0"/>
    </xf>
    <xf numFmtId="0" fontId="23" fillId="6" borderId="41" xfId="0" applyFont="1" applyFill="1" applyBorder="1" applyAlignment="1" applyProtection="1">
      <alignment horizontal="left" vertical="top" indent="1"/>
    </xf>
    <xf numFmtId="0" fontId="23" fillId="6" borderId="41" xfId="0" applyFont="1" applyFill="1" applyBorder="1" applyAlignment="1" applyProtection="1">
      <alignment horizontal="left" vertical="top" wrapText="1"/>
    </xf>
    <xf numFmtId="0" fontId="23" fillId="6" borderId="42" xfId="0" applyFont="1" applyFill="1" applyBorder="1" applyAlignment="1" applyProtection="1">
      <alignment horizontal="left" vertical="top" indent="1"/>
    </xf>
    <xf numFmtId="0" fontId="23" fillId="6" borderId="42" xfId="0" applyFont="1" applyFill="1" applyBorder="1" applyAlignment="1" applyProtection="1">
      <alignment horizontal="left" vertical="top" wrapText="1"/>
    </xf>
    <xf numFmtId="0" fontId="34" fillId="6" borderId="6" xfId="0" applyFont="1" applyFill="1" applyBorder="1" applyAlignment="1" applyProtection="1">
      <alignment horizontal="left" vertical="top" wrapText="1"/>
    </xf>
    <xf numFmtId="0" fontId="34" fillId="6" borderId="31" xfId="0" applyFont="1" applyFill="1" applyBorder="1" applyAlignment="1" applyProtection="1">
      <alignment horizontal="left" vertical="top" wrapText="1"/>
    </xf>
    <xf numFmtId="0" fontId="34" fillId="6" borderId="22" xfId="0" applyFont="1" applyFill="1" applyBorder="1" applyAlignment="1" applyProtection="1">
      <alignment horizontal="left" vertical="top" wrapText="1"/>
    </xf>
    <xf numFmtId="0" fontId="34" fillId="10" borderId="38" xfId="0" applyFont="1" applyFill="1" applyBorder="1" applyAlignment="1" applyProtection="1">
      <alignment horizontal="left" vertical="top" wrapText="1"/>
    </xf>
    <xf numFmtId="0" fontId="34" fillId="6" borderId="38" xfId="0" applyFont="1" applyFill="1" applyBorder="1" applyAlignment="1" applyProtection="1">
      <alignment horizontal="left" vertical="top" wrapText="1"/>
    </xf>
    <xf numFmtId="167" fontId="1" fillId="9" borderId="25" xfId="0" applyNumberFormat="1" applyFont="1" applyFill="1" applyBorder="1" applyAlignment="1" applyProtection="1">
      <alignment horizontal="left" vertical="top"/>
      <protection locked="0"/>
    </xf>
    <xf numFmtId="0" fontId="23" fillId="6" borderId="25" xfId="0" applyFont="1" applyFill="1" applyBorder="1" applyAlignment="1" applyProtection="1">
      <alignment horizontal="left" vertical="top" wrapText="1" indent="1"/>
    </xf>
    <xf numFmtId="0" fontId="34" fillId="6" borderId="25" xfId="0" applyFont="1" applyFill="1" applyBorder="1" applyAlignment="1" applyProtection="1">
      <alignment horizontal="left" vertical="top" wrapText="1"/>
    </xf>
    <xf numFmtId="0" fontId="34" fillId="6" borderId="26" xfId="0" applyFont="1" applyFill="1" applyBorder="1" applyAlignment="1" applyProtection="1">
      <alignment horizontal="left" vertical="top" wrapText="1"/>
    </xf>
    <xf numFmtId="0" fontId="34" fillId="6" borderId="27" xfId="0" applyFont="1" applyFill="1" applyBorder="1" applyAlignment="1" applyProtection="1">
      <alignment horizontal="left" vertical="top" wrapText="1"/>
    </xf>
    <xf numFmtId="0" fontId="1" fillId="6" borderId="13" xfId="0" applyFont="1" applyFill="1" applyBorder="1" applyAlignment="1" applyProtection="1">
      <alignment horizontal="left" vertical="top" wrapText="1"/>
    </xf>
    <xf numFmtId="167" fontId="1" fillId="0" borderId="13" xfId="0" applyNumberFormat="1" applyFont="1" applyFill="1" applyBorder="1" applyAlignment="1" applyProtection="1">
      <alignment horizontal="left" vertical="top"/>
      <protection locked="0"/>
    </xf>
    <xf numFmtId="0" fontId="23" fillId="6" borderId="43" xfId="0" applyFont="1" applyFill="1" applyBorder="1" applyAlignment="1" applyProtection="1">
      <alignment horizontal="left" vertical="top" wrapText="1"/>
    </xf>
    <xf numFmtId="167" fontId="1" fillId="9" borderId="6" xfId="0" applyNumberFormat="1" applyFont="1" applyFill="1" applyBorder="1" applyAlignment="1" applyProtection="1">
      <alignment horizontal="left" vertical="top"/>
      <protection locked="0"/>
    </xf>
    <xf numFmtId="0" fontId="34" fillId="6" borderId="4" xfId="0" applyFont="1" applyFill="1" applyBorder="1" applyAlignment="1" applyProtection="1">
      <alignment horizontal="left" vertical="top" wrapText="1"/>
    </xf>
    <xf numFmtId="0" fontId="35" fillId="0" borderId="6" xfId="0" applyFont="1" applyFill="1" applyBorder="1" applyAlignment="1" applyProtection="1">
      <alignment horizontal="left" vertical="top" wrapText="1" indent="1"/>
    </xf>
    <xf numFmtId="0" fontId="27" fillId="10" borderId="38" xfId="0" applyFont="1" applyFill="1" applyBorder="1" applyAlignment="1" applyProtection="1">
      <alignment horizontal="left" vertical="top" wrapText="1"/>
    </xf>
    <xf numFmtId="0" fontId="27" fillId="6" borderId="38" xfId="0" applyFont="1" applyFill="1" applyBorder="1" applyAlignment="1" applyProtection="1">
      <alignment horizontal="left" vertical="top" wrapText="1"/>
    </xf>
    <xf numFmtId="0" fontId="36" fillId="10" borderId="38" xfId="0" applyFont="1" applyFill="1" applyBorder="1" applyAlignment="1" applyProtection="1">
      <alignment horizontal="left" vertical="top" wrapText="1"/>
    </xf>
    <xf numFmtId="0" fontId="36" fillId="6" borderId="38" xfId="0" applyFont="1" applyFill="1" applyBorder="1" applyAlignment="1" applyProtection="1">
      <alignment horizontal="left" vertical="top" wrapText="1"/>
    </xf>
    <xf numFmtId="167" fontId="1" fillId="9" borderId="44" xfId="0" applyNumberFormat="1" applyFont="1" applyFill="1" applyBorder="1" applyAlignment="1" applyProtection="1">
      <alignment horizontal="left" vertical="top"/>
      <protection locked="0"/>
    </xf>
    <xf numFmtId="0" fontId="35" fillId="6" borderId="13" xfId="0" applyFont="1" applyFill="1" applyBorder="1" applyAlignment="1" applyProtection="1">
      <alignment horizontal="left" vertical="top" wrapText="1" indent="1"/>
    </xf>
    <xf numFmtId="0" fontId="34" fillId="6" borderId="13" xfId="0" applyFont="1" applyFill="1" applyBorder="1" applyAlignment="1" applyProtection="1">
      <alignment horizontal="left" vertical="top" wrapText="1"/>
    </xf>
    <xf numFmtId="0" fontId="34" fillId="6" borderId="14" xfId="0" applyFont="1" applyFill="1" applyBorder="1" applyAlignment="1" applyProtection="1">
      <alignment horizontal="left" vertical="top" wrapText="1"/>
    </xf>
    <xf numFmtId="0" fontId="35" fillId="6" borderId="25" xfId="0" applyFont="1" applyFill="1" applyBorder="1" applyAlignment="1" applyProtection="1">
      <alignment horizontal="left" vertical="top" wrapText="1" indent="1"/>
    </xf>
    <xf numFmtId="0" fontId="23" fillId="0" borderId="25" xfId="0" applyFont="1" applyFill="1" applyBorder="1" applyAlignment="1" applyProtection="1">
      <alignment horizontal="left" vertical="top" wrapText="1"/>
    </xf>
    <xf numFmtId="0" fontId="20" fillId="6" borderId="25" xfId="0" applyFont="1" applyFill="1" applyBorder="1" applyAlignment="1" applyProtection="1">
      <alignment horizontal="left" vertical="top" wrapText="1"/>
    </xf>
    <xf numFmtId="0" fontId="35" fillId="0" borderId="25" xfId="0" applyFont="1" applyFill="1" applyBorder="1" applyAlignment="1" applyProtection="1">
      <alignment horizontal="left" vertical="top" wrapText="1"/>
    </xf>
    <xf numFmtId="0" fontId="23" fillId="6" borderId="24" xfId="0" applyFont="1" applyFill="1" applyBorder="1" applyAlignment="1" applyProtection="1">
      <alignment horizontal="left" vertical="top" wrapText="1"/>
    </xf>
    <xf numFmtId="0" fontId="23" fillId="6" borderId="29" xfId="0" applyFont="1" applyFill="1" applyBorder="1" applyAlignment="1" applyProtection="1">
      <alignment horizontal="left" vertical="top" wrapText="1"/>
    </xf>
    <xf numFmtId="167" fontId="1" fillId="9" borderId="19" xfId="0" applyNumberFormat="1" applyFont="1" applyFill="1" applyBorder="1" applyAlignment="1" applyProtection="1">
      <alignment horizontal="left" vertical="top"/>
      <protection locked="0"/>
    </xf>
    <xf numFmtId="0" fontId="1" fillId="6" borderId="4" xfId="0" applyFont="1" applyFill="1" applyBorder="1" applyAlignment="1" applyProtection="1">
      <alignment horizontal="left" vertical="top" wrapText="1"/>
    </xf>
    <xf numFmtId="0" fontId="23" fillId="6" borderId="45" xfId="0" applyFont="1" applyFill="1" applyBorder="1" applyAlignment="1" applyProtection="1">
      <alignment horizontal="left" vertical="top" wrapText="1"/>
    </xf>
    <xf numFmtId="0" fontId="23" fillId="6" borderId="46" xfId="0" applyFont="1" applyFill="1" applyBorder="1" applyAlignment="1" applyProtection="1">
      <alignment horizontal="left" vertical="top" wrapText="1"/>
    </xf>
    <xf numFmtId="0" fontId="20" fillId="10" borderId="47" xfId="0" applyFont="1" applyFill="1" applyBorder="1" applyAlignment="1" applyProtection="1">
      <alignment horizontal="left" vertical="top" wrapText="1"/>
    </xf>
    <xf numFmtId="0" fontId="20" fillId="6" borderId="48" xfId="0" applyFont="1" applyFill="1" applyBorder="1" applyAlignment="1" applyProtection="1">
      <alignment horizontal="left" vertical="top" wrapText="1"/>
    </xf>
    <xf numFmtId="0" fontId="20" fillId="6" borderId="47" xfId="0" applyFont="1" applyFill="1" applyBorder="1" applyAlignment="1" applyProtection="1">
      <alignment horizontal="left" vertical="top" wrapText="1"/>
    </xf>
    <xf numFmtId="0" fontId="23" fillId="10" borderId="47" xfId="0" applyFont="1" applyFill="1" applyBorder="1" applyAlignment="1" applyProtection="1">
      <alignment horizontal="left" vertical="top" wrapText="1"/>
    </xf>
    <xf numFmtId="0" fontId="23" fillId="6" borderId="47" xfId="0" applyFont="1" applyFill="1" applyBorder="1" applyAlignment="1" applyProtection="1">
      <alignment horizontal="left" vertical="top" wrapText="1"/>
    </xf>
    <xf numFmtId="0" fontId="23" fillId="0" borderId="26" xfId="0" applyFont="1" applyFill="1" applyBorder="1" applyAlignment="1" applyProtection="1">
      <alignment horizontal="left" vertical="top" wrapText="1"/>
    </xf>
    <xf numFmtId="167" fontId="1" fillId="8" borderId="42" xfId="5" applyNumberFormat="1" applyFont="1" applyFill="1" applyBorder="1" applyAlignment="1" applyProtection="1">
      <alignment horizontal="left" vertical="top"/>
      <protection locked="0"/>
    </xf>
    <xf numFmtId="0" fontId="12" fillId="6" borderId="0" xfId="0" applyFont="1" applyFill="1" applyBorder="1" applyAlignment="1" applyProtection="1">
      <alignment horizontal="left" vertical="top" wrapText="1"/>
    </xf>
    <xf numFmtId="0" fontId="12" fillId="6" borderId="42" xfId="0" applyFont="1" applyFill="1" applyBorder="1" applyAlignment="1" applyProtection="1">
      <alignment horizontal="left" vertical="top" wrapText="1"/>
    </xf>
    <xf numFmtId="167" fontId="1" fillId="6" borderId="49" xfId="0" applyNumberFormat="1" applyFont="1" applyFill="1" applyBorder="1" applyAlignment="1" applyProtection="1">
      <alignment horizontal="left" vertical="top"/>
      <protection locked="0"/>
    </xf>
    <xf numFmtId="167" fontId="1" fillId="8" borderId="6" xfId="0" applyNumberFormat="1" applyFont="1" applyFill="1" applyBorder="1" applyAlignment="1" applyProtection="1">
      <alignment horizontal="left" vertical="top"/>
      <protection locked="0"/>
    </xf>
    <xf numFmtId="0" fontId="33" fillId="6" borderId="45" xfId="0" applyFont="1" applyFill="1" applyBorder="1" applyAlignment="1" applyProtection="1">
      <alignment horizontal="left" vertical="top" wrapText="1"/>
    </xf>
    <xf numFmtId="167" fontId="1" fillId="6" borderId="6" xfId="0" applyNumberFormat="1" applyFont="1" applyFill="1" applyBorder="1" applyAlignment="1" applyProtection="1">
      <alignment horizontal="left" vertical="top"/>
      <protection locked="0"/>
    </xf>
    <xf numFmtId="0" fontId="23" fillId="0" borderId="4" xfId="0" applyFont="1" applyFill="1" applyBorder="1" applyAlignment="1" applyProtection="1">
      <alignment horizontal="left" vertical="top" wrapText="1"/>
    </xf>
    <xf numFmtId="0" fontId="23" fillId="0" borderId="21" xfId="0" applyFont="1" applyFill="1" applyBorder="1" applyAlignment="1" applyProtection="1">
      <alignment horizontal="left" vertical="top" wrapText="1"/>
    </xf>
    <xf numFmtId="0" fontId="23" fillId="0" borderId="22" xfId="0" applyFont="1" applyFill="1" applyBorder="1" applyAlignment="1" applyProtection="1">
      <alignment horizontal="left" vertical="top" wrapText="1"/>
    </xf>
    <xf numFmtId="0" fontId="1" fillId="6" borderId="0" xfId="0" applyFont="1" applyFill="1" applyBorder="1" applyAlignment="1" applyProtection="1">
      <alignment horizontal="left" vertical="top"/>
      <protection locked="0"/>
    </xf>
    <xf numFmtId="0" fontId="23" fillId="6" borderId="0" xfId="0" applyFont="1" applyFill="1" applyBorder="1" applyAlignment="1" applyProtection="1">
      <alignment horizontal="left" vertical="top" wrapText="1" indent="1"/>
    </xf>
    <xf numFmtId="0" fontId="34" fillId="6" borderId="0" xfId="0" applyFont="1" applyFill="1" applyBorder="1" applyAlignment="1" applyProtection="1">
      <alignment horizontal="left" vertical="top" wrapText="1"/>
    </xf>
    <xf numFmtId="0" fontId="34" fillId="6" borderId="30" xfId="0" applyFont="1" applyFill="1" applyBorder="1" applyAlignment="1" applyProtection="1">
      <alignment horizontal="left" vertical="top" wrapText="1"/>
    </xf>
    <xf numFmtId="0" fontId="37" fillId="12" borderId="50" xfId="0" applyFont="1" applyFill="1" applyBorder="1" applyAlignment="1" applyProtection="1">
      <alignment horizontal="left" vertical="top"/>
    </xf>
    <xf numFmtId="167" fontId="1" fillId="12" borderId="51" xfId="0" applyNumberFormat="1" applyFont="1" applyFill="1" applyBorder="1" applyAlignment="1" applyProtection="1">
      <alignment horizontal="left" vertical="top"/>
      <protection locked="0"/>
    </xf>
    <xf numFmtId="0" fontId="23" fillId="12" borderId="51" xfId="0" applyFont="1" applyFill="1" applyBorder="1" applyAlignment="1" applyProtection="1">
      <alignment horizontal="left" vertical="top" indent="1"/>
    </xf>
    <xf numFmtId="0" fontId="23" fillId="12" borderId="51" xfId="0" applyFont="1" applyFill="1" applyBorder="1" applyAlignment="1" applyProtection="1">
      <alignment horizontal="left" vertical="top" wrapText="1"/>
    </xf>
    <xf numFmtId="0" fontId="23" fillId="12" borderId="52" xfId="0" applyFont="1" applyFill="1" applyBorder="1" applyAlignment="1" applyProtection="1">
      <alignment horizontal="left" vertical="top" wrapText="1"/>
    </xf>
    <xf numFmtId="0" fontId="23" fillId="12" borderId="53" xfId="0" applyFont="1" applyFill="1" applyBorder="1" applyAlignment="1" applyProtection="1">
      <alignment horizontal="left" vertical="top" wrapText="1"/>
    </xf>
    <xf numFmtId="0" fontId="23" fillId="6" borderId="53" xfId="0" applyFont="1" applyFill="1" applyBorder="1" applyAlignment="1" applyProtection="1">
      <alignment horizontal="left" vertical="top" wrapText="1"/>
    </xf>
    <xf numFmtId="0" fontId="12" fillId="6" borderId="5" xfId="0" applyFont="1" applyFill="1" applyBorder="1" applyAlignment="1" applyProtection="1">
      <alignment horizontal="left" vertical="top" wrapText="1"/>
    </xf>
    <xf numFmtId="0" fontId="23" fillId="6" borderId="5" xfId="0" applyFont="1" applyFill="1" applyBorder="1" applyAlignment="1" applyProtection="1">
      <alignment horizontal="left" vertical="top" indent="1"/>
    </xf>
    <xf numFmtId="0" fontId="23" fillId="6" borderId="5" xfId="0" applyFont="1" applyFill="1" applyBorder="1" applyAlignment="1" applyProtection="1">
      <alignment horizontal="left" vertical="top" wrapText="1"/>
    </xf>
    <xf numFmtId="0" fontId="23" fillId="6" borderId="54" xfId="0" applyFont="1" applyFill="1" applyBorder="1" applyAlignment="1" applyProtection="1">
      <alignment horizontal="left" vertical="top" wrapText="1"/>
    </xf>
    <xf numFmtId="0" fontId="23" fillId="12" borderId="51" xfId="0" applyFont="1" applyFill="1" applyBorder="1" applyAlignment="1" applyProtection="1">
      <alignment horizontal="left" vertical="top"/>
    </xf>
    <xf numFmtId="0" fontId="37" fillId="12" borderId="55" xfId="0" applyFont="1" applyFill="1" applyBorder="1" applyAlignment="1" applyProtection="1">
      <alignment horizontal="left" vertical="top"/>
    </xf>
    <xf numFmtId="167" fontId="1" fillId="12" borderId="56" xfId="0" applyNumberFormat="1" applyFont="1" applyFill="1" applyBorder="1" applyAlignment="1" applyProtection="1">
      <alignment horizontal="left" vertical="top"/>
      <protection locked="0"/>
    </xf>
    <xf numFmtId="0" fontId="23" fillId="12" borderId="56" xfId="0" applyFont="1" applyFill="1" applyBorder="1" applyAlignment="1" applyProtection="1">
      <alignment horizontal="left" vertical="top" indent="1"/>
    </xf>
    <xf numFmtId="0" fontId="23" fillId="12" borderId="56" xfId="0" applyFont="1" applyFill="1" applyBorder="1" applyAlignment="1" applyProtection="1">
      <alignment horizontal="left" vertical="top" wrapText="1"/>
    </xf>
    <xf numFmtId="0" fontId="23" fillId="12" borderId="57" xfId="0" applyFont="1" applyFill="1" applyBorder="1" applyAlignment="1" applyProtection="1">
      <alignment horizontal="left" vertical="top" wrapText="1"/>
    </xf>
    <xf numFmtId="0" fontId="23" fillId="12" borderId="58" xfId="0" applyFont="1" applyFill="1" applyBorder="1" applyAlignment="1" applyProtection="1">
      <alignment horizontal="left" vertical="top" wrapText="1"/>
    </xf>
    <xf numFmtId="0" fontId="23" fillId="6" borderId="58" xfId="0" applyFont="1" applyFill="1" applyBorder="1" applyAlignment="1" applyProtection="1">
      <alignment horizontal="left" vertical="top" wrapText="1"/>
    </xf>
    <xf numFmtId="168" fontId="1" fillId="9" borderId="6" xfId="0" applyNumberFormat="1" applyFont="1" applyFill="1" applyBorder="1" applyAlignment="1" applyProtection="1">
      <alignment horizontal="left" vertical="top"/>
      <protection locked="0"/>
    </xf>
    <xf numFmtId="3" fontId="35" fillId="6" borderId="6" xfId="0" applyNumberFormat="1" applyFont="1" applyFill="1" applyBorder="1" applyAlignment="1" applyProtection="1">
      <alignment horizontal="left" vertical="top" wrapText="1"/>
    </xf>
    <xf numFmtId="3" fontId="35" fillId="6" borderId="31" xfId="0" applyNumberFormat="1" applyFont="1" applyFill="1" applyBorder="1" applyAlignment="1" applyProtection="1">
      <alignment horizontal="left" vertical="top" wrapText="1"/>
    </xf>
    <xf numFmtId="165" fontId="1" fillId="9" borderId="6" xfId="0" applyNumberFormat="1" applyFont="1" applyFill="1" applyBorder="1" applyAlignment="1" applyProtection="1">
      <alignment horizontal="left" vertical="top"/>
      <protection locked="0"/>
    </xf>
    <xf numFmtId="0" fontId="38" fillId="6" borderId="6" xfId="0" applyFont="1" applyFill="1" applyBorder="1" applyAlignment="1" applyProtection="1">
      <alignment horizontal="left" vertical="top" wrapText="1"/>
    </xf>
    <xf numFmtId="0" fontId="38" fillId="6" borderId="31" xfId="0" applyFont="1" applyFill="1" applyBorder="1" applyAlignment="1" applyProtection="1">
      <alignment horizontal="left" vertical="top" wrapText="1"/>
    </xf>
    <xf numFmtId="0" fontId="37" fillId="12" borderId="59" xfId="0" applyFont="1" applyFill="1" applyBorder="1" applyAlignment="1" applyProtection="1">
      <alignment horizontal="left" vertical="top"/>
    </xf>
    <xf numFmtId="0" fontId="31" fillId="12" borderId="60" xfId="0" applyFont="1" applyFill="1" applyBorder="1" applyAlignment="1" applyProtection="1">
      <alignment horizontal="left" vertical="top" wrapText="1"/>
      <protection locked="0"/>
    </xf>
    <xf numFmtId="0" fontId="27" fillId="13" borderId="61" xfId="0" applyFont="1" applyFill="1" applyBorder="1" applyAlignment="1" applyProtection="1">
      <alignment vertical="top"/>
    </xf>
    <xf numFmtId="0" fontId="27" fillId="13" borderId="62" xfId="0" applyFont="1" applyFill="1" applyBorder="1" applyAlignment="1" applyProtection="1">
      <alignment vertical="top"/>
    </xf>
    <xf numFmtId="0" fontId="27" fillId="13" borderId="0" xfId="0" applyFont="1" applyFill="1" applyBorder="1" applyAlignment="1" applyProtection="1">
      <alignment vertical="top"/>
    </xf>
    <xf numFmtId="0" fontId="1" fillId="6" borderId="63" xfId="0" applyFont="1" applyFill="1" applyBorder="1" applyAlignment="1" applyProtection="1">
      <alignment horizontal="left" vertical="top" wrapText="1"/>
    </xf>
    <xf numFmtId="168" fontId="1" fillId="9" borderId="63" xfId="0" applyNumberFormat="1" applyFont="1" applyFill="1" applyBorder="1" applyAlignment="1" applyProtection="1">
      <alignment horizontal="left" vertical="top"/>
      <protection locked="0"/>
    </xf>
    <xf numFmtId="9" fontId="38" fillId="6" borderId="63" xfId="3" applyFont="1" applyFill="1" applyBorder="1" applyAlignment="1" applyProtection="1">
      <alignment horizontal="left" vertical="top" indent="1"/>
    </xf>
    <xf numFmtId="0" fontId="23" fillId="6" borderId="63" xfId="0" applyFont="1" applyFill="1" applyBorder="1" applyAlignment="1" applyProtection="1">
      <alignment horizontal="left" vertical="top" wrapText="1"/>
    </xf>
    <xf numFmtId="0" fontId="23" fillId="6" borderId="64" xfId="0" applyFont="1" applyFill="1" applyBorder="1" applyAlignment="1" applyProtection="1">
      <alignment horizontal="left" vertical="top" wrapText="1"/>
    </xf>
    <xf numFmtId="0" fontId="1" fillId="6" borderId="65" xfId="0" applyFont="1" applyFill="1" applyBorder="1" applyAlignment="1" applyProtection="1">
      <alignment horizontal="left" vertical="top" wrapText="1"/>
    </xf>
    <xf numFmtId="168" fontId="1" fillId="9" borderId="65" xfId="0" applyNumberFormat="1" applyFont="1" applyFill="1" applyBorder="1" applyAlignment="1" applyProtection="1">
      <alignment horizontal="left" vertical="top"/>
      <protection locked="0"/>
    </xf>
    <xf numFmtId="0" fontId="38" fillId="6" borderId="65" xfId="0" applyFont="1" applyFill="1" applyBorder="1" applyAlignment="1" applyProtection="1">
      <alignment horizontal="left" vertical="top" indent="1"/>
    </xf>
    <xf numFmtId="0" fontId="23" fillId="6" borderId="65" xfId="0" applyFont="1" applyFill="1" applyBorder="1" applyAlignment="1" applyProtection="1">
      <alignment horizontal="left" vertical="top" wrapText="1"/>
    </xf>
    <xf numFmtId="0" fontId="23" fillId="6" borderId="66" xfId="0" applyFont="1" applyFill="1" applyBorder="1" applyAlignment="1" applyProtection="1">
      <alignment horizontal="left" vertical="top" wrapText="1"/>
    </xf>
    <xf numFmtId="0" fontId="1" fillId="6" borderId="0" xfId="0" applyFont="1" applyFill="1" applyAlignment="1" applyProtection="1">
      <alignment horizontal="left" vertical="top" wrapText="1"/>
    </xf>
    <xf numFmtId="168" fontId="1" fillId="9" borderId="67" xfId="0" applyNumberFormat="1" applyFont="1" applyFill="1" applyBorder="1" applyAlignment="1" applyProtection="1">
      <alignment horizontal="left" vertical="top"/>
      <protection locked="0"/>
    </xf>
    <xf numFmtId="0" fontId="23" fillId="6" borderId="67" xfId="0" applyFont="1" applyFill="1" applyBorder="1" applyAlignment="1" applyProtection="1">
      <alignment horizontal="left" vertical="top" wrapText="1"/>
    </xf>
    <xf numFmtId="0" fontId="1" fillId="6" borderId="68" xfId="0" applyFont="1" applyFill="1" applyBorder="1" applyAlignment="1" applyProtection="1">
      <alignment horizontal="left" vertical="top"/>
      <protection locked="0"/>
    </xf>
    <xf numFmtId="0" fontId="23" fillId="6" borderId="0" xfId="0" applyFont="1" applyFill="1" applyBorder="1" applyAlignment="1" applyProtection="1">
      <alignment vertical="top"/>
    </xf>
    <xf numFmtId="0" fontId="0" fillId="6" borderId="30" xfId="0" applyFill="1" applyBorder="1" applyAlignment="1" applyProtection="1">
      <alignment vertical="top"/>
    </xf>
    <xf numFmtId="2" fontId="1" fillId="8" borderId="69" xfId="0" applyNumberFormat="1" applyFont="1" applyFill="1" applyBorder="1" applyAlignment="1" applyProtection="1">
      <alignment horizontal="left" vertical="top"/>
      <protection locked="0"/>
    </xf>
    <xf numFmtId="167" fontId="4" fillId="8" borderId="6" xfId="0" applyNumberFormat="1" applyFont="1" applyFill="1" applyBorder="1" applyAlignment="1" applyProtection="1">
      <alignment horizontal="left" vertical="top"/>
      <protection locked="0"/>
    </xf>
    <xf numFmtId="0" fontId="39" fillId="6" borderId="0" xfId="0" applyFont="1" applyFill="1" applyAlignment="1" applyProtection="1">
      <alignment vertical="top" wrapText="1"/>
    </xf>
    <xf numFmtId="0" fontId="12" fillId="6" borderId="0" xfId="0" applyFont="1" applyFill="1" applyAlignment="1" applyProtection="1">
      <alignment horizontal="left" vertical="top"/>
    </xf>
    <xf numFmtId="0" fontId="1" fillId="0" borderId="0" xfId="0" applyFont="1" applyAlignment="1" applyProtection="1">
      <alignment vertical="top" wrapText="1"/>
    </xf>
    <xf numFmtId="0" fontId="1" fillId="0" borderId="0" xfId="0" applyFont="1" applyAlignment="1" applyProtection="1">
      <alignment horizontal="left" vertical="top"/>
    </xf>
    <xf numFmtId="0" fontId="23" fillId="0" borderId="0" xfId="0" applyFont="1" applyAlignment="1" applyProtection="1">
      <alignment horizontal="left" vertical="top" indent="1"/>
    </xf>
    <xf numFmtId="0" fontId="23" fillId="0" borderId="0" xfId="0" applyFont="1" applyAlignment="1" applyProtection="1">
      <alignment horizontal="left" vertical="top" wrapText="1"/>
    </xf>
    <xf numFmtId="0" fontId="4" fillId="0" borderId="0" xfId="0" applyFont="1" applyAlignment="1" applyProtection="1">
      <alignment horizontal="left" vertical="top"/>
    </xf>
    <xf numFmtId="14" fontId="1" fillId="0" borderId="0" xfId="0" applyNumberFormat="1" applyFont="1" applyAlignment="1" applyProtection="1">
      <alignment horizontal="right" wrapText="1"/>
    </xf>
    <xf numFmtId="0" fontId="7" fillId="0" borderId="0" xfId="0" applyFont="1" applyAlignment="1" applyProtection="1">
      <alignment vertical="top"/>
    </xf>
    <xf numFmtId="0" fontId="5" fillId="0" borderId="0" xfId="0" applyFont="1" applyAlignment="1" applyProtection="1">
      <alignment vertical="top"/>
    </xf>
    <xf numFmtId="0" fontId="37" fillId="12" borderId="70" xfId="0" applyFont="1" applyFill="1" applyBorder="1" applyAlignment="1" applyProtection="1">
      <alignment horizontal="left" vertical="top"/>
    </xf>
    <xf numFmtId="0" fontId="20" fillId="12" borderId="71" xfId="0" applyFont="1" applyFill="1" applyBorder="1" applyAlignment="1" applyProtection="1">
      <alignment horizontal="left" vertical="top" wrapText="1"/>
    </xf>
    <xf numFmtId="0" fontId="31" fillId="12" borderId="71" xfId="0" applyFont="1" applyFill="1" applyBorder="1" applyAlignment="1" applyProtection="1">
      <alignment horizontal="left" vertical="top" wrapText="1"/>
      <protection locked="0"/>
    </xf>
    <xf numFmtId="0" fontId="27" fillId="12" borderId="71" xfId="0" applyFont="1" applyFill="1" applyBorder="1" applyAlignment="1" applyProtection="1">
      <alignment horizontal="left" vertical="top" wrapText="1" indent="1"/>
    </xf>
    <xf numFmtId="0" fontId="20" fillId="12" borderId="72" xfId="0" applyFont="1" applyFill="1" applyBorder="1" applyAlignment="1" applyProtection="1">
      <alignment horizontal="left" vertical="top" wrapText="1"/>
    </xf>
    <xf numFmtId="0" fontId="12" fillId="0" borderId="0" xfId="0" applyFont="1" applyFill="1" applyBorder="1" applyAlignment="1" applyProtection="1">
      <alignment horizontal="left" vertical="top" wrapText="1"/>
    </xf>
    <xf numFmtId="0" fontId="1" fillId="0" borderId="0" xfId="0" applyFont="1" applyFill="1" applyBorder="1" applyAlignment="1" applyProtection="1">
      <alignment horizontal="left" vertical="top"/>
    </xf>
    <xf numFmtId="0" fontId="0" fillId="8" borderId="0" xfId="0" applyFont="1" applyFill="1" applyBorder="1" applyAlignment="1" applyProtection="1">
      <alignment horizontal="left" vertical="top" wrapText="1"/>
      <protection locked="0"/>
    </xf>
    <xf numFmtId="0" fontId="23" fillId="0" borderId="0" xfId="0" applyFont="1" applyFill="1" applyBorder="1" applyAlignment="1" applyProtection="1">
      <alignment horizontal="left" vertical="top" indent="1"/>
    </xf>
    <xf numFmtId="0" fontId="23" fillId="0" borderId="0" xfId="0" applyFont="1" applyFill="1" applyBorder="1" applyAlignment="1" applyProtection="1">
      <alignment horizontal="left" vertical="top" wrapText="1"/>
    </xf>
    <xf numFmtId="0" fontId="12" fillId="0" borderId="8" xfId="0" applyFont="1" applyFill="1" applyBorder="1" applyAlignment="1" applyProtection="1">
      <alignment horizontal="left" vertical="top" wrapText="1"/>
    </xf>
    <xf numFmtId="0" fontId="1" fillId="0" borderId="8" xfId="0" applyFont="1" applyFill="1" applyBorder="1" applyAlignment="1" applyProtection="1">
      <alignment horizontal="left" vertical="top"/>
    </xf>
    <xf numFmtId="0" fontId="0" fillId="8" borderId="8" xfId="0" applyFont="1" applyFill="1" applyBorder="1" applyAlignment="1" applyProtection="1">
      <alignment horizontal="left" vertical="top" wrapText="1"/>
      <protection locked="0"/>
    </xf>
    <xf numFmtId="0" fontId="23" fillId="0" borderId="8" xfId="0" applyFont="1" applyFill="1" applyBorder="1" applyAlignment="1" applyProtection="1">
      <alignment horizontal="left" vertical="top" indent="1"/>
    </xf>
    <xf numFmtId="0" fontId="20" fillId="2" borderId="10" xfId="0" applyFont="1" applyFill="1" applyBorder="1" applyAlignment="1" applyProtection="1">
      <alignment horizontal="left" vertical="top"/>
    </xf>
    <xf numFmtId="0" fontId="20" fillId="0" borderId="0" xfId="0" applyFont="1" applyAlignment="1" applyProtection="1">
      <alignment vertical="top"/>
    </xf>
    <xf numFmtId="0" fontId="12" fillId="0" borderId="13" xfId="0" applyFont="1" applyBorder="1" applyAlignment="1" applyProtection="1">
      <alignment horizontal="left" vertical="top" wrapText="1"/>
    </xf>
    <xf numFmtId="0" fontId="1" fillId="0" borderId="13" xfId="0" applyFont="1" applyBorder="1" applyAlignment="1" applyProtection="1">
      <alignment horizontal="left" vertical="top"/>
    </xf>
    <xf numFmtId="0" fontId="23" fillId="0" borderId="13" xfId="0" applyFont="1" applyBorder="1" applyAlignment="1" applyProtection="1">
      <alignment horizontal="left" vertical="top" indent="1"/>
    </xf>
    <xf numFmtId="0" fontId="23" fillId="0" borderId="13" xfId="0" applyFont="1" applyBorder="1" applyAlignment="1" applyProtection="1">
      <alignment horizontal="left" vertical="top" wrapText="1"/>
    </xf>
    <xf numFmtId="0" fontId="12" fillId="0" borderId="15" xfId="0" applyFont="1" applyBorder="1" applyAlignment="1" applyProtection="1">
      <alignment horizontal="left" vertical="top" wrapText="1"/>
    </xf>
    <xf numFmtId="0" fontId="4" fillId="0" borderId="15" xfId="0" applyFont="1" applyBorder="1" applyAlignment="1" applyProtection="1">
      <alignment horizontal="left" vertical="top"/>
    </xf>
    <xf numFmtId="0" fontId="23" fillId="0" borderId="15" xfId="0" applyFont="1" applyBorder="1" applyAlignment="1" applyProtection="1">
      <alignment horizontal="left" vertical="top" indent="1"/>
    </xf>
    <xf numFmtId="0" fontId="23" fillId="0" borderId="15" xfId="0" applyFont="1" applyBorder="1" applyAlignment="1" applyProtection="1">
      <alignment horizontal="left" vertical="top" wrapText="1"/>
    </xf>
    <xf numFmtId="0" fontId="12" fillId="0" borderId="17" xfId="0" applyFont="1" applyBorder="1" applyAlignment="1" applyProtection="1">
      <alignment horizontal="left" vertical="top" wrapText="1"/>
    </xf>
    <xf numFmtId="0" fontId="1" fillId="0" borderId="17" xfId="0" applyFont="1" applyBorder="1" applyAlignment="1" applyProtection="1">
      <alignment horizontal="left" vertical="top"/>
    </xf>
    <xf numFmtId="0" fontId="23" fillId="0" borderId="17" xfId="0" applyFont="1" applyBorder="1" applyAlignment="1" applyProtection="1">
      <alignment horizontal="left" vertical="top" indent="1"/>
    </xf>
    <xf numFmtId="0" fontId="23" fillId="0" borderId="17" xfId="0" applyFont="1" applyBorder="1" applyAlignment="1" applyProtection="1">
      <alignment horizontal="left" vertical="top" wrapText="1"/>
    </xf>
    <xf numFmtId="0" fontId="12" fillId="0" borderId="19" xfId="0" applyFont="1" applyBorder="1" applyAlignment="1" applyProtection="1">
      <alignment horizontal="left" vertical="top" wrapText="1"/>
    </xf>
    <xf numFmtId="0" fontId="40" fillId="0" borderId="19" xfId="0" applyFont="1" applyBorder="1" applyAlignment="1" applyProtection="1">
      <alignment horizontal="left" vertical="top"/>
    </xf>
    <xf numFmtId="0" fontId="23" fillId="0" borderId="19" xfId="0" applyFont="1" applyBorder="1" applyAlignment="1" applyProtection="1">
      <alignment horizontal="left" vertical="top" indent="1"/>
    </xf>
    <xf numFmtId="0" fontId="23" fillId="0" borderId="19" xfId="0" applyFont="1" applyBorder="1" applyAlignment="1" applyProtection="1">
      <alignment horizontal="left" vertical="top" wrapText="1"/>
    </xf>
    <xf numFmtId="0" fontId="12" fillId="0" borderId="4" xfId="0" applyFont="1" applyBorder="1" applyAlignment="1" applyProtection="1">
      <alignment horizontal="left" vertical="top" wrapText="1"/>
    </xf>
    <xf numFmtId="0" fontId="1" fillId="0" borderId="4" xfId="0" applyFont="1" applyBorder="1" applyAlignment="1" applyProtection="1">
      <alignment horizontal="left" vertical="top"/>
    </xf>
    <xf numFmtId="0" fontId="23" fillId="0" borderId="4" xfId="0" applyFont="1" applyBorder="1" applyAlignment="1" applyProtection="1">
      <alignment horizontal="left" vertical="top" indent="1"/>
    </xf>
    <xf numFmtId="0" fontId="23" fillId="0" borderId="4" xfId="0" applyFont="1" applyBorder="1" applyAlignment="1" applyProtection="1">
      <alignment horizontal="left" vertical="top" wrapText="1"/>
    </xf>
    <xf numFmtId="0" fontId="12" fillId="0" borderId="25" xfId="0" applyFont="1" applyBorder="1" applyAlignment="1" applyProtection="1">
      <alignment horizontal="left" vertical="top" wrapText="1"/>
    </xf>
    <xf numFmtId="0" fontId="1" fillId="0" borderId="25" xfId="0" applyFont="1" applyBorder="1" applyAlignment="1" applyProtection="1">
      <alignment horizontal="left" vertical="top"/>
    </xf>
    <xf numFmtId="0" fontId="23" fillId="0" borderId="25" xfId="0" applyFont="1" applyBorder="1" applyAlignment="1" applyProtection="1">
      <alignment horizontal="left" vertical="top" indent="1"/>
    </xf>
    <xf numFmtId="0" fontId="23" fillId="0" borderId="25" xfId="0" applyFont="1" applyBorder="1" applyAlignment="1" applyProtection="1">
      <alignment horizontal="left" vertical="top" wrapText="1"/>
    </xf>
    <xf numFmtId="0" fontId="1" fillId="0" borderId="0" xfId="0" applyFont="1" applyBorder="1" applyAlignment="1" applyProtection="1">
      <alignment horizontal="left" vertical="top" wrapText="1"/>
    </xf>
    <xf numFmtId="0" fontId="1" fillId="0" borderId="0" xfId="0" applyFont="1" applyBorder="1" applyAlignment="1" applyProtection="1">
      <alignment horizontal="left" vertical="top"/>
    </xf>
    <xf numFmtId="0" fontId="23" fillId="0" borderId="0" xfId="0" applyFont="1" applyBorder="1" applyAlignment="1" applyProtection="1">
      <alignment horizontal="left" vertical="top" indent="1"/>
    </xf>
    <xf numFmtId="0" fontId="23" fillId="0" borderId="0" xfId="0" applyFont="1" applyBorder="1" applyAlignment="1" applyProtection="1">
      <alignment horizontal="left" vertical="top" wrapText="1"/>
    </xf>
    <xf numFmtId="0" fontId="12" fillId="0" borderId="6" xfId="0" applyFont="1" applyBorder="1" applyAlignment="1" applyProtection="1">
      <alignment horizontal="left" vertical="top" wrapText="1"/>
    </xf>
    <xf numFmtId="0" fontId="1" fillId="0" borderId="6" xfId="0" applyFont="1" applyBorder="1" applyAlignment="1" applyProtection="1">
      <alignment horizontal="left" vertical="top"/>
    </xf>
    <xf numFmtId="0" fontId="23" fillId="0" borderId="6" xfId="0" applyFont="1" applyBorder="1" applyAlignment="1" applyProtection="1">
      <alignment horizontal="left" vertical="top" indent="1"/>
    </xf>
    <xf numFmtId="0" fontId="23" fillId="0" borderId="6" xfId="0" applyFont="1" applyBorder="1" applyAlignment="1" applyProtection="1">
      <alignment horizontal="left" vertical="top" wrapText="1"/>
    </xf>
    <xf numFmtId="0" fontId="1" fillId="0" borderId="19" xfId="0" applyFont="1" applyBorder="1" applyAlignment="1" applyProtection="1">
      <alignment horizontal="left" vertical="top"/>
    </xf>
    <xf numFmtId="0" fontId="1" fillId="0" borderId="25" xfId="0" applyFont="1" applyBorder="1" applyAlignment="1" applyProtection="1">
      <alignment horizontal="left" vertical="top" wrapText="1"/>
    </xf>
    <xf numFmtId="0" fontId="1" fillId="0" borderId="6" xfId="0" applyFont="1" applyBorder="1" applyAlignment="1" applyProtection="1">
      <alignment horizontal="left" vertical="top" wrapText="1"/>
    </xf>
    <xf numFmtId="0" fontId="33" fillId="0" borderId="6" xfId="0" applyFont="1" applyBorder="1" applyAlignment="1" applyProtection="1">
      <alignment horizontal="left" vertical="top" wrapText="1"/>
    </xf>
    <xf numFmtId="0" fontId="1" fillId="0" borderId="32" xfId="0" applyFont="1" applyBorder="1" applyAlignment="1" applyProtection="1">
      <alignment horizontal="left" vertical="top" wrapText="1"/>
    </xf>
    <xf numFmtId="0" fontId="1" fillId="0" borderId="32" xfId="0" applyFont="1" applyBorder="1" applyAlignment="1" applyProtection="1">
      <alignment horizontal="left" vertical="top"/>
    </xf>
    <xf numFmtId="0" fontId="23" fillId="0" borderId="32" xfId="0" applyFont="1" applyBorder="1" applyAlignment="1" applyProtection="1">
      <alignment horizontal="left" vertical="top" indent="1"/>
    </xf>
    <xf numFmtId="0" fontId="4" fillId="0" borderId="32" xfId="0" applyFont="1" applyBorder="1" applyAlignment="1" applyProtection="1">
      <alignment horizontal="left" vertical="top" wrapText="1"/>
    </xf>
    <xf numFmtId="0" fontId="12" fillId="0" borderId="32" xfId="0" applyFont="1" applyBorder="1" applyAlignment="1" applyProtection="1">
      <alignment horizontal="left" vertical="top" wrapText="1"/>
    </xf>
    <xf numFmtId="0" fontId="23" fillId="0" borderId="32" xfId="0" applyFont="1" applyBorder="1" applyAlignment="1" applyProtection="1">
      <alignment horizontal="left" vertical="top" wrapText="1"/>
    </xf>
    <xf numFmtId="167" fontId="1" fillId="8" borderId="6" xfId="5" applyNumberFormat="1" applyFont="1" applyFill="1" applyBorder="1" applyAlignment="1" applyProtection="1">
      <alignment horizontal="left" vertical="top"/>
      <protection locked="0"/>
    </xf>
    <xf numFmtId="167" fontId="1" fillId="8" borderId="25" xfId="5" applyNumberFormat="1" applyFont="1" applyFill="1" applyBorder="1" applyAlignment="1" applyProtection="1">
      <alignment horizontal="left" vertical="top"/>
      <protection locked="0"/>
    </xf>
    <xf numFmtId="0" fontId="12" fillId="0" borderId="41" xfId="0" applyFont="1" applyBorder="1" applyAlignment="1" applyProtection="1">
      <alignment horizontal="left" vertical="top" wrapText="1"/>
    </xf>
    <xf numFmtId="0" fontId="1" fillId="0" borderId="41" xfId="0" applyFont="1" applyBorder="1" applyAlignment="1" applyProtection="1">
      <alignment horizontal="left" vertical="top"/>
    </xf>
    <xf numFmtId="167" fontId="1" fillId="8" borderId="41" xfId="0" applyNumberFormat="1" applyFont="1" applyFill="1" applyBorder="1" applyAlignment="1" applyProtection="1">
      <alignment horizontal="left" vertical="top"/>
      <protection locked="0"/>
    </xf>
    <xf numFmtId="0" fontId="23" fillId="0" borderId="41" xfId="0" applyFont="1" applyBorder="1" applyAlignment="1" applyProtection="1">
      <alignment horizontal="left" vertical="top" indent="1"/>
    </xf>
    <xf numFmtId="0" fontId="23" fillId="0" borderId="41" xfId="0" applyFont="1" applyBorder="1" applyAlignment="1" applyProtection="1">
      <alignment horizontal="left" vertical="top" wrapText="1"/>
    </xf>
    <xf numFmtId="0" fontId="1" fillId="0" borderId="42" xfId="0" applyFont="1" applyBorder="1" applyAlignment="1" applyProtection="1">
      <alignment horizontal="left" vertical="top"/>
    </xf>
    <xf numFmtId="167" fontId="1" fillId="8" borderId="42" xfId="0" applyNumberFormat="1" applyFont="1" applyFill="1" applyBorder="1" applyAlignment="1" applyProtection="1">
      <alignment horizontal="left" vertical="top"/>
      <protection locked="0"/>
    </xf>
    <xf numFmtId="0" fontId="23" fillId="0" borderId="42" xfId="0" applyFont="1" applyBorder="1" applyAlignment="1" applyProtection="1">
      <alignment horizontal="left" vertical="top" indent="1"/>
    </xf>
    <xf numFmtId="0" fontId="23" fillId="0" borderId="42" xfId="0" applyFont="1" applyBorder="1" applyAlignment="1" applyProtection="1">
      <alignment horizontal="left" vertical="top" wrapText="1"/>
    </xf>
    <xf numFmtId="167" fontId="1" fillId="8" borderId="4" xfId="0" applyNumberFormat="1" applyFont="1" applyFill="1" applyBorder="1" applyAlignment="1" applyProtection="1">
      <alignment horizontal="left" vertical="top"/>
      <protection locked="0"/>
    </xf>
    <xf numFmtId="0" fontId="34" fillId="0" borderId="6" xfId="0" applyFont="1" applyBorder="1" applyAlignment="1" applyProtection="1">
      <alignment horizontal="left" vertical="top" wrapText="1"/>
    </xf>
    <xf numFmtId="0" fontId="23" fillId="0" borderId="25" xfId="0" applyFont="1" applyBorder="1" applyAlignment="1" applyProtection="1">
      <alignment horizontal="left" vertical="top" wrapText="1" indent="1"/>
    </xf>
    <xf numFmtId="0" fontId="34" fillId="0" borderId="25" xfId="0" applyFont="1" applyBorder="1" applyAlignment="1" applyProtection="1">
      <alignment horizontal="left" vertical="top" wrapText="1"/>
    </xf>
    <xf numFmtId="0" fontId="1" fillId="0" borderId="13" xfId="0" applyFont="1" applyBorder="1" applyAlignment="1" applyProtection="1">
      <alignment horizontal="left" vertical="top" wrapText="1"/>
    </xf>
    <xf numFmtId="0" fontId="23" fillId="0" borderId="0" xfId="0" applyFont="1" applyBorder="1" applyAlignment="1" applyProtection="1">
      <alignment vertical="top" wrapText="1"/>
    </xf>
    <xf numFmtId="167" fontId="1" fillId="8" borderId="25" xfId="0" applyNumberFormat="1" applyFont="1" applyFill="1" applyBorder="1" applyAlignment="1" applyProtection="1">
      <alignment horizontal="left" vertical="top"/>
      <protection locked="0"/>
    </xf>
    <xf numFmtId="0" fontId="1" fillId="0" borderId="19" xfId="0" applyFont="1" applyFill="1" applyBorder="1" applyAlignment="1" applyProtection="1">
      <alignment horizontal="left" vertical="top"/>
    </xf>
    <xf numFmtId="167" fontId="1" fillId="11" borderId="19" xfId="0" applyNumberFormat="1" applyFont="1" applyFill="1" applyBorder="1" applyAlignment="1" applyProtection="1">
      <alignment horizontal="left" vertical="top"/>
      <protection locked="0"/>
    </xf>
    <xf numFmtId="0" fontId="1" fillId="0" borderId="73" xfId="0" applyFont="1" applyBorder="1" applyAlignment="1" applyProtection="1">
      <alignment horizontal="left" vertical="top" wrapText="1"/>
    </xf>
    <xf numFmtId="0" fontId="1" fillId="0" borderId="4" xfId="0" applyFont="1" applyFill="1" applyBorder="1" applyAlignment="1" applyProtection="1">
      <alignment horizontal="left" vertical="top"/>
    </xf>
    <xf numFmtId="167" fontId="1" fillId="11" borderId="4" xfId="0" applyNumberFormat="1" applyFont="1" applyFill="1" applyBorder="1" applyAlignment="1" applyProtection="1">
      <alignment horizontal="left" vertical="top"/>
      <protection locked="0"/>
    </xf>
    <xf numFmtId="0" fontId="1" fillId="0" borderId="6" xfId="0" applyFont="1" applyFill="1" applyBorder="1" applyAlignment="1" applyProtection="1">
      <alignment horizontal="left" vertical="top"/>
    </xf>
    <xf numFmtId="167" fontId="1" fillId="11" borderId="6" xfId="0" applyNumberFormat="1" applyFont="1" applyFill="1" applyBorder="1" applyAlignment="1" applyProtection="1">
      <alignment horizontal="left" vertical="top"/>
      <protection locked="0"/>
    </xf>
    <xf numFmtId="0" fontId="1" fillId="0" borderId="4" xfId="0" applyFont="1" applyBorder="1" applyAlignment="1" applyProtection="1">
      <alignment horizontal="left" vertical="top" wrapText="1"/>
    </xf>
    <xf numFmtId="0" fontId="4" fillId="0" borderId="25" xfId="0" applyFont="1" applyBorder="1" applyAlignment="1" applyProtection="1">
      <alignment horizontal="left" vertical="top"/>
    </xf>
    <xf numFmtId="167" fontId="1" fillId="0" borderId="13" xfId="0" applyNumberFormat="1" applyFont="1" applyBorder="1" applyAlignment="1" applyProtection="1">
      <alignment horizontal="left" vertical="top"/>
      <protection locked="0"/>
    </xf>
    <xf numFmtId="167" fontId="1" fillId="0" borderId="6" xfId="0" applyNumberFormat="1" applyFont="1" applyBorder="1" applyAlignment="1" applyProtection="1">
      <alignment horizontal="left" vertical="top"/>
      <protection locked="0"/>
    </xf>
    <xf numFmtId="0" fontId="1" fillId="12" borderId="51" xfId="0" applyFont="1" applyFill="1" applyBorder="1" applyAlignment="1" applyProtection="1">
      <alignment horizontal="left" vertical="top"/>
    </xf>
    <xf numFmtId="167" fontId="1" fillId="9" borderId="4" xfId="0" applyNumberFormat="1" applyFont="1" applyFill="1" applyBorder="1" applyAlignment="1" applyProtection="1">
      <alignment horizontal="left" vertical="top"/>
      <protection locked="0"/>
    </xf>
    <xf numFmtId="0" fontId="12" fillId="0" borderId="5" xfId="0" applyFont="1" applyBorder="1" applyAlignment="1" applyProtection="1">
      <alignment horizontal="left" vertical="top" wrapText="1"/>
    </xf>
    <xf numFmtId="0" fontId="1" fillId="0" borderId="5" xfId="0" applyFont="1" applyBorder="1" applyAlignment="1" applyProtection="1">
      <alignment horizontal="left" vertical="top"/>
    </xf>
    <xf numFmtId="167" fontId="1" fillId="9" borderId="5" xfId="0" applyNumberFormat="1" applyFont="1" applyFill="1" applyBorder="1" applyAlignment="1" applyProtection="1">
      <alignment horizontal="left" vertical="top"/>
      <protection locked="0"/>
    </xf>
    <xf numFmtId="0" fontId="23" fillId="0" borderId="5" xfId="0" applyFont="1" applyBorder="1" applyAlignment="1" applyProtection="1">
      <alignment horizontal="left" vertical="top" indent="1"/>
    </xf>
    <xf numFmtId="0" fontId="23" fillId="0" borderId="5" xfId="0" applyFont="1" applyBorder="1" applyAlignment="1" applyProtection="1">
      <alignment horizontal="left" vertical="top" wrapText="1"/>
    </xf>
    <xf numFmtId="0" fontId="1" fillId="12" borderId="56" xfId="0" applyFont="1" applyFill="1" applyBorder="1" applyAlignment="1" applyProtection="1">
      <alignment horizontal="left" vertical="top"/>
    </xf>
    <xf numFmtId="3" fontId="35" fillId="0" borderId="6" xfId="0" applyNumberFormat="1" applyFont="1" applyBorder="1" applyAlignment="1" applyProtection="1">
      <alignment horizontal="left" vertical="top" wrapText="1"/>
    </xf>
    <xf numFmtId="0" fontId="38" fillId="0" borderId="6" xfId="0" applyFont="1" applyBorder="1" applyAlignment="1" applyProtection="1">
      <alignment horizontal="left" vertical="top" wrapText="1"/>
    </xf>
    <xf numFmtId="0" fontId="20" fillId="12" borderId="60" xfId="0" applyFont="1" applyFill="1" applyBorder="1" applyAlignment="1" applyProtection="1">
      <alignment horizontal="left" vertical="top" wrapText="1"/>
    </xf>
    <xf numFmtId="0" fontId="1" fillId="6" borderId="63" xfId="0" applyFont="1" applyFill="1" applyBorder="1" applyAlignment="1" applyProtection="1">
      <alignment horizontal="left" vertical="top"/>
    </xf>
    <xf numFmtId="0" fontId="1" fillId="6" borderId="65" xfId="0" applyFont="1" applyFill="1" applyBorder="1" applyAlignment="1" applyProtection="1">
      <alignment horizontal="left" vertical="top"/>
    </xf>
    <xf numFmtId="0" fontId="1" fillId="0" borderId="65" xfId="0" applyFont="1" applyBorder="1" applyAlignment="1" applyProtection="1">
      <alignment horizontal="left" vertical="top" wrapText="1"/>
    </xf>
    <xf numFmtId="0" fontId="1" fillId="0" borderId="65" xfId="0" applyFont="1" applyBorder="1" applyAlignment="1" applyProtection="1">
      <alignment horizontal="left" vertical="top"/>
    </xf>
    <xf numFmtId="0" fontId="1" fillId="0" borderId="0" xfId="0" applyFont="1" applyAlignment="1" applyProtection="1">
      <alignment horizontal="left" vertical="top" wrapText="1"/>
    </xf>
    <xf numFmtId="0" fontId="1" fillId="0" borderId="67" xfId="0" applyFont="1" applyBorder="1" applyAlignment="1" applyProtection="1">
      <alignment horizontal="left" vertical="top"/>
    </xf>
    <xf numFmtId="0" fontId="12" fillId="0" borderId="0" xfId="0" applyFont="1" applyBorder="1" applyAlignment="1" applyProtection="1">
      <alignment horizontal="left" vertical="top" wrapText="1"/>
    </xf>
    <xf numFmtId="0" fontId="1" fillId="0" borderId="68" xfId="0" applyFont="1" applyBorder="1" applyAlignment="1" applyProtection="1">
      <alignment horizontal="left" vertical="top"/>
    </xf>
    <xf numFmtId="0" fontId="1" fillId="0" borderId="68" xfId="0" applyFont="1" applyBorder="1" applyAlignment="1" applyProtection="1">
      <alignment horizontal="left" vertical="top"/>
      <protection locked="0"/>
    </xf>
    <xf numFmtId="0" fontId="23" fillId="0" borderId="0" xfId="0" applyFont="1" applyBorder="1" applyAlignment="1" applyProtection="1">
      <alignment vertical="top"/>
    </xf>
    <xf numFmtId="0" fontId="0" fillId="0" borderId="0" xfId="0" applyBorder="1" applyAlignment="1" applyProtection="1">
      <alignment vertical="top"/>
    </xf>
    <xf numFmtId="0" fontId="39" fillId="0" borderId="0" xfId="0" applyFont="1" applyAlignment="1" applyProtection="1">
      <alignment vertical="top" wrapText="1"/>
    </xf>
    <xf numFmtId="0" fontId="12" fillId="0" borderId="0" xfId="0" applyFont="1" applyAlignment="1" applyProtection="1">
      <alignment horizontal="left" vertical="top"/>
    </xf>
    <xf numFmtId="0" fontId="0" fillId="6" borderId="0" xfId="0" applyFill="1"/>
    <xf numFmtId="0" fontId="37" fillId="6" borderId="0" xfId="0" applyFont="1" applyFill="1"/>
    <xf numFmtId="0" fontId="23" fillId="6" borderId="0" xfId="0" applyFont="1" applyFill="1" applyBorder="1" applyAlignment="1" applyProtection="1">
      <alignment horizontal="right" wrapText="1"/>
      <protection locked="0"/>
    </xf>
    <xf numFmtId="14" fontId="23" fillId="6" borderId="0" xfId="0" applyNumberFormat="1" applyFont="1" applyFill="1" applyBorder="1" applyAlignment="1" applyProtection="1">
      <alignment horizontal="right" vertical="top" wrapText="1"/>
      <protection locked="0"/>
    </xf>
    <xf numFmtId="0" fontId="0" fillId="6" borderId="75" xfId="0" applyFill="1" applyBorder="1" applyAlignment="1"/>
    <xf numFmtId="0" fontId="0" fillId="6" borderId="0" xfId="0" applyFill="1" applyBorder="1" applyAlignment="1"/>
    <xf numFmtId="0" fontId="0" fillId="14" borderId="0" xfId="0" applyFont="1" applyFill="1"/>
    <xf numFmtId="0" fontId="0" fillId="6" borderId="0" xfId="0" applyFill="1" applyAlignment="1"/>
    <xf numFmtId="0" fontId="0" fillId="6" borderId="76" xfId="0" applyFont="1" applyFill="1" applyBorder="1"/>
    <xf numFmtId="3" fontId="0" fillId="8" borderId="77" xfId="0" applyNumberFormat="1" applyFill="1" applyBorder="1" applyProtection="1">
      <protection locked="0"/>
    </xf>
    <xf numFmtId="3" fontId="0" fillId="15" borderId="77" xfId="0" applyNumberFormat="1" applyFill="1" applyBorder="1"/>
    <xf numFmtId="0" fontId="30" fillId="6" borderId="76" xfId="0" applyFont="1" applyFill="1" applyBorder="1"/>
    <xf numFmtId="0" fontId="0" fillId="8" borderId="77" xfId="0" applyFill="1" applyBorder="1" applyProtection="1">
      <protection locked="0"/>
    </xf>
    <xf numFmtId="0" fontId="41" fillId="6" borderId="6" xfId="0" applyFont="1" applyFill="1" applyBorder="1" applyAlignment="1" applyProtection="1">
      <alignment horizontal="left" vertical="top" indent="1"/>
    </xf>
    <xf numFmtId="1" fontId="0" fillId="15" borderId="77" xfId="0" applyNumberFormat="1" applyFill="1" applyBorder="1"/>
    <xf numFmtId="166" fontId="0" fillId="15" borderId="77" xfId="0" applyNumberFormat="1" applyFill="1" applyBorder="1"/>
    <xf numFmtId="0" fontId="33" fillId="6" borderId="6" xfId="0" applyFont="1" applyFill="1" applyBorder="1" applyAlignment="1" applyProtection="1">
      <alignment horizontal="left" vertical="top" indent="1"/>
    </xf>
    <xf numFmtId="0" fontId="0" fillId="6" borderId="0" xfId="0" applyFill="1" applyBorder="1"/>
    <xf numFmtId="0" fontId="6" fillId="6" borderId="76" xfId="0" applyFont="1" applyFill="1" applyBorder="1"/>
    <xf numFmtId="0" fontId="33" fillId="6" borderId="6" xfId="0" applyFont="1" applyFill="1" applyBorder="1" applyAlignment="1" applyProtection="1">
      <alignment horizontal="left" vertical="top" wrapText="1" indent="1"/>
    </xf>
    <xf numFmtId="0" fontId="23" fillId="6" borderId="6" xfId="0" applyFont="1" applyFill="1" applyBorder="1" applyAlignment="1" applyProtection="1">
      <alignment horizontal="left" vertical="top" wrapText="1" indent="1"/>
    </xf>
    <xf numFmtId="0" fontId="0" fillId="9" borderId="77" xfId="0" applyFill="1" applyBorder="1" applyProtection="1">
      <protection locked="0"/>
    </xf>
    <xf numFmtId="14" fontId="0" fillId="8" borderId="77" xfId="0" applyNumberFormat="1" applyFill="1" applyBorder="1" applyProtection="1">
      <protection locked="0"/>
    </xf>
    <xf numFmtId="9" fontId="102" fillId="15" borderId="77" xfId="3" applyFill="1" applyBorder="1" applyAlignment="1" applyProtection="1"/>
    <xf numFmtId="0" fontId="6" fillId="6" borderId="0" xfId="0" applyFont="1" applyFill="1" applyBorder="1"/>
    <xf numFmtId="0" fontId="0" fillId="6" borderId="69" xfId="0" applyFont="1" applyFill="1" applyBorder="1" applyAlignment="1" applyProtection="1">
      <alignment horizontal="left" vertical="center"/>
    </xf>
    <xf numFmtId="0" fontId="0" fillId="8" borderId="69" xfId="0" applyFont="1" applyFill="1" applyBorder="1" applyAlignment="1" applyProtection="1">
      <alignment horizontal="center" vertical="center"/>
      <protection locked="0"/>
    </xf>
    <xf numFmtId="2" fontId="0" fillId="15" borderId="69" xfId="0" applyNumberFormat="1" applyFont="1" applyFill="1" applyBorder="1" applyAlignment="1" applyProtection="1">
      <alignment horizontal="center" vertical="center"/>
    </xf>
    <xf numFmtId="0" fontId="0" fillId="6" borderId="69" xfId="0" applyFont="1" applyFill="1" applyBorder="1" applyAlignment="1" applyProtection="1">
      <alignment horizontal="left" vertical="center" wrapText="1"/>
    </xf>
    <xf numFmtId="166" fontId="0" fillId="15" borderId="69" xfId="0" applyNumberFormat="1" applyFont="1" applyFill="1" applyBorder="1" applyAlignment="1" applyProtection="1">
      <alignment horizontal="center" vertical="center"/>
    </xf>
    <xf numFmtId="0" fontId="42" fillId="6" borderId="69" xfId="0" applyFont="1" applyFill="1" applyBorder="1" applyAlignment="1" applyProtection="1">
      <alignment horizontal="left" vertical="center"/>
    </xf>
    <xf numFmtId="0" fontId="0" fillId="6" borderId="0" xfId="0" applyFont="1" applyFill="1" applyBorder="1" applyAlignment="1" applyProtection="1">
      <alignment horizontal="left" vertical="center"/>
    </xf>
    <xf numFmtId="169" fontId="0" fillId="6" borderId="0" xfId="0" applyNumberFormat="1" applyFont="1" applyFill="1" applyBorder="1" applyAlignment="1" applyProtection="1">
      <alignment horizontal="center" vertical="center"/>
    </xf>
    <xf numFmtId="0" fontId="6" fillId="6" borderId="69" xfId="0" applyFont="1" applyFill="1" applyBorder="1" applyAlignment="1" applyProtection="1">
      <alignment horizontal="left" vertical="center"/>
    </xf>
    <xf numFmtId="0" fontId="6" fillId="8" borderId="69" xfId="0" applyFont="1" applyFill="1" applyBorder="1" applyAlignment="1" applyProtection="1">
      <alignment horizontal="center" vertical="center"/>
      <protection locked="0"/>
    </xf>
    <xf numFmtId="166" fontId="6" fillId="15" borderId="69" xfId="0" applyNumberFormat="1" applyFont="1" applyFill="1" applyBorder="1" applyAlignment="1" applyProtection="1">
      <alignment horizontal="center" vertical="center"/>
    </xf>
    <xf numFmtId="0" fontId="0" fillId="6" borderId="0" xfId="0" applyFill="1" applyBorder="1" applyAlignment="1" applyProtection="1">
      <alignment horizontal="left" vertical="center"/>
    </xf>
    <xf numFmtId="0" fontId="0" fillId="6" borderId="0" xfId="0" applyFont="1" applyFill="1" applyBorder="1" applyAlignment="1" applyProtection="1">
      <alignment horizontal="center" vertical="center"/>
    </xf>
    <xf numFmtId="0" fontId="1" fillId="0" borderId="0" xfId="0" applyFont="1" applyAlignment="1" applyProtection="1">
      <alignment vertical="center"/>
    </xf>
    <xf numFmtId="170" fontId="1" fillId="0" borderId="0" xfId="5" applyNumberFormat="1" applyFont="1" applyFill="1" applyBorder="1" applyAlignment="1" applyProtection="1">
      <alignment vertical="center"/>
    </xf>
    <xf numFmtId="170" fontId="43" fillId="0" borderId="0" xfId="5" applyNumberFormat="1" applyFont="1" applyFill="1" applyBorder="1" applyAlignment="1" applyProtection="1">
      <alignment vertical="center"/>
    </xf>
    <xf numFmtId="170" fontId="22" fillId="0" borderId="0" xfId="5" applyNumberFormat="1" applyFont="1" applyFill="1" applyBorder="1" applyAlignment="1" applyProtection="1">
      <alignment vertical="center"/>
    </xf>
    <xf numFmtId="0" fontId="23" fillId="0" borderId="0" xfId="0" applyFont="1" applyAlignment="1" applyProtection="1">
      <alignment horizontal="left" vertical="center"/>
    </xf>
    <xf numFmtId="0" fontId="23" fillId="0" borderId="0" xfId="0" applyFont="1" applyFill="1" applyBorder="1" applyAlignment="1" applyProtection="1">
      <alignment horizontal="left" vertical="center"/>
    </xf>
    <xf numFmtId="0" fontId="1" fillId="0" borderId="0" xfId="0" applyFont="1" applyAlignment="1" applyProtection="1">
      <alignment horizontal="center" vertical="center"/>
    </xf>
    <xf numFmtId="170" fontId="1" fillId="0" borderId="0" xfId="5" applyNumberFormat="1" applyFont="1" applyFill="1" applyBorder="1" applyAlignment="1" applyProtection="1">
      <alignment vertical="top"/>
    </xf>
    <xf numFmtId="170" fontId="44" fillId="0" borderId="0" xfId="5" applyNumberFormat="1" applyFont="1" applyFill="1" applyBorder="1" applyAlignment="1" applyProtection="1">
      <alignment horizontal="left" vertical="top" indent="1"/>
    </xf>
    <xf numFmtId="170" fontId="45" fillId="0" borderId="0" xfId="5" applyNumberFormat="1" applyFont="1" applyFill="1" applyBorder="1" applyAlignment="1" applyProtection="1">
      <alignment horizontal="left" vertical="top" wrapText="1" indent="1"/>
    </xf>
    <xf numFmtId="0" fontId="23" fillId="0" borderId="0" xfId="0" applyFont="1" applyAlignment="1" applyProtection="1">
      <alignment vertical="top"/>
    </xf>
    <xf numFmtId="0" fontId="23" fillId="0" borderId="0" xfId="0" applyFont="1" applyFill="1" applyBorder="1" applyAlignment="1" applyProtection="1">
      <alignment vertical="top"/>
    </xf>
    <xf numFmtId="170" fontId="46" fillId="0" borderId="0" xfId="5" applyNumberFormat="1" applyFont="1" applyFill="1" applyBorder="1" applyAlignment="1" applyProtection="1"/>
    <xf numFmtId="170" fontId="44" fillId="0" borderId="0" xfId="5" applyNumberFormat="1" applyFont="1" applyFill="1" applyBorder="1" applyAlignment="1" applyProtection="1">
      <alignment horizontal="left" indent="1"/>
    </xf>
    <xf numFmtId="170" fontId="5" fillId="0" borderId="0" xfId="5" applyNumberFormat="1" applyFont="1" applyFill="1" applyBorder="1" applyAlignment="1" applyProtection="1">
      <alignment horizontal="right" wrapText="1"/>
    </xf>
    <xf numFmtId="170" fontId="0" fillId="0" borderId="0" xfId="5" applyNumberFormat="1" applyFont="1" applyFill="1" applyBorder="1" applyAlignment="1" applyProtection="1"/>
    <xf numFmtId="0" fontId="0" fillId="0" borderId="0" xfId="0" applyFont="1" applyFill="1" applyBorder="1" applyAlignment="1" applyProtection="1"/>
    <xf numFmtId="0" fontId="23" fillId="0" borderId="0" xfId="0" applyFont="1" applyAlignment="1" applyProtection="1">
      <alignment wrapText="1"/>
    </xf>
    <xf numFmtId="0" fontId="23" fillId="0" borderId="0" xfId="0" applyFont="1" applyAlignment="1" applyProtection="1">
      <alignment horizontal="left" vertical="top"/>
    </xf>
    <xf numFmtId="14" fontId="23" fillId="0" borderId="0" xfId="5" applyNumberFormat="1" applyFont="1" applyFill="1" applyBorder="1" applyAlignment="1" applyProtection="1">
      <alignment horizontal="left" vertical="top"/>
    </xf>
    <xf numFmtId="170" fontId="0" fillId="0" borderId="0" xfId="5" applyNumberFormat="1" applyFont="1" applyFill="1" applyBorder="1" applyAlignment="1" applyProtection="1">
      <alignment vertical="top"/>
    </xf>
    <xf numFmtId="0" fontId="0" fillId="0" borderId="0" xfId="0" applyFont="1" applyFill="1" applyBorder="1" applyAlignment="1" applyProtection="1">
      <alignment vertical="top"/>
    </xf>
    <xf numFmtId="166" fontId="1" fillId="0" borderId="0" xfId="0" applyNumberFormat="1" applyFont="1" applyFill="1" applyBorder="1" applyAlignment="1" applyProtection="1">
      <alignment horizontal="center" vertical="center"/>
    </xf>
    <xf numFmtId="0" fontId="47" fillId="0" borderId="0" xfId="0" applyFont="1" applyAlignment="1" applyProtection="1"/>
    <xf numFmtId="14" fontId="5" fillId="0" borderId="0" xfId="5" applyNumberFormat="1" applyFont="1" applyFill="1" applyBorder="1" applyAlignment="1" applyProtection="1">
      <alignment horizontal="right" vertical="top" wrapText="1"/>
    </xf>
    <xf numFmtId="170" fontId="23" fillId="0" borderId="0" xfId="5" applyNumberFormat="1" applyFont="1" applyFill="1" applyBorder="1" applyAlignment="1" applyProtection="1">
      <alignment horizontal="right" vertical="top"/>
    </xf>
    <xf numFmtId="0" fontId="23" fillId="0" borderId="0" xfId="0" applyFont="1" applyAlignment="1" applyProtection="1">
      <alignment horizontal="center"/>
    </xf>
    <xf numFmtId="0" fontId="47" fillId="0" borderId="0" xfId="0" applyFont="1" applyAlignment="1" applyProtection="1">
      <alignment vertical="top"/>
    </xf>
    <xf numFmtId="14" fontId="23" fillId="0" borderId="0" xfId="5" applyNumberFormat="1" applyFont="1" applyFill="1" applyBorder="1" applyAlignment="1" applyProtection="1">
      <alignment horizontal="right" vertical="top"/>
    </xf>
    <xf numFmtId="0" fontId="23" fillId="0" borderId="0" xfId="0" applyFont="1" applyBorder="1" applyAlignment="1" applyProtection="1">
      <alignment horizontal="left" vertical="center"/>
    </xf>
    <xf numFmtId="0" fontId="0" fillId="0" borderId="0" xfId="0" applyFont="1" applyBorder="1" applyAlignment="1" applyProtection="1">
      <alignment vertical="top"/>
    </xf>
    <xf numFmtId="0" fontId="35" fillId="0" borderId="0" xfId="0" applyFont="1" applyAlignment="1" applyProtection="1">
      <alignment horizontal="center" vertical="top"/>
    </xf>
    <xf numFmtId="0" fontId="23" fillId="0" borderId="0" xfId="0" applyFont="1" applyAlignment="1" applyProtection="1">
      <alignment horizontal="center" vertical="top"/>
    </xf>
    <xf numFmtId="0" fontId="23" fillId="0" borderId="0" xfId="0" applyFont="1" applyAlignment="1" applyProtection="1">
      <alignment horizontal="center" vertical="top" wrapText="1"/>
    </xf>
    <xf numFmtId="166" fontId="37" fillId="0" borderId="0" xfId="0" applyNumberFormat="1" applyFont="1" applyBorder="1" applyAlignment="1" applyProtection="1">
      <alignment horizontal="center" vertical="top"/>
    </xf>
    <xf numFmtId="166" fontId="35" fillId="0" borderId="78" xfId="0" applyNumberFormat="1" applyFont="1" applyBorder="1" applyAlignment="1" applyProtection="1">
      <alignment horizontal="center" vertical="top"/>
    </xf>
    <xf numFmtId="166" fontId="23" fillId="0" borderId="78" xfId="0" applyNumberFormat="1" applyFont="1" applyFill="1" applyBorder="1" applyAlignment="1" applyProtection="1">
      <alignment horizontal="center" vertical="center"/>
    </xf>
    <xf numFmtId="166" fontId="35" fillId="0" borderId="74" xfId="0" applyNumberFormat="1" applyFont="1" applyBorder="1" applyAlignment="1" applyProtection="1">
      <alignment horizontal="center" vertical="top"/>
    </xf>
    <xf numFmtId="166" fontId="23" fillId="0" borderId="74" xfId="0" applyNumberFormat="1" applyFont="1" applyFill="1" applyBorder="1" applyAlignment="1" applyProtection="1">
      <alignment horizontal="center" vertical="center"/>
    </xf>
    <xf numFmtId="14" fontId="1" fillId="0" borderId="0" xfId="0" applyNumberFormat="1" applyFont="1" applyAlignment="1" applyProtection="1">
      <alignment horizontal="left" vertical="center"/>
    </xf>
    <xf numFmtId="0" fontId="35" fillId="0" borderId="0" xfId="0" applyFont="1" applyFill="1" applyBorder="1" applyAlignment="1" applyProtection="1">
      <alignment horizontal="left" vertical="center" indent="1"/>
    </xf>
    <xf numFmtId="0" fontId="12" fillId="0" borderId="0" xfId="0" applyFont="1" applyFill="1" applyBorder="1" applyAlignment="1" applyProtection="1">
      <alignment horizontal="center" vertical="center"/>
    </xf>
    <xf numFmtId="0" fontId="12" fillId="0" borderId="0" xfId="0" applyFont="1" applyAlignment="1" applyProtection="1">
      <alignment vertical="center"/>
    </xf>
    <xf numFmtId="0" fontId="12" fillId="4" borderId="80" xfId="0" applyFont="1" applyFill="1" applyBorder="1" applyAlignment="1" applyProtection="1">
      <alignment horizontal="center" vertical="center"/>
    </xf>
    <xf numFmtId="0" fontId="12" fillId="4" borderId="81" xfId="0" applyFont="1" applyFill="1" applyBorder="1" applyAlignment="1" applyProtection="1">
      <alignment horizontal="center" vertical="center"/>
    </xf>
    <xf numFmtId="0" fontId="12" fillId="16" borderId="80" xfId="0" applyFont="1" applyFill="1" applyBorder="1" applyAlignment="1" applyProtection="1">
      <alignment horizontal="center" vertical="center"/>
    </xf>
    <xf numFmtId="0" fontId="12" fillId="16" borderId="81" xfId="0" applyFont="1" applyFill="1" applyBorder="1" applyAlignment="1" applyProtection="1">
      <alignment horizontal="center" vertical="center"/>
    </xf>
    <xf numFmtId="0" fontId="12" fillId="16" borderId="83" xfId="0" applyFont="1" applyFill="1" applyBorder="1" applyAlignment="1" applyProtection="1">
      <alignment horizontal="center" vertical="center"/>
    </xf>
    <xf numFmtId="166" fontId="4" fillId="0" borderId="86" xfId="0" applyNumberFormat="1" applyFont="1" applyBorder="1" applyAlignment="1" applyProtection="1">
      <alignment horizontal="center" vertical="center"/>
    </xf>
    <xf numFmtId="166" fontId="4" fillId="0" borderId="87" xfId="0" applyNumberFormat="1" applyFont="1" applyBorder="1" applyAlignment="1" applyProtection="1">
      <alignment horizontal="center" vertical="center"/>
    </xf>
    <xf numFmtId="166" fontId="4" fillId="0" borderId="88" xfId="0" applyNumberFormat="1" applyFont="1" applyBorder="1" applyAlignment="1" applyProtection="1">
      <alignment horizontal="center" vertical="center"/>
    </xf>
    <xf numFmtId="0" fontId="12" fillId="0" borderId="89" xfId="0" applyFont="1" applyBorder="1" applyAlignment="1" applyProtection="1">
      <alignment horizontal="center" vertical="center"/>
    </xf>
    <xf numFmtId="0" fontId="12" fillId="0" borderId="90" xfId="0" applyFont="1" applyFill="1" applyBorder="1" applyAlignment="1" applyProtection="1">
      <alignment horizontal="center" vertical="center"/>
    </xf>
    <xf numFmtId="0" fontId="12" fillId="0" borderId="90" xfId="0" applyFont="1" applyBorder="1" applyAlignment="1" applyProtection="1">
      <alignment horizontal="center" vertical="center"/>
    </xf>
    <xf numFmtId="0" fontId="12" fillId="0" borderId="91" xfId="0" applyFont="1" applyFill="1" applyBorder="1" applyAlignment="1" applyProtection="1">
      <alignment horizontal="center" vertical="center"/>
    </xf>
    <xf numFmtId="0" fontId="12" fillId="0" borderId="0" xfId="0" applyFont="1" applyAlignment="1" applyProtection="1">
      <alignment horizontal="left" vertical="center" indent="1"/>
    </xf>
    <xf numFmtId="170" fontId="23" fillId="12" borderId="92" xfId="5" applyNumberFormat="1" applyFont="1" applyFill="1" applyBorder="1" applyAlignment="1" applyProtection="1">
      <alignment horizontal="center" vertical="center"/>
    </xf>
    <xf numFmtId="170" fontId="44" fillId="0" borderId="93" xfId="5" applyNumberFormat="1" applyFont="1" applyFill="1" applyBorder="1" applyAlignment="1" applyProtection="1">
      <alignment horizontal="center" vertical="center"/>
    </xf>
    <xf numFmtId="170" fontId="45" fillId="0" borderId="94" xfId="5" applyNumberFormat="1" applyFont="1" applyFill="1" applyBorder="1" applyAlignment="1" applyProtection="1">
      <alignment horizontal="center" vertical="center"/>
    </xf>
    <xf numFmtId="170" fontId="23" fillId="0" borderId="93" xfId="5" applyNumberFormat="1" applyFont="1" applyFill="1" applyBorder="1" applyAlignment="1" applyProtection="1">
      <alignment horizontal="center" vertical="center"/>
    </xf>
    <xf numFmtId="170" fontId="23" fillId="0" borderId="95" xfId="5" applyNumberFormat="1" applyFont="1" applyFill="1" applyBorder="1" applyAlignment="1" applyProtection="1">
      <alignment horizontal="center" vertical="center"/>
    </xf>
    <xf numFmtId="0" fontId="1" fillId="0" borderId="93" xfId="0" applyFont="1" applyBorder="1" applyAlignment="1" applyProtection="1">
      <alignment horizontal="center" vertical="center"/>
    </xf>
    <xf numFmtId="0" fontId="1" fillId="0" borderId="94" xfId="0" applyFont="1" applyBorder="1" applyAlignment="1" applyProtection="1">
      <alignment horizontal="center" vertical="center"/>
    </xf>
    <xf numFmtId="0" fontId="1" fillId="0" borderId="94" xfId="0" applyFont="1" applyFill="1" applyBorder="1" applyAlignment="1" applyProtection="1">
      <alignment horizontal="center" vertical="center"/>
    </xf>
    <xf numFmtId="0" fontId="1" fillId="0" borderId="96" xfId="0" applyFont="1" applyFill="1" applyBorder="1" applyAlignment="1" applyProtection="1">
      <alignment horizontal="center" vertical="center"/>
    </xf>
    <xf numFmtId="0" fontId="1" fillId="0" borderId="97" xfId="0" applyFont="1" applyBorder="1" applyAlignment="1" applyProtection="1">
      <alignment horizontal="center" vertical="center"/>
    </xf>
    <xf numFmtId="0" fontId="1" fillId="0" borderId="98" xfId="0" applyFont="1" applyBorder="1" applyAlignment="1" applyProtection="1">
      <alignment horizontal="center" vertical="center"/>
    </xf>
    <xf numFmtId="0" fontId="1" fillId="0" borderId="99" xfId="0" applyFont="1" applyBorder="1" applyAlignment="1" applyProtection="1">
      <alignment horizontal="center" vertical="center"/>
    </xf>
    <xf numFmtId="0" fontId="20" fillId="2" borderId="0" xfId="0" applyFont="1" applyFill="1" applyAlignment="1" applyProtection="1">
      <alignment horizontal="left" vertical="center" indent="1"/>
    </xf>
    <xf numFmtId="170" fontId="20" fillId="2" borderId="0" xfId="5" applyNumberFormat="1" applyFont="1" applyFill="1" applyBorder="1" applyAlignment="1" applyProtection="1">
      <alignment vertical="center"/>
    </xf>
    <xf numFmtId="0" fontId="31" fillId="0" borderId="0" xfId="0" applyFont="1" applyFill="1" applyAlignment="1" applyProtection="1">
      <alignment vertical="center"/>
    </xf>
    <xf numFmtId="0" fontId="23" fillId="0" borderId="0" xfId="0" applyFont="1" applyFill="1" applyAlignment="1" applyProtection="1">
      <alignment horizontal="left" vertical="center"/>
    </xf>
    <xf numFmtId="0" fontId="12" fillId="0" borderId="0" xfId="0" applyFont="1" applyFill="1" applyAlignment="1" applyProtection="1">
      <alignment horizontal="left" vertical="center"/>
    </xf>
    <xf numFmtId="0" fontId="1" fillId="0" borderId="0" xfId="0" applyFont="1" applyFill="1" applyAlignment="1" applyProtection="1">
      <alignment horizontal="center" vertical="center"/>
    </xf>
    <xf numFmtId="166" fontId="12" fillId="0" borderId="0" xfId="0" applyNumberFormat="1" applyFont="1" applyFill="1" applyAlignment="1" applyProtection="1">
      <alignment horizontal="left" vertical="center"/>
    </xf>
    <xf numFmtId="0" fontId="1" fillId="0" borderId="0" xfId="0" applyFont="1" applyFill="1" applyAlignment="1" applyProtection="1">
      <alignment vertical="center"/>
    </xf>
    <xf numFmtId="0" fontId="37" fillId="17" borderId="0" xfId="0" applyFont="1" applyFill="1" applyAlignment="1" applyProtection="1">
      <alignment horizontal="left" vertical="center" indent="1"/>
    </xf>
    <xf numFmtId="170" fontId="37" fillId="17" borderId="0" xfId="5" applyNumberFormat="1" applyFont="1" applyFill="1" applyBorder="1" applyAlignment="1" applyProtection="1">
      <alignment vertical="center"/>
    </xf>
    <xf numFmtId="0" fontId="1" fillId="0" borderId="0" xfId="0" applyFont="1" applyFill="1" applyAlignment="1" applyProtection="1">
      <alignment horizontal="left" vertical="center" indent="1"/>
    </xf>
    <xf numFmtId="170" fontId="1" fillId="12" borderId="0" xfId="5" applyNumberFormat="1" applyFont="1" applyFill="1" applyBorder="1" applyAlignment="1" applyProtection="1">
      <alignment vertical="center"/>
    </xf>
    <xf numFmtId="170" fontId="12" fillId="0" borderId="0" xfId="5" applyNumberFormat="1" applyFont="1" applyFill="1" applyBorder="1" applyAlignment="1" applyProtection="1">
      <alignment vertical="center"/>
    </xf>
    <xf numFmtId="2" fontId="1" fillId="0" borderId="100" xfId="0" applyNumberFormat="1" applyFont="1" applyFill="1" applyBorder="1" applyAlignment="1" applyProtection="1">
      <alignment horizontal="center" vertical="center"/>
    </xf>
    <xf numFmtId="2" fontId="1" fillId="0" borderId="101" xfId="0" applyNumberFormat="1" applyFont="1" applyFill="1" applyBorder="1" applyAlignment="1" applyProtection="1">
      <alignment horizontal="center" vertical="center"/>
    </xf>
    <xf numFmtId="2" fontId="1" fillId="0" borderId="102" xfId="0" applyNumberFormat="1" applyFont="1" applyFill="1" applyBorder="1" applyAlignment="1" applyProtection="1">
      <alignment horizontal="center" vertical="center"/>
    </xf>
    <xf numFmtId="166" fontId="1" fillId="0" borderId="0" xfId="0" applyNumberFormat="1" applyFont="1" applyBorder="1" applyAlignment="1" applyProtection="1">
      <alignment horizontal="center" vertical="center"/>
    </xf>
    <xf numFmtId="0" fontId="12" fillId="0" borderId="0" xfId="0" applyFont="1" applyAlignment="1" applyProtection="1">
      <alignment horizontal="center" vertical="center"/>
    </xf>
    <xf numFmtId="2" fontId="1" fillId="0" borderId="103" xfId="0" applyNumberFormat="1" applyFont="1" applyFill="1" applyBorder="1" applyAlignment="1" applyProtection="1">
      <alignment horizontal="center" vertical="center"/>
    </xf>
    <xf numFmtId="2" fontId="1" fillId="0" borderId="104" xfId="0" applyNumberFormat="1" applyFont="1" applyFill="1" applyBorder="1" applyAlignment="1" applyProtection="1">
      <alignment horizontal="center" vertical="center"/>
    </xf>
    <xf numFmtId="2" fontId="1" fillId="0" borderId="105" xfId="0" applyNumberFormat="1" applyFont="1" applyFill="1" applyBorder="1" applyAlignment="1" applyProtection="1">
      <alignment horizontal="center" vertical="center"/>
    </xf>
    <xf numFmtId="0" fontId="1" fillId="0" borderId="0" xfId="0" applyFont="1" applyFill="1" applyAlignment="1" applyProtection="1">
      <alignment horizontal="right" vertical="center" indent="1"/>
    </xf>
    <xf numFmtId="0" fontId="33" fillId="0" borderId="0" xfId="0" applyFont="1" applyAlignment="1" applyProtection="1">
      <alignment horizontal="left" vertical="center"/>
    </xf>
    <xf numFmtId="2" fontId="1" fillId="0" borderId="106" xfId="0" applyNumberFormat="1" applyFont="1" applyFill="1" applyBorder="1" applyAlignment="1" applyProtection="1">
      <alignment horizontal="center" vertical="center"/>
    </xf>
    <xf numFmtId="2" fontId="1" fillId="0" borderId="107" xfId="0" applyNumberFormat="1" applyFont="1" applyFill="1" applyBorder="1" applyAlignment="1" applyProtection="1">
      <alignment horizontal="center" vertical="center"/>
    </xf>
    <xf numFmtId="2" fontId="1" fillId="0" borderId="108" xfId="0" applyNumberFormat="1" applyFont="1" applyFill="1" applyBorder="1" applyAlignment="1" applyProtection="1">
      <alignment horizontal="center" vertical="center"/>
    </xf>
    <xf numFmtId="170" fontId="49" fillId="17" borderId="0" xfId="5" applyNumberFormat="1" applyFont="1" applyFill="1" applyBorder="1" applyAlignment="1" applyProtection="1">
      <alignment vertical="center"/>
    </xf>
    <xf numFmtId="0" fontId="12" fillId="0" borderId="0" xfId="0" applyFont="1" applyFill="1" applyAlignment="1" applyProtection="1">
      <alignment vertical="center"/>
    </xf>
    <xf numFmtId="2" fontId="1" fillId="0" borderId="0" xfId="0" applyNumberFormat="1" applyFont="1" applyFill="1" applyBorder="1" applyAlignment="1" applyProtection="1">
      <alignment horizontal="center" vertical="center"/>
    </xf>
    <xf numFmtId="0" fontId="12" fillId="0" borderId="0" xfId="0" applyFont="1" applyFill="1" applyAlignment="1" applyProtection="1">
      <alignment horizontal="center" vertical="center"/>
    </xf>
    <xf numFmtId="0" fontId="1" fillId="0" borderId="0" xfId="0" applyFont="1" applyAlignment="1" applyProtection="1">
      <alignment horizontal="left" vertical="center" indent="1"/>
    </xf>
    <xf numFmtId="2" fontId="1" fillId="0" borderId="100" xfId="0" applyNumberFormat="1" applyFont="1" applyBorder="1" applyAlignment="1" applyProtection="1">
      <alignment horizontal="center" vertical="center"/>
    </xf>
    <xf numFmtId="2" fontId="4" fillId="0" borderId="101" xfId="0" applyNumberFormat="1" applyFont="1" applyFill="1" applyBorder="1" applyAlignment="1" applyProtection="1">
      <alignment horizontal="center" vertical="center"/>
    </xf>
    <xf numFmtId="2" fontId="1" fillId="0" borderId="101" xfId="0" applyNumberFormat="1" applyFont="1" applyBorder="1" applyAlignment="1" applyProtection="1">
      <alignment horizontal="center" vertical="center"/>
    </xf>
    <xf numFmtId="2" fontId="1" fillId="0" borderId="102" xfId="0" applyNumberFormat="1" applyFont="1" applyBorder="1" applyAlignment="1" applyProtection="1">
      <alignment horizontal="center" vertical="center"/>
    </xf>
    <xf numFmtId="2" fontId="1" fillId="0" borderId="103" xfId="0" applyNumberFormat="1" applyFont="1" applyBorder="1" applyAlignment="1" applyProtection="1">
      <alignment horizontal="center" vertical="center"/>
    </xf>
    <xf numFmtId="2" fontId="4" fillId="0" borderId="104" xfId="0" applyNumberFormat="1" applyFont="1" applyFill="1" applyBorder="1" applyAlignment="1" applyProtection="1">
      <alignment horizontal="center" vertical="center"/>
    </xf>
    <xf numFmtId="2" fontId="1" fillId="0" borderId="104" xfId="0" applyNumberFormat="1" applyFont="1" applyBorder="1" applyAlignment="1" applyProtection="1">
      <alignment horizontal="center" vertical="center"/>
    </xf>
    <xf numFmtId="2" fontId="1" fillId="0" borderId="105" xfId="0" applyNumberFormat="1" applyFont="1" applyBorder="1" applyAlignment="1" applyProtection="1">
      <alignment horizontal="center" vertical="center"/>
    </xf>
    <xf numFmtId="2" fontId="1" fillId="0" borderId="106" xfId="0" applyNumberFormat="1" applyFont="1" applyBorder="1" applyAlignment="1" applyProtection="1">
      <alignment horizontal="center" vertical="center"/>
    </xf>
    <xf numFmtId="2" fontId="1" fillId="0" borderId="107" xfId="0" applyNumberFormat="1" applyFont="1" applyBorder="1" applyAlignment="1" applyProtection="1">
      <alignment horizontal="center" vertical="center"/>
    </xf>
    <xf numFmtId="2" fontId="1" fillId="0" borderId="108" xfId="0" applyNumberFormat="1" applyFont="1" applyBorder="1" applyAlignment="1" applyProtection="1">
      <alignment horizontal="center" vertical="center"/>
    </xf>
    <xf numFmtId="166" fontId="1" fillId="0" borderId="109" xfId="0" applyNumberFormat="1" applyFont="1" applyFill="1" applyBorder="1" applyAlignment="1" applyProtection="1">
      <alignment horizontal="center" vertical="center"/>
    </xf>
    <xf numFmtId="166" fontId="1" fillId="0" borderId="110" xfId="0" applyNumberFormat="1" applyFont="1" applyFill="1" applyBorder="1" applyAlignment="1" applyProtection="1">
      <alignment horizontal="center" vertical="center"/>
    </xf>
    <xf numFmtId="170" fontId="4" fillId="8" borderId="110" xfId="5" applyNumberFormat="1" applyFont="1" applyFill="1" applyBorder="1" applyAlignment="1" applyProtection="1">
      <alignment horizontal="center" vertical="center"/>
    </xf>
    <xf numFmtId="170" fontId="4" fillId="8" borderId="111" xfId="5" applyNumberFormat="1" applyFont="1" applyFill="1" applyBorder="1" applyAlignment="1" applyProtection="1">
      <alignment horizontal="center" vertical="center"/>
    </xf>
    <xf numFmtId="0" fontId="1" fillId="0" borderId="0" xfId="0" applyFont="1" applyAlignment="1" applyProtection="1">
      <alignment horizontal="left" vertical="top" wrapText="1" indent="1"/>
    </xf>
    <xf numFmtId="170" fontId="1" fillId="12" borderId="0" xfId="5" applyNumberFormat="1" applyFont="1" applyFill="1" applyBorder="1" applyAlignment="1" applyProtection="1">
      <alignment vertical="top"/>
    </xf>
    <xf numFmtId="0" fontId="20" fillId="13" borderId="112" xfId="0" applyFont="1" applyFill="1" applyBorder="1" applyAlignment="1" applyProtection="1">
      <alignment horizontal="left" vertical="center" indent="1"/>
    </xf>
    <xf numFmtId="170" fontId="20" fillId="13" borderId="113" xfId="5" applyNumberFormat="1" applyFont="1" applyFill="1" applyBorder="1" applyAlignment="1" applyProtection="1">
      <alignment vertical="center"/>
    </xf>
    <xf numFmtId="0" fontId="1" fillId="0" borderId="0" xfId="0" applyFont="1" applyFill="1" applyBorder="1" applyAlignment="1" applyProtection="1">
      <alignment vertical="center"/>
    </xf>
    <xf numFmtId="2" fontId="1" fillId="0" borderId="0" xfId="0" applyNumberFormat="1" applyFont="1" applyFill="1" applyBorder="1" applyAlignment="1" applyProtection="1">
      <alignment vertical="center"/>
    </xf>
    <xf numFmtId="0" fontId="1" fillId="0" borderId="0" xfId="0" applyFont="1" applyFill="1" applyBorder="1" applyAlignment="1" applyProtection="1">
      <alignment horizontal="center" vertical="center"/>
    </xf>
    <xf numFmtId="0" fontId="37" fillId="12" borderId="114" xfId="0" applyFont="1" applyFill="1" applyBorder="1" applyAlignment="1" applyProtection="1">
      <alignment horizontal="left" vertical="center" indent="1"/>
    </xf>
    <xf numFmtId="170" fontId="37" fillId="12" borderId="115" xfId="5" applyNumberFormat="1" applyFont="1" applyFill="1" applyBorder="1" applyAlignment="1" applyProtection="1">
      <alignment vertical="center"/>
    </xf>
    <xf numFmtId="170" fontId="49" fillId="12" borderId="115" xfId="5" applyNumberFormat="1" applyFont="1" applyFill="1" applyBorder="1" applyAlignment="1" applyProtection="1">
      <alignment vertical="center"/>
    </xf>
    <xf numFmtId="170" fontId="37" fillId="12" borderId="116" xfId="5" applyNumberFormat="1" applyFont="1" applyFill="1" applyBorder="1" applyAlignment="1" applyProtection="1">
      <alignment vertical="center"/>
    </xf>
    <xf numFmtId="2" fontId="1" fillId="0" borderId="0" xfId="0" applyNumberFormat="1" applyFont="1" applyBorder="1" applyAlignment="1" applyProtection="1">
      <alignment horizontal="center" vertical="center"/>
    </xf>
    <xf numFmtId="166" fontId="1" fillId="0" borderId="100" xfId="0" applyNumberFormat="1" applyFont="1" applyFill="1" applyBorder="1" applyAlignment="1" applyProtection="1">
      <alignment horizontal="center" vertical="center"/>
    </xf>
    <xf numFmtId="166" fontId="1" fillId="0" borderId="101" xfId="0" applyNumberFormat="1" applyFont="1" applyFill="1" applyBorder="1" applyAlignment="1" applyProtection="1">
      <alignment horizontal="center" vertical="center"/>
    </xf>
    <xf numFmtId="170" fontId="4" fillId="8" borderId="101" xfId="5" applyNumberFormat="1" applyFont="1" applyFill="1" applyBorder="1" applyAlignment="1" applyProtection="1">
      <alignment horizontal="center" vertical="center"/>
    </xf>
    <xf numFmtId="166" fontId="1" fillId="0" borderId="103" xfId="0" applyNumberFormat="1" applyFont="1" applyFill="1" applyBorder="1" applyAlignment="1" applyProtection="1">
      <alignment horizontal="center" vertical="center"/>
    </xf>
    <xf numFmtId="166" fontId="1" fillId="0" borderId="104" xfId="0" applyNumberFormat="1" applyFont="1" applyFill="1" applyBorder="1" applyAlignment="1" applyProtection="1">
      <alignment horizontal="center" vertical="center"/>
    </xf>
    <xf numFmtId="166" fontId="1" fillId="0" borderId="106" xfId="0" applyNumberFormat="1" applyFont="1" applyFill="1" applyBorder="1" applyAlignment="1" applyProtection="1">
      <alignment horizontal="center" vertical="center"/>
    </xf>
    <xf numFmtId="166" fontId="1" fillId="0" borderId="107" xfId="0" applyNumberFormat="1" applyFont="1" applyFill="1" applyBorder="1" applyAlignment="1" applyProtection="1">
      <alignment horizontal="center" vertical="center"/>
    </xf>
    <xf numFmtId="170" fontId="4" fillId="8" borderId="102" xfId="5" applyNumberFormat="1" applyFont="1" applyFill="1" applyBorder="1" applyAlignment="1" applyProtection="1">
      <alignment horizontal="center" vertical="center"/>
    </xf>
    <xf numFmtId="0" fontId="36" fillId="0" borderId="0" xfId="0" applyFont="1" applyAlignment="1" applyProtection="1">
      <alignment horizontal="left" vertical="center"/>
    </xf>
    <xf numFmtId="0" fontId="12" fillId="12" borderId="114" xfId="0" applyFont="1" applyFill="1" applyBorder="1" applyAlignment="1" applyProtection="1">
      <alignment horizontal="left" vertical="center" indent="1"/>
    </xf>
    <xf numFmtId="170" fontId="12" fillId="12" borderId="115" xfId="5" applyNumberFormat="1" applyFont="1" applyFill="1" applyBorder="1" applyAlignment="1" applyProtection="1">
      <alignment vertical="center"/>
    </xf>
    <xf numFmtId="170" fontId="48" fillId="12" borderId="115" xfId="5" applyNumberFormat="1" applyFont="1" applyFill="1" applyBorder="1" applyAlignment="1" applyProtection="1">
      <alignment vertical="center"/>
    </xf>
    <xf numFmtId="170" fontId="12" fillId="12" borderId="116" xfId="5" applyNumberFormat="1" applyFont="1" applyFill="1" applyBorder="1" applyAlignment="1" applyProtection="1">
      <alignment vertical="center"/>
    </xf>
    <xf numFmtId="2" fontId="1" fillId="0" borderId="117" xfId="0" applyNumberFormat="1" applyFont="1" applyBorder="1" applyAlignment="1" applyProtection="1">
      <alignment horizontal="center" vertical="center"/>
    </xf>
    <xf numFmtId="170" fontId="4" fillId="0" borderId="100" xfId="5" applyNumberFormat="1" applyFont="1" applyFill="1" applyBorder="1" applyAlignment="1" applyProtection="1">
      <alignment horizontal="center" vertical="center"/>
    </xf>
    <xf numFmtId="170" fontId="4" fillId="0" borderId="101" xfId="5" applyNumberFormat="1" applyFont="1" applyFill="1" applyBorder="1" applyAlignment="1" applyProtection="1">
      <alignment horizontal="center" vertical="center"/>
    </xf>
    <xf numFmtId="170" fontId="4" fillId="0" borderId="111" xfId="5" applyNumberFormat="1" applyFont="1" applyFill="1" applyBorder="1" applyAlignment="1" applyProtection="1">
      <alignment horizontal="center" vertical="center"/>
    </xf>
    <xf numFmtId="170" fontId="4" fillId="0" borderId="102" xfId="5" applyNumberFormat="1" applyFont="1" applyFill="1" applyBorder="1" applyAlignment="1" applyProtection="1">
      <alignment horizontal="center" vertical="center"/>
    </xf>
    <xf numFmtId="170" fontId="4" fillId="0" borderId="103" xfId="5" applyNumberFormat="1" applyFont="1" applyFill="1" applyBorder="1" applyAlignment="1" applyProtection="1">
      <alignment horizontal="center" vertical="center"/>
    </xf>
    <xf numFmtId="170" fontId="4" fillId="0" borderId="104" xfId="5" applyNumberFormat="1" applyFont="1" applyFill="1" applyBorder="1" applyAlignment="1" applyProtection="1">
      <alignment horizontal="center" vertical="center"/>
    </xf>
    <xf numFmtId="170" fontId="4" fillId="0" borderId="105" xfId="5" applyNumberFormat="1" applyFont="1" applyFill="1" applyBorder="1" applyAlignment="1" applyProtection="1">
      <alignment horizontal="center" vertical="center"/>
    </xf>
    <xf numFmtId="170" fontId="4" fillId="0" borderId="106" xfId="5" applyNumberFormat="1" applyFont="1" applyFill="1" applyBorder="1" applyAlignment="1" applyProtection="1">
      <alignment horizontal="center" vertical="center"/>
    </xf>
    <xf numFmtId="170" fontId="4" fillId="0" borderId="107" xfId="5" applyNumberFormat="1" applyFont="1" applyFill="1" applyBorder="1" applyAlignment="1" applyProtection="1">
      <alignment horizontal="center" vertical="center"/>
    </xf>
    <xf numFmtId="170" fontId="4" fillId="0" borderId="108" xfId="5" applyNumberFormat="1" applyFont="1" applyFill="1" applyBorder="1" applyAlignment="1" applyProtection="1">
      <alignment horizontal="center" vertical="center"/>
    </xf>
    <xf numFmtId="0" fontId="4" fillId="0" borderId="0" xfId="0" applyFont="1" applyAlignment="1" applyProtection="1">
      <alignment horizontal="left" vertical="center" indent="1"/>
    </xf>
    <xf numFmtId="0" fontId="0" fillId="0" borderId="0" xfId="0" applyFont="1" applyBorder="1" applyAlignment="1" applyProtection="1">
      <alignment horizontal="left" vertical="center" indent="1"/>
    </xf>
    <xf numFmtId="170" fontId="4" fillId="8" borderId="104" xfId="5" applyNumberFormat="1" applyFont="1" applyFill="1" applyBorder="1" applyAlignment="1" applyProtection="1">
      <alignment horizontal="center" vertical="center"/>
    </xf>
    <xf numFmtId="170" fontId="4" fillId="8" borderId="105" xfId="5" applyNumberFormat="1" applyFont="1" applyFill="1" applyBorder="1" applyAlignment="1" applyProtection="1">
      <alignment horizontal="center" vertical="center"/>
    </xf>
    <xf numFmtId="0" fontId="20" fillId="13" borderId="118" xfId="0" applyFont="1" applyFill="1" applyBorder="1" applyAlignment="1" applyProtection="1">
      <alignment horizontal="left" vertical="center" indent="1"/>
    </xf>
    <xf numFmtId="170" fontId="20" fillId="13" borderId="119" xfId="5" applyNumberFormat="1" applyFont="1" applyFill="1" applyBorder="1" applyAlignment="1" applyProtection="1">
      <alignment vertical="center"/>
    </xf>
    <xf numFmtId="0" fontId="1" fillId="0" borderId="0" xfId="0" applyFont="1" applyBorder="1" applyAlignment="1" applyProtection="1">
      <alignment horizontal="left" vertical="center" indent="1"/>
    </xf>
    <xf numFmtId="170" fontId="20" fillId="13" borderId="120" xfId="5" applyNumberFormat="1" applyFont="1" applyFill="1" applyBorder="1" applyAlignment="1" applyProtection="1">
      <alignment vertical="center"/>
    </xf>
    <xf numFmtId="2" fontId="1" fillId="0" borderId="0" xfId="0" applyNumberFormat="1" applyFont="1" applyAlignment="1" applyProtection="1">
      <alignment horizontal="center" vertical="center"/>
    </xf>
    <xf numFmtId="2" fontId="1" fillId="0" borderId="0" xfId="0" applyNumberFormat="1" applyFont="1" applyAlignment="1" applyProtection="1">
      <alignment vertical="center"/>
    </xf>
    <xf numFmtId="0" fontId="32" fillId="18" borderId="121" xfId="0" applyFont="1" applyFill="1" applyBorder="1" applyAlignment="1" applyProtection="1">
      <alignment horizontal="left" vertical="center" indent="1"/>
    </xf>
    <xf numFmtId="170" fontId="32" fillId="18" borderId="122" xfId="5" applyNumberFormat="1" applyFont="1" applyFill="1" applyBorder="1" applyAlignment="1" applyProtection="1">
      <alignment vertical="center"/>
    </xf>
    <xf numFmtId="171" fontId="32" fillId="18" borderId="123" xfId="5" applyNumberFormat="1" applyFont="1" applyFill="1" applyBorder="1" applyAlignment="1" applyProtection="1">
      <alignment vertical="center"/>
    </xf>
    <xf numFmtId="0" fontId="0" fillId="0" borderId="121" xfId="0" applyFont="1" applyBorder="1" applyAlignment="1" applyProtection="1">
      <alignment horizontal="left" vertical="center" indent="1"/>
    </xf>
    <xf numFmtId="170" fontId="1" fillId="12" borderId="122" xfId="5" applyNumberFormat="1" applyFont="1" applyFill="1" applyBorder="1" applyAlignment="1" applyProtection="1">
      <alignment vertical="center"/>
    </xf>
    <xf numFmtId="170" fontId="43" fillId="0" borderId="122" xfId="5" applyNumberFormat="1" applyFont="1" applyFill="1" applyBorder="1" applyAlignment="1" applyProtection="1">
      <alignment vertical="center"/>
    </xf>
    <xf numFmtId="170" fontId="1" fillId="0" borderId="122" xfId="5" applyNumberFormat="1" applyFont="1" applyFill="1" applyBorder="1" applyAlignment="1" applyProtection="1">
      <alignment vertical="center"/>
    </xf>
    <xf numFmtId="170" fontId="1" fillId="0" borderId="123" xfId="5" applyNumberFormat="1" applyFont="1" applyFill="1" applyBorder="1" applyAlignment="1" applyProtection="1">
      <alignment vertical="center"/>
    </xf>
    <xf numFmtId="2" fontId="1" fillId="0" borderId="109" xfId="0" applyNumberFormat="1" applyFont="1" applyFill="1" applyBorder="1" applyAlignment="1" applyProtection="1">
      <alignment horizontal="center" vertical="center"/>
    </xf>
    <xf numFmtId="2" fontId="1" fillId="0" borderId="110" xfId="0" applyNumberFormat="1" applyFont="1" applyFill="1" applyBorder="1" applyAlignment="1" applyProtection="1">
      <alignment horizontal="center" vertical="center"/>
    </xf>
    <xf numFmtId="2" fontId="1" fillId="0" borderId="111" xfId="0" applyNumberFormat="1" applyFont="1" applyFill="1" applyBorder="1" applyAlignment="1" applyProtection="1">
      <alignment horizontal="center" vertical="center"/>
    </xf>
    <xf numFmtId="170" fontId="4" fillId="0" borderId="109" xfId="5" applyNumberFormat="1" applyFont="1" applyFill="1" applyBorder="1" applyAlignment="1" applyProtection="1">
      <alignment horizontal="center" vertical="center"/>
    </xf>
    <xf numFmtId="170" fontId="4" fillId="0" borderId="110" xfId="5" applyNumberFormat="1" applyFont="1" applyFill="1" applyBorder="1" applyAlignment="1" applyProtection="1">
      <alignment horizontal="center" vertical="center"/>
    </xf>
    <xf numFmtId="0" fontId="12" fillId="0" borderId="124" xfId="0" applyFont="1" applyFill="1" applyBorder="1" applyAlignment="1" applyProtection="1">
      <alignment horizontal="left" vertical="center" indent="1"/>
    </xf>
    <xf numFmtId="170" fontId="12" fillId="12" borderId="125" xfId="5" applyNumberFormat="1" applyFont="1" applyFill="1" applyBorder="1" applyAlignment="1" applyProtection="1">
      <alignment vertical="center"/>
    </xf>
    <xf numFmtId="170" fontId="1" fillId="0" borderId="125" xfId="5" applyNumberFormat="1" applyFont="1" applyFill="1" applyBorder="1" applyAlignment="1" applyProtection="1">
      <alignment vertical="center"/>
    </xf>
    <xf numFmtId="170" fontId="1" fillId="0" borderId="126" xfId="5" applyNumberFormat="1" applyFont="1" applyFill="1" applyBorder="1" applyAlignment="1" applyProtection="1">
      <alignment vertical="center"/>
    </xf>
    <xf numFmtId="0" fontId="1" fillId="0" borderId="127" xfId="0" applyFont="1" applyBorder="1" applyAlignment="1" applyProtection="1">
      <alignment horizontal="left" vertical="center" wrapText="1" indent="1"/>
    </xf>
    <xf numFmtId="170" fontId="1" fillId="12" borderId="128" xfId="5" applyNumberFormat="1" applyFont="1" applyFill="1" applyBorder="1" applyAlignment="1" applyProtection="1">
      <alignment vertical="center"/>
    </xf>
    <xf numFmtId="170" fontId="43" fillId="0" borderId="128" xfId="5" applyNumberFormat="1" applyFont="1" applyFill="1" applyBorder="1" applyAlignment="1" applyProtection="1">
      <alignment vertical="center"/>
    </xf>
    <xf numFmtId="170" fontId="1" fillId="0" borderId="128" xfId="5" applyNumberFormat="1" applyFont="1" applyFill="1" applyBorder="1" applyAlignment="1" applyProtection="1">
      <alignment vertical="center"/>
    </xf>
    <xf numFmtId="170" fontId="1" fillId="0" borderId="129" xfId="5" applyNumberFormat="1" applyFont="1" applyFill="1" applyBorder="1" applyAlignment="1" applyProtection="1">
      <alignment vertical="center"/>
    </xf>
    <xf numFmtId="0" fontId="0" fillId="0" borderId="124" xfId="0" applyFont="1" applyBorder="1" applyAlignment="1" applyProtection="1">
      <alignment horizontal="left" vertical="center" indent="1"/>
    </xf>
    <xf numFmtId="170" fontId="1" fillId="12" borderId="125" xfId="5" applyNumberFormat="1" applyFont="1" applyFill="1" applyBorder="1" applyAlignment="1" applyProtection="1">
      <alignment vertical="center"/>
    </xf>
    <xf numFmtId="170" fontId="43" fillId="0" borderId="125" xfId="5" applyNumberFormat="1" applyFont="1" applyFill="1" applyBorder="1" applyAlignment="1" applyProtection="1">
      <alignment vertical="center"/>
    </xf>
    <xf numFmtId="0" fontId="37" fillId="0" borderId="127" xfId="0" applyFont="1" applyFill="1" applyBorder="1" applyAlignment="1" applyProtection="1">
      <alignment horizontal="left" vertical="center" indent="1"/>
    </xf>
    <xf numFmtId="170" fontId="37" fillId="12" borderId="128" xfId="5" applyNumberFormat="1" applyFont="1" applyFill="1" applyBorder="1" applyAlignment="1" applyProtection="1">
      <alignment vertical="center"/>
    </xf>
    <xf numFmtId="0" fontId="12" fillId="19" borderId="130" xfId="0" applyFont="1" applyFill="1" applyBorder="1" applyAlignment="1" applyProtection="1">
      <alignment horizontal="left" vertical="center" indent="1"/>
    </xf>
    <xf numFmtId="170" fontId="12" fillId="19" borderId="131" xfId="5" applyNumberFormat="1" applyFont="1" applyFill="1" applyBorder="1" applyAlignment="1" applyProtection="1">
      <alignment horizontal="left" vertical="center" indent="1"/>
    </xf>
    <xf numFmtId="170" fontId="1" fillId="19" borderId="131" xfId="5" applyNumberFormat="1" applyFont="1" applyFill="1" applyBorder="1" applyAlignment="1" applyProtection="1">
      <alignment vertical="center"/>
    </xf>
    <xf numFmtId="170" fontId="1" fillId="19" borderId="132" xfId="5" applyNumberFormat="1" applyFont="1" applyFill="1" applyBorder="1" applyAlignment="1" applyProtection="1">
      <alignment vertical="center"/>
    </xf>
    <xf numFmtId="170" fontId="50" fillId="0" borderId="0" xfId="5" applyNumberFormat="1" applyFont="1" applyFill="1" applyBorder="1" applyAlignment="1" applyProtection="1">
      <alignment horizontal="left" vertical="center" indent="1"/>
    </xf>
    <xf numFmtId="172" fontId="22" fillId="0" borderId="0" xfId="5" applyNumberFormat="1" applyFont="1" applyFill="1" applyBorder="1" applyAlignment="1" applyProtection="1">
      <alignment vertical="center"/>
    </xf>
    <xf numFmtId="170" fontId="12" fillId="0" borderId="0" xfId="5" applyNumberFormat="1" applyFont="1" applyFill="1" applyBorder="1" applyAlignment="1" applyProtection="1">
      <alignment horizontal="left" vertical="center" indent="1"/>
    </xf>
    <xf numFmtId="169" fontId="1" fillId="0" borderId="0" xfId="5" applyNumberFormat="1" applyFont="1" applyFill="1" applyBorder="1" applyAlignment="1" applyProtection="1">
      <alignment vertical="center"/>
    </xf>
    <xf numFmtId="173" fontId="22" fillId="0" borderId="0" xfId="5" applyNumberFormat="1" applyFont="1" applyFill="1" applyBorder="1" applyAlignment="1" applyProtection="1">
      <alignment vertical="center"/>
    </xf>
    <xf numFmtId="174" fontId="22" fillId="0" borderId="0" xfId="5" applyNumberFormat="1" applyFont="1" applyFill="1" applyBorder="1" applyAlignment="1" applyProtection="1">
      <alignment vertical="center"/>
    </xf>
    <xf numFmtId="175" fontId="1" fillId="0" borderId="0" xfId="5" applyNumberFormat="1" applyFont="1" applyFill="1" applyBorder="1" applyAlignment="1" applyProtection="1">
      <alignment vertical="center"/>
    </xf>
    <xf numFmtId="170" fontId="1" fillId="0" borderId="0" xfId="5" applyNumberFormat="1" applyFont="1" applyFill="1" applyBorder="1" applyAlignment="1" applyProtection="1">
      <alignment horizontal="right" vertical="center"/>
    </xf>
    <xf numFmtId="170" fontId="43" fillId="0" borderId="0" xfId="5" applyNumberFormat="1" applyFont="1" applyFill="1" applyBorder="1" applyAlignment="1" applyProtection="1">
      <alignment horizontal="right" vertical="center"/>
    </xf>
    <xf numFmtId="170" fontId="22" fillId="0" borderId="0" xfId="5" applyNumberFormat="1" applyFont="1" applyFill="1" applyBorder="1" applyAlignment="1" applyProtection="1">
      <alignment horizontal="right" vertical="center"/>
    </xf>
    <xf numFmtId="0" fontId="51" fillId="0" borderId="0" xfId="0" applyFont="1" applyAlignment="1" applyProtection="1">
      <alignment horizontal="left" vertical="center" indent="1"/>
    </xf>
    <xf numFmtId="176" fontId="51" fillId="0" borderId="133" xfId="5" applyNumberFormat="1" applyFont="1" applyFill="1" applyBorder="1" applyAlignment="1" applyProtection="1">
      <alignment vertical="center"/>
    </xf>
    <xf numFmtId="177" fontId="52" fillId="0" borderId="134" xfId="5" applyNumberFormat="1" applyFont="1" applyFill="1" applyBorder="1" applyAlignment="1" applyProtection="1">
      <alignment vertical="center"/>
    </xf>
    <xf numFmtId="170" fontId="53" fillId="0" borderId="135" xfId="5" applyNumberFormat="1" applyFont="1" applyFill="1" applyBorder="1" applyAlignment="1" applyProtection="1">
      <alignment vertical="center"/>
    </xf>
    <xf numFmtId="176" fontId="0" fillId="0" borderId="0" xfId="5" applyNumberFormat="1" applyFont="1" applyFill="1" applyBorder="1" applyAlignment="1" applyProtection="1">
      <alignment vertical="center"/>
    </xf>
    <xf numFmtId="177" fontId="54" fillId="0" borderId="0" xfId="5" applyNumberFormat="1" applyFont="1" applyFill="1" applyBorder="1" applyAlignment="1" applyProtection="1">
      <alignment vertical="center"/>
    </xf>
    <xf numFmtId="170" fontId="7" fillId="0" borderId="0" xfId="5" applyNumberFormat="1" applyFont="1" applyFill="1" applyBorder="1" applyAlignment="1" applyProtection="1">
      <alignment vertical="center"/>
    </xf>
    <xf numFmtId="0" fontId="1" fillId="0" borderId="0" xfId="0" applyFont="1" applyAlignment="1" applyProtection="1">
      <alignment horizontal="right" vertical="center"/>
    </xf>
    <xf numFmtId="0" fontId="1" fillId="0" borderId="75" xfId="0" applyFont="1" applyBorder="1" applyAlignment="1" applyProtection="1">
      <alignment vertical="center"/>
    </xf>
    <xf numFmtId="170" fontId="22" fillId="0" borderId="0" xfId="5" applyNumberFormat="1" applyFont="1" applyFill="1" applyBorder="1" applyAlignment="1" applyProtection="1">
      <alignment horizontal="center" vertical="center"/>
    </xf>
    <xf numFmtId="170" fontId="1" fillId="0" borderId="0" xfId="5" applyNumberFormat="1" applyFont="1" applyFill="1" applyBorder="1" applyAlignment="1" applyProtection="1">
      <alignment horizontal="left" vertical="center"/>
    </xf>
    <xf numFmtId="0" fontId="12" fillId="0" borderId="136" xfId="0" applyFont="1" applyBorder="1" applyAlignment="1" applyProtection="1">
      <alignment vertical="center"/>
    </xf>
    <xf numFmtId="170" fontId="2" fillId="0" borderId="74" xfId="5" applyNumberFormat="1" applyFont="1" applyFill="1" applyBorder="1" applyAlignment="1" applyProtection="1">
      <alignment vertical="center"/>
    </xf>
    <xf numFmtId="0" fontId="1" fillId="0" borderId="0" xfId="0" applyFont="1" applyAlignment="1" applyProtection="1">
      <alignment horizontal="left" vertical="center"/>
    </xf>
    <xf numFmtId="0" fontId="4" fillId="0" borderId="0" xfId="0" applyFont="1" applyAlignment="1" applyProtection="1">
      <alignment vertical="center"/>
    </xf>
    <xf numFmtId="0" fontId="55" fillId="0" borderId="0" xfId="0" applyFont="1" applyAlignment="1" applyProtection="1">
      <alignment horizontal="left" vertical="center"/>
    </xf>
    <xf numFmtId="0" fontId="51" fillId="0" borderId="0" xfId="0" applyFont="1" applyAlignment="1" applyProtection="1">
      <alignment vertical="center"/>
    </xf>
    <xf numFmtId="0" fontId="23" fillId="0" borderId="0" xfId="0" applyFont="1" applyAlignment="1" applyProtection="1">
      <alignment horizontal="right" vertical="center"/>
    </xf>
    <xf numFmtId="14" fontId="23" fillId="0" borderId="0" xfId="0" applyNumberFormat="1" applyFont="1" applyAlignment="1" applyProtection="1">
      <alignment vertical="center"/>
    </xf>
    <xf numFmtId="0" fontId="1" fillId="0" borderId="0" xfId="0" applyFont="1" applyBorder="1" applyAlignment="1" applyProtection="1">
      <alignment vertical="center"/>
    </xf>
    <xf numFmtId="0" fontId="56" fillId="0" borderId="0" xfId="0" applyFont="1" applyFill="1" applyAlignment="1" applyProtection="1">
      <alignment horizontal="left" vertical="top" wrapText="1"/>
    </xf>
    <xf numFmtId="2" fontId="12" fillId="17" borderId="0" xfId="0" applyNumberFormat="1" applyFont="1" applyFill="1" applyBorder="1" applyAlignment="1" applyProtection="1">
      <alignment horizontal="center" vertical="center" wrapText="1"/>
    </xf>
    <xf numFmtId="0" fontId="32" fillId="13" borderId="0" xfId="0" applyFont="1" applyFill="1" applyBorder="1" applyAlignment="1" applyProtection="1">
      <alignment horizontal="center" vertical="center"/>
    </xf>
    <xf numFmtId="0" fontId="57" fillId="12" borderId="112" xfId="0" applyFont="1" applyFill="1" applyBorder="1" applyAlignment="1" applyProtection="1">
      <alignment horizontal="left" vertical="center" indent="1"/>
    </xf>
    <xf numFmtId="0" fontId="57" fillId="12" borderId="113" xfId="0" applyFont="1" applyFill="1" applyBorder="1" applyAlignment="1" applyProtection="1">
      <alignment horizontal="left" vertical="center" indent="1"/>
    </xf>
    <xf numFmtId="0" fontId="1" fillId="12" borderId="113" xfId="0" applyFont="1" applyFill="1" applyBorder="1" applyAlignment="1" applyProtection="1">
      <alignment vertical="center"/>
    </xf>
    <xf numFmtId="0" fontId="1" fillId="12" borderId="137" xfId="0" applyFont="1" applyFill="1" applyBorder="1" applyAlignment="1" applyProtection="1">
      <alignment vertical="center"/>
    </xf>
    <xf numFmtId="0" fontId="18" fillId="0" borderId="0" xfId="0" applyFont="1" applyAlignment="1" applyProtection="1">
      <alignment horizontal="left" vertical="center"/>
    </xf>
    <xf numFmtId="2" fontId="12" fillId="17" borderId="0" xfId="0" applyNumberFormat="1" applyFont="1" applyFill="1" applyBorder="1" applyAlignment="1" applyProtection="1">
      <alignment horizontal="center" vertical="top" wrapText="1"/>
    </xf>
    <xf numFmtId="0" fontId="58" fillId="9" borderId="0" xfId="0" applyFont="1" applyFill="1" applyBorder="1" applyAlignment="1" applyProtection="1">
      <alignment horizontal="center" vertical="center" wrapText="1"/>
      <protection locked="0"/>
    </xf>
    <xf numFmtId="0" fontId="59" fillId="0" borderId="138" xfId="5" applyNumberFormat="1" applyFont="1" applyFill="1" applyBorder="1" applyAlignment="1" applyProtection="1">
      <alignment horizontal="left" vertical="center" wrapText="1" indent="1"/>
    </xf>
    <xf numFmtId="0" fontId="59" fillId="0" borderId="139" xfId="5" applyNumberFormat="1" applyFont="1" applyFill="1" applyBorder="1" applyAlignment="1" applyProtection="1">
      <alignment horizontal="left" vertical="center" wrapText="1" indent="1"/>
    </xf>
    <xf numFmtId="0" fontId="59" fillId="0" borderId="139" xfId="0" applyFont="1" applyBorder="1" applyAlignment="1" applyProtection="1">
      <alignment horizontal="left" vertical="center" indent="1"/>
    </xf>
    <xf numFmtId="0" fontId="22" fillId="0" borderId="139" xfId="0" applyFont="1" applyBorder="1" applyAlignment="1" applyProtection="1">
      <alignment horizontal="right" vertical="center"/>
    </xf>
    <xf numFmtId="0" fontId="59" fillId="0" borderId="140" xfId="0" applyFont="1" applyBorder="1" applyAlignment="1" applyProtection="1">
      <alignment horizontal="center" vertical="center"/>
    </xf>
    <xf numFmtId="0" fontId="59" fillId="0" borderId="0" xfId="5" applyNumberFormat="1" applyFont="1" applyFill="1" applyBorder="1" applyAlignment="1" applyProtection="1">
      <alignment horizontal="left" vertical="center" wrapText="1" indent="1"/>
    </xf>
    <xf numFmtId="0" fontId="59" fillId="0" borderId="0" xfId="0" applyFont="1" applyBorder="1" applyAlignment="1" applyProtection="1">
      <alignment horizontal="center" vertical="center"/>
    </xf>
    <xf numFmtId="0" fontId="60" fillId="20" borderId="0" xfId="0" applyFont="1" applyFill="1" applyBorder="1" applyAlignment="1" applyProtection="1">
      <alignment horizontal="left" vertical="center"/>
    </xf>
    <xf numFmtId="178" fontId="8" fillId="20" borderId="0" xfId="5" applyNumberFormat="1" applyFont="1" applyFill="1" applyBorder="1" applyAlignment="1" applyProtection="1">
      <alignment horizontal="right" vertical="center" indent="1"/>
    </xf>
    <xf numFmtId="0" fontId="60" fillId="20" borderId="141" xfId="0" applyFont="1" applyFill="1" applyBorder="1" applyAlignment="1" applyProtection="1">
      <alignment horizontal="right" vertical="center"/>
    </xf>
    <xf numFmtId="0" fontId="20" fillId="20" borderId="142" xfId="0" applyFont="1" applyFill="1" applyBorder="1" applyAlignment="1" applyProtection="1">
      <alignment horizontal="left" vertical="center"/>
    </xf>
    <xf numFmtId="178" fontId="8" fillId="20" borderId="142" xfId="5" applyNumberFormat="1" applyFont="1" applyFill="1" applyBorder="1" applyAlignment="1" applyProtection="1">
      <alignment horizontal="right" vertical="center" indent="1"/>
    </xf>
    <xf numFmtId="9" fontId="61" fillId="6" borderId="143" xfId="3" applyNumberFormat="1" applyFont="1" applyFill="1" applyBorder="1" applyAlignment="1" applyProtection="1"/>
    <xf numFmtId="0" fontId="6" fillId="0" borderId="0" xfId="0" applyFont="1" applyAlignment="1" applyProtection="1">
      <alignment vertical="center"/>
    </xf>
    <xf numFmtId="0" fontId="37" fillId="12" borderId="0" xfId="0" applyFont="1" applyFill="1" applyBorder="1" applyAlignment="1" applyProtection="1">
      <alignment horizontal="left" vertical="center"/>
    </xf>
    <xf numFmtId="178" fontId="37" fillId="12" borderId="0" xfId="5" applyNumberFormat="1" applyFont="1" applyFill="1" applyBorder="1" applyAlignment="1" applyProtection="1">
      <alignment horizontal="right" vertical="center" indent="1"/>
    </xf>
    <xf numFmtId="0" fontId="37" fillId="0" borderId="0" xfId="0" applyFont="1" applyAlignment="1" applyProtection="1">
      <alignment vertical="center"/>
    </xf>
    <xf numFmtId="0" fontId="12" fillId="0" borderId="144" xfId="5" applyNumberFormat="1" applyFont="1" applyFill="1" applyBorder="1" applyAlignment="1" applyProtection="1">
      <alignment horizontal="right" vertical="center" wrapText="1" indent="1"/>
    </xf>
    <xf numFmtId="0" fontId="2" fillId="0" borderId="0" xfId="5" applyNumberFormat="1" applyFont="1" applyFill="1" applyBorder="1" applyAlignment="1" applyProtection="1">
      <alignment horizontal="left" vertical="center" wrapText="1" indent="1"/>
    </xf>
    <xf numFmtId="178" fontId="12" fillId="21" borderId="0" xfId="0" applyNumberFormat="1" applyFont="1" applyFill="1" applyBorder="1" applyAlignment="1" applyProtection="1">
      <alignment horizontal="left" vertical="center" indent="1"/>
    </xf>
    <xf numFmtId="178" fontId="12" fillId="22" borderId="0" xfId="0" applyNumberFormat="1" applyFont="1" applyFill="1" applyBorder="1" applyAlignment="1" applyProtection="1">
      <alignment horizontal="left" vertical="center" indent="1"/>
    </xf>
    <xf numFmtId="9" fontId="61" fillId="6" borderId="145" xfId="3" applyNumberFormat="1" applyFont="1" applyFill="1" applyBorder="1" applyAlignment="1" applyProtection="1"/>
    <xf numFmtId="178" fontId="0" fillId="17" borderId="0" xfId="5" applyNumberFormat="1" applyFont="1" applyFill="1" applyBorder="1" applyAlignment="1" applyProtection="1">
      <alignment horizontal="right" vertical="center" indent="1"/>
    </xf>
    <xf numFmtId="178" fontId="0" fillId="23" borderId="0" xfId="5" applyNumberFormat="1" applyFont="1" applyFill="1" applyBorder="1" applyAlignment="1" applyProtection="1">
      <alignment horizontal="right" vertical="center" indent="1"/>
    </xf>
    <xf numFmtId="0" fontId="2" fillId="0" borderId="144" xfId="5" applyNumberFormat="1" applyFont="1" applyFill="1" applyBorder="1" applyAlignment="1" applyProtection="1">
      <alignment horizontal="right" vertical="center" wrapText="1" indent="1"/>
    </xf>
    <xf numFmtId="178" fontId="2" fillId="21" borderId="0" xfId="0" applyNumberFormat="1" applyFont="1" applyFill="1" applyBorder="1" applyAlignment="1" applyProtection="1">
      <alignment horizontal="left" vertical="center" indent="1"/>
    </xf>
    <xf numFmtId="178" fontId="2" fillId="22" borderId="0" xfId="0" applyNumberFormat="1" applyFont="1" applyFill="1" applyBorder="1" applyAlignment="1" applyProtection="1">
      <alignment horizontal="left" vertical="center" indent="1"/>
    </xf>
    <xf numFmtId="0" fontId="37" fillId="6" borderId="0" xfId="0" applyFont="1" applyFill="1" applyBorder="1" applyAlignment="1" applyProtection="1">
      <alignment horizontal="left" vertical="center"/>
    </xf>
    <xf numFmtId="0" fontId="62" fillId="0" borderId="146" xfId="5" applyNumberFormat="1" applyFont="1" applyFill="1" applyBorder="1" applyAlignment="1" applyProtection="1">
      <alignment horizontal="right" vertical="center" wrapText="1" indent="1"/>
    </xf>
    <xf numFmtId="0" fontId="62" fillId="0" borderId="147" xfId="5" applyNumberFormat="1" applyFont="1" applyFill="1" applyBorder="1" applyAlignment="1" applyProtection="1">
      <alignment horizontal="left" vertical="center" wrapText="1" indent="1"/>
    </xf>
    <xf numFmtId="178" fontId="62" fillId="21" borderId="147" xfId="0" applyNumberFormat="1" applyFont="1" applyFill="1" applyBorder="1" applyAlignment="1" applyProtection="1">
      <alignment horizontal="left" vertical="center" indent="1"/>
    </xf>
    <xf numFmtId="178" fontId="62" fillId="22" borderId="147" xfId="0" applyNumberFormat="1" applyFont="1" applyFill="1" applyBorder="1" applyAlignment="1" applyProtection="1">
      <alignment horizontal="left" vertical="center" indent="1"/>
    </xf>
    <xf numFmtId="9" fontId="61" fillId="6" borderId="148" xfId="3" applyNumberFormat="1" applyFont="1" applyFill="1" applyBorder="1" applyAlignment="1" applyProtection="1"/>
    <xf numFmtId="0" fontId="63" fillId="0" borderId="141" xfId="0" applyFont="1" applyFill="1" applyBorder="1" applyAlignment="1" applyProtection="1">
      <alignment horizontal="left"/>
    </xf>
    <xf numFmtId="0" fontId="63" fillId="0" borderId="142" xfId="0" applyFont="1" applyFill="1" applyBorder="1" applyAlignment="1" applyProtection="1">
      <alignment horizontal="left"/>
    </xf>
    <xf numFmtId="2" fontId="12" fillId="17" borderId="142" xfId="0" applyNumberFormat="1" applyFont="1" applyFill="1" applyBorder="1" applyAlignment="1" applyProtection="1">
      <alignment horizontal="center" wrapText="1"/>
    </xf>
    <xf numFmtId="0" fontId="63" fillId="0" borderId="149" xfId="0" applyFont="1" applyFill="1" applyBorder="1" applyAlignment="1" applyProtection="1">
      <alignment horizontal="left"/>
    </xf>
    <xf numFmtId="0" fontId="37" fillId="0" borderId="150" xfId="0" applyFont="1" applyBorder="1" applyAlignment="1" applyProtection="1">
      <alignment vertical="center"/>
    </xf>
    <xf numFmtId="0" fontId="63" fillId="0" borderId="144" xfId="0" applyFont="1" applyFill="1" applyBorder="1" applyAlignment="1" applyProtection="1">
      <alignment horizontal="left" vertical="top"/>
    </xf>
    <xf numFmtId="0" fontId="63" fillId="0" borderId="0" xfId="0" applyFont="1" applyFill="1" applyBorder="1" applyAlignment="1" applyProtection="1">
      <alignment horizontal="left" vertical="top"/>
    </xf>
    <xf numFmtId="0" fontId="63" fillId="0" borderId="151" xfId="0" applyFont="1" applyFill="1" applyBorder="1" applyAlignment="1" applyProtection="1">
      <alignment horizontal="left" vertical="top"/>
    </xf>
    <xf numFmtId="0" fontId="0" fillId="0" borderId="0" xfId="0" applyFont="1" applyBorder="1" applyAlignment="1" applyProtection="1">
      <alignment vertical="center"/>
    </xf>
    <xf numFmtId="0" fontId="0" fillId="0" borderId="144" xfId="0" applyFont="1" applyFill="1" applyBorder="1" applyAlignment="1" applyProtection="1">
      <alignment vertical="center"/>
    </xf>
    <xf numFmtId="0" fontId="0" fillId="0" borderId="0" xfId="0" applyFont="1" applyFill="1" applyBorder="1" applyAlignment="1" applyProtection="1">
      <alignment vertical="center"/>
    </xf>
    <xf numFmtId="0" fontId="37" fillId="0" borderId="0" xfId="0" applyFont="1" applyFill="1" applyBorder="1" applyAlignment="1" applyProtection="1">
      <alignment vertical="center"/>
    </xf>
    <xf numFmtId="0" fontId="5" fillId="0" borderId="145" xfId="0" applyFont="1" applyFill="1" applyBorder="1" applyAlignment="1" applyProtection="1">
      <alignment vertical="center"/>
    </xf>
    <xf numFmtId="0" fontId="20" fillId="20" borderId="144" xfId="0" applyFont="1" applyFill="1" applyBorder="1" applyAlignment="1" applyProtection="1">
      <alignment horizontal="left" vertical="center"/>
    </xf>
    <xf numFmtId="0" fontId="20" fillId="20" borderId="0" xfId="0" applyFont="1" applyFill="1" applyBorder="1" applyAlignment="1" applyProtection="1">
      <alignment horizontal="left" vertical="center"/>
    </xf>
    <xf numFmtId="178" fontId="20" fillId="20" borderId="0" xfId="0" applyNumberFormat="1" applyFont="1" applyFill="1" applyBorder="1" applyAlignment="1" applyProtection="1">
      <alignment horizontal="right" vertical="top" indent="1"/>
    </xf>
    <xf numFmtId="9" fontId="20" fillId="20" borderId="145" xfId="3" applyNumberFormat="1" applyFont="1" applyFill="1" applyBorder="1" applyAlignment="1" applyProtection="1">
      <alignment vertical="center"/>
    </xf>
    <xf numFmtId="0" fontId="20" fillId="6" borderId="144" xfId="0" applyFont="1" applyFill="1" applyBorder="1" applyAlignment="1" applyProtection="1">
      <alignment horizontal="left" vertical="center"/>
    </xf>
    <xf numFmtId="0" fontId="20" fillId="6" borderId="0" xfId="0" applyFont="1" applyFill="1" applyBorder="1" applyAlignment="1" applyProtection="1">
      <alignment horizontal="left" vertical="center"/>
    </xf>
    <xf numFmtId="178" fontId="20" fillId="6" borderId="0" xfId="0" applyNumberFormat="1" applyFont="1" applyFill="1" applyBorder="1" applyAlignment="1" applyProtection="1">
      <alignment horizontal="right" vertical="top" indent="1"/>
    </xf>
    <xf numFmtId="9" fontId="20" fillId="6" borderId="145" xfId="3" applyNumberFormat="1" applyFont="1" applyFill="1" applyBorder="1" applyAlignment="1" applyProtection="1">
      <alignment vertical="center"/>
    </xf>
    <xf numFmtId="0" fontId="37" fillId="6" borderId="144" xfId="0" applyFont="1" applyFill="1" applyBorder="1" applyAlignment="1" applyProtection="1">
      <alignment horizontal="left" wrapText="1"/>
    </xf>
    <xf numFmtId="0" fontId="37" fillId="24" borderId="0" xfId="0" applyFont="1" applyFill="1" applyBorder="1" applyAlignment="1" applyProtection="1">
      <alignment horizontal="left" wrapText="1"/>
    </xf>
    <xf numFmtId="0" fontId="37" fillId="6" borderId="0" xfId="0" applyFont="1" applyFill="1" applyBorder="1" applyAlignment="1" applyProtection="1">
      <alignment horizontal="left" wrapText="1"/>
    </xf>
    <xf numFmtId="178" fontId="37" fillId="17" borderId="0" xfId="5" applyNumberFormat="1" applyFont="1" applyFill="1" applyBorder="1" applyAlignment="1" applyProtection="1">
      <alignment horizontal="right" vertical="top" indent="1"/>
    </xf>
    <xf numFmtId="178" fontId="37" fillId="23" borderId="0" xfId="5" applyNumberFormat="1" applyFont="1" applyFill="1" applyBorder="1" applyAlignment="1" applyProtection="1">
      <alignment horizontal="right" vertical="top" indent="1"/>
    </xf>
    <xf numFmtId="0" fontId="37" fillId="25" borderId="0" xfId="0" applyFont="1" applyFill="1" applyBorder="1" applyAlignment="1" applyProtection="1">
      <alignment horizontal="left" wrapText="1"/>
    </xf>
    <xf numFmtId="0" fontId="37" fillId="26" borderId="0" xfId="0" applyFont="1" applyFill="1" applyBorder="1" applyAlignment="1" applyProtection="1">
      <alignment horizontal="left" wrapText="1"/>
    </xf>
    <xf numFmtId="0" fontId="37" fillId="27" borderId="0" xfId="0" applyFont="1" applyFill="1" applyBorder="1" applyAlignment="1" applyProtection="1">
      <alignment horizontal="left" wrapText="1"/>
    </xf>
    <xf numFmtId="0" fontId="37" fillId="28" borderId="0" xfId="0" applyFont="1" applyFill="1" applyBorder="1" applyAlignment="1" applyProtection="1">
      <alignment horizontal="left" wrapText="1"/>
    </xf>
    <xf numFmtId="0" fontId="37" fillId="8" borderId="0" xfId="0" applyFont="1" applyFill="1" applyBorder="1" applyAlignment="1" applyProtection="1">
      <alignment horizontal="left" wrapText="1"/>
    </xf>
    <xf numFmtId="0" fontId="37" fillId="29" borderId="0" xfId="0" applyFont="1" applyFill="1" applyBorder="1" applyAlignment="1" applyProtection="1">
      <alignment horizontal="left" wrapText="1"/>
    </xf>
    <xf numFmtId="0" fontId="1" fillId="6" borderId="0" xfId="0" applyFont="1" applyFill="1" applyBorder="1" applyAlignment="1" applyProtection="1">
      <alignment horizontal="left" vertical="center"/>
    </xf>
    <xf numFmtId="0" fontId="0" fillId="0" borderId="144" xfId="0" applyFont="1" applyBorder="1" applyAlignment="1" applyProtection="1">
      <alignment vertical="center"/>
    </xf>
    <xf numFmtId="0" fontId="0" fillId="0" borderId="145" xfId="0" applyFont="1" applyBorder="1" applyAlignment="1" applyProtection="1">
      <alignment vertical="center"/>
    </xf>
    <xf numFmtId="0" fontId="6" fillId="6" borderId="0" xfId="0" applyFont="1" applyFill="1" applyBorder="1" applyAlignment="1" applyProtection="1">
      <alignment horizontal="left" vertical="center"/>
    </xf>
    <xf numFmtId="178" fontId="6" fillId="17" borderId="0" xfId="5" applyNumberFormat="1" applyFont="1" applyFill="1" applyBorder="1" applyAlignment="1" applyProtection="1">
      <alignment horizontal="right" vertical="center" indent="1"/>
    </xf>
    <xf numFmtId="178" fontId="6" fillId="23" borderId="0" xfId="5" applyNumberFormat="1" applyFont="1" applyFill="1" applyBorder="1" applyAlignment="1" applyProtection="1">
      <alignment horizontal="right" vertical="center" indent="1"/>
    </xf>
    <xf numFmtId="178" fontId="64" fillId="12" borderId="0" xfId="5" applyNumberFormat="1" applyFont="1" applyFill="1" applyBorder="1" applyAlignment="1" applyProtection="1">
      <alignment horizontal="right" vertical="center" indent="1"/>
    </xf>
    <xf numFmtId="0" fontId="37" fillId="30" borderId="0" xfId="0" applyFont="1" applyFill="1" applyBorder="1" applyAlignment="1" applyProtection="1">
      <alignment horizontal="left" wrapText="1"/>
    </xf>
    <xf numFmtId="0" fontId="37" fillId="31" borderId="0" xfId="0" applyFont="1" applyFill="1" applyBorder="1" applyAlignment="1" applyProtection="1">
      <alignment horizontal="left" wrapText="1"/>
    </xf>
    <xf numFmtId="0" fontId="37" fillId="32" borderId="0" xfId="0" applyFont="1" applyFill="1" applyBorder="1" applyAlignment="1" applyProtection="1">
      <alignment horizontal="left" wrapText="1"/>
    </xf>
    <xf numFmtId="0" fontId="37" fillId="6" borderId="146" xfId="0" applyFont="1" applyFill="1" applyBorder="1" applyAlignment="1" applyProtection="1">
      <alignment horizontal="left" wrapText="1"/>
    </xf>
    <xf numFmtId="0" fontId="37" fillId="33" borderId="147" xfId="0" applyFont="1" applyFill="1" applyBorder="1" applyAlignment="1" applyProtection="1">
      <alignment horizontal="left" wrapText="1"/>
    </xf>
    <xf numFmtId="0" fontId="37" fillId="6" borderId="147" xfId="0" applyFont="1" applyFill="1" applyBorder="1" applyAlignment="1" applyProtection="1">
      <alignment horizontal="left" wrapText="1"/>
    </xf>
    <xf numFmtId="178" fontId="37" fillId="17" borderId="147" xfId="5" applyNumberFormat="1" applyFont="1" applyFill="1" applyBorder="1" applyAlignment="1" applyProtection="1">
      <alignment horizontal="right" vertical="top" indent="1"/>
    </xf>
    <xf numFmtId="178" fontId="37" fillId="23" borderId="147" xfId="5" applyNumberFormat="1" applyFont="1" applyFill="1" applyBorder="1" applyAlignment="1" applyProtection="1">
      <alignment horizontal="right" vertical="top" indent="1"/>
    </xf>
    <xf numFmtId="0" fontId="20" fillId="6" borderId="152" xfId="0" applyFont="1" applyFill="1" applyBorder="1" applyAlignment="1" applyProtection="1">
      <alignment horizontal="left" vertical="center"/>
    </xf>
    <xf numFmtId="0" fontId="20" fillId="6" borderId="153" xfId="0" applyFont="1" applyFill="1" applyBorder="1" applyAlignment="1" applyProtection="1">
      <alignment horizontal="left" vertical="center"/>
    </xf>
    <xf numFmtId="178" fontId="20" fillId="6" borderId="153" xfId="0" applyNumberFormat="1" applyFont="1" applyFill="1" applyBorder="1" applyAlignment="1" applyProtection="1">
      <alignment horizontal="right" vertical="top" indent="1"/>
    </xf>
    <xf numFmtId="9" fontId="20" fillId="6" borderId="154" xfId="3" applyNumberFormat="1" applyFont="1" applyFill="1" applyBorder="1" applyAlignment="1" applyProtection="1">
      <alignment vertical="center"/>
    </xf>
    <xf numFmtId="0" fontId="1" fillId="0" borderId="155" xfId="0" applyFont="1" applyBorder="1" applyAlignment="1" applyProtection="1">
      <alignment vertical="center"/>
    </xf>
    <xf numFmtId="0" fontId="1" fillId="0" borderId="156" xfId="0" applyFont="1" applyBorder="1" applyAlignment="1" applyProtection="1">
      <alignment vertical="center"/>
    </xf>
    <xf numFmtId="0" fontId="65" fillId="6" borderId="0" xfId="0" applyFont="1" applyFill="1" applyBorder="1" applyAlignment="1" applyProtection="1">
      <alignment horizontal="left" vertical="center"/>
    </xf>
    <xf numFmtId="178" fontId="66" fillId="17" borderId="0" xfId="5" applyNumberFormat="1" applyFont="1" applyFill="1" applyBorder="1" applyAlignment="1" applyProtection="1">
      <alignment horizontal="right" vertical="center" indent="1"/>
    </xf>
    <xf numFmtId="178" fontId="66" fillId="23" borderId="0" xfId="5" applyNumberFormat="1" applyFont="1" applyFill="1" applyBorder="1" applyAlignment="1" applyProtection="1">
      <alignment horizontal="right" vertical="center" indent="1"/>
    </xf>
    <xf numFmtId="0" fontId="37" fillId="0" borderId="155" xfId="0" applyFont="1" applyBorder="1" applyAlignment="1" applyProtection="1">
      <alignment horizontal="left" vertical="center" wrapText="1" indent="1"/>
    </xf>
    <xf numFmtId="0" fontId="37" fillId="0" borderId="0" xfId="0" applyFont="1" applyBorder="1" applyAlignment="1" applyProtection="1">
      <alignment horizontal="left" vertical="center" wrapText="1" indent="1"/>
    </xf>
    <xf numFmtId="0" fontId="37" fillId="0" borderId="0" xfId="0" applyFont="1" applyBorder="1" applyAlignment="1" applyProtection="1">
      <alignment vertical="center" wrapText="1"/>
    </xf>
    <xf numFmtId="9" fontId="5" fillId="0" borderId="156" xfId="3" applyNumberFormat="1" applyFont="1" applyFill="1" applyBorder="1" applyAlignment="1" applyProtection="1">
      <alignment vertical="center"/>
    </xf>
    <xf numFmtId="0" fontId="65" fillId="6" borderId="0" xfId="0" applyFont="1" applyFill="1" applyBorder="1" applyAlignment="1" applyProtection="1">
      <alignment horizontal="left" vertical="top"/>
    </xf>
    <xf numFmtId="178" fontId="66" fillId="17" borderId="0" xfId="5" applyNumberFormat="1" applyFont="1" applyFill="1" applyBorder="1" applyAlignment="1" applyProtection="1">
      <alignment horizontal="right" vertical="top" indent="1"/>
    </xf>
    <xf numFmtId="178" fontId="66" fillId="23" borderId="0" xfId="5" applyNumberFormat="1" applyFont="1" applyFill="1" applyBorder="1" applyAlignment="1" applyProtection="1">
      <alignment horizontal="right" vertical="top" indent="1"/>
    </xf>
    <xf numFmtId="0" fontId="4" fillId="0" borderId="0" xfId="0" applyFont="1" applyAlignment="1" applyProtection="1">
      <alignment vertical="top"/>
    </xf>
    <xf numFmtId="0" fontId="65" fillId="6" borderId="0" xfId="0" applyFont="1" applyFill="1" applyBorder="1" applyAlignment="1" applyProtection="1">
      <alignment horizontal="left" vertical="top" wrapText="1"/>
    </xf>
    <xf numFmtId="0" fontId="9" fillId="0" borderId="0" xfId="0" applyFont="1" applyAlignment="1" applyProtection="1">
      <alignment vertical="center"/>
    </xf>
    <xf numFmtId="0" fontId="10" fillId="0" borderId="0" xfId="0" applyFont="1" applyAlignment="1" applyProtection="1">
      <alignment vertical="center"/>
    </xf>
    <xf numFmtId="0" fontId="47" fillId="0" borderId="0" xfId="0" applyFont="1" applyBorder="1" applyAlignment="1" applyProtection="1">
      <alignment horizontal="left" vertical="top"/>
    </xf>
    <xf numFmtId="179" fontId="47" fillId="17" borderId="0" xfId="5" applyNumberFormat="1" applyFont="1" applyFill="1" applyBorder="1" applyAlignment="1" applyProtection="1">
      <alignment horizontal="right" vertical="top" indent="1"/>
    </xf>
    <xf numFmtId="179" fontId="47" fillId="23" borderId="0" xfId="5" applyNumberFormat="1" applyFont="1" applyFill="1" applyBorder="1" applyAlignment="1" applyProtection="1">
      <alignment horizontal="right" vertical="top" indent="1"/>
    </xf>
    <xf numFmtId="0" fontId="6" fillId="0" borderId="0" xfId="0" applyFont="1" applyAlignment="1" applyProtection="1"/>
    <xf numFmtId="0" fontId="0" fillId="0" borderId="0" xfId="0" applyFont="1" applyFill="1" applyAlignment="1" applyProtection="1">
      <alignment vertical="top"/>
    </xf>
    <xf numFmtId="0" fontId="6" fillId="0" borderId="0" xfId="0" applyFont="1" applyAlignment="1" applyProtection="1">
      <alignment vertical="top"/>
    </xf>
    <xf numFmtId="0" fontId="8" fillId="20" borderId="158" xfId="0" applyFont="1" applyFill="1" applyBorder="1" applyAlignment="1" applyProtection="1">
      <alignment horizontal="left" vertical="center"/>
    </xf>
    <xf numFmtId="178" fontId="8" fillId="20" borderId="159" xfId="5" applyNumberFormat="1" applyFont="1" applyFill="1" applyBorder="1" applyAlignment="1" applyProtection="1">
      <alignment horizontal="right" vertical="center" indent="1"/>
    </xf>
    <xf numFmtId="0" fontId="37" fillId="6" borderId="63" xfId="0" applyFont="1" applyFill="1" applyBorder="1" applyAlignment="1" applyProtection="1">
      <alignment horizontal="left"/>
    </xf>
    <xf numFmtId="178" fontId="37" fillId="17" borderId="63" xfId="5" applyNumberFormat="1" applyFont="1" applyFill="1" applyBorder="1" applyAlignment="1" applyProtection="1">
      <alignment horizontal="right" indent="1"/>
    </xf>
    <xf numFmtId="178" fontId="37" fillId="23" borderId="63" xfId="5" applyNumberFormat="1" applyFont="1" applyFill="1" applyBorder="1" applyAlignment="1" applyProtection="1">
      <alignment horizontal="right" indent="1"/>
    </xf>
    <xf numFmtId="0" fontId="37" fillId="6" borderId="160" xfId="0" applyFont="1" applyFill="1" applyBorder="1" applyAlignment="1" applyProtection="1">
      <alignment horizontal="left" vertical="top"/>
    </xf>
    <xf numFmtId="178" fontId="37" fillId="17" borderId="160" xfId="5" applyNumberFormat="1" applyFont="1" applyFill="1" applyBorder="1" applyAlignment="1" applyProtection="1">
      <alignment horizontal="right" vertical="top" indent="1"/>
    </xf>
    <xf numFmtId="178" fontId="37" fillId="23" borderId="160" xfId="5" applyNumberFormat="1" applyFont="1" applyFill="1" applyBorder="1" applyAlignment="1" applyProtection="1">
      <alignment horizontal="right" vertical="top" indent="1"/>
    </xf>
    <xf numFmtId="0" fontId="23" fillId="6" borderId="63" xfId="0" applyFont="1" applyFill="1" applyBorder="1" applyAlignment="1" applyProtection="1">
      <alignment horizontal="left" vertical="top"/>
    </xf>
    <xf numFmtId="178" fontId="23" fillId="17" borderId="0" xfId="5" applyNumberFormat="1" applyFont="1" applyFill="1" applyBorder="1" applyAlignment="1" applyProtection="1">
      <alignment horizontal="right" vertical="top" indent="1"/>
    </xf>
    <xf numFmtId="178" fontId="23" fillId="23" borderId="63" xfId="5" applyNumberFormat="1" applyFont="1" applyFill="1" applyBorder="1" applyAlignment="1" applyProtection="1">
      <alignment horizontal="right" vertical="top" indent="1"/>
    </xf>
    <xf numFmtId="178" fontId="37" fillId="17" borderId="67" xfId="5" applyNumberFormat="1" applyFont="1" applyFill="1" applyBorder="1" applyAlignment="1" applyProtection="1">
      <alignment horizontal="right" indent="1"/>
    </xf>
    <xf numFmtId="0" fontId="37" fillId="6" borderId="0" xfId="0" applyFont="1" applyFill="1" applyBorder="1" applyAlignment="1" applyProtection="1">
      <alignment horizontal="left"/>
    </xf>
    <xf numFmtId="178" fontId="37" fillId="17" borderId="0" xfId="5" applyNumberFormat="1" applyFont="1" applyFill="1" applyBorder="1" applyAlignment="1" applyProtection="1">
      <alignment horizontal="right" indent="1"/>
    </xf>
    <xf numFmtId="0" fontId="0" fillId="0" borderId="0" xfId="0" applyFont="1" applyFill="1" applyBorder="1" applyAlignment="1" applyProtection="1">
      <alignment horizontal="left" vertical="top"/>
    </xf>
    <xf numFmtId="0" fontId="0" fillId="0" borderId="63" xfId="0" applyFont="1" applyFill="1" applyBorder="1" applyAlignment="1" applyProtection="1">
      <alignment horizontal="left" vertical="top"/>
    </xf>
    <xf numFmtId="178" fontId="23" fillId="17" borderId="63" xfId="5" applyNumberFormat="1" applyFont="1" applyFill="1" applyBorder="1" applyAlignment="1" applyProtection="1">
      <alignment horizontal="right" vertical="top" indent="1"/>
    </xf>
    <xf numFmtId="178" fontId="23" fillId="23" borderId="0" xfId="5" applyNumberFormat="1" applyFont="1" applyFill="1" applyBorder="1" applyAlignment="1" applyProtection="1">
      <alignment horizontal="right" vertical="top" indent="1"/>
    </xf>
    <xf numFmtId="0" fontId="0" fillId="0" borderId="0" xfId="0" applyFont="1" applyAlignment="1" applyProtection="1">
      <alignment horizontal="center" vertical="top"/>
    </xf>
    <xf numFmtId="0" fontId="1" fillId="0" borderId="161" xfId="0" applyFont="1" applyBorder="1" applyAlignment="1" applyProtection="1">
      <alignment vertical="center"/>
    </xf>
    <xf numFmtId="0" fontId="1" fillId="0" borderId="162" xfId="0" applyFont="1" applyBorder="1" applyAlignment="1" applyProtection="1">
      <alignment vertical="center"/>
    </xf>
    <xf numFmtId="0" fontId="1" fillId="0" borderId="163" xfId="0" applyFont="1" applyBorder="1" applyAlignment="1" applyProtection="1">
      <alignment vertical="center"/>
    </xf>
    <xf numFmtId="0" fontId="20" fillId="34" borderId="158" xfId="0" applyFont="1" applyFill="1" applyBorder="1" applyAlignment="1" applyProtection="1">
      <alignment horizontal="right" vertical="center" wrapText="1"/>
    </xf>
    <xf numFmtId="178" fontId="8" fillId="34" borderId="159" xfId="5" applyNumberFormat="1" applyFont="1" applyFill="1" applyBorder="1" applyAlignment="1" applyProtection="1">
      <alignment horizontal="right" vertical="center" indent="1"/>
    </xf>
    <xf numFmtId="0" fontId="0" fillId="0" borderId="0" xfId="0" applyFont="1" applyBorder="1" applyAlignment="1" applyProtection="1">
      <alignment horizontal="center" vertical="top"/>
    </xf>
    <xf numFmtId="0" fontId="6" fillId="0" borderId="0" xfId="0" applyFont="1" applyBorder="1" applyAlignment="1" applyProtection="1">
      <alignment vertical="top"/>
    </xf>
    <xf numFmtId="178" fontId="12" fillId="17" borderId="0" xfId="5" applyNumberFormat="1" applyFont="1" applyFill="1" applyBorder="1" applyAlignment="1" applyProtection="1">
      <alignment horizontal="right" vertical="center"/>
    </xf>
    <xf numFmtId="178" fontId="12" fillId="23" borderId="0" xfId="5" applyNumberFormat="1" applyFont="1" applyFill="1" applyBorder="1" applyAlignment="1" applyProtection="1">
      <alignment horizontal="right" vertical="center"/>
    </xf>
    <xf numFmtId="9" fontId="16" fillId="6" borderId="145" xfId="3" applyNumberFormat="1" applyFont="1" applyFill="1" applyBorder="1" applyAlignment="1" applyProtection="1">
      <alignment horizontal="center" vertical="center"/>
    </xf>
    <xf numFmtId="0" fontId="37" fillId="6" borderId="67" xfId="0" applyFont="1" applyFill="1" applyBorder="1" applyAlignment="1" applyProtection="1">
      <alignment horizontal="left" vertical="top" wrapText="1"/>
    </xf>
    <xf numFmtId="168" fontId="37" fillId="17" borderId="67" xfId="0" applyNumberFormat="1" applyFont="1" applyFill="1" applyBorder="1" applyAlignment="1" applyProtection="1">
      <alignment horizontal="right" vertical="center" wrapText="1" indent="1"/>
    </xf>
    <xf numFmtId="168" fontId="37" fillId="22" borderId="67" xfId="0" applyNumberFormat="1" applyFont="1" applyFill="1" applyBorder="1" applyAlignment="1" applyProtection="1">
      <alignment horizontal="right" vertical="center" wrapText="1" indent="1"/>
    </xf>
    <xf numFmtId="9" fontId="1" fillId="17" borderId="0" xfId="3" applyFont="1" applyFill="1" applyBorder="1" applyAlignment="1" applyProtection="1">
      <alignment horizontal="center" vertical="top"/>
    </xf>
    <xf numFmtId="9" fontId="0" fillId="23" borderId="0" xfId="3" applyFont="1" applyFill="1" applyBorder="1" applyAlignment="1" applyProtection="1">
      <alignment horizontal="center" vertical="top"/>
    </xf>
    <xf numFmtId="9" fontId="16" fillId="6" borderId="145" xfId="3" applyNumberFormat="1" applyFont="1" applyFill="1" applyBorder="1" applyAlignment="1" applyProtection="1">
      <alignment horizontal="center" vertical="top"/>
    </xf>
    <xf numFmtId="0" fontId="37" fillId="6" borderId="0" xfId="0" applyFont="1" applyFill="1" applyBorder="1" applyAlignment="1" applyProtection="1">
      <alignment horizontal="left" vertical="top" wrapText="1"/>
    </xf>
    <xf numFmtId="178" fontId="12" fillId="23" borderId="0" xfId="5" applyNumberFormat="1" applyFont="1" applyFill="1" applyBorder="1" applyAlignment="1" applyProtection="1">
      <alignment horizontal="center" vertical="center"/>
    </xf>
    <xf numFmtId="0" fontId="20" fillId="28" borderId="158" xfId="0" applyFont="1" applyFill="1" applyBorder="1" applyAlignment="1" applyProtection="1">
      <alignment horizontal="right" vertical="center" wrapText="1"/>
    </xf>
    <xf numFmtId="178" fontId="8" fillId="28" borderId="159" xfId="5" applyNumberFormat="1" applyFont="1" applyFill="1" applyBorder="1" applyAlignment="1" applyProtection="1">
      <alignment horizontal="right" vertical="center" indent="1"/>
    </xf>
    <xf numFmtId="0" fontId="69" fillId="11" borderId="136" xfId="0" applyFont="1" applyFill="1" applyBorder="1" applyAlignment="1" applyProtection="1">
      <alignment horizontal="left" vertical="center"/>
      <protection locked="0"/>
    </xf>
    <xf numFmtId="0" fontId="6" fillId="0" borderId="0" xfId="0" applyFont="1" applyAlignment="1" applyProtection="1">
      <alignment horizontal="center" vertical="top"/>
    </xf>
    <xf numFmtId="9" fontId="15" fillId="0" borderId="0" xfId="3" applyNumberFormat="1" applyFont="1" applyFill="1" applyBorder="1" applyAlignment="1" applyProtection="1">
      <alignment vertical="center"/>
    </xf>
    <xf numFmtId="0" fontId="0" fillId="0" borderId="0" xfId="0" applyFont="1" applyFill="1" applyAlignment="1" applyProtection="1">
      <alignment horizontal="center" vertical="top"/>
    </xf>
    <xf numFmtId="0" fontId="32" fillId="0" borderId="0" xfId="0" applyFont="1" applyFill="1" applyBorder="1" applyAlignment="1" applyProtection="1">
      <alignment horizontal="center" vertical="top"/>
    </xf>
    <xf numFmtId="0" fontId="1" fillId="0" borderId="0" xfId="0" applyFont="1" applyAlignment="1" applyProtection="1">
      <alignment horizontal="center" vertical="top"/>
    </xf>
    <xf numFmtId="0" fontId="4" fillId="0" borderId="0" xfId="0" applyFont="1" applyAlignment="1" applyProtection="1">
      <alignment horizontal="center" vertical="top"/>
    </xf>
    <xf numFmtId="0" fontId="20" fillId="0" borderId="0" xfId="0" applyFont="1" applyFill="1" applyBorder="1" applyAlignment="1" applyProtection="1">
      <alignment horizontal="center" vertical="top"/>
    </xf>
    <xf numFmtId="0" fontId="1" fillId="0" borderId="0" xfId="0" applyFont="1" applyFill="1" applyAlignment="1" applyProtection="1">
      <alignment horizontal="left" vertical="top"/>
    </xf>
    <xf numFmtId="170" fontId="70" fillId="0" borderId="0" xfId="5" applyNumberFormat="1" applyFont="1" applyFill="1" applyBorder="1" applyAlignment="1" applyProtection="1">
      <alignment horizontal="right" vertical="top" indent="1"/>
    </xf>
    <xf numFmtId="0" fontId="1" fillId="0" borderId="0" xfId="0" applyFont="1" applyFill="1" applyAlignment="1" applyProtection="1">
      <alignment horizontal="center" vertical="top"/>
    </xf>
    <xf numFmtId="0" fontId="0" fillId="0" borderId="0" xfId="0" applyFont="1" applyAlignment="1" applyProtection="1">
      <alignment horizontal="left" vertical="center"/>
    </xf>
    <xf numFmtId="0" fontId="0" fillId="0" borderId="0" xfId="0" applyFont="1" applyFill="1" applyAlignment="1" applyProtection="1">
      <alignment vertical="center"/>
    </xf>
    <xf numFmtId="0" fontId="56" fillId="6" borderId="0" xfId="0" applyFont="1" applyFill="1" applyAlignment="1" applyProtection="1">
      <alignment horizontal="right" vertical="top" wrapText="1"/>
    </xf>
    <xf numFmtId="2" fontId="37" fillId="17" borderId="0" xfId="0" applyNumberFormat="1" applyFont="1" applyFill="1" applyBorder="1" applyAlignment="1" applyProtection="1">
      <alignment horizontal="center" vertical="center" wrapText="1"/>
    </xf>
    <xf numFmtId="0" fontId="18" fillId="6" borderId="0" xfId="0" applyFont="1" applyFill="1" applyAlignment="1" applyProtection="1">
      <alignment horizontal="right" vertical="center"/>
    </xf>
    <xf numFmtId="2" fontId="37" fillId="17" borderId="0" xfId="0" applyNumberFormat="1" applyFont="1" applyFill="1" applyBorder="1" applyAlignment="1" applyProtection="1">
      <alignment horizontal="center" vertical="top" wrapText="1"/>
    </xf>
    <xf numFmtId="0" fontId="71" fillId="9" borderId="0" xfId="0" applyFont="1" applyFill="1" applyBorder="1" applyAlignment="1" applyProtection="1">
      <alignment horizontal="center" vertical="center" wrapText="1"/>
    </xf>
    <xf numFmtId="0" fontId="23" fillId="6" borderId="0" xfId="0" applyFont="1" applyFill="1" applyAlignment="1" applyProtection="1">
      <alignment horizontal="left" vertical="center"/>
    </xf>
    <xf numFmtId="0" fontId="72" fillId="15" borderId="0" xfId="0" applyFont="1" applyFill="1" applyBorder="1" applyAlignment="1" applyProtection="1">
      <alignment horizontal="left" vertical="center" indent="1"/>
    </xf>
    <xf numFmtId="0" fontId="72" fillId="15" borderId="0" xfId="0" applyFont="1" applyFill="1" applyBorder="1" applyAlignment="1" applyProtection="1">
      <alignment horizontal="left" vertical="center"/>
    </xf>
    <xf numFmtId="0" fontId="72" fillId="15" borderId="0" xfId="0" applyFont="1" applyFill="1" applyBorder="1" applyAlignment="1" applyProtection="1">
      <alignment horizontal="right" vertical="center" indent="1"/>
    </xf>
    <xf numFmtId="0" fontId="37" fillId="0" borderId="0" xfId="0" applyFont="1" applyBorder="1" applyAlignment="1" applyProtection="1">
      <alignment horizontal="right" vertical="top"/>
    </xf>
    <xf numFmtId="0" fontId="0" fillId="0" borderId="0" xfId="0" applyBorder="1" applyAlignment="1">
      <alignment horizontal="right" vertical="top"/>
    </xf>
    <xf numFmtId="178" fontId="8" fillId="20" borderId="0" xfId="0" applyNumberFormat="1" applyFont="1" applyFill="1" applyBorder="1" applyAlignment="1" applyProtection="1">
      <alignment horizontal="right" vertical="center" indent="1"/>
    </xf>
    <xf numFmtId="178" fontId="37" fillId="23" borderId="0" xfId="5" applyNumberFormat="1" applyFont="1" applyFill="1" applyBorder="1" applyAlignment="1" applyProtection="1">
      <alignment horizontal="right" vertical="center" indent="1"/>
    </xf>
    <xf numFmtId="9" fontId="61" fillId="6" borderId="0" xfId="3" applyNumberFormat="1" applyFont="1" applyFill="1" applyBorder="1" applyAlignment="1" applyProtection="1">
      <alignment vertical="center"/>
    </xf>
    <xf numFmtId="0" fontId="37" fillId="6" borderId="0" xfId="0" applyFont="1" applyFill="1" applyBorder="1" applyAlignment="1" applyProtection="1">
      <alignment horizontal="right" vertical="top"/>
    </xf>
    <xf numFmtId="0" fontId="0" fillId="6" borderId="0" xfId="0" applyFill="1" applyBorder="1" applyAlignment="1">
      <alignment horizontal="right" vertical="top"/>
    </xf>
    <xf numFmtId="178" fontId="20" fillId="30" borderId="0" xfId="2" applyNumberFormat="1" applyFont="1" applyFill="1" applyBorder="1" applyAlignment="1" applyProtection="1">
      <alignment horizontal="right" vertical="center" indent="1"/>
      <protection locked="0"/>
    </xf>
    <xf numFmtId="0" fontId="37" fillId="6" borderId="0" xfId="0" applyFont="1" applyFill="1" applyBorder="1" applyAlignment="1" applyProtection="1">
      <alignment horizontal="left" vertical="top" indent="1"/>
    </xf>
    <xf numFmtId="1" fontId="0" fillId="0" borderId="0" xfId="0" applyNumberFormat="1" applyBorder="1" applyAlignment="1">
      <alignment horizontal="right" vertical="top"/>
    </xf>
    <xf numFmtId="0" fontId="37" fillId="6" borderId="0" xfId="0" applyFont="1" applyFill="1" applyBorder="1" applyAlignment="1" applyProtection="1">
      <alignment horizontal="right" vertical="top" wrapText="1"/>
      <protection locked="0"/>
    </xf>
    <xf numFmtId="178" fontId="72" fillId="15" borderId="164" xfId="0" applyNumberFormat="1" applyFont="1" applyFill="1" applyBorder="1" applyAlignment="1" applyProtection="1">
      <alignment horizontal="right" vertical="center" indent="1"/>
    </xf>
    <xf numFmtId="0" fontId="0" fillId="6" borderId="0" xfId="0" applyFont="1" applyFill="1" applyBorder="1" applyAlignment="1" applyProtection="1">
      <alignment horizontal="right" vertical="top" indent="1"/>
    </xf>
    <xf numFmtId="0" fontId="0" fillId="6" borderId="0" xfId="0" applyFont="1" applyFill="1" applyBorder="1" applyAlignment="1" applyProtection="1">
      <alignment horizontal="center" vertical="top"/>
    </xf>
    <xf numFmtId="178" fontId="0" fillId="4" borderId="0" xfId="2" applyNumberFormat="1" applyFont="1" applyFill="1" applyBorder="1" applyAlignment="1" applyProtection="1">
      <alignment horizontal="right" vertical="center" indent="1"/>
      <protection locked="0"/>
    </xf>
    <xf numFmtId="0" fontId="0" fillId="6" borderId="0" xfId="0" applyFont="1" applyFill="1" applyBorder="1" applyAlignment="1" applyProtection="1">
      <alignment horizontal="left" vertical="top" indent="1"/>
      <protection locked="0"/>
    </xf>
    <xf numFmtId="0" fontId="0" fillId="0" borderId="0" xfId="0" applyFont="1" applyFill="1" applyBorder="1" applyAlignment="1" applyProtection="1">
      <alignment horizontal="right" vertical="top" wrapText="1"/>
      <protection locked="0"/>
    </xf>
    <xf numFmtId="0" fontId="8" fillId="20" borderId="0" xfId="0" applyFont="1" applyFill="1" applyBorder="1" applyAlignment="1" applyProtection="1">
      <alignment horizontal="left" vertical="center" indent="1"/>
    </xf>
    <xf numFmtId="0" fontId="8" fillId="20" borderId="0" xfId="0" applyFont="1" applyFill="1" applyBorder="1" applyAlignment="1" applyProtection="1">
      <alignment horizontal="left" vertical="center"/>
    </xf>
    <xf numFmtId="0" fontId="8" fillId="20" borderId="0" xfId="0" applyFont="1" applyFill="1" applyBorder="1" applyAlignment="1" applyProtection="1">
      <alignment horizontal="right" vertical="center" indent="1"/>
    </xf>
    <xf numFmtId="0" fontId="37" fillId="6" borderId="0" xfId="0" applyFont="1" applyFill="1" applyAlignment="1">
      <alignment horizontal="right"/>
    </xf>
    <xf numFmtId="166" fontId="0" fillId="6" borderId="0" xfId="0" applyNumberFormat="1" applyFont="1" applyFill="1" applyAlignment="1">
      <alignment horizontal="center"/>
    </xf>
    <xf numFmtId="9" fontId="0" fillId="6" borderId="0" xfId="3" applyFont="1" applyFill="1" applyBorder="1" applyAlignment="1" applyProtection="1">
      <alignment horizontal="center"/>
    </xf>
    <xf numFmtId="0" fontId="6" fillId="0" borderId="0" xfId="0" applyFont="1" applyAlignment="1">
      <alignment horizontal="right"/>
    </xf>
    <xf numFmtId="0" fontId="22" fillId="0" borderId="140" xfId="0" applyFont="1" applyBorder="1" applyAlignment="1" applyProtection="1">
      <alignment horizontal="center" vertical="center"/>
    </xf>
    <xf numFmtId="0" fontId="8" fillId="20" borderId="141" xfId="0" applyFont="1" applyFill="1" applyBorder="1" applyAlignment="1" applyProtection="1">
      <alignment horizontal="left" vertical="center"/>
    </xf>
    <xf numFmtId="0" fontId="8" fillId="20" borderId="142" xfId="0" applyFont="1" applyFill="1" applyBorder="1" applyAlignment="1" applyProtection="1">
      <alignment vertical="top"/>
    </xf>
    <xf numFmtId="0" fontId="8" fillId="20" borderId="143" xfId="0" applyFont="1" applyFill="1" applyBorder="1" applyAlignment="1" applyProtection="1">
      <alignment vertical="top"/>
    </xf>
    <xf numFmtId="0" fontId="6" fillId="0" borderId="0" xfId="0" applyFont="1" applyAlignment="1" applyProtection="1">
      <alignment horizontal="right" vertical="center"/>
    </xf>
    <xf numFmtId="0" fontId="8" fillId="13" borderId="0" xfId="0" applyFont="1" applyFill="1" applyBorder="1" applyAlignment="1" applyProtection="1">
      <alignment horizontal="left" vertical="center"/>
    </xf>
    <xf numFmtId="178" fontId="8" fillId="13" borderId="0" xfId="5" applyNumberFormat="1" applyFont="1" applyFill="1" applyBorder="1" applyAlignment="1" applyProtection="1">
      <alignment horizontal="right" vertical="center" indent="1"/>
    </xf>
    <xf numFmtId="0" fontId="12" fillId="6" borderId="168" xfId="0" applyFont="1" applyFill="1" applyBorder="1" applyAlignment="1" applyProtection="1">
      <alignment horizontal="left" vertical="center" wrapText="1"/>
    </xf>
    <xf numFmtId="178" fontId="12" fillId="17" borderId="63" xfId="5" applyNumberFormat="1" applyFont="1" applyFill="1" applyBorder="1" applyAlignment="1" applyProtection="1">
      <alignment horizontal="right" vertical="center" indent="1"/>
    </xf>
    <xf numFmtId="178" fontId="12" fillId="23" borderId="67" xfId="5" applyNumberFormat="1" applyFont="1" applyFill="1" applyBorder="1" applyAlignment="1" applyProtection="1">
      <alignment horizontal="right" vertical="center" indent="1"/>
    </xf>
    <xf numFmtId="9" fontId="16" fillId="6" borderId="145" xfId="3" applyNumberFormat="1" applyFont="1" applyFill="1" applyBorder="1" applyAlignment="1" applyProtection="1">
      <alignment vertical="center"/>
    </xf>
    <xf numFmtId="0" fontId="74" fillId="0" borderId="0" xfId="0" applyFont="1" applyAlignment="1" applyProtection="1">
      <alignment horizontal="right" vertical="center"/>
    </xf>
    <xf numFmtId="0" fontId="12" fillId="6" borderId="169" xfId="0" applyFont="1" applyFill="1" applyBorder="1" applyAlignment="1" applyProtection="1">
      <alignment horizontal="left" vertical="center" wrapText="1"/>
    </xf>
    <xf numFmtId="178" fontId="12" fillId="17" borderId="67" xfId="5" applyNumberFormat="1" applyFont="1" applyFill="1" applyBorder="1" applyAlignment="1" applyProtection="1">
      <alignment horizontal="right" vertical="center" indent="1"/>
    </xf>
    <xf numFmtId="0" fontId="12" fillId="0" borderId="170" xfId="0" applyFont="1" applyFill="1" applyBorder="1" applyAlignment="1" applyProtection="1">
      <alignment horizontal="left" vertical="center" wrapText="1"/>
    </xf>
    <xf numFmtId="178" fontId="16" fillId="17" borderId="171" xfId="5" applyNumberFormat="1" applyFont="1" applyFill="1" applyBorder="1" applyAlignment="1" applyProtection="1">
      <alignment horizontal="right" vertical="center" indent="1"/>
    </xf>
    <xf numFmtId="178" fontId="16" fillId="23" borderId="171" xfId="5" applyNumberFormat="1" applyFont="1" applyFill="1" applyBorder="1" applyAlignment="1" applyProtection="1">
      <alignment horizontal="right" vertical="center" indent="1"/>
    </xf>
    <xf numFmtId="9" fontId="16" fillId="6" borderId="148" xfId="3" applyNumberFormat="1" applyFont="1" applyFill="1" applyBorder="1" applyAlignment="1" applyProtection="1">
      <alignment vertical="center"/>
    </xf>
    <xf numFmtId="0" fontId="35" fillId="0" borderId="63" xfId="0" applyFont="1" applyFill="1" applyBorder="1" applyAlignment="1" applyProtection="1">
      <alignment horizontal="left" vertical="center" wrapText="1"/>
    </xf>
    <xf numFmtId="178" fontId="75" fillId="17" borderId="63" xfId="5" applyNumberFormat="1" applyFont="1" applyFill="1" applyBorder="1" applyAlignment="1" applyProtection="1">
      <alignment horizontal="right" vertical="center" indent="1"/>
    </xf>
    <xf numFmtId="178" fontId="75" fillId="23" borderId="63" xfId="5" applyNumberFormat="1" applyFont="1" applyFill="1" applyBorder="1" applyAlignment="1" applyProtection="1">
      <alignment horizontal="right" vertical="center" indent="1"/>
    </xf>
    <xf numFmtId="9" fontId="16" fillId="6" borderId="0" xfId="3" applyNumberFormat="1" applyFont="1" applyFill="1" applyBorder="1" applyAlignment="1" applyProtection="1">
      <alignment vertical="center"/>
    </xf>
    <xf numFmtId="0" fontId="8" fillId="20" borderId="0" xfId="0" applyFont="1" applyFill="1" applyBorder="1" applyAlignment="1" applyProtection="1">
      <alignment horizontal="right" vertical="top"/>
    </xf>
    <xf numFmtId="0" fontId="8" fillId="20" borderId="0" xfId="0" applyFont="1" applyFill="1" applyBorder="1" applyAlignment="1" applyProtection="1">
      <alignment vertical="top"/>
    </xf>
    <xf numFmtId="0" fontId="12" fillId="6" borderId="63" xfId="0" applyFont="1" applyFill="1" applyBorder="1" applyAlignment="1" applyProtection="1">
      <alignment horizontal="left" vertical="center" wrapText="1"/>
    </xf>
    <xf numFmtId="168" fontId="37" fillId="9" borderId="63" xfId="5" applyNumberFormat="1" applyFont="1" applyFill="1" applyBorder="1" applyAlignment="1" applyProtection="1">
      <alignment horizontal="right" vertical="center" indent="1"/>
      <protection locked="0"/>
    </xf>
    <xf numFmtId="168" fontId="37" fillId="23" borderId="63" xfId="5" applyNumberFormat="1" applyFont="1" applyFill="1" applyBorder="1" applyAlignment="1" applyProtection="1">
      <alignment horizontal="right" vertical="center" indent="1"/>
    </xf>
    <xf numFmtId="0" fontId="0" fillId="6" borderId="0" xfId="0" applyFont="1" applyFill="1" applyAlignment="1" applyProtection="1">
      <alignment horizontal="center" vertical="center"/>
    </xf>
    <xf numFmtId="0" fontId="12" fillId="6" borderId="160" xfId="0" applyFont="1" applyFill="1" applyBorder="1" applyAlignment="1" applyProtection="1">
      <alignment horizontal="left" vertical="center" wrapText="1"/>
    </xf>
    <xf numFmtId="178" fontId="37" fillId="17" borderId="160" xfId="5" applyNumberFormat="1" applyFont="1" applyFill="1" applyBorder="1" applyAlignment="1" applyProtection="1">
      <alignment horizontal="right" vertical="center" indent="1"/>
    </xf>
    <xf numFmtId="178" fontId="37" fillId="23" borderId="67" xfId="5" applyNumberFormat="1" applyFont="1" applyFill="1" applyBorder="1" applyAlignment="1" applyProtection="1">
      <alignment horizontal="right" vertical="center" indent="1"/>
    </xf>
    <xf numFmtId="0" fontId="48" fillId="12" borderId="172" xfId="0" applyFont="1" applyFill="1" applyBorder="1" applyAlignment="1" applyProtection="1">
      <alignment horizontal="left" vertical="center" wrapText="1"/>
    </xf>
    <xf numFmtId="178" fontId="52" fillId="12" borderId="173" xfId="5" applyNumberFormat="1" applyFont="1" applyFill="1" applyBorder="1" applyAlignment="1" applyProtection="1">
      <alignment horizontal="right" vertical="center" indent="1"/>
    </xf>
    <xf numFmtId="178" fontId="61" fillId="23" borderId="67" xfId="5" applyNumberFormat="1" applyFont="1" applyFill="1" applyBorder="1" applyAlignment="1" applyProtection="1">
      <alignment horizontal="right" vertical="center" indent="1"/>
    </xf>
    <xf numFmtId="178" fontId="37" fillId="17" borderId="63" xfId="5" applyNumberFormat="1" applyFont="1" applyFill="1" applyBorder="1" applyAlignment="1" applyProtection="1">
      <alignment horizontal="right" vertical="center" indent="1"/>
    </xf>
    <xf numFmtId="178" fontId="49" fillId="23" borderId="67" xfId="5" applyNumberFormat="1" applyFont="1" applyFill="1" applyBorder="1" applyAlignment="1" applyProtection="1">
      <alignment horizontal="right" vertical="center" indent="1"/>
    </xf>
    <xf numFmtId="0" fontId="20" fillId="0" borderId="0" xfId="0" applyFont="1" applyFill="1" applyBorder="1" applyAlignment="1" applyProtection="1">
      <alignment horizontal="left" vertical="center"/>
    </xf>
    <xf numFmtId="178" fontId="20" fillId="0" borderId="0" xfId="0" applyNumberFormat="1" applyFont="1" applyFill="1" applyBorder="1" applyAlignment="1" applyProtection="1">
      <alignment horizontal="right" vertical="top" indent="1"/>
    </xf>
    <xf numFmtId="9" fontId="20" fillId="0" borderId="0" xfId="3" applyNumberFormat="1" applyFont="1" applyFill="1" applyBorder="1" applyAlignment="1" applyProtection="1">
      <alignment vertical="center"/>
    </xf>
    <xf numFmtId="0" fontId="37" fillId="0" borderId="0" xfId="0" applyFont="1" applyFill="1" applyBorder="1" applyAlignment="1" applyProtection="1">
      <alignment horizontal="left" wrapText="1"/>
    </xf>
    <xf numFmtId="178" fontId="37" fillId="0" borderId="0" xfId="5" applyNumberFormat="1" applyFont="1" applyFill="1" applyBorder="1" applyAlignment="1" applyProtection="1">
      <alignment horizontal="right" vertical="top" indent="1"/>
    </xf>
    <xf numFmtId="9" fontId="61" fillId="0" borderId="0" xfId="3" applyNumberFormat="1" applyFont="1" applyFill="1" applyBorder="1" applyAlignment="1" applyProtection="1"/>
    <xf numFmtId="9" fontId="5" fillId="0" borderId="0" xfId="3" applyNumberFormat="1" applyFont="1" applyFill="1" applyBorder="1" applyAlignment="1" applyProtection="1">
      <alignment vertical="center"/>
    </xf>
    <xf numFmtId="0" fontId="1" fillId="0" borderId="175" xfId="0" applyFont="1" applyBorder="1" applyAlignment="1" applyProtection="1">
      <alignment vertical="center"/>
    </xf>
    <xf numFmtId="0" fontId="1" fillId="0" borderId="176" xfId="0" applyFont="1" applyBorder="1" applyAlignment="1" applyProtection="1">
      <alignment vertical="center"/>
    </xf>
    <xf numFmtId="178" fontId="37" fillId="17" borderId="0" xfId="5" applyNumberFormat="1" applyFont="1" applyFill="1" applyBorder="1" applyAlignment="1" applyProtection="1">
      <alignment horizontal="right" vertical="center" indent="1"/>
    </xf>
    <xf numFmtId="0" fontId="0" fillId="6" borderId="0" xfId="0" applyFont="1" applyFill="1" applyBorder="1" applyAlignment="1" applyProtection="1">
      <alignment horizontal="left" vertical="top"/>
    </xf>
    <xf numFmtId="0" fontId="0" fillId="6" borderId="0" xfId="0" applyFont="1" applyFill="1" applyBorder="1" applyAlignment="1" applyProtection="1">
      <alignment horizontal="left" vertical="top" wrapText="1"/>
    </xf>
    <xf numFmtId="0" fontId="0" fillId="0" borderId="175" xfId="0" applyFont="1" applyBorder="1" applyAlignment="1" applyProtection="1">
      <alignment vertical="center"/>
    </xf>
    <xf numFmtId="0" fontId="0" fillId="0" borderId="176" xfId="0" applyFont="1" applyBorder="1" applyAlignment="1" applyProtection="1">
      <alignment vertical="center"/>
    </xf>
    <xf numFmtId="0" fontId="76" fillId="0" borderId="0" xfId="0" applyFont="1" applyBorder="1" applyAlignment="1" applyProtection="1">
      <alignment horizontal="left" vertical="top"/>
    </xf>
    <xf numFmtId="179" fontId="76" fillId="17" borderId="0" xfId="5" applyNumberFormat="1" applyFont="1" applyFill="1" applyBorder="1" applyAlignment="1" applyProtection="1">
      <alignment horizontal="right" vertical="top" indent="1"/>
    </xf>
    <xf numFmtId="179" fontId="76" fillId="23" borderId="0" xfId="5" applyNumberFormat="1" applyFont="1" applyFill="1" applyBorder="1" applyAlignment="1" applyProtection="1">
      <alignment horizontal="right" vertical="top" indent="1"/>
    </xf>
    <xf numFmtId="0" fontId="1" fillId="0" borderId="177" xfId="0" applyFont="1" applyBorder="1" applyAlignment="1" applyProtection="1">
      <alignment vertical="top"/>
    </xf>
    <xf numFmtId="0" fontId="1" fillId="0" borderId="178" xfId="0" applyFont="1" applyBorder="1" applyAlignment="1" applyProtection="1">
      <alignment vertical="top"/>
    </xf>
    <xf numFmtId="0" fontId="1" fillId="0" borderId="179" xfId="0" applyFont="1" applyBorder="1" applyAlignment="1" applyProtection="1">
      <alignment vertical="top"/>
    </xf>
    <xf numFmtId="0" fontId="4" fillId="0" borderId="0" xfId="0" applyFont="1" applyAlignment="1" applyProtection="1">
      <alignment horizontal="right" vertical="top"/>
    </xf>
    <xf numFmtId="0" fontId="8" fillId="20" borderId="180" xfId="0" applyFont="1" applyFill="1" applyBorder="1" applyAlignment="1" applyProtection="1">
      <alignment horizontal="left" vertical="center"/>
    </xf>
    <xf numFmtId="178" fontId="8" fillId="20" borderId="181" xfId="5" applyNumberFormat="1" applyFont="1" applyFill="1" applyBorder="1" applyAlignment="1" applyProtection="1">
      <alignment horizontal="right" vertical="center" indent="1"/>
    </xf>
    <xf numFmtId="178" fontId="8" fillId="20" borderId="182" xfId="5" applyNumberFormat="1" applyFont="1" applyFill="1" applyBorder="1" applyAlignment="1" applyProtection="1">
      <alignment horizontal="right" vertical="center" indent="1"/>
    </xf>
    <xf numFmtId="0" fontId="10" fillId="0" borderId="0" xfId="0" applyFont="1" applyAlignment="1" applyProtection="1">
      <alignment horizontal="right" vertical="center"/>
    </xf>
    <xf numFmtId="0" fontId="9" fillId="0" borderId="0" xfId="0" applyFont="1" applyAlignment="1" applyProtection="1">
      <alignment horizontal="right" vertical="center"/>
    </xf>
    <xf numFmtId="0" fontId="6" fillId="0" borderId="0" xfId="0" applyFont="1" applyAlignment="1" applyProtection="1">
      <alignment horizontal="right"/>
    </xf>
    <xf numFmtId="0" fontId="12" fillId="6" borderId="0" xfId="0" applyFont="1" applyFill="1" applyBorder="1" applyAlignment="1" applyProtection="1">
      <alignment horizontal="left" wrapText="1"/>
    </xf>
    <xf numFmtId="178" fontId="12" fillId="17" borderId="0" xfId="5" applyNumberFormat="1" applyFont="1" applyFill="1" applyBorder="1" applyAlignment="1" applyProtection="1">
      <alignment horizontal="right" indent="1"/>
    </xf>
    <xf numFmtId="178" fontId="12" fillId="23" borderId="0" xfId="5" applyNumberFormat="1" applyFont="1" applyFill="1" applyBorder="1" applyAlignment="1" applyProtection="1">
      <alignment horizontal="right" vertical="top" indent="1"/>
    </xf>
    <xf numFmtId="9" fontId="16" fillId="6" borderId="0" xfId="3" applyNumberFormat="1" applyFont="1" applyFill="1" applyBorder="1" applyAlignment="1" applyProtection="1"/>
    <xf numFmtId="0" fontId="6" fillId="0" borderId="0" xfId="0" applyFont="1" applyAlignment="1" applyProtection="1">
      <alignment horizontal="right" vertical="top"/>
    </xf>
    <xf numFmtId="0" fontId="0" fillId="6" borderId="63" xfId="0" applyFont="1" applyFill="1" applyBorder="1" applyAlignment="1" applyProtection="1">
      <alignment horizontal="left" vertical="top"/>
    </xf>
    <xf numFmtId="178" fontId="37" fillId="23" borderId="63" xfId="5" applyNumberFormat="1" applyFont="1" applyFill="1" applyBorder="1" applyAlignment="1" applyProtection="1">
      <alignment horizontal="right" vertical="top" indent="1"/>
    </xf>
    <xf numFmtId="178" fontId="1" fillId="17" borderId="0" xfId="5" applyNumberFormat="1" applyFont="1" applyFill="1" applyBorder="1" applyAlignment="1" applyProtection="1">
      <alignment horizontal="right" vertical="top" indent="1"/>
    </xf>
    <xf numFmtId="178" fontId="1" fillId="23" borderId="0" xfId="5" applyNumberFormat="1" applyFont="1" applyFill="1" applyBorder="1" applyAlignment="1" applyProtection="1">
      <alignment horizontal="right" vertical="top" indent="1"/>
    </xf>
    <xf numFmtId="9" fontId="15" fillId="6" borderId="0" xfId="3" applyNumberFormat="1" applyFont="1" applyFill="1" applyBorder="1" applyAlignment="1" applyProtection="1">
      <alignment vertical="top"/>
    </xf>
    <xf numFmtId="0" fontId="37" fillId="0" borderId="0" xfId="0" applyFont="1" applyFill="1" applyBorder="1" applyAlignment="1" applyProtection="1">
      <alignment horizontal="left" vertical="top"/>
    </xf>
    <xf numFmtId="178" fontId="12" fillId="17" borderId="0" xfId="5" applyNumberFormat="1" applyFont="1" applyFill="1" applyBorder="1" applyAlignment="1" applyProtection="1">
      <alignment horizontal="right" vertical="top" indent="1"/>
    </xf>
    <xf numFmtId="9" fontId="16" fillId="6" borderId="0" xfId="3" applyNumberFormat="1" applyFont="1" applyFill="1" applyBorder="1" applyAlignment="1" applyProtection="1">
      <alignment vertical="top"/>
    </xf>
    <xf numFmtId="0" fontId="37" fillId="0" borderId="0" xfId="0" applyFont="1" applyAlignment="1" applyProtection="1">
      <alignment horizontal="left" vertical="top"/>
    </xf>
    <xf numFmtId="0" fontId="12" fillId="6" borderId="0" xfId="0" applyFont="1" applyFill="1" applyAlignment="1" applyProtection="1">
      <alignment horizontal="left" vertical="top" wrapText="1"/>
    </xf>
    <xf numFmtId="0" fontId="0" fillId="0" borderId="0" xfId="0" applyFont="1" applyAlignment="1" applyProtection="1">
      <alignment horizontal="right" vertical="top"/>
    </xf>
    <xf numFmtId="0" fontId="0" fillId="0" borderId="0" xfId="0" applyFont="1" applyAlignment="1" applyProtection="1">
      <alignment horizontal="left" vertical="top"/>
    </xf>
    <xf numFmtId="0" fontId="0" fillId="0" borderId="0" xfId="0" applyFont="1" applyFill="1" applyAlignment="1" applyProtection="1">
      <alignment horizontal="right" vertical="top" indent="1"/>
    </xf>
    <xf numFmtId="0" fontId="0" fillId="0" borderId="0" xfId="0" applyFont="1" applyAlignment="1" applyProtection="1">
      <alignment horizontal="right"/>
    </xf>
    <xf numFmtId="170" fontId="77" fillId="20" borderId="0" xfId="5" applyNumberFormat="1" applyFont="1" applyFill="1" applyBorder="1" applyAlignment="1" applyProtection="1">
      <alignment horizontal="right" indent="1"/>
    </xf>
    <xf numFmtId="0" fontId="11" fillId="28" borderId="0" xfId="0" applyFont="1" applyFill="1" applyBorder="1" applyAlignment="1" applyProtection="1">
      <alignment horizontal="left" vertical="top" wrapText="1"/>
    </xf>
    <xf numFmtId="178" fontId="78" fillId="28" borderId="0" xfId="5" applyNumberFormat="1" applyFont="1" applyFill="1" applyBorder="1" applyAlignment="1" applyProtection="1">
      <alignment horizontal="right" vertical="center" wrapText="1" indent="1"/>
    </xf>
    <xf numFmtId="9" fontId="2" fillId="0" borderId="0" xfId="3" applyNumberFormat="1" applyFont="1" applyFill="1" applyBorder="1" applyAlignment="1" applyProtection="1">
      <alignment vertical="center"/>
    </xf>
    <xf numFmtId="1" fontId="6" fillId="0" borderId="0" xfId="0" applyNumberFormat="1" applyFont="1" applyAlignment="1" applyProtection="1">
      <alignment horizontal="right" vertical="center"/>
    </xf>
    <xf numFmtId="0" fontId="37" fillId="6" borderId="63" xfId="0" applyFont="1" applyFill="1" applyBorder="1" applyAlignment="1" applyProtection="1">
      <alignment horizontal="left" vertical="top" wrapText="1"/>
    </xf>
    <xf numFmtId="178" fontId="37" fillId="17" borderId="63" xfId="5" applyNumberFormat="1" applyFont="1" applyFill="1" applyBorder="1" applyAlignment="1" applyProtection="1">
      <alignment horizontal="right" vertical="center" wrapText="1" indent="1"/>
    </xf>
    <xf numFmtId="178" fontId="37" fillId="23" borderId="63" xfId="5" applyNumberFormat="1" applyFont="1" applyFill="1" applyBorder="1" applyAlignment="1" applyProtection="1">
      <alignment horizontal="right" vertical="center" wrapText="1" indent="1"/>
    </xf>
    <xf numFmtId="0" fontId="8" fillId="13" borderId="0" xfId="0" applyFont="1" applyFill="1" applyBorder="1" applyAlignment="1" applyProtection="1">
      <alignment vertical="center"/>
    </xf>
    <xf numFmtId="0" fontId="6" fillId="0" borderId="0" xfId="0" applyFont="1" applyBorder="1" applyAlignment="1" applyProtection="1">
      <alignment horizontal="right" vertical="top"/>
    </xf>
    <xf numFmtId="180" fontId="12" fillId="6" borderId="0" xfId="0" applyNumberFormat="1" applyFont="1" applyFill="1" applyBorder="1" applyAlignment="1" applyProtection="1">
      <alignment horizontal="left" vertical="top"/>
    </xf>
    <xf numFmtId="180" fontId="1" fillId="6" borderId="0" xfId="0" applyNumberFormat="1" applyFont="1" applyFill="1" applyBorder="1" applyAlignment="1" applyProtection="1">
      <alignment horizontal="left" vertical="top"/>
    </xf>
    <xf numFmtId="9" fontId="1" fillId="17" borderId="0" xfId="3" applyFont="1" applyFill="1" applyBorder="1" applyAlignment="1" applyProtection="1">
      <alignment horizontal="right" vertical="top" indent="1"/>
    </xf>
    <xf numFmtId="9" fontId="1" fillId="23" borderId="0" xfId="3" applyFont="1" applyFill="1" applyBorder="1" applyAlignment="1" applyProtection="1">
      <alignment horizontal="right" vertical="top" indent="1"/>
    </xf>
    <xf numFmtId="9" fontId="15" fillId="6" borderId="0" xfId="3" applyNumberFormat="1" applyFont="1" applyFill="1" applyBorder="1" applyAlignment="1" applyProtection="1"/>
    <xf numFmtId="0" fontId="0" fillId="0" borderId="0" xfId="0" applyFont="1" applyFill="1" applyBorder="1" applyAlignment="1" applyProtection="1">
      <alignment horizontal="center" vertical="top"/>
    </xf>
    <xf numFmtId="0" fontId="79" fillId="0" borderId="0" xfId="0" applyFont="1" applyFill="1" applyBorder="1" applyAlignment="1" applyProtection="1">
      <alignment horizontal="center" vertical="top"/>
    </xf>
    <xf numFmtId="0" fontId="0" fillId="0" borderId="0" xfId="0" applyFont="1" applyAlignment="1" applyProtection="1">
      <alignment horizontal="center" vertical="center"/>
    </xf>
    <xf numFmtId="0" fontId="0" fillId="0" borderId="0" xfId="0" applyFont="1" applyFill="1" applyAlignment="1" applyProtection="1">
      <alignment horizontal="center" vertical="center"/>
    </xf>
    <xf numFmtId="0" fontId="0" fillId="0" borderId="0" xfId="0" applyFont="1" applyFill="1" applyBorder="1" applyAlignment="1" applyProtection="1">
      <alignment horizontal="center" vertical="center"/>
    </xf>
    <xf numFmtId="180" fontId="12" fillId="0" borderId="0" xfId="0" applyNumberFormat="1" applyFont="1" applyBorder="1" applyAlignment="1" applyProtection="1">
      <alignment horizontal="left" vertical="top"/>
    </xf>
    <xf numFmtId="178" fontId="12" fillId="0" borderId="0" xfId="5" applyNumberFormat="1" applyFont="1" applyFill="1" applyBorder="1" applyAlignment="1" applyProtection="1">
      <alignment horizontal="right" vertical="top" indent="1"/>
    </xf>
    <xf numFmtId="0" fontId="1" fillId="0" borderId="0" xfId="0" applyFont="1" applyFill="1" applyBorder="1" applyAlignment="1" applyProtection="1">
      <alignment horizontal="center" vertical="top"/>
    </xf>
    <xf numFmtId="0" fontId="80" fillId="0" borderId="0" xfId="0" applyFont="1" applyFill="1" applyBorder="1" applyAlignment="1" applyProtection="1">
      <alignment horizontal="center" vertical="center"/>
    </xf>
    <xf numFmtId="9" fontId="59" fillId="0" borderId="0" xfId="3" applyNumberFormat="1" applyFont="1" applyFill="1" applyBorder="1" applyAlignment="1" applyProtection="1">
      <alignment vertical="top"/>
    </xf>
    <xf numFmtId="0" fontId="8" fillId="0" borderId="0" xfId="0" applyFont="1" applyFill="1" applyBorder="1" applyAlignment="1" applyProtection="1">
      <alignment vertical="top"/>
    </xf>
    <xf numFmtId="181" fontId="0" fillId="0" borderId="0" xfId="0" applyNumberFormat="1" applyFont="1" applyAlignment="1" applyProtection="1">
      <alignment horizontal="center" vertical="top"/>
    </xf>
    <xf numFmtId="9" fontId="61" fillId="0" borderId="0" xfId="3" applyNumberFormat="1" applyFont="1" applyFill="1" applyBorder="1" applyAlignment="1" applyProtection="1">
      <alignment vertical="center"/>
    </xf>
    <xf numFmtId="178" fontId="0" fillId="0" borderId="0" xfId="0" applyNumberFormat="1" applyFont="1" applyAlignment="1" applyProtection="1">
      <alignment horizontal="center" vertical="top"/>
    </xf>
    <xf numFmtId="178" fontId="0" fillId="0" borderId="0" xfId="0" applyNumberFormat="1" applyFont="1" applyAlignment="1" applyProtection="1">
      <alignment vertical="top"/>
    </xf>
    <xf numFmtId="14" fontId="23" fillId="0" borderId="0" xfId="0" applyNumberFormat="1" applyFont="1" applyAlignment="1" applyProtection="1">
      <alignment horizontal="right" vertical="center"/>
    </xf>
    <xf numFmtId="0" fontId="35" fillId="17" borderId="0" xfId="0" applyFont="1" applyFill="1" applyBorder="1" applyAlignment="1" applyProtection="1">
      <alignment horizontal="center" wrapText="1"/>
    </xf>
    <xf numFmtId="0" fontId="27" fillId="13" borderId="0" xfId="0" applyFont="1" applyFill="1" applyBorder="1" applyAlignment="1" applyProtection="1">
      <alignment horizontal="center" vertical="center"/>
    </xf>
    <xf numFmtId="0" fontId="57" fillId="0" borderId="0" xfId="0" applyFont="1" applyFill="1" applyBorder="1" applyAlignment="1" applyProtection="1">
      <alignment horizontal="left" vertical="center" indent="1"/>
    </xf>
    <xf numFmtId="0" fontId="1" fillId="0" borderId="0" xfId="0" applyFont="1" applyFill="1" applyBorder="1" applyAlignment="1" applyProtection="1">
      <alignment horizontal="left" vertical="center" indent="1"/>
    </xf>
    <xf numFmtId="0" fontId="80" fillId="0" borderId="0" xfId="0" applyFont="1" applyAlignment="1" applyProtection="1">
      <alignment horizontal="right" vertical="top"/>
    </xf>
    <xf numFmtId="0" fontId="35" fillId="17" borderId="0" xfId="0" applyFont="1" applyFill="1" applyBorder="1" applyAlignment="1" applyProtection="1">
      <alignment horizontal="center" vertical="top" wrapText="1"/>
    </xf>
    <xf numFmtId="0" fontId="59" fillId="9" borderId="0" xfId="0" applyFont="1" applyFill="1" applyBorder="1" applyAlignment="1" applyProtection="1">
      <alignment horizontal="center" vertical="center" wrapText="1"/>
      <protection locked="0"/>
    </xf>
    <xf numFmtId="0" fontId="22" fillId="0" borderId="0" xfId="0" applyFont="1" applyBorder="1" applyAlignment="1" applyProtection="1">
      <alignment horizontal="right" vertical="center"/>
    </xf>
    <xf numFmtId="0" fontId="81" fillId="0" borderId="0" xfId="0" applyFont="1" applyFill="1" applyBorder="1" applyAlignment="1" applyProtection="1">
      <alignment horizontal="left"/>
    </xf>
    <xf numFmtId="2" fontId="12" fillId="17" borderId="0" xfId="0" applyNumberFormat="1" applyFont="1" applyFill="1" applyBorder="1" applyAlignment="1" applyProtection="1">
      <alignment horizontal="center" wrapText="1"/>
    </xf>
    <xf numFmtId="0" fontId="27" fillId="25" borderId="0" xfId="0" applyFont="1" applyFill="1" applyBorder="1" applyAlignment="1" applyProtection="1">
      <alignment horizontal="center" wrapText="1"/>
    </xf>
    <xf numFmtId="0" fontId="16" fillId="0" borderId="137" xfId="0" applyFont="1" applyFill="1" applyBorder="1" applyAlignment="1" applyProtection="1">
      <alignment horizontal="center" wrapText="1"/>
    </xf>
    <xf numFmtId="0" fontId="35" fillId="0" borderId="0" xfId="0" applyFont="1" applyAlignment="1" applyProtection="1">
      <alignment horizontal="right" vertical="center"/>
    </xf>
    <xf numFmtId="0" fontId="12" fillId="0" borderId="74" xfId="0" applyFont="1" applyBorder="1" applyAlignment="1" applyProtection="1">
      <alignment horizontal="center" vertical="center"/>
    </xf>
    <xf numFmtId="0" fontId="20" fillId="13" borderId="0" xfId="0" applyFont="1" applyFill="1" applyBorder="1" applyAlignment="1" applyProtection="1">
      <alignment horizontal="left" vertical="center"/>
    </xf>
    <xf numFmtId="178" fontId="20" fillId="13" borderId="0" xfId="5" applyNumberFormat="1" applyFont="1" applyFill="1" applyBorder="1" applyAlignment="1" applyProtection="1">
      <alignment horizontal="right" vertical="center" indent="1"/>
    </xf>
    <xf numFmtId="0" fontId="81" fillId="0" borderId="0" xfId="0" applyFont="1" applyFill="1" applyBorder="1" applyAlignment="1" applyProtection="1">
      <alignment horizontal="left" vertical="top"/>
    </xf>
    <xf numFmtId="1" fontId="12" fillId="17" borderId="0" xfId="0" applyNumberFormat="1" applyFont="1" applyFill="1" applyBorder="1" applyAlignment="1" applyProtection="1">
      <alignment horizontal="center" vertical="top" wrapText="1"/>
    </xf>
    <xf numFmtId="0" fontId="32" fillId="25" borderId="0" xfId="0" applyFont="1" applyFill="1" applyBorder="1" applyAlignment="1" applyProtection="1">
      <alignment horizontal="center" vertical="top" wrapText="1"/>
    </xf>
    <xf numFmtId="0" fontId="16" fillId="0" borderId="140" xfId="0" applyFont="1" applyFill="1" applyBorder="1" applyAlignment="1" applyProtection="1">
      <alignment horizontal="center" vertical="top" wrapText="1"/>
    </xf>
    <xf numFmtId="0" fontId="37" fillId="0" borderId="0" xfId="0" applyFont="1" applyFill="1" applyBorder="1" applyAlignment="1" applyProtection="1">
      <alignment horizontal="right" vertical="center" indent="1"/>
    </xf>
    <xf numFmtId="0" fontId="5" fillId="0" borderId="0" xfId="0" applyFont="1" applyFill="1" applyBorder="1" applyAlignment="1" applyProtection="1">
      <alignment horizontal="right" vertical="center"/>
    </xf>
    <xf numFmtId="182" fontId="0" fillId="9" borderId="74" xfId="3" applyNumberFormat="1" applyFont="1" applyFill="1" applyBorder="1" applyAlignment="1" applyProtection="1">
      <alignment horizontal="center"/>
      <protection locked="0"/>
    </xf>
    <xf numFmtId="182" fontId="0" fillId="0" borderId="0" xfId="3" applyNumberFormat="1" applyFont="1" applyFill="1" applyBorder="1" applyAlignment="1" applyProtection="1">
      <alignment horizontal="center"/>
    </xf>
    <xf numFmtId="0" fontId="20" fillId="2" borderId="0" xfId="0" applyFont="1" applyFill="1" applyBorder="1" applyAlignment="1" applyProtection="1">
      <alignment horizontal="left" vertical="center" indent="1"/>
    </xf>
    <xf numFmtId="183" fontId="20" fillId="2" borderId="0" xfId="0" applyNumberFormat="1" applyFont="1" applyFill="1" applyBorder="1" applyAlignment="1" applyProtection="1">
      <alignment horizontal="right" vertical="center" indent="1"/>
    </xf>
    <xf numFmtId="9" fontId="20" fillId="2" borderId="183" xfId="3" applyNumberFormat="1" applyFont="1" applyFill="1" applyBorder="1" applyAlignment="1" applyProtection="1">
      <alignment horizontal="right" vertical="center"/>
    </xf>
    <xf numFmtId="0" fontId="37" fillId="0" borderId="0" xfId="0" applyFont="1" applyBorder="1" applyAlignment="1" applyProtection="1">
      <alignment vertical="center"/>
    </xf>
    <xf numFmtId="0" fontId="37" fillId="0" borderId="0" xfId="0" applyFont="1" applyBorder="1" applyAlignment="1" applyProtection="1">
      <alignment horizontal="right" vertical="center" indent="1"/>
    </xf>
    <xf numFmtId="0" fontId="37" fillId="0" borderId="0" xfId="0" applyFont="1" applyAlignment="1" applyProtection="1">
      <alignment horizontal="right" vertical="center"/>
    </xf>
    <xf numFmtId="183" fontId="37" fillId="17" borderId="0" xfId="5" applyNumberFormat="1" applyFont="1" applyFill="1" applyBorder="1" applyAlignment="1" applyProtection="1">
      <alignment horizontal="right" vertical="center" indent="1"/>
    </xf>
    <xf numFmtId="183" fontId="81" fillId="23" borderId="0" xfId="5" applyNumberFormat="1" applyFont="1" applyFill="1" applyBorder="1" applyAlignment="1" applyProtection="1">
      <alignment horizontal="right" vertical="center" indent="1"/>
    </xf>
    <xf numFmtId="9" fontId="61" fillId="0" borderId="0" xfId="3" applyNumberFormat="1" applyFont="1" applyFill="1" applyBorder="1" applyAlignment="1" applyProtection="1">
      <alignment horizontal="right" vertical="center"/>
    </xf>
    <xf numFmtId="178" fontId="81" fillId="23" borderId="0" xfId="5" applyNumberFormat="1" applyFont="1" applyFill="1" applyBorder="1" applyAlignment="1" applyProtection="1">
      <alignment horizontal="right" vertical="center" indent="1"/>
    </xf>
    <xf numFmtId="0" fontId="0" fillId="0" borderId="0" xfId="0" applyFont="1" applyBorder="1" applyAlignment="1" applyProtection="1">
      <alignment horizontal="right" vertical="center" indent="1"/>
    </xf>
    <xf numFmtId="183" fontId="37" fillId="0" borderId="0" xfId="5" applyNumberFormat="1" applyFont="1" applyFill="1" applyBorder="1" applyAlignment="1" applyProtection="1">
      <alignment horizontal="right" vertical="center" indent="1"/>
    </xf>
    <xf numFmtId="9" fontId="37" fillId="0" borderId="0" xfId="3" applyFont="1" applyFill="1" applyBorder="1" applyAlignment="1" applyProtection="1">
      <alignment horizontal="right" vertical="center"/>
    </xf>
    <xf numFmtId="0" fontId="61" fillId="0" borderId="175" xfId="0" applyFont="1" applyFill="1" applyBorder="1" applyAlignment="1" applyProtection="1">
      <alignment horizontal="left" vertical="top" indent="1"/>
    </xf>
    <xf numFmtId="0" fontId="83" fillId="0" borderId="175" xfId="0" applyFont="1" applyFill="1" applyBorder="1" applyAlignment="1" applyProtection="1">
      <alignment horizontal="left" vertical="top" indent="1"/>
    </xf>
    <xf numFmtId="0" fontId="9" fillId="0" borderId="0" xfId="0" applyFont="1" applyAlignment="1" applyProtection="1"/>
    <xf numFmtId="0" fontId="18" fillId="0" borderId="175" xfId="0" applyFont="1" applyFill="1" applyBorder="1" applyAlignment="1" applyProtection="1">
      <alignment horizontal="left" indent="1"/>
    </xf>
    <xf numFmtId="0" fontId="9" fillId="0" borderId="0" xfId="0" applyFont="1" applyBorder="1" applyAlignment="1" applyProtection="1"/>
    <xf numFmtId="0" fontId="9" fillId="0" borderId="176" xfId="0" applyFont="1" applyBorder="1" applyAlignment="1" applyProtection="1"/>
    <xf numFmtId="0" fontId="18" fillId="0" borderId="175" xfId="0" applyFont="1" applyFill="1" applyBorder="1" applyAlignment="1" applyProtection="1">
      <alignment horizontal="left" vertical="top" indent="1"/>
    </xf>
    <xf numFmtId="0" fontId="1" fillId="0" borderId="0" xfId="0" applyFont="1" applyBorder="1" applyAlignment="1" applyProtection="1">
      <alignment vertical="top"/>
    </xf>
    <xf numFmtId="0" fontId="1" fillId="0" borderId="176" xfId="0" applyFont="1" applyBorder="1" applyAlignment="1" applyProtection="1">
      <alignment vertical="top"/>
    </xf>
    <xf numFmtId="182" fontId="1" fillId="0" borderId="0" xfId="0" applyNumberFormat="1" applyFont="1" applyAlignment="1" applyProtection="1">
      <alignment vertical="top"/>
    </xf>
    <xf numFmtId="179" fontId="47" fillId="0" borderId="0" xfId="5" applyNumberFormat="1" applyFont="1" applyFill="1" applyBorder="1" applyAlignment="1" applyProtection="1">
      <alignment horizontal="right" vertical="center" indent="1"/>
    </xf>
    <xf numFmtId="0" fontId="15" fillId="6" borderId="0" xfId="0" applyFont="1" applyFill="1" applyBorder="1" applyAlignment="1" applyProtection="1">
      <alignment horizontal="left" vertical="top"/>
    </xf>
    <xf numFmtId="179" fontId="15" fillId="0" borderId="0" xfId="5" applyNumberFormat="1" applyFont="1" applyFill="1" applyBorder="1" applyAlignment="1" applyProtection="1">
      <alignment horizontal="right" vertical="center" indent="1"/>
    </xf>
    <xf numFmtId="0" fontId="18" fillId="0" borderId="177" xfId="0" applyFont="1" applyFill="1" applyBorder="1" applyAlignment="1" applyProtection="1">
      <alignment horizontal="left" vertical="top" indent="1"/>
    </xf>
    <xf numFmtId="182" fontId="84" fillId="21" borderId="0" xfId="3" applyNumberFormat="1" applyFont="1" applyFill="1" applyBorder="1" applyAlignment="1" applyProtection="1">
      <alignment horizontal="center"/>
    </xf>
    <xf numFmtId="182" fontId="23" fillId="0" borderId="0" xfId="3" applyNumberFormat="1" applyFont="1" applyFill="1" applyBorder="1" applyAlignment="1" applyProtection="1">
      <alignment horizontal="center"/>
    </xf>
    <xf numFmtId="178" fontId="0" fillId="21" borderId="74" xfId="3" applyNumberFormat="1" applyFont="1" applyFill="1" applyBorder="1" applyAlignment="1" applyProtection="1">
      <alignment horizontal="center"/>
      <protection locked="0"/>
    </xf>
    <xf numFmtId="0" fontId="0" fillId="6" borderId="15" xfId="0" applyFont="1" applyFill="1" applyBorder="1" applyAlignment="1" applyProtection="1">
      <alignment horizontal="left" vertical="center"/>
    </xf>
    <xf numFmtId="178" fontId="37" fillId="17" borderId="15" xfId="5" applyNumberFormat="1" applyFont="1" applyFill="1" applyBorder="1" applyAlignment="1" applyProtection="1">
      <alignment horizontal="right" vertical="center" indent="1"/>
    </xf>
    <xf numFmtId="178" fontId="37" fillId="23" borderId="15" xfId="5" applyNumberFormat="1" applyFont="1" applyFill="1" applyBorder="1" applyAlignment="1" applyProtection="1">
      <alignment horizontal="right" vertical="center" indent="1"/>
    </xf>
    <xf numFmtId="0" fontId="0" fillId="6" borderId="13" xfId="0" applyFont="1" applyFill="1" applyBorder="1" applyAlignment="1" applyProtection="1">
      <alignment horizontal="right" vertical="center"/>
    </xf>
    <xf numFmtId="178" fontId="23" fillId="17" borderId="13" xfId="5" applyNumberFormat="1" applyFont="1" applyFill="1" applyBorder="1" applyAlignment="1" applyProtection="1">
      <alignment horizontal="right" vertical="center" indent="1"/>
    </xf>
    <xf numFmtId="178" fontId="23" fillId="23" borderId="13" xfId="5" applyNumberFormat="1" applyFont="1" applyFill="1" applyBorder="1" applyAlignment="1" applyProtection="1">
      <alignment horizontal="right" vertical="center" indent="1"/>
    </xf>
    <xf numFmtId="178" fontId="37" fillId="23" borderId="0" xfId="5" applyNumberFormat="1" applyFont="1" applyFill="1" applyBorder="1" applyAlignment="1" applyProtection="1">
      <alignment horizontal="right" indent="1"/>
    </xf>
    <xf numFmtId="9" fontId="61" fillId="6" borderId="0" xfId="3" applyNumberFormat="1" applyFont="1" applyFill="1" applyBorder="1" applyAlignment="1" applyProtection="1">
      <alignment horizontal="right"/>
    </xf>
    <xf numFmtId="178" fontId="0" fillId="17" borderId="0" xfId="5" applyNumberFormat="1" applyFont="1" applyFill="1" applyBorder="1" applyAlignment="1" applyProtection="1">
      <alignment horizontal="right" vertical="top" indent="1"/>
    </xf>
    <xf numFmtId="178" fontId="0" fillId="23" borderId="0" xfId="5" applyNumberFormat="1" applyFont="1" applyFill="1" applyBorder="1" applyAlignment="1" applyProtection="1">
      <alignment horizontal="right" vertical="top" indent="1"/>
    </xf>
    <xf numFmtId="9" fontId="61" fillId="6" borderId="0" xfId="3" applyNumberFormat="1" applyFont="1" applyFill="1" applyBorder="1" applyAlignment="1" applyProtection="1">
      <alignment horizontal="right" vertical="top"/>
    </xf>
    <xf numFmtId="182" fontId="0" fillId="0" borderId="75" xfId="3" applyNumberFormat="1" applyFont="1" applyFill="1" applyBorder="1" applyAlignment="1" applyProtection="1">
      <alignment horizontal="center"/>
    </xf>
    <xf numFmtId="0" fontId="0" fillId="6" borderId="63" xfId="0" applyFont="1" applyFill="1" applyBorder="1" applyAlignment="1" applyProtection="1">
      <alignment horizontal="left" vertical="center"/>
    </xf>
    <xf numFmtId="178" fontId="37" fillId="23" borderId="63" xfId="5" applyNumberFormat="1" applyFont="1" applyFill="1" applyBorder="1" applyAlignment="1" applyProtection="1">
      <alignment horizontal="right" vertical="center" indent="1"/>
    </xf>
    <xf numFmtId="0" fontId="0" fillId="0" borderId="0" xfId="0" applyFont="1" applyFill="1" applyBorder="1" applyAlignment="1" applyProtection="1">
      <alignment horizontal="left" vertical="center"/>
    </xf>
    <xf numFmtId="178" fontId="0" fillId="0" borderId="0" xfId="0" applyNumberFormat="1" applyFont="1" applyFill="1" applyBorder="1" applyAlignment="1" applyProtection="1">
      <alignment horizontal="center" vertical="center"/>
    </xf>
    <xf numFmtId="178" fontId="37" fillId="0" borderId="0" xfId="5" applyNumberFormat="1" applyFont="1" applyFill="1" applyBorder="1" applyAlignment="1" applyProtection="1">
      <alignment horizontal="center" vertical="center"/>
    </xf>
    <xf numFmtId="0" fontId="23" fillId="0" borderId="0" xfId="0" applyFont="1" applyAlignment="1" applyProtection="1">
      <alignment horizontal="right" vertical="top"/>
    </xf>
    <xf numFmtId="170" fontId="85" fillId="20" borderId="0" xfId="5" applyNumberFormat="1" applyFont="1" applyFill="1" applyBorder="1" applyAlignment="1" applyProtection="1">
      <alignment horizontal="right" indent="1"/>
    </xf>
    <xf numFmtId="0" fontId="9" fillId="0" borderId="0" xfId="0" applyFont="1" applyFill="1" applyAlignment="1" applyProtection="1"/>
    <xf numFmtId="0" fontId="86" fillId="16" borderId="172" xfId="0" applyFont="1" applyFill="1" applyBorder="1" applyAlignment="1" applyProtection="1">
      <alignment horizontal="left" vertical="top" wrapText="1"/>
    </xf>
    <xf numFmtId="178" fontId="19" fillId="16" borderId="184" xfId="5" applyNumberFormat="1" applyFont="1" applyFill="1" applyBorder="1" applyAlignment="1" applyProtection="1">
      <alignment horizontal="right" vertical="center" wrapText="1" indent="1"/>
    </xf>
    <xf numFmtId="178" fontId="19" fillId="16" borderId="185" xfId="5" applyNumberFormat="1" applyFont="1" applyFill="1" applyBorder="1" applyAlignment="1" applyProtection="1">
      <alignment horizontal="right" vertical="center" wrapText="1" indent="1"/>
    </xf>
    <xf numFmtId="9" fontId="61" fillId="6" borderId="0" xfId="3" applyNumberFormat="1" applyFont="1" applyFill="1" applyBorder="1" applyAlignment="1" applyProtection="1">
      <alignment horizontal="right" vertical="center"/>
    </xf>
    <xf numFmtId="0" fontId="60" fillId="0" borderId="0" xfId="0" applyFont="1" applyFill="1" applyBorder="1" applyAlignment="1" applyProtection="1">
      <alignment horizontal="left" vertical="center"/>
    </xf>
    <xf numFmtId="170" fontId="85" fillId="0" borderId="0" xfId="5" applyNumberFormat="1" applyFont="1" applyFill="1" applyBorder="1" applyAlignment="1" applyProtection="1">
      <alignment horizontal="right" indent="1"/>
    </xf>
    <xf numFmtId="0" fontId="87" fillId="0" borderId="0" xfId="0" applyFont="1" applyFill="1" applyBorder="1" applyAlignment="1" applyProtection="1">
      <alignment horizontal="left" vertical="top" wrapText="1"/>
    </xf>
    <xf numFmtId="178" fontId="19" fillId="0" borderId="0" xfId="5" applyNumberFormat="1" applyFont="1" applyFill="1" applyBorder="1" applyAlignment="1" applyProtection="1">
      <alignment horizontal="right" vertical="center" wrapText="1" indent="1"/>
    </xf>
    <xf numFmtId="0" fontId="88" fillId="0" borderId="0" xfId="0" applyFont="1" applyBorder="1" applyAlignment="1" applyProtection="1">
      <alignment vertical="center"/>
    </xf>
    <xf numFmtId="0" fontId="35" fillId="0" borderId="0" xfId="0" applyFont="1" applyBorder="1" applyAlignment="1" applyProtection="1">
      <alignment vertical="center"/>
    </xf>
    <xf numFmtId="0" fontId="23" fillId="0" borderId="0" xfId="0" applyFont="1" applyBorder="1" applyAlignment="1" applyProtection="1">
      <alignment horizontal="right" vertical="center"/>
    </xf>
    <xf numFmtId="184" fontId="0" fillId="9" borderId="74" xfId="3" applyNumberFormat="1" applyFont="1" applyFill="1" applyBorder="1" applyAlignment="1" applyProtection="1">
      <alignment horizontal="center"/>
      <protection locked="0"/>
    </xf>
    <xf numFmtId="0" fontId="0" fillId="0" borderId="0" xfId="0" applyFont="1" applyBorder="1" applyAlignment="1" applyProtection="1">
      <alignment horizontal="left" vertical="top" wrapText="1"/>
    </xf>
    <xf numFmtId="0" fontId="0" fillId="0" borderId="0" xfId="0" applyFont="1" applyFill="1" applyBorder="1" applyAlignment="1" applyProtection="1">
      <alignment horizontal="left" vertical="top" wrapText="1" indent="1"/>
    </xf>
    <xf numFmtId="165" fontId="37" fillId="0" borderId="0" xfId="5" applyNumberFormat="1" applyFont="1" applyFill="1" applyBorder="1" applyAlignment="1" applyProtection="1">
      <alignment horizontal="center" vertical="center" wrapText="1"/>
    </xf>
    <xf numFmtId="0" fontId="23" fillId="0" borderId="0" xfId="0" applyFont="1" applyAlignment="1" applyProtection="1">
      <alignment horizontal="right"/>
    </xf>
    <xf numFmtId="0" fontId="0" fillId="0" borderId="0" xfId="0" applyFont="1" applyFill="1" applyAlignment="1" applyProtection="1">
      <alignment horizontal="left" vertical="top"/>
    </xf>
    <xf numFmtId="170" fontId="81" fillId="0" borderId="0" xfId="5" applyNumberFormat="1" applyFont="1" applyFill="1" applyBorder="1" applyAlignment="1" applyProtection="1">
      <alignment horizontal="center"/>
    </xf>
    <xf numFmtId="0" fontId="1" fillId="0" borderId="0" xfId="0" applyFont="1" applyAlignment="1" applyProtection="1"/>
    <xf numFmtId="0" fontId="59" fillId="0" borderId="0" xfId="0" applyFont="1" applyFill="1" applyBorder="1" applyAlignment="1" applyProtection="1">
      <alignment horizontal="left" vertical="top"/>
    </xf>
    <xf numFmtId="170" fontId="70" fillId="0" borderId="0" xfId="5" applyNumberFormat="1" applyFont="1" applyFill="1" applyBorder="1" applyAlignment="1" applyProtection="1">
      <alignment horizontal="center" vertical="top"/>
    </xf>
    <xf numFmtId="0" fontId="37" fillId="0" borderId="0" xfId="0" applyFont="1" applyBorder="1" applyAlignment="1" applyProtection="1">
      <alignment vertical="top"/>
    </xf>
    <xf numFmtId="0" fontId="37" fillId="6" borderId="0" xfId="0" applyFont="1" applyFill="1" applyBorder="1" applyAlignment="1" applyProtection="1">
      <alignment horizontal="left" vertical="top" indent="1"/>
      <protection locked="0"/>
    </xf>
    <xf numFmtId="0" fontId="37" fillId="11" borderId="0" xfId="0" applyFont="1" applyFill="1" applyBorder="1" applyAlignment="1" applyProtection="1">
      <alignment horizontal="left" vertical="top" indent="1"/>
      <protection locked="0"/>
    </xf>
    <xf numFmtId="0" fontId="37" fillId="11" borderId="0" xfId="0" applyFont="1" applyFill="1" applyAlignment="1" applyProtection="1">
      <alignment horizontal="left" vertical="center" indent="1"/>
      <protection locked="0"/>
    </xf>
    <xf numFmtId="0" fontId="0" fillId="0" borderId="0" xfId="0" applyAlignment="1">
      <alignment horizontal="left"/>
    </xf>
    <xf numFmtId="0" fontId="19" fillId="8" borderId="141" xfId="0" applyFont="1" applyFill="1" applyBorder="1"/>
    <xf numFmtId="0" fontId="0" fillId="8" borderId="142" xfId="0" applyFill="1" applyBorder="1"/>
    <xf numFmtId="0" fontId="0" fillId="8" borderId="143" xfId="0" applyFill="1" applyBorder="1"/>
    <xf numFmtId="0" fontId="74" fillId="8" borderId="141" xfId="0" applyFont="1" applyFill="1" applyBorder="1" applyAlignment="1">
      <alignment horizontal="left"/>
    </xf>
    <xf numFmtId="0" fontId="6" fillId="8" borderId="142" xfId="0" applyFont="1" applyFill="1" applyBorder="1"/>
    <xf numFmtId="0" fontId="6" fillId="8" borderId="143" xfId="0" applyFont="1" applyFill="1" applyBorder="1"/>
    <xf numFmtId="0" fontId="37" fillId="0" borderId="0" xfId="0" applyFont="1"/>
    <xf numFmtId="0" fontId="0" fillId="17" borderId="188" xfId="0" applyFill="1" applyBorder="1"/>
    <xf numFmtId="0" fontId="0" fillId="0" borderId="144" xfId="0" applyBorder="1"/>
    <xf numFmtId="0" fontId="0" fillId="0" borderId="0" xfId="0" applyBorder="1"/>
    <xf numFmtId="0" fontId="0" fillId="0" borderId="145" xfId="0" applyBorder="1"/>
    <xf numFmtId="0" fontId="0" fillId="0" borderId="144" xfId="0" applyBorder="1" applyAlignment="1">
      <alignment horizontal="left"/>
    </xf>
    <xf numFmtId="0" fontId="1" fillId="0" borderId="144" xfId="0" applyFont="1" applyBorder="1" applyAlignment="1" applyProtection="1">
      <alignment vertical="center"/>
    </xf>
    <xf numFmtId="0" fontId="1" fillId="0" borderId="0" xfId="0" applyFont="1" applyBorder="1" applyAlignment="1" applyProtection="1">
      <alignment horizontal="right" vertical="center"/>
    </xf>
    <xf numFmtId="0" fontId="1" fillId="0" borderId="145" xfId="0" applyFont="1" applyBorder="1" applyAlignment="1" applyProtection="1">
      <alignment horizontal="right" vertical="center"/>
    </xf>
    <xf numFmtId="183" fontId="1" fillId="0" borderId="0" xfId="0" applyNumberFormat="1" applyFont="1" applyBorder="1" applyAlignment="1" applyProtection="1">
      <alignment vertical="center"/>
    </xf>
    <xf numFmtId="0" fontId="1" fillId="0" borderId="145" xfId="0" applyFont="1" applyBorder="1" applyAlignment="1" applyProtection="1">
      <alignment vertical="center"/>
    </xf>
    <xf numFmtId="0" fontId="1" fillId="0" borderId="144" xfId="0" applyFont="1" applyBorder="1" applyAlignment="1" applyProtection="1">
      <alignment horizontal="left" vertical="center"/>
    </xf>
    <xf numFmtId="166" fontId="4" fillId="0" borderId="144" xfId="0" applyNumberFormat="1" applyFont="1" applyBorder="1" applyAlignment="1" applyProtection="1">
      <alignment horizontal="left" vertical="center"/>
    </xf>
    <xf numFmtId="178" fontId="4" fillId="0" borderId="0" xfId="0" applyNumberFormat="1" applyFont="1" applyBorder="1" applyAlignment="1" applyProtection="1">
      <alignment vertical="center"/>
    </xf>
    <xf numFmtId="0" fontId="0" fillId="0" borderId="0" xfId="0" applyFont="1"/>
    <xf numFmtId="183" fontId="1" fillId="0" borderId="145" xfId="0" applyNumberFormat="1" applyFont="1" applyBorder="1" applyAlignment="1" applyProtection="1">
      <alignment vertical="center"/>
    </xf>
    <xf numFmtId="2" fontId="0" fillId="0" borderId="144" xfId="0" applyNumberFormat="1" applyBorder="1" applyAlignment="1">
      <alignment horizontal="left"/>
    </xf>
    <xf numFmtId="178" fontId="1" fillId="0" borderId="0" xfId="0" applyNumberFormat="1" applyFont="1" applyBorder="1"/>
    <xf numFmtId="2" fontId="0" fillId="0" borderId="146" xfId="0" applyNumberFormat="1" applyBorder="1" applyAlignment="1">
      <alignment horizontal="left"/>
    </xf>
    <xf numFmtId="0" fontId="0" fillId="0" borderId="147" xfId="0" applyBorder="1"/>
    <xf numFmtId="178" fontId="1" fillId="0" borderId="147" xfId="0" applyNumberFormat="1" applyFont="1" applyBorder="1"/>
    <xf numFmtId="0" fontId="0" fillId="0" borderId="148" xfId="0" applyBorder="1"/>
    <xf numFmtId="0" fontId="74" fillId="8" borderId="141" xfId="0" applyFont="1" applyFill="1" applyBorder="1"/>
    <xf numFmtId="0" fontId="0" fillId="17" borderId="189" xfId="0" applyFill="1" applyBorder="1"/>
    <xf numFmtId="0" fontId="0" fillId="0" borderId="146" xfId="0" applyBorder="1"/>
    <xf numFmtId="0" fontId="0" fillId="0" borderId="142" xfId="0" applyFont="1" applyFill="1" applyBorder="1" applyAlignment="1">
      <alignment vertical="center"/>
    </xf>
    <xf numFmtId="0" fontId="0" fillId="0" borderId="142" xfId="0" applyFont="1" applyFill="1" applyBorder="1" applyAlignment="1">
      <alignment horizontal="right" vertical="center"/>
    </xf>
    <xf numFmtId="0" fontId="0" fillId="0" borderId="143" xfId="0" applyFont="1" applyFill="1" applyBorder="1" applyAlignment="1">
      <alignment horizontal="right" vertical="center"/>
    </xf>
    <xf numFmtId="0" fontId="0" fillId="0" borderId="144" xfId="0" applyFont="1" applyFill="1" applyBorder="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right" vertical="center"/>
    </xf>
    <xf numFmtId="168" fontId="0" fillId="0" borderId="0" xfId="5" applyNumberFormat="1" applyFont="1" applyFill="1" applyBorder="1" applyAlignment="1" applyProtection="1">
      <alignment horizontal="right" vertical="center" wrapText="1"/>
    </xf>
    <xf numFmtId="0" fontId="0" fillId="0" borderId="145" xfId="0" applyFont="1" applyFill="1" applyBorder="1" applyAlignment="1">
      <alignment horizontal="right" vertical="center"/>
    </xf>
    <xf numFmtId="0" fontId="6" fillId="0" borderId="0" xfId="0" applyFont="1"/>
    <xf numFmtId="0" fontId="0" fillId="0" borderId="144" xfId="0" applyFont="1" applyFill="1" applyBorder="1" applyAlignment="1" applyProtection="1">
      <alignment vertical="center" wrapText="1"/>
    </xf>
    <xf numFmtId="2" fontId="0" fillId="0" borderId="145" xfId="0" applyNumberFormat="1" applyFont="1" applyFill="1" applyBorder="1" applyAlignment="1">
      <alignment horizontal="right" vertical="center"/>
    </xf>
    <xf numFmtId="165" fontId="0" fillId="0" borderId="0" xfId="0" applyNumberFormat="1" applyFont="1" applyFill="1" applyBorder="1" applyAlignment="1" applyProtection="1">
      <alignment horizontal="right" vertical="center" wrapText="1"/>
    </xf>
    <xf numFmtId="166" fontId="0" fillId="0" borderId="145" xfId="0" applyNumberFormat="1" applyFont="1" applyFill="1" applyBorder="1" applyAlignment="1">
      <alignment horizontal="right" vertical="center"/>
    </xf>
    <xf numFmtId="178" fontId="0" fillId="0" borderId="0" xfId="5" applyNumberFormat="1" applyFont="1" applyFill="1" applyBorder="1" applyAlignment="1" applyProtection="1">
      <alignment horizontal="right" vertical="center" wrapText="1"/>
    </xf>
    <xf numFmtId="0" fontId="1" fillId="0" borderId="144" xfId="0" applyFont="1" applyFill="1" applyBorder="1" applyAlignment="1" applyProtection="1">
      <alignment vertical="center"/>
    </xf>
    <xf numFmtId="0" fontId="1" fillId="0" borderId="0" xfId="0" applyFont="1" applyFill="1" applyBorder="1" applyAlignment="1" applyProtection="1">
      <alignment horizontal="left" vertical="center"/>
    </xf>
    <xf numFmtId="0" fontId="0" fillId="0" borderId="146" xfId="0" applyFont="1" applyFill="1" applyBorder="1" applyAlignment="1" applyProtection="1">
      <alignment vertical="center" wrapText="1"/>
    </xf>
    <xf numFmtId="0" fontId="0" fillId="0" borderId="147" xfId="0" applyFont="1" applyFill="1" applyBorder="1" applyAlignment="1">
      <alignment vertical="center"/>
    </xf>
    <xf numFmtId="178" fontId="1" fillId="0" borderId="147" xfId="0" applyNumberFormat="1" applyFont="1" applyFill="1" applyBorder="1" applyAlignment="1" applyProtection="1">
      <alignment horizontal="right" vertical="center"/>
      <protection locked="0"/>
    </xf>
    <xf numFmtId="178" fontId="1" fillId="0" borderId="148" xfId="0" applyNumberFormat="1" applyFont="1" applyFill="1" applyBorder="1" applyAlignment="1" applyProtection="1">
      <alignment horizontal="right" vertical="center"/>
      <protection locked="0"/>
    </xf>
    <xf numFmtId="0" fontId="89" fillId="8" borderId="141" xfId="0" applyFont="1" applyFill="1" applyBorder="1"/>
    <xf numFmtId="0" fontId="12" fillId="4" borderId="190" xfId="0" applyFont="1" applyFill="1" applyBorder="1" applyAlignment="1">
      <alignment horizontal="center" vertical="center"/>
    </xf>
    <xf numFmtId="0" fontId="12" fillId="4" borderId="191" xfId="0" applyFont="1" applyFill="1" applyBorder="1" applyAlignment="1">
      <alignment horizontal="center" vertical="center"/>
    </xf>
    <xf numFmtId="0" fontId="12" fillId="16" borderId="190" xfId="0" applyFont="1" applyFill="1" applyBorder="1" applyAlignment="1">
      <alignment horizontal="center" vertical="center"/>
    </xf>
    <xf numFmtId="0" fontId="12" fillId="16" borderId="191" xfId="0" applyFont="1" applyFill="1" applyBorder="1" applyAlignment="1">
      <alignment horizontal="center" vertical="center"/>
    </xf>
    <xf numFmtId="0" fontId="12" fillId="16" borderId="192" xfId="0" applyFont="1" applyFill="1" applyBorder="1" applyAlignment="1">
      <alignment horizontal="center" vertical="center"/>
    </xf>
    <xf numFmtId="0" fontId="0" fillId="0" borderId="144" xfId="0" applyFont="1" applyBorder="1" applyAlignment="1">
      <alignment horizontal="right" wrapText="1"/>
    </xf>
    <xf numFmtId="0" fontId="0" fillId="0" borderId="0" xfId="0" applyBorder="1" applyAlignment="1">
      <alignment wrapText="1"/>
    </xf>
    <xf numFmtId="0" fontId="0" fillId="0" borderId="145" xfId="0" applyBorder="1" applyAlignment="1">
      <alignment wrapText="1"/>
    </xf>
    <xf numFmtId="0" fontId="0" fillId="0" borderId="0" xfId="0" applyAlignment="1">
      <alignment wrapText="1"/>
    </xf>
    <xf numFmtId="0" fontId="0" fillId="0" borderId="141" xfId="0" applyFont="1" applyBorder="1" applyAlignment="1">
      <alignment horizontal="left"/>
    </xf>
    <xf numFmtId="0" fontId="0" fillId="0" borderId="142" xfId="0" applyBorder="1"/>
    <xf numFmtId="2" fontId="0" fillId="0" borderId="142" xfId="0" applyNumberFormat="1" applyBorder="1"/>
    <xf numFmtId="2" fontId="0" fillId="0" borderId="142" xfId="0" applyNumberFormat="1" applyBorder="1" applyAlignment="1">
      <alignment horizontal="center"/>
    </xf>
    <xf numFmtId="2" fontId="0" fillId="0" borderId="143" xfId="0" applyNumberFormat="1" applyBorder="1" applyAlignment="1">
      <alignment horizontal="center"/>
    </xf>
    <xf numFmtId="0" fontId="0" fillId="0" borderId="146" xfId="0" applyFont="1" applyBorder="1" applyAlignment="1">
      <alignment horizontal="left"/>
    </xf>
    <xf numFmtId="2" fontId="0" fillId="0" borderId="147" xfId="0" applyNumberFormat="1" applyBorder="1"/>
    <xf numFmtId="2" fontId="0" fillId="0" borderId="147" xfId="0" applyNumberFormat="1" applyBorder="1" applyAlignment="1">
      <alignment horizontal="center"/>
    </xf>
    <xf numFmtId="2" fontId="0" fillId="0" borderId="148" xfId="0" applyNumberFormat="1" applyBorder="1" applyAlignment="1">
      <alignment horizontal="center"/>
    </xf>
    <xf numFmtId="0" fontId="6" fillId="8" borderId="193" xfId="0" applyFont="1" applyFill="1" applyBorder="1"/>
    <xf numFmtId="0" fontId="1" fillId="0" borderId="188" xfId="0" applyFont="1" applyFill="1" applyBorder="1" applyAlignment="1" applyProtection="1">
      <alignment vertical="center"/>
    </xf>
    <xf numFmtId="0" fontId="1" fillId="0" borderId="189" xfId="0" applyFont="1" applyFill="1" applyBorder="1" applyAlignment="1" applyProtection="1">
      <alignment vertical="center"/>
    </xf>
    <xf numFmtId="0" fontId="0" fillId="0" borderId="143" xfId="0" applyBorder="1"/>
    <xf numFmtId="0" fontId="12" fillId="0" borderId="194" xfId="0" applyFont="1" applyBorder="1" applyAlignment="1" applyProtection="1">
      <alignment vertical="top"/>
    </xf>
    <xf numFmtId="1" fontId="2" fillId="9" borderId="195" xfId="0" applyNumberFormat="1" applyFont="1" applyFill="1" applyBorder="1" applyAlignment="1" applyProtection="1">
      <alignment horizontal="right" vertical="top"/>
      <protection locked="0"/>
    </xf>
    <xf numFmtId="182" fontId="12" fillId="0" borderId="195" xfId="3" applyNumberFormat="1" applyFont="1" applyFill="1" applyBorder="1" applyAlignment="1" applyProtection="1">
      <alignment horizontal="right" vertical="top"/>
    </xf>
    <xf numFmtId="0" fontId="0" fillId="0" borderId="0" xfId="0" applyBorder="1" applyAlignment="1">
      <alignment horizontal="center"/>
    </xf>
    <xf numFmtId="9" fontId="0" fillId="0" borderId="0" xfId="3" applyFont="1" applyFill="1" applyBorder="1" applyAlignment="1" applyProtection="1"/>
    <xf numFmtId="178" fontId="12" fillId="0" borderId="195" xfId="0" applyNumberFormat="1" applyFont="1" applyFill="1" applyBorder="1" applyAlignment="1" applyProtection="1">
      <alignment horizontal="right" vertical="top"/>
    </xf>
    <xf numFmtId="2" fontId="12" fillId="0" borderId="195" xfId="0" applyNumberFormat="1" applyFont="1" applyFill="1" applyBorder="1" applyAlignment="1" applyProtection="1">
      <alignment horizontal="right" vertical="top"/>
    </xf>
    <xf numFmtId="0" fontId="12" fillId="0" borderId="196" xfId="0" applyFont="1" applyBorder="1" applyAlignment="1" applyProtection="1">
      <alignment vertical="top"/>
    </xf>
    <xf numFmtId="178" fontId="12" fillId="0" borderId="197" xfId="0" applyNumberFormat="1" applyFont="1" applyFill="1" applyBorder="1" applyAlignment="1" applyProtection="1">
      <alignment horizontal="right" vertical="top"/>
    </xf>
    <xf numFmtId="0" fontId="12" fillId="0" borderId="0" xfId="0" applyFont="1" applyFill="1" applyBorder="1" applyAlignment="1" applyProtection="1">
      <alignment horizontal="right" vertical="top"/>
    </xf>
    <xf numFmtId="0" fontId="0" fillId="0" borderId="0" xfId="0" applyFont="1" applyAlignment="1">
      <alignment horizontal="right"/>
    </xf>
    <xf numFmtId="0" fontId="90" fillId="0" borderId="0" xfId="0" applyFont="1"/>
    <xf numFmtId="0" fontId="35" fillId="0" borderId="0" xfId="0" applyFont="1" applyAlignment="1">
      <alignment wrapText="1"/>
    </xf>
    <xf numFmtId="186" fontId="0" fillId="0" borderId="0" xfId="0" applyNumberFormat="1"/>
    <xf numFmtId="0" fontId="0" fillId="0" borderId="0" xfId="0" applyAlignment="1">
      <alignment horizontal="center"/>
    </xf>
    <xf numFmtId="0" fontId="0" fillId="0" borderId="0" xfId="0" applyFont="1" applyAlignment="1">
      <alignment horizontal="center"/>
    </xf>
    <xf numFmtId="0" fontId="91" fillId="0" borderId="0" xfId="0" applyFont="1" applyAlignment="1">
      <alignment horizontal="center"/>
    </xf>
    <xf numFmtId="0" fontId="6" fillId="0" borderId="0" xfId="0" applyFont="1" applyAlignment="1">
      <alignment horizontal="center"/>
    </xf>
    <xf numFmtId="0" fontId="4" fillId="0" borderId="0" xfId="0" applyFont="1" applyFill="1" applyBorder="1" applyAlignment="1" applyProtection="1">
      <alignment horizontal="center" vertical="top"/>
      <protection locked="0"/>
    </xf>
    <xf numFmtId="0" fontId="1" fillId="0" borderId="0" xfId="0" applyFont="1" applyFill="1" applyBorder="1" applyAlignment="1" applyProtection="1">
      <alignment horizontal="right" vertical="top"/>
      <protection locked="0"/>
    </xf>
    <xf numFmtId="0" fontId="1" fillId="0" borderId="0" xfId="0" applyFont="1" applyFill="1" applyBorder="1" applyAlignment="1" applyProtection="1">
      <alignment vertical="top"/>
      <protection locked="0"/>
    </xf>
    <xf numFmtId="0" fontId="2" fillId="0" borderId="0" xfId="0" applyFont="1" applyBorder="1" applyAlignment="1" applyProtection="1">
      <alignment vertical="top" wrapText="1"/>
    </xf>
    <xf numFmtId="0" fontId="4" fillId="0" borderId="0" xfId="0" applyFont="1" applyFill="1" applyBorder="1" applyAlignment="1" applyProtection="1">
      <alignment horizontal="center" vertical="top" wrapText="1"/>
      <protection locked="0"/>
    </xf>
    <xf numFmtId="0" fontId="3" fillId="0" borderId="0" xfId="0" applyFont="1" applyBorder="1" applyAlignment="1" applyProtection="1"/>
    <xf numFmtId="0" fontId="4" fillId="0" borderId="0" xfId="0" applyFont="1" applyFill="1" applyBorder="1" applyAlignment="1" applyProtection="1">
      <alignment horizontal="center"/>
      <protection locked="0"/>
    </xf>
    <xf numFmtId="0" fontId="23" fillId="0" borderId="0" xfId="0" applyFont="1" applyFill="1" applyBorder="1" applyAlignment="1" applyProtection="1">
      <alignment horizontal="right" wrapText="1"/>
      <protection locked="0"/>
    </xf>
    <xf numFmtId="14" fontId="23" fillId="0" borderId="0" xfId="0" applyNumberFormat="1" applyFont="1" applyFill="1" applyBorder="1" applyAlignment="1" applyProtection="1">
      <alignment horizontal="right" vertical="top" wrapText="1"/>
      <protection locked="0"/>
    </xf>
    <xf numFmtId="0" fontId="22" fillId="0" borderId="0" xfId="0" applyFont="1" applyBorder="1" applyAlignment="1" applyProtection="1">
      <alignment vertical="top"/>
    </xf>
    <xf numFmtId="0" fontId="20" fillId="36" borderId="0" xfId="0" applyFont="1" applyFill="1" applyBorder="1" applyAlignment="1" applyProtection="1">
      <alignment horizontal="left" vertical="top" wrapText="1"/>
    </xf>
    <xf numFmtId="0" fontId="20" fillId="36" borderId="0" xfId="0" applyFont="1" applyFill="1" applyBorder="1" applyAlignment="1" applyProtection="1">
      <alignment horizontal="right" vertical="top" wrapText="1"/>
      <protection locked="0"/>
    </xf>
    <xf numFmtId="0" fontId="20" fillId="31" borderId="0" xfId="0" applyFont="1" applyFill="1" applyBorder="1" applyAlignment="1" applyProtection="1">
      <alignment horizontal="right" vertical="top" wrapText="1"/>
      <protection locked="0"/>
    </xf>
    <xf numFmtId="0" fontId="20" fillId="20" borderId="0" xfId="0" applyFont="1" applyFill="1" applyBorder="1" applyAlignment="1" applyProtection="1">
      <alignment horizontal="right" vertical="top" wrapText="1"/>
      <protection locked="0"/>
    </xf>
    <xf numFmtId="0" fontId="0" fillId="0" borderId="0" xfId="0" applyFont="1" applyFill="1" applyBorder="1" applyAlignment="1" applyProtection="1">
      <alignment vertical="top" wrapText="1"/>
      <protection locked="0"/>
    </xf>
    <xf numFmtId="0" fontId="0" fillId="11" borderId="0" xfId="0" applyFont="1" applyFill="1" applyBorder="1" applyAlignment="1" applyProtection="1">
      <alignment horizontal="right" vertical="top"/>
      <protection locked="0"/>
    </xf>
    <xf numFmtId="0" fontId="0" fillId="0" borderId="0" xfId="0" applyFont="1" applyFill="1" applyBorder="1" applyAlignment="1" applyProtection="1">
      <alignment vertical="top"/>
      <protection locked="0"/>
    </xf>
    <xf numFmtId="0" fontId="37" fillId="11" borderId="0" xfId="0" applyFont="1" applyFill="1" applyBorder="1" applyAlignment="1" applyProtection="1">
      <alignment horizontal="right" vertical="top" wrapText="1"/>
      <protection locked="0"/>
    </xf>
    <xf numFmtId="178" fontId="20" fillId="36" borderId="0" xfId="5" applyNumberFormat="1" applyFont="1" applyFill="1" applyBorder="1" applyAlignment="1" applyProtection="1">
      <alignment horizontal="left" vertical="top"/>
    </xf>
    <xf numFmtId="178" fontId="4" fillId="0" borderId="0" xfId="5" applyNumberFormat="1" applyFont="1" applyFill="1" applyBorder="1" applyAlignment="1" applyProtection="1">
      <alignment horizontal="center" vertical="top"/>
      <protection locked="0"/>
    </xf>
    <xf numFmtId="178" fontId="20" fillId="36" borderId="0" xfId="5" applyNumberFormat="1" applyFont="1" applyFill="1" applyBorder="1" applyAlignment="1" applyProtection="1">
      <alignment vertical="top"/>
      <protection locked="0"/>
    </xf>
    <xf numFmtId="178" fontId="20" fillId="0" borderId="0" xfId="5" applyNumberFormat="1" applyFont="1" applyFill="1" applyBorder="1" applyAlignment="1" applyProtection="1">
      <alignment horizontal="center" vertical="top"/>
      <protection locked="0"/>
    </xf>
    <xf numFmtId="178" fontId="20" fillId="0" borderId="0" xfId="5" applyNumberFormat="1" applyFont="1" applyFill="1" applyBorder="1" applyAlignment="1" applyProtection="1">
      <alignment horizontal="left" vertical="top"/>
      <protection locked="0"/>
    </xf>
    <xf numFmtId="0" fontId="20" fillId="13" borderId="0" xfId="0" applyFont="1" applyFill="1" applyBorder="1" applyAlignment="1" applyProtection="1">
      <alignment horizontal="left" vertical="top"/>
    </xf>
    <xf numFmtId="178" fontId="20" fillId="13" borderId="0" xfId="5" applyNumberFormat="1" applyFont="1" applyFill="1" applyBorder="1" applyAlignment="1" applyProtection="1">
      <alignment vertical="top"/>
      <protection locked="0"/>
    </xf>
    <xf numFmtId="0" fontId="61" fillId="12" borderId="0" xfId="0" applyFont="1" applyFill="1" applyBorder="1" applyAlignment="1" applyProtection="1">
      <alignment horizontal="left" vertical="top"/>
    </xf>
    <xf numFmtId="178" fontId="61" fillId="12" borderId="0" xfId="5" applyNumberFormat="1" applyFont="1" applyFill="1" applyBorder="1" applyAlignment="1" applyProtection="1">
      <alignment vertical="top"/>
      <protection locked="0"/>
    </xf>
    <xf numFmtId="0" fontId="61" fillId="0" borderId="0" xfId="0" applyFont="1" applyFill="1" applyBorder="1" applyAlignment="1" applyProtection="1">
      <alignment vertical="top"/>
      <protection locked="0"/>
    </xf>
    <xf numFmtId="178" fontId="0" fillId="11" borderId="0" xfId="5" applyNumberFormat="1" applyFont="1" applyFill="1" applyBorder="1" applyAlignment="1" applyProtection="1">
      <alignment vertical="top"/>
      <protection locked="0"/>
    </xf>
    <xf numFmtId="178" fontId="6" fillId="11" borderId="0" xfId="5" applyNumberFormat="1" applyFont="1" applyFill="1" applyBorder="1" applyAlignment="1" applyProtection="1">
      <alignment vertical="top"/>
      <protection locked="0"/>
    </xf>
    <xf numFmtId="0" fontId="47" fillId="0" borderId="0" xfId="0" applyFont="1" applyFill="1" applyBorder="1" applyAlignment="1" applyProtection="1">
      <alignment vertical="top"/>
      <protection locked="0"/>
    </xf>
    <xf numFmtId="0" fontId="47" fillId="6" borderId="0" xfId="0" applyFont="1" applyFill="1" applyBorder="1" applyAlignment="1" applyProtection="1">
      <alignment horizontal="left" vertical="top"/>
    </xf>
    <xf numFmtId="178" fontId="47" fillId="11" borderId="0" xfId="5" applyNumberFormat="1" applyFont="1" applyFill="1" applyBorder="1" applyAlignment="1" applyProtection="1">
      <alignment vertical="top"/>
      <protection locked="0"/>
    </xf>
    <xf numFmtId="0" fontId="20" fillId="36" borderId="0" xfId="0" applyFont="1" applyFill="1" applyBorder="1" applyAlignment="1" applyProtection="1">
      <alignment horizontal="left" vertical="top"/>
    </xf>
    <xf numFmtId="0" fontId="0" fillId="6" borderId="0" xfId="0" applyFont="1" applyFill="1" applyBorder="1" applyAlignment="1" applyProtection="1">
      <alignment horizontal="right" vertical="top"/>
    </xf>
    <xf numFmtId="170" fontId="20" fillId="36" borderId="0" xfId="5" applyNumberFormat="1" applyFont="1" applyFill="1" applyBorder="1" applyAlignment="1" applyProtection="1">
      <alignment vertical="top"/>
      <protection locked="0"/>
    </xf>
    <xf numFmtId="165" fontId="0" fillId="11" borderId="0" xfId="5" applyNumberFormat="1" applyFont="1" applyFill="1" applyBorder="1" applyAlignment="1" applyProtection="1">
      <alignment horizontal="right" vertical="top" wrapText="1"/>
      <protection locked="0"/>
    </xf>
    <xf numFmtId="166" fontId="0" fillId="6" borderId="0" xfId="0" applyNumberFormat="1" applyFont="1" applyFill="1" applyBorder="1" applyAlignment="1" applyProtection="1">
      <alignment horizontal="left" vertical="top" wrapText="1"/>
    </xf>
    <xf numFmtId="166" fontId="4" fillId="0" borderId="0" xfId="0" applyNumberFormat="1" applyFont="1" applyFill="1" applyBorder="1" applyAlignment="1" applyProtection="1">
      <alignment horizontal="center" vertical="top"/>
      <protection locked="0"/>
    </xf>
    <xf numFmtId="166" fontId="0" fillId="11" borderId="0" xfId="1" applyNumberFormat="1" applyFont="1" applyFill="1" applyBorder="1" applyAlignment="1" applyProtection="1">
      <alignment vertical="top"/>
      <protection locked="0"/>
    </xf>
    <xf numFmtId="166" fontId="0" fillId="0" borderId="0" xfId="0" applyNumberFormat="1" applyFont="1" applyFill="1" applyBorder="1" applyAlignment="1" applyProtection="1">
      <alignment vertical="top"/>
      <protection locked="0"/>
    </xf>
    <xf numFmtId="170" fontId="20" fillId="13" borderId="0" xfId="5" applyNumberFormat="1" applyFont="1" applyFill="1" applyBorder="1" applyAlignment="1" applyProtection="1">
      <alignment vertical="top"/>
      <protection locked="0"/>
    </xf>
    <xf numFmtId="178" fontId="0" fillId="11" borderId="0" xfId="0" applyNumberFormat="1" applyFont="1" applyFill="1" applyBorder="1" applyAlignment="1" applyProtection="1">
      <alignment horizontal="right" vertical="top"/>
      <protection locked="0"/>
    </xf>
    <xf numFmtId="180" fontId="0" fillId="6" borderId="0" xfId="0" applyNumberFormat="1" applyFont="1" applyFill="1" applyBorder="1" applyAlignment="1" applyProtection="1">
      <alignment horizontal="left" vertical="top" wrapText="1"/>
    </xf>
    <xf numFmtId="178" fontId="0" fillId="11" borderId="0" xfId="5" applyNumberFormat="1" applyFont="1" applyFill="1" applyBorder="1" applyAlignment="1" applyProtection="1">
      <alignment horizontal="right" vertical="top"/>
      <protection locked="0"/>
    </xf>
    <xf numFmtId="9" fontId="0" fillId="11" borderId="0" xfId="3" applyFont="1" applyFill="1" applyBorder="1" applyAlignment="1" applyProtection="1">
      <alignment horizontal="right" vertical="top"/>
      <protection locked="0"/>
    </xf>
    <xf numFmtId="2" fontId="0" fillId="11" borderId="0" xfId="0" applyNumberFormat="1" applyFont="1" applyFill="1" applyBorder="1" applyAlignment="1" applyProtection="1">
      <alignment horizontal="right" vertical="top"/>
      <protection locked="0"/>
    </xf>
    <xf numFmtId="166" fontId="0" fillId="11" borderId="0" xfId="0" applyNumberFormat="1" applyFont="1" applyFill="1" applyBorder="1" applyAlignment="1" applyProtection="1">
      <alignment horizontal="right" vertical="top"/>
      <protection locked="0"/>
    </xf>
    <xf numFmtId="166" fontId="20" fillId="13" borderId="0" xfId="0" applyNumberFormat="1" applyFont="1" applyFill="1" applyBorder="1" applyAlignment="1" applyProtection="1">
      <alignment horizontal="left" vertical="top"/>
    </xf>
    <xf numFmtId="0" fontId="0" fillId="6" borderId="0" xfId="0" applyFont="1" applyFill="1" applyBorder="1" applyAlignment="1" applyProtection="1">
      <alignment vertical="top" wrapText="1"/>
    </xf>
    <xf numFmtId="170" fontId="0" fillId="11" borderId="0" xfId="2" applyNumberFormat="1" applyFont="1" applyFill="1" applyBorder="1" applyAlignment="1" applyProtection="1">
      <alignment horizontal="right" vertical="top"/>
      <protection locked="0"/>
    </xf>
    <xf numFmtId="0" fontId="0" fillId="0" borderId="0" xfId="0" applyFont="1" applyFill="1" applyBorder="1" applyAlignment="1" applyProtection="1">
      <alignment horizontal="right" vertical="top"/>
      <protection locked="0"/>
    </xf>
    <xf numFmtId="0" fontId="0" fillId="0" borderId="0" xfId="0" applyProtection="1"/>
    <xf numFmtId="0" fontId="0" fillId="0" borderId="0" xfId="0" applyAlignment="1" applyProtection="1">
      <alignment horizontal="left" indent="1"/>
    </xf>
    <xf numFmtId="0" fontId="0" fillId="0" borderId="0" xfId="0" applyAlignment="1" applyProtection="1">
      <alignment horizontal="center"/>
    </xf>
    <xf numFmtId="0" fontId="0" fillId="0" borderId="0" xfId="0" applyAlignment="1" applyProtection="1">
      <alignment horizontal="center" vertical="top"/>
    </xf>
    <xf numFmtId="0" fontId="1" fillId="0" borderId="0" xfId="0" applyFont="1" applyAlignment="1" applyProtection="1">
      <alignment horizontal="center"/>
    </xf>
    <xf numFmtId="0" fontId="7" fillId="0" borderId="0" xfId="0" applyFont="1" applyAlignment="1" applyProtection="1"/>
    <xf numFmtId="0" fontId="6" fillId="0" borderId="0" xfId="0" applyFont="1" applyAlignment="1" applyProtection="1">
      <alignment horizontal="left"/>
    </xf>
    <xf numFmtId="0" fontId="0" fillId="0" borderId="0" xfId="0" applyFont="1" applyAlignment="1" applyProtection="1">
      <alignment horizontal="center"/>
    </xf>
    <xf numFmtId="0" fontId="37" fillId="0" borderId="0" xfId="0" applyFont="1" applyAlignment="1" applyProtection="1">
      <alignment vertical="top"/>
    </xf>
    <xf numFmtId="0" fontId="0" fillId="0" borderId="0" xfId="0" applyAlignment="1" applyProtection="1">
      <alignment horizontal="left" vertical="top" indent="1"/>
    </xf>
    <xf numFmtId="0" fontId="20" fillId="2" borderId="9" xfId="0" applyFont="1" applyFill="1" applyBorder="1" applyAlignment="1" applyProtection="1">
      <alignment vertical="center" wrapText="1"/>
    </xf>
    <xf numFmtId="0" fontId="20" fillId="2" borderId="10" xfId="0" applyFont="1" applyFill="1" applyBorder="1" applyAlignment="1" applyProtection="1">
      <alignment horizontal="left" vertical="center" indent="1"/>
    </xf>
    <xf numFmtId="0" fontId="20" fillId="2" borderId="10" xfId="0" applyFont="1" applyFill="1" applyBorder="1" applyAlignment="1" applyProtection="1">
      <alignment horizontal="right" vertical="center"/>
    </xf>
    <xf numFmtId="0" fontId="20" fillId="2" borderId="12" xfId="0" applyFont="1" applyFill="1" applyBorder="1" applyAlignment="1" applyProtection="1">
      <alignment horizontal="right" vertical="center" wrapText="1"/>
    </xf>
    <xf numFmtId="0" fontId="20" fillId="2" borderId="11" xfId="0" applyFont="1" applyFill="1" applyBorder="1" applyAlignment="1" applyProtection="1">
      <alignment horizontal="right" vertical="center" wrapText="1"/>
    </xf>
    <xf numFmtId="0" fontId="12" fillId="0" borderId="0" xfId="0" applyFont="1" applyFill="1" applyAlignment="1" applyProtection="1">
      <alignment vertical="top"/>
    </xf>
    <xf numFmtId="0" fontId="12" fillId="0" borderId="198" xfId="0" applyFont="1" applyBorder="1" applyAlignment="1" applyProtection="1">
      <alignment vertical="top"/>
    </xf>
    <xf numFmtId="0" fontId="12" fillId="9" borderId="198" xfId="0" applyFont="1" applyFill="1" applyBorder="1" applyAlignment="1" applyProtection="1">
      <alignment horizontal="right" vertical="top"/>
      <protection locked="0"/>
    </xf>
    <xf numFmtId="0" fontId="12" fillId="0" borderId="198" xfId="0" applyFont="1" applyFill="1" applyBorder="1" applyAlignment="1" applyProtection="1">
      <alignment horizontal="right" vertical="top"/>
    </xf>
    <xf numFmtId="0" fontId="92" fillId="0" borderId="198" xfId="0" applyFont="1" applyBorder="1" applyAlignment="1" applyProtection="1">
      <alignment horizontal="right" vertical="top" wrapText="1"/>
    </xf>
    <xf numFmtId="0" fontId="12" fillId="0" borderId="6" xfId="0" applyFont="1" applyBorder="1" applyAlignment="1" applyProtection="1">
      <alignment vertical="top"/>
    </xf>
    <xf numFmtId="14" fontId="12" fillId="9" borderId="6" xfId="0" applyNumberFormat="1" applyFont="1" applyFill="1" applyBorder="1" applyAlignment="1" applyProtection="1">
      <alignment horizontal="right" vertical="top"/>
      <protection locked="0"/>
    </xf>
    <xf numFmtId="14" fontId="12" fillId="0" borderId="6" xfId="0" applyNumberFormat="1" applyFont="1" applyFill="1" applyBorder="1" applyAlignment="1" applyProtection="1">
      <alignment horizontal="right" vertical="top"/>
    </xf>
    <xf numFmtId="0" fontId="23" fillId="0" borderId="6" xfId="0" applyFont="1" applyBorder="1" applyAlignment="1" applyProtection="1">
      <alignment horizontal="right" vertical="top"/>
    </xf>
    <xf numFmtId="0" fontId="1" fillId="0" borderId="6" xfId="0" applyFont="1" applyBorder="1" applyAlignment="1" applyProtection="1">
      <alignment horizontal="left" vertical="top" indent="1"/>
    </xf>
    <xf numFmtId="1" fontId="2" fillId="0" borderId="6" xfId="0" applyNumberFormat="1" applyFont="1" applyFill="1" applyBorder="1" applyAlignment="1" applyProtection="1">
      <alignment horizontal="right" vertical="center"/>
    </xf>
    <xf numFmtId="182" fontId="12" fillId="0" borderId="6" xfId="3" applyNumberFormat="1" applyFont="1" applyFill="1" applyBorder="1" applyAlignment="1" applyProtection="1">
      <alignment horizontal="right" vertical="center"/>
    </xf>
    <xf numFmtId="182" fontId="12" fillId="0" borderId="6" xfId="3" applyNumberFormat="1" applyFont="1" applyFill="1" applyBorder="1" applyAlignment="1" applyProtection="1">
      <alignment horizontal="right" vertical="center"/>
      <protection locked="0"/>
    </xf>
    <xf numFmtId="178" fontId="12" fillId="0" borderId="6" xfId="0" applyNumberFormat="1" applyFont="1" applyFill="1" applyBorder="1" applyAlignment="1" applyProtection="1">
      <alignment horizontal="right" vertical="center"/>
    </xf>
    <xf numFmtId="178" fontId="12" fillId="0" borderId="6" xfId="0" applyNumberFormat="1" applyFont="1" applyFill="1" applyBorder="1" applyAlignment="1" applyProtection="1">
      <alignment horizontal="right" vertical="center"/>
      <protection locked="0"/>
    </xf>
    <xf numFmtId="0" fontId="1" fillId="0" borderId="6" xfId="0" applyFont="1" applyBorder="1" applyAlignment="1" applyProtection="1">
      <alignment horizontal="left" vertical="top" wrapText="1" indent="1"/>
    </xf>
    <xf numFmtId="2" fontId="12" fillId="0" borderId="6" xfId="0" applyNumberFormat="1" applyFont="1" applyFill="1" applyBorder="1" applyAlignment="1" applyProtection="1">
      <alignment horizontal="right" vertical="center"/>
    </xf>
    <xf numFmtId="2" fontId="12" fillId="0" borderId="6" xfId="0" applyNumberFormat="1" applyFont="1" applyFill="1" applyBorder="1" applyAlignment="1" applyProtection="1">
      <alignment horizontal="right" vertical="center"/>
      <protection locked="0"/>
    </xf>
    <xf numFmtId="0" fontId="12" fillId="0" borderId="6" xfId="0" applyFont="1" applyFill="1" applyBorder="1" applyAlignment="1" applyProtection="1">
      <alignment horizontal="center" vertical="top"/>
    </xf>
    <xf numFmtId="0" fontId="23" fillId="0" borderId="6" xfId="0" applyFont="1" applyBorder="1" applyAlignment="1" applyProtection="1">
      <alignment horizontal="center" vertical="top"/>
    </xf>
    <xf numFmtId="182" fontId="102" fillId="0" borderId="6" xfId="3" applyNumberFormat="1" applyFill="1" applyBorder="1" applyAlignment="1" applyProtection="1">
      <alignment horizontal="center" vertical="top"/>
    </xf>
    <xf numFmtId="0" fontId="2" fillId="0" borderId="0" xfId="0" applyFont="1" applyAlignment="1" applyProtection="1">
      <alignment horizontal="center" vertical="top" wrapText="1"/>
    </xf>
    <xf numFmtId="0" fontId="3" fillId="0" borderId="0" xfId="0" applyFont="1" applyAlignment="1" applyProtection="1">
      <alignment horizontal="left"/>
    </xf>
    <xf numFmtId="0" fontId="3" fillId="0" borderId="0" xfId="0" applyFont="1" applyAlignment="1" applyProtection="1">
      <alignment horizontal="center"/>
    </xf>
    <xf numFmtId="0" fontId="5" fillId="0" borderId="0" xfId="0" applyFont="1" applyAlignment="1" applyProtection="1">
      <alignment horizontal="center"/>
    </xf>
    <xf numFmtId="0" fontId="23" fillId="0" borderId="0" xfId="0" applyFont="1" applyAlignment="1" applyProtection="1">
      <alignment horizontal="right" wrapText="1"/>
    </xf>
    <xf numFmtId="14" fontId="23" fillId="0" borderId="0" xfId="0" applyNumberFormat="1" applyFont="1" applyAlignment="1" applyProtection="1">
      <alignment horizontal="right" vertical="top" wrapText="1"/>
    </xf>
    <xf numFmtId="0" fontId="20" fillId="2" borderId="1" xfId="0" applyFont="1" applyFill="1" applyBorder="1" applyAlignment="1" applyProtection="1">
      <alignment horizontal="left" vertical="center" wrapText="1" indent="1"/>
    </xf>
    <xf numFmtId="0" fontId="20" fillId="2" borderId="2" xfId="0" applyFont="1" applyFill="1" applyBorder="1" applyAlignment="1" applyProtection="1">
      <alignment horizontal="left" vertical="center" wrapText="1"/>
    </xf>
    <xf numFmtId="0" fontId="20" fillId="2" borderId="2" xfId="0" applyFont="1" applyFill="1" applyBorder="1" applyAlignment="1" applyProtection="1">
      <alignment horizontal="left" vertical="center"/>
    </xf>
    <xf numFmtId="0" fontId="0" fillId="0" borderId="0" xfId="0" applyAlignment="1">
      <alignment vertical="center"/>
    </xf>
    <xf numFmtId="0" fontId="0" fillId="0" borderId="0" xfId="0" applyFont="1" applyBorder="1" applyAlignment="1">
      <alignment horizontal="left" vertical="top" indent="1"/>
    </xf>
    <xf numFmtId="0" fontId="44" fillId="0" borderId="0" xfId="0" applyFont="1" applyBorder="1" applyAlignment="1">
      <alignment horizontal="left" vertical="top"/>
    </xf>
    <xf numFmtId="0" fontId="44" fillId="0" borderId="0" xfId="0" applyFont="1" applyBorder="1" applyAlignment="1">
      <alignment horizontal="left" vertical="top" wrapText="1"/>
    </xf>
    <xf numFmtId="0" fontId="54" fillId="0" borderId="0" xfId="0" applyFont="1" applyAlignment="1">
      <alignment vertical="top"/>
    </xf>
    <xf numFmtId="0" fontId="30" fillId="0" borderId="0" xfId="0" applyFont="1" applyBorder="1" applyAlignment="1">
      <alignment horizontal="left" vertical="top" wrapText="1"/>
    </xf>
    <xf numFmtId="0" fontId="0" fillId="0" borderId="0" xfId="0" applyAlignment="1">
      <alignment vertical="top"/>
    </xf>
    <xf numFmtId="0" fontId="37" fillId="37" borderId="0" xfId="0" applyFont="1" applyFill="1" applyBorder="1" applyAlignment="1">
      <alignment horizontal="left" vertical="center" indent="1"/>
    </xf>
    <xf numFmtId="0" fontId="0" fillId="37" borderId="0" xfId="0" applyFont="1" applyFill="1" applyBorder="1" applyAlignment="1">
      <alignment horizontal="left" vertical="center"/>
    </xf>
    <xf numFmtId="2" fontId="0" fillId="37" borderId="0" xfId="0" applyNumberFormat="1" applyFont="1" applyFill="1" applyBorder="1" applyAlignment="1">
      <alignment horizontal="center" vertical="center"/>
    </xf>
    <xf numFmtId="166" fontId="0" fillId="37" borderId="0" xfId="0" applyNumberFormat="1" applyFont="1" applyFill="1" applyBorder="1" applyAlignment="1">
      <alignment horizontal="center" vertical="center"/>
    </xf>
    <xf numFmtId="1" fontId="0" fillId="37" borderId="0" xfId="0" applyNumberFormat="1" applyFont="1" applyFill="1" applyBorder="1" applyAlignment="1">
      <alignment horizontal="left" vertical="center"/>
    </xf>
    <xf numFmtId="0" fontId="37" fillId="38" borderId="0" xfId="0" applyFont="1" applyFill="1" applyBorder="1" applyAlignment="1">
      <alignment horizontal="left" vertical="center" indent="1"/>
    </xf>
    <xf numFmtId="0" fontId="0" fillId="38" borderId="0" xfId="0" applyFont="1" applyFill="1" applyBorder="1" applyAlignment="1">
      <alignment horizontal="left" vertical="center"/>
    </xf>
    <xf numFmtId="2" fontId="0" fillId="38" borderId="0" xfId="0" applyNumberFormat="1" applyFont="1" applyFill="1" applyBorder="1" applyAlignment="1">
      <alignment horizontal="center" vertical="center"/>
    </xf>
    <xf numFmtId="1" fontId="0" fillId="38" borderId="0" xfId="0" applyNumberFormat="1" applyFont="1" applyFill="1" applyBorder="1" applyAlignment="1">
      <alignment horizontal="left" vertical="center"/>
    </xf>
    <xf numFmtId="2" fontId="0" fillId="38" borderId="0" xfId="0" applyNumberFormat="1" applyFont="1" applyFill="1" applyBorder="1" applyAlignment="1">
      <alignment horizontal="left" vertical="center"/>
    </xf>
    <xf numFmtId="166" fontId="0" fillId="38" borderId="0" xfId="0" applyNumberFormat="1" applyFont="1" applyFill="1" applyBorder="1" applyAlignment="1">
      <alignment horizontal="center" vertical="center"/>
    </xf>
    <xf numFmtId="0" fontId="37" fillId="9" borderId="0" xfId="0" applyFont="1" applyFill="1" applyBorder="1" applyAlignment="1">
      <alignment horizontal="left" vertical="center" indent="1"/>
    </xf>
    <xf numFmtId="0" fontId="0" fillId="9" borderId="0" xfId="0" applyFont="1" applyFill="1" applyBorder="1" applyAlignment="1">
      <alignment horizontal="left" vertical="center"/>
    </xf>
    <xf numFmtId="166" fontId="0" fillId="9" borderId="0" xfId="0" applyNumberFormat="1" applyFont="1" applyFill="1" applyBorder="1" applyAlignment="1">
      <alignment horizontal="center" vertical="center"/>
    </xf>
    <xf numFmtId="2"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left" vertical="center"/>
    </xf>
    <xf numFmtId="0" fontId="37" fillId="23" borderId="0" xfId="0" applyFont="1" applyFill="1" applyBorder="1" applyAlignment="1">
      <alignment horizontal="left" vertical="center" indent="1"/>
    </xf>
    <xf numFmtId="0" fontId="0" fillId="23" borderId="0" xfId="0" applyFont="1" applyFill="1" applyBorder="1" applyAlignment="1">
      <alignment horizontal="left" vertical="center"/>
    </xf>
    <xf numFmtId="166" fontId="0" fillId="23" borderId="0" xfId="0" applyNumberFormat="1" applyFont="1" applyFill="1" applyBorder="1" applyAlignment="1">
      <alignment horizontal="center" vertical="center"/>
    </xf>
    <xf numFmtId="0" fontId="0" fillId="23" borderId="0" xfId="0" applyFont="1" applyFill="1" applyBorder="1" applyAlignment="1">
      <alignment horizontal="left" vertical="center" indent="1"/>
    </xf>
    <xf numFmtId="0" fontId="0" fillId="0" borderId="0" xfId="0" applyAlignment="1">
      <alignment horizontal="left" vertical="center" indent="1"/>
    </xf>
    <xf numFmtId="0" fontId="0" fillId="0" borderId="0" xfId="0" applyAlignment="1">
      <alignment horizontal="center" vertical="center"/>
    </xf>
    <xf numFmtId="0" fontId="0" fillId="0" borderId="0" xfId="0" applyFont="1" applyAlignment="1">
      <alignment horizontal="left" vertical="center"/>
    </xf>
    <xf numFmtId="0" fontId="15" fillId="0" borderId="0" xfId="0" applyFont="1" applyAlignment="1">
      <alignment vertical="center"/>
    </xf>
    <xf numFmtId="0" fontId="76" fillId="0" borderId="0" xfId="0" applyFont="1" applyAlignment="1">
      <alignment vertical="center"/>
    </xf>
    <xf numFmtId="0" fontId="76" fillId="0" borderId="0" xfId="0" applyFont="1" applyAlignment="1">
      <alignment horizontal="center" vertical="center"/>
    </xf>
    <xf numFmtId="0" fontId="44" fillId="0" borderId="0" xfId="0" applyFont="1" applyAlignment="1">
      <alignment vertical="center"/>
    </xf>
    <xf numFmtId="0" fontId="76" fillId="0" borderId="0" xfId="0" applyFont="1"/>
    <xf numFmtId="0" fontId="76" fillId="0" borderId="0" xfId="0" applyFont="1" applyAlignment="1">
      <alignment horizontal="center"/>
    </xf>
    <xf numFmtId="0" fontId="93" fillId="0" borderId="0" xfId="0" applyFont="1" applyFill="1" applyBorder="1" applyAlignment="1" applyProtection="1">
      <alignment horizontal="left" vertical="top"/>
    </xf>
    <xf numFmtId="0" fontId="37" fillId="0" borderId="0" xfId="0" applyFont="1" applyFill="1" applyBorder="1" applyAlignment="1" applyProtection="1">
      <alignment horizontal="right" vertical="top"/>
    </xf>
    <xf numFmtId="0" fontId="3" fillId="0" borderId="0" xfId="0" applyFont="1" applyFill="1" applyBorder="1" applyAlignment="1" applyProtection="1"/>
    <xf numFmtId="0" fontId="0" fillId="0" borderId="0" xfId="0" applyFont="1" applyFill="1" applyBorder="1" applyAlignment="1" applyProtection="1">
      <alignment horizontal="right"/>
    </xf>
    <xf numFmtId="0" fontId="93" fillId="0" borderId="0" xfId="0" applyFont="1" applyFill="1" applyBorder="1" applyAlignment="1" applyProtection="1"/>
    <xf numFmtId="0" fontId="0" fillId="0" borderId="0" xfId="0" applyFont="1" applyFill="1" applyBorder="1" applyAlignment="1" applyProtection="1">
      <alignment horizontal="right"/>
      <protection locked="0"/>
    </xf>
    <xf numFmtId="0" fontId="61" fillId="0" borderId="0" xfId="0" applyFont="1" applyFill="1" applyBorder="1" applyAlignment="1" applyProtection="1">
      <alignment horizontal="left" vertical="top"/>
    </xf>
    <xf numFmtId="0" fontId="47" fillId="0" borderId="0" xfId="0" applyFont="1" applyFill="1" applyBorder="1" applyAlignment="1" applyProtection="1">
      <alignment horizontal="left" vertical="top"/>
    </xf>
    <xf numFmtId="0" fontId="64" fillId="12" borderId="0" xfId="0" applyFont="1" applyFill="1" applyBorder="1" applyAlignment="1" applyProtection="1">
      <alignment horizontal="left" vertical="top" wrapText="1"/>
    </xf>
    <xf numFmtId="0" fontId="64" fillId="12" borderId="0" xfId="0" applyFont="1" applyFill="1" applyBorder="1" applyAlignment="1" applyProtection="1">
      <alignment horizontal="left" vertical="top"/>
    </xf>
    <xf numFmtId="0" fontId="64" fillId="12" borderId="0" xfId="0" applyFont="1" applyFill="1" applyBorder="1" applyAlignment="1" applyProtection="1">
      <alignment horizontal="right" vertical="top" wrapText="1"/>
    </xf>
    <xf numFmtId="0" fontId="64" fillId="0" borderId="0" xfId="0" applyFont="1" applyFill="1" applyBorder="1" applyAlignment="1" applyProtection="1">
      <alignment horizontal="right" vertical="top"/>
      <protection locked="0"/>
    </xf>
    <xf numFmtId="0" fontId="74" fillId="6" borderId="63" xfId="0" applyFont="1" applyFill="1" applyBorder="1" applyAlignment="1" applyProtection="1">
      <alignment horizontal="left" vertical="top" wrapText="1"/>
    </xf>
    <xf numFmtId="0" fontId="37" fillId="6" borderId="63" xfId="0" applyFont="1" applyFill="1" applyBorder="1" applyAlignment="1" applyProtection="1">
      <alignment horizontal="left" vertical="top"/>
    </xf>
    <xf numFmtId="0" fontId="93" fillId="6" borderId="63" xfId="0" applyFont="1" applyFill="1" applyBorder="1" applyAlignment="1" applyProtection="1">
      <alignment horizontal="left" vertical="top"/>
    </xf>
    <xf numFmtId="167" fontId="37" fillId="9" borderId="63" xfId="0" applyNumberFormat="1" applyFont="1" applyFill="1" applyBorder="1" applyAlignment="1" applyProtection="1">
      <alignment horizontal="right" vertical="top"/>
    </xf>
    <xf numFmtId="0" fontId="47" fillId="0" borderId="0" xfId="0" applyFont="1" applyFill="1" applyBorder="1" applyAlignment="1" applyProtection="1">
      <alignment horizontal="right" vertical="top"/>
      <protection locked="0"/>
    </xf>
    <xf numFmtId="0" fontId="74" fillId="6" borderId="160" xfId="0" applyFont="1" applyFill="1" applyBorder="1" applyAlignment="1" applyProtection="1">
      <alignment horizontal="left" vertical="top" wrapText="1"/>
    </xf>
    <xf numFmtId="0" fontId="93" fillId="6" borderId="160" xfId="0" applyFont="1" applyFill="1" applyBorder="1" applyAlignment="1" applyProtection="1">
      <alignment horizontal="left" vertical="top"/>
    </xf>
    <xf numFmtId="0" fontId="0" fillId="9" borderId="160" xfId="0" applyFont="1" applyFill="1" applyBorder="1" applyAlignment="1" applyProtection="1">
      <alignment horizontal="right" vertical="top" wrapText="1"/>
    </xf>
    <xf numFmtId="0" fontId="47" fillId="0" borderId="0" xfId="0" applyFont="1" applyFill="1" applyBorder="1" applyAlignment="1" applyProtection="1">
      <alignment horizontal="right" vertical="top" wrapText="1"/>
      <protection locked="0"/>
    </xf>
    <xf numFmtId="0" fontId="95" fillId="39" borderId="0" xfId="0" applyFont="1" applyFill="1" applyBorder="1" applyAlignment="1" applyProtection="1">
      <alignment horizontal="left" vertical="top"/>
    </xf>
    <xf numFmtId="0" fontId="96" fillId="39" borderId="0" xfId="0" applyFont="1" applyFill="1" applyBorder="1" applyAlignment="1" applyProtection="1">
      <alignment horizontal="left" vertical="top"/>
    </xf>
    <xf numFmtId="0" fontId="97" fillId="39" borderId="0" xfId="0" applyFont="1" applyFill="1" applyBorder="1" applyAlignment="1" applyProtection="1">
      <alignment horizontal="right" vertical="top" wrapText="1"/>
    </xf>
    <xf numFmtId="0" fontId="9" fillId="0" borderId="0" xfId="0" applyFont="1" applyFill="1" applyBorder="1" applyAlignment="1" applyProtection="1">
      <alignment horizontal="right" vertical="top" wrapText="1"/>
      <protection locked="0"/>
    </xf>
    <xf numFmtId="0" fontId="37" fillId="9" borderId="63" xfId="0" applyFont="1" applyFill="1" applyBorder="1" applyAlignment="1" applyProtection="1">
      <alignment horizontal="right" vertical="top" wrapText="1"/>
    </xf>
    <xf numFmtId="0" fontId="74" fillId="6" borderId="67" xfId="0" applyFont="1" applyFill="1" applyBorder="1" applyAlignment="1" applyProtection="1">
      <alignment horizontal="left" vertical="top" wrapText="1"/>
    </xf>
    <xf numFmtId="0" fontId="93" fillId="6" borderId="67" xfId="0" applyFont="1" applyFill="1" applyBorder="1" applyAlignment="1" applyProtection="1">
      <alignment horizontal="left" vertical="top"/>
    </xf>
    <xf numFmtId="0" fontId="37" fillId="9" borderId="67" xfId="0" applyFont="1" applyFill="1" applyBorder="1" applyAlignment="1" applyProtection="1">
      <alignment horizontal="right" vertical="top" wrapText="1"/>
    </xf>
    <xf numFmtId="167" fontId="74" fillId="6" borderId="67" xfId="0" applyNumberFormat="1" applyFont="1" applyFill="1" applyBorder="1" applyAlignment="1" applyProtection="1">
      <alignment horizontal="left" vertical="top" wrapText="1"/>
    </xf>
    <xf numFmtId="167" fontId="37" fillId="6" borderId="67" xfId="0" applyNumberFormat="1" applyFont="1" applyFill="1" applyBorder="1" applyAlignment="1" applyProtection="1">
      <alignment horizontal="left" vertical="top"/>
    </xf>
    <xf numFmtId="167" fontId="93" fillId="6" borderId="67" xfId="0" applyNumberFormat="1" applyFont="1" applyFill="1" applyBorder="1" applyAlignment="1" applyProtection="1">
      <alignment horizontal="left" vertical="top"/>
    </xf>
    <xf numFmtId="167" fontId="37" fillId="9" borderId="67" xfId="0" applyNumberFormat="1" applyFont="1" applyFill="1" applyBorder="1" applyAlignment="1" applyProtection="1">
      <alignment horizontal="right" vertical="top" wrapText="1"/>
    </xf>
    <xf numFmtId="167" fontId="0" fillId="0" borderId="0" xfId="0" applyNumberFormat="1" applyFont="1" applyFill="1" applyBorder="1" applyAlignment="1" applyProtection="1">
      <alignment horizontal="right" vertical="top" wrapText="1"/>
      <protection locked="0"/>
    </xf>
    <xf numFmtId="167" fontId="37" fillId="9" borderId="67" xfId="0" applyNumberFormat="1" applyFont="1" applyFill="1" applyBorder="1" applyAlignment="1" applyProtection="1">
      <alignment horizontal="right" vertical="top"/>
    </xf>
    <xf numFmtId="167" fontId="0" fillId="0" borderId="0" xfId="0" applyNumberFormat="1" applyFont="1" applyFill="1" applyBorder="1" applyAlignment="1" applyProtection="1">
      <alignment horizontal="right" vertical="top"/>
      <protection locked="0"/>
    </xf>
    <xf numFmtId="0" fontId="37" fillId="9" borderId="67" xfId="0" applyFont="1" applyFill="1" applyBorder="1" applyAlignment="1" applyProtection="1">
      <alignment horizontal="right" vertical="top"/>
    </xf>
    <xf numFmtId="14" fontId="37" fillId="9" borderId="67" xfId="0" applyNumberFormat="1" applyFont="1" applyFill="1" applyBorder="1" applyAlignment="1" applyProtection="1">
      <alignment horizontal="right" vertical="top"/>
    </xf>
    <xf numFmtId="166" fontId="74" fillId="6" borderId="67" xfId="0" applyNumberFormat="1" applyFont="1" applyFill="1" applyBorder="1" applyAlignment="1" applyProtection="1">
      <alignment horizontal="left" vertical="top" wrapText="1"/>
    </xf>
    <xf numFmtId="166" fontId="37" fillId="6" borderId="67" xfId="0" applyNumberFormat="1" applyFont="1" applyFill="1" applyBorder="1" applyAlignment="1" applyProtection="1">
      <alignment horizontal="left" vertical="top"/>
    </xf>
    <xf numFmtId="166" fontId="93" fillId="6" borderId="67" xfId="0" applyNumberFormat="1" applyFont="1" applyFill="1" applyBorder="1" applyAlignment="1" applyProtection="1">
      <alignment horizontal="left" vertical="top"/>
    </xf>
    <xf numFmtId="166" fontId="37" fillId="9" borderId="67" xfId="0" applyNumberFormat="1" applyFont="1" applyFill="1" applyBorder="1" applyAlignment="1" applyProtection="1">
      <alignment horizontal="right" vertical="top"/>
    </xf>
    <xf numFmtId="166" fontId="0" fillId="0" borderId="0" xfId="0" applyNumberFormat="1" applyFont="1" applyFill="1" applyBorder="1" applyAlignment="1" applyProtection="1">
      <alignment horizontal="right" vertical="top"/>
      <protection locked="0"/>
    </xf>
    <xf numFmtId="166" fontId="6" fillId="6" borderId="67" xfId="0" applyNumberFormat="1" applyFont="1" applyFill="1" applyBorder="1" applyAlignment="1" applyProtection="1">
      <alignment horizontal="left" vertical="top" wrapText="1"/>
    </xf>
    <xf numFmtId="166" fontId="1" fillId="0" borderId="0" xfId="0" applyNumberFormat="1" applyFont="1" applyFill="1" applyBorder="1" applyAlignment="1" applyProtection="1">
      <alignment horizontal="left" vertical="top" wrapText="1"/>
    </xf>
    <xf numFmtId="166" fontId="37" fillId="12" borderId="50" xfId="0" applyNumberFormat="1" applyFont="1" applyFill="1" applyBorder="1" applyAlignment="1" applyProtection="1">
      <alignment horizontal="left" vertical="top"/>
    </xf>
    <xf numFmtId="166" fontId="37" fillId="12" borderId="55" xfId="0" applyNumberFormat="1" applyFont="1" applyFill="1" applyBorder="1" applyAlignment="1" applyProtection="1">
      <alignment vertical="top"/>
    </xf>
    <xf numFmtId="166" fontId="37" fillId="6" borderId="67" xfId="0" applyNumberFormat="1" applyFont="1" applyFill="1" applyBorder="1" applyAlignment="1" applyProtection="1">
      <alignment horizontal="left" vertical="top" wrapText="1"/>
    </xf>
    <xf numFmtId="166" fontId="37" fillId="12" borderId="59" xfId="0" applyNumberFormat="1" applyFont="1" applyFill="1" applyBorder="1" applyAlignment="1" applyProtection="1">
      <alignment vertical="top"/>
    </xf>
    <xf numFmtId="166" fontId="33" fillId="9" borderId="67" xfId="0" applyNumberFormat="1" applyFont="1" applyFill="1" applyBorder="1" applyAlignment="1" applyProtection="1">
      <alignment horizontal="right" vertical="top"/>
    </xf>
    <xf numFmtId="166" fontId="1" fillId="6" borderId="63" xfId="0" applyNumberFormat="1" applyFont="1" applyFill="1" applyBorder="1" applyAlignment="1" applyProtection="1">
      <alignment vertical="top" wrapText="1"/>
    </xf>
    <xf numFmtId="166" fontId="1" fillId="6" borderId="65" xfId="0" applyNumberFormat="1" applyFont="1" applyFill="1" applyBorder="1" applyAlignment="1" applyProtection="1">
      <alignment vertical="top" wrapText="1"/>
    </xf>
    <xf numFmtId="166" fontId="1" fillId="0" borderId="65" xfId="0" applyNumberFormat="1" applyFont="1" applyFill="1" applyBorder="1" applyAlignment="1" applyProtection="1">
      <alignment vertical="top" wrapText="1"/>
    </xf>
    <xf numFmtId="166" fontId="93" fillId="6" borderId="0" xfId="0" applyNumberFormat="1" applyFont="1" applyFill="1" applyBorder="1" applyAlignment="1" applyProtection="1">
      <alignment horizontal="left" vertical="top"/>
    </xf>
    <xf numFmtId="166" fontId="1" fillId="6" borderId="63" xfId="0" applyNumberFormat="1" applyFont="1" applyFill="1" applyBorder="1" applyAlignment="1" applyProtection="1">
      <alignment horizontal="left" vertical="top" wrapText="1"/>
    </xf>
    <xf numFmtId="166" fontId="12" fillId="0" borderId="0" xfId="0" applyNumberFormat="1" applyFont="1" applyFill="1" applyBorder="1" applyAlignment="1" applyProtection="1">
      <alignment horizontal="left" vertical="top" wrapText="1"/>
    </xf>
    <xf numFmtId="166" fontId="1" fillId="0" borderId="6" xfId="0" applyNumberFormat="1" applyFont="1" applyFill="1" applyBorder="1" applyAlignment="1" applyProtection="1">
      <alignment horizontal="left" vertical="top" wrapText="1"/>
    </xf>
    <xf numFmtId="166" fontId="74" fillId="6" borderId="0" xfId="0" applyNumberFormat="1" applyFont="1" applyFill="1" applyBorder="1" applyAlignment="1" applyProtection="1">
      <alignment horizontal="left" vertical="top" wrapText="1"/>
    </xf>
    <xf numFmtId="166" fontId="1" fillId="0" borderId="0" xfId="0" applyNumberFormat="1" applyFont="1" applyFill="1" applyBorder="1" applyAlignment="1" applyProtection="1">
      <alignment vertical="top" wrapText="1"/>
    </xf>
    <xf numFmtId="166" fontId="95" fillId="39" borderId="0" xfId="0" applyNumberFormat="1" applyFont="1" applyFill="1" applyBorder="1" applyAlignment="1" applyProtection="1">
      <alignment horizontal="left" vertical="top"/>
    </xf>
    <xf numFmtId="166" fontId="74" fillId="6" borderId="63" xfId="0" applyNumberFormat="1" applyFont="1" applyFill="1" applyBorder="1" applyAlignment="1" applyProtection="1">
      <alignment horizontal="left" vertical="top" wrapText="1"/>
    </xf>
    <xf numFmtId="166" fontId="37" fillId="6" borderId="76" xfId="0" applyNumberFormat="1" applyFont="1" applyFill="1" applyBorder="1" applyAlignment="1" applyProtection="1">
      <alignment horizontal="right" vertical="top"/>
      <protection locked="0"/>
    </xf>
    <xf numFmtId="3" fontId="0" fillId="9" borderId="77" xfId="0" applyNumberFormat="1" applyFont="1" applyFill="1" applyBorder="1" applyAlignment="1" applyProtection="1">
      <alignment horizontal="right" vertical="top"/>
      <protection locked="0"/>
    </xf>
    <xf numFmtId="4" fontId="0" fillId="9" borderId="77" xfId="0" applyNumberFormat="1" applyFont="1" applyFill="1" applyBorder="1" applyAlignment="1" applyProtection="1">
      <alignment horizontal="right" vertical="top"/>
      <protection locked="0"/>
    </xf>
    <xf numFmtId="185" fontId="0" fillId="9" borderId="77" xfId="0" applyNumberFormat="1" applyFont="1" applyFill="1" applyBorder="1" applyAlignment="1" applyProtection="1">
      <alignment horizontal="right" vertical="top"/>
      <protection locked="0"/>
    </xf>
    <xf numFmtId="166" fontId="0" fillId="9" borderId="77" xfId="0" applyNumberFormat="1" applyFont="1" applyFill="1" applyBorder="1" applyAlignment="1" applyProtection="1">
      <alignment horizontal="right" vertical="top"/>
      <protection locked="0"/>
    </xf>
    <xf numFmtId="166" fontId="74" fillId="6" borderId="76" xfId="0" applyNumberFormat="1" applyFont="1" applyFill="1" applyBorder="1" applyAlignment="1" applyProtection="1">
      <alignment horizontal="right" vertical="top"/>
      <protection locked="0"/>
    </xf>
    <xf numFmtId="14" fontId="0" fillId="9" borderId="77" xfId="0" applyNumberFormat="1" applyFont="1" applyFill="1" applyBorder="1" applyAlignment="1" applyProtection="1">
      <alignment horizontal="right" vertical="top"/>
      <protection locked="0"/>
    </xf>
    <xf numFmtId="166" fontId="0" fillId="6" borderId="0" xfId="0" applyNumberFormat="1" applyFont="1" applyFill="1" applyBorder="1" applyAlignment="1" applyProtection="1">
      <alignment horizontal="right" vertical="top"/>
      <protection locked="0"/>
    </xf>
    <xf numFmtId="166" fontId="23" fillId="0" borderId="0" xfId="0" applyNumberFormat="1" applyFont="1" applyFill="1" applyBorder="1" applyAlignment="1" applyProtection="1">
      <alignment horizontal="left" vertical="top" indent="1"/>
    </xf>
    <xf numFmtId="166" fontId="1" fillId="6" borderId="0" xfId="0" applyNumberFormat="1" applyFont="1" applyFill="1" applyBorder="1" applyAlignment="1" applyProtection="1">
      <alignment horizontal="left" vertical="top" wrapText="1"/>
    </xf>
    <xf numFmtId="178" fontId="74" fillId="6" borderId="67" xfId="5" applyNumberFormat="1" applyFont="1" applyFill="1" applyBorder="1" applyAlignment="1" applyProtection="1">
      <alignment horizontal="left" vertical="top" wrapText="1"/>
    </xf>
    <xf numFmtId="178" fontId="37" fillId="6" borderId="67" xfId="5" applyNumberFormat="1" applyFont="1" applyFill="1" applyBorder="1" applyAlignment="1" applyProtection="1">
      <alignment horizontal="left" vertical="top"/>
    </xf>
    <xf numFmtId="178" fontId="93" fillId="6" borderId="67" xfId="5" applyNumberFormat="1" applyFont="1" applyFill="1" applyBorder="1" applyAlignment="1" applyProtection="1">
      <alignment horizontal="left" vertical="top"/>
    </xf>
    <xf numFmtId="178" fontId="37" fillId="21" borderId="67" xfId="5" applyNumberFormat="1" applyFont="1" applyFill="1" applyBorder="1" applyAlignment="1" applyProtection="1">
      <alignment horizontal="right" vertical="top"/>
    </xf>
    <xf numFmtId="178" fontId="0" fillId="0" borderId="0" xfId="5" applyNumberFormat="1" applyFont="1" applyFill="1" applyBorder="1" applyAlignment="1" applyProtection="1">
      <alignment horizontal="right" vertical="top"/>
      <protection locked="0"/>
    </xf>
    <xf numFmtId="0" fontId="0" fillId="0" borderId="0" xfId="5" applyNumberFormat="1" applyFont="1" applyFill="1" applyBorder="1" applyAlignment="1" applyProtection="1">
      <alignment horizontal="right" vertical="top"/>
      <protection locked="0"/>
    </xf>
    <xf numFmtId="178" fontId="37" fillId="21" borderId="67" xfId="5" applyNumberFormat="1" applyFont="1" applyFill="1" applyBorder="1" applyAlignment="1" applyProtection="1">
      <alignment horizontal="right" vertical="top" wrapText="1"/>
    </xf>
    <xf numFmtId="178" fontId="0" fillId="0" borderId="0" xfId="5" applyNumberFormat="1" applyFont="1" applyFill="1" applyBorder="1" applyAlignment="1" applyProtection="1">
      <alignment horizontal="right" vertical="top" wrapText="1"/>
      <protection locked="0"/>
    </xf>
    <xf numFmtId="168" fontId="74" fillId="6" borderId="67" xfId="0" applyNumberFormat="1" applyFont="1" applyFill="1" applyBorder="1" applyAlignment="1" applyProtection="1">
      <alignment horizontal="left" vertical="top" wrapText="1"/>
    </xf>
    <xf numFmtId="168" fontId="37" fillId="6" borderId="67" xfId="0" applyNumberFormat="1" applyFont="1" applyFill="1" applyBorder="1" applyAlignment="1" applyProtection="1">
      <alignment horizontal="left" vertical="top"/>
    </xf>
    <xf numFmtId="168" fontId="93" fillId="6" borderId="67" xfId="0" applyNumberFormat="1" applyFont="1" applyFill="1" applyBorder="1" applyAlignment="1" applyProtection="1">
      <alignment horizontal="left" vertical="top"/>
    </xf>
    <xf numFmtId="168" fontId="37" fillId="21" borderId="67" xfId="0" applyNumberFormat="1" applyFont="1" applyFill="1" applyBorder="1" applyAlignment="1" applyProtection="1">
      <alignment horizontal="right" vertical="top" wrapText="1"/>
    </xf>
    <xf numFmtId="168" fontId="0" fillId="0" borderId="0" xfId="0" applyNumberFormat="1" applyFont="1" applyFill="1" applyBorder="1" applyAlignment="1" applyProtection="1">
      <alignment horizontal="right" vertical="top" wrapText="1"/>
      <protection locked="0"/>
    </xf>
    <xf numFmtId="168" fontId="0" fillId="0" borderId="0" xfId="0" applyNumberFormat="1" applyFont="1" applyFill="1" applyBorder="1" applyAlignment="1" applyProtection="1">
      <alignment horizontal="right" vertical="top"/>
      <protection locked="0"/>
    </xf>
    <xf numFmtId="165" fontId="74" fillId="6" borderId="67" xfId="5" applyNumberFormat="1" applyFont="1" applyFill="1" applyBorder="1" applyAlignment="1" applyProtection="1">
      <alignment horizontal="left" vertical="top" wrapText="1"/>
    </xf>
    <xf numFmtId="165" fontId="37" fillId="6" borderId="67" xfId="5" applyNumberFormat="1" applyFont="1" applyFill="1" applyBorder="1" applyAlignment="1" applyProtection="1">
      <alignment horizontal="left" vertical="top"/>
    </xf>
    <xf numFmtId="165" fontId="93" fillId="6" borderId="67" xfId="5" applyNumberFormat="1" applyFont="1" applyFill="1" applyBorder="1" applyAlignment="1" applyProtection="1">
      <alignment horizontal="left" vertical="top"/>
    </xf>
    <xf numFmtId="165" fontId="37" fillId="21" borderId="67" xfId="5" applyNumberFormat="1" applyFont="1" applyFill="1" applyBorder="1" applyAlignment="1" applyProtection="1">
      <alignment horizontal="right" vertical="top" wrapText="1"/>
    </xf>
    <xf numFmtId="165" fontId="0" fillId="0" borderId="0" xfId="5" applyNumberFormat="1" applyFont="1" applyFill="1" applyBorder="1" applyAlignment="1" applyProtection="1">
      <alignment horizontal="right" vertical="top" wrapText="1"/>
      <protection locked="0"/>
    </xf>
    <xf numFmtId="165" fontId="0" fillId="0" borderId="0" xfId="5" applyNumberFormat="1" applyFont="1" applyFill="1" applyBorder="1" applyAlignment="1" applyProtection="1">
      <alignment horizontal="right" vertical="top"/>
      <protection locked="0"/>
    </xf>
    <xf numFmtId="165" fontId="74" fillId="6" borderId="67" xfId="0" applyNumberFormat="1" applyFont="1" applyFill="1" applyBorder="1" applyAlignment="1" applyProtection="1">
      <alignment horizontal="left" vertical="top" wrapText="1"/>
    </xf>
    <xf numFmtId="165" fontId="37" fillId="6" borderId="67" xfId="0" applyNumberFormat="1" applyFont="1" applyFill="1" applyBorder="1" applyAlignment="1" applyProtection="1">
      <alignment horizontal="left" vertical="top"/>
    </xf>
    <xf numFmtId="165" fontId="93" fillId="6" borderId="67" xfId="0" applyNumberFormat="1" applyFont="1" applyFill="1" applyBorder="1" applyAlignment="1" applyProtection="1">
      <alignment horizontal="left" vertical="top"/>
    </xf>
    <xf numFmtId="185" fontId="37" fillId="21" borderId="67" xfId="0" applyNumberFormat="1" applyFont="1" applyFill="1" applyBorder="1" applyAlignment="1" applyProtection="1">
      <alignment horizontal="right" vertical="top"/>
    </xf>
    <xf numFmtId="185" fontId="0" fillId="0" borderId="0" xfId="0" applyNumberFormat="1" applyFont="1" applyFill="1" applyBorder="1" applyAlignment="1" applyProtection="1">
      <alignment horizontal="right" vertical="top"/>
      <protection locked="0"/>
    </xf>
    <xf numFmtId="165" fontId="0" fillId="0" borderId="0" xfId="0" applyNumberFormat="1" applyFont="1" applyFill="1" applyBorder="1" applyAlignment="1" applyProtection="1">
      <alignment horizontal="right" vertical="top"/>
      <protection locked="0"/>
    </xf>
    <xf numFmtId="168" fontId="74" fillId="6" borderId="67" xfId="5" applyNumberFormat="1" applyFont="1" applyFill="1" applyBorder="1" applyAlignment="1" applyProtection="1">
      <alignment horizontal="left" vertical="top" wrapText="1"/>
    </xf>
    <xf numFmtId="168" fontId="37" fillId="6" borderId="67" xfId="5" applyNumberFormat="1" applyFont="1" applyFill="1" applyBorder="1" applyAlignment="1" applyProtection="1">
      <alignment horizontal="left" vertical="top"/>
    </xf>
    <xf numFmtId="168" fontId="93" fillId="6" borderId="67" xfId="5" applyNumberFormat="1" applyFont="1" applyFill="1" applyBorder="1" applyAlignment="1" applyProtection="1">
      <alignment horizontal="left" vertical="top"/>
    </xf>
    <xf numFmtId="168" fontId="37" fillId="21" borderId="67" xfId="5" applyNumberFormat="1" applyFont="1" applyFill="1" applyBorder="1" applyAlignment="1" applyProtection="1">
      <alignment horizontal="right" vertical="top" wrapText="1"/>
    </xf>
    <xf numFmtId="168" fontId="0" fillId="0" borderId="0" xfId="5" applyNumberFormat="1" applyFont="1" applyFill="1" applyBorder="1" applyAlignment="1" applyProtection="1">
      <alignment horizontal="right" vertical="top" wrapText="1"/>
      <protection locked="0"/>
    </xf>
    <xf numFmtId="168" fontId="0" fillId="0" borderId="0" xfId="5" applyNumberFormat="1" applyFont="1" applyFill="1" applyBorder="1" applyAlignment="1" applyProtection="1">
      <alignment horizontal="right" vertical="top"/>
      <protection locked="0"/>
    </xf>
    <xf numFmtId="178" fontId="74" fillId="6" borderId="67" xfId="0" applyNumberFormat="1" applyFont="1" applyFill="1" applyBorder="1" applyAlignment="1" applyProtection="1">
      <alignment horizontal="left" vertical="top" wrapText="1"/>
    </xf>
    <xf numFmtId="178" fontId="37" fillId="6" borderId="67" xfId="0" applyNumberFormat="1" applyFont="1" applyFill="1" applyBorder="1" applyAlignment="1" applyProtection="1">
      <alignment horizontal="left" vertical="top"/>
    </xf>
    <xf numFmtId="178" fontId="93" fillId="6" borderId="67" xfId="0" applyNumberFormat="1" applyFont="1" applyFill="1" applyBorder="1" applyAlignment="1" applyProtection="1">
      <alignment horizontal="left" vertical="top"/>
    </xf>
    <xf numFmtId="178" fontId="37" fillId="21" borderId="67" xfId="0" applyNumberFormat="1" applyFont="1" applyFill="1" applyBorder="1" applyAlignment="1" applyProtection="1">
      <alignment horizontal="right" vertical="top"/>
    </xf>
    <xf numFmtId="178" fontId="0" fillId="0" borderId="0" xfId="0" applyNumberFormat="1" applyFont="1" applyFill="1" applyBorder="1" applyAlignment="1" applyProtection="1">
      <alignment horizontal="right" vertical="top"/>
      <protection locked="0"/>
    </xf>
    <xf numFmtId="0" fontId="37" fillId="6" borderId="67" xfId="0" applyFont="1" applyFill="1" applyBorder="1" applyAlignment="1" applyProtection="1">
      <alignment horizontal="left" vertical="top"/>
    </xf>
    <xf numFmtId="180" fontId="74" fillId="6" borderId="67" xfId="5" applyNumberFormat="1" applyFont="1" applyFill="1" applyBorder="1" applyAlignment="1" applyProtection="1">
      <alignment horizontal="left" vertical="top" wrapText="1"/>
    </xf>
    <xf numFmtId="180" fontId="37" fillId="6" borderId="67" xfId="5" applyNumberFormat="1" applyFont="1" applyFill="1" applyBorder="1" applyAlignment="1" applyProtection="1">
      <alignment horizontal="left" vertical="top"/>
    </xf>
    <xf numFmtId="180" fontId="74" fillId="6" borderId="67" xfId="3" applyNumberFormat="1" applyFont="1" applyFill="1" applyBorder="1" applyAlignment="1" applyProtection="1">
      <alignment horizontal="left" vertical="top" wrapText="1"/>
    </xf>
    <xf numFmtId="180" fontId="37" fillId="6" borderId="67" xfId="3" applyNumberFormat="1" applyFont="1" applyFill="1" applyBorder="1" applyAlignment="1" applyProtection="1">
      <alignment horizontal="left" vertical="top"/>
    </xf>
    <xf numFmtId="180" fontId="93" fillId="6" borderId="67" xfId="3" applyNumberFormat="1" applyFont="1" applyFill="1" applyBorder="1" applyAlignment="1" applyProtection="1">
      <alignment horizontal="left" vertical="top"/>
    </xf>
    <xf numFmtId="9" fontId="37" fillId="21" borderId="67" xfId="3" applyFont="1" applyFill="1" applyBorder="1" applyAlignment="1" applyProtection="1">
      <alignment horizontal="right" vertical="top"/>
    </xf>
    <xf numFmtId="9" fontId="0" fillId="0" borderId="0" xfId="3" applyFont="1" applyFill="1" applyBorder="1" applyAlignment="1" applyProtection="1">
      <alignment horizontal="right" vertical="top"/>
      <protection locked="0"/>
    </xf>
    <xf numFmtId="178" fontId="74" fillId="6" borderId="0" xfId="5" applyNumberFormat="1" applyFont="1" applyFill="1" applyBorder="1" applyAlignment="1" applyProtection="1">
      <alignment horizontal="left" vertical="top" wrapText="1"/>
    </xf>
    <xf numFmtId="178" fontId="37" fillId="6" borderId="0" xfId="5" applyNumberFormat="1" applyFont="1" applyFill="1" applyBorder="1" applyAlignment="1" applyProtection="1">
      <alignment horizontal="left" vertical="top"/>
    </xf>
    <xf numFmtId="178" fontId="93" fillId="6" borderId="0" xfId="5" applyNumberFormat="1" applyFont="1" applyFill="1" applyBorder="1" applyAlignment="1" applyProtection="1">
      <alignment horizontal="left" vertical="top"/>
    </xf>
    <xf numFmtId="178" fontId="37" fillId="21" borderId="0" xfId="5" applyNumberFormat="1" applyFont="1" applyFill="1" applyBorder="1" applyAlignment="1" applyProtection="1">
      <alignment horizontal="right" vertical="top"/>
    </xf>
    <xf numFmtId="167" fontId="37" fillId="23" borderId="67" xfId="0" applyNumberFormat="1" applyFont="1" applyFill="1" applyBorder="1" applyAlignment="1" applyProtection="1">
      <alignment horizontal="right" vertical="top" wrapText="1"/>
    </xf>
    <xf numFmtId="178" fontId="37" fillId="23" borderId="67" xfId="5" applyNumberFormat="1" applyFont="1" applyFill="1" applyBorder="1" applyAlignment="1" applyProtection="1">
      <alignment horizontal="right" vertical="top"/>
    </xf>
    <xf numFmtId="165" fontId="37" fillId="23" borderId="67" xfId="5" applyNumberFormat="1" applyFont="1" applyFill="1" applyBorder="1" applyAlignment="1" applyProtection="1">
      <alignment horizontal="right" vertical="top" wrapText="1"/>
    </xf>
    <xf numFmtId="185" fontId="37" fillId="23" borderId="67" xfId="0" applyNumberFormat="1" applyFont="1" applyFill="1" applyBorder="1" applyAlignment="1" applyProtection="1">
      <alignment horizontal="right" vertical="top"/>
    </xf>
    <xf numFmtId="180" fontId="74" fillId="6" borderId="67" xfId="0" applyNumberFormat="1" applyFont="1" applyFill="1" applyBorder="1" applyAlignment="1" applyProtection="1">
      <alignment horizontal="left" vertical="top" wrapText="1"/>
    </xf>
    <xf numFmtId="180" fontId="37" fillId="6" borderId="67" xfId="0" applyNumberFormat="1" applyFont="1" applyFill="1" applyBorder="1" applyAlignment="1" applyProtection="1">
      <alignment horizontal="left" vertical="top"/>
    </xf>
    <xf numFmtId="180" fontId="93" fillId="6" borderId="67" xfId="0" applyNumberFormat="1" applyFont="1" applyFill="1" applyBorder="1" applyAlignment="1" applyProtection="1">
      <alignment horizontal="left" vertical="top"/>
    </xf>
    <xf numFmtId="9" fontId="37" fillId="23" borderId="67" xfId="3" applyFont="1" applyFill="1" applyBorder="1" applyAlignment="1" applyProtection="1">
      <alignment horizontal="right" vertical="top"/>
    </xf>
    <xf numFmtId="166" fontId="37" fillId="23" borderId="67" xfId="0" applyNumberFormat="1" applyFont="1" applyFill="1" applyBorder="1" applyAlignment="1" applyProtection="1">
      <alignment horizontal="right" vertical="top"/>
    </xf>
    <xf numFmtId="165" fontId="74" fillId="6" borderId="0" xfId="0" applyNumberFormat="1" applyFont="1" applyFill="1" applyBorder="1" applyAlignment="1" applyProtection="1">
      <alignment horizontal="left" vertical="top" wrapText="1"/>
    </xf>
    <xf numFmtId="165" fontId="37" fillId="6" borderId="0" xfId="0" applyNumberFormat="1" applyFont="1" applyFill="1" applyBorder="1" applyAlignment="1" applyProtection="1">
      <alignment horizontal="left" vertical="top"/>
    </xf>
    <xf numFmtId="185" fontId="37" fillId="0" borderId="67" xfId="0" applyNumberFormat="1" applyFont="1" applyFill="1" applyBorder="1" applyAlignment="1" applyProtection="1">
      <alignment horizontal="right" vertical="top"/>
    </xf>
    <xf numFmtId="0" fontId="74" fillId="0" borderId="0" xfId="0" applyFont="1" applyFill="1" applyBorder="1" applyAlignment="1" applyProtection="1">
      <alignment horizontal="left" vertical="top"/>
    </xf>
    <xf numFmtId="0" fontId="37" fillId="0" borderId="133" xfId="0" applyFont="1" applyFill="1" applyBorder="1" applyAlignment="1" applyProtection="1">
      <alignment horizontal="left" vertical="top" wrapText="1"/>
    </xf>
    <xf numFmtId="0" fontId="98" fillId="0" borderId="0" xfId="0" applyFont="1" applyAlignment="1">
      <alignment wrapText="1"/>
    </xf>
    <xf numFmtId="187" fontId="37" fillId="9" borderId="67" xfId="0" applyNumberFormat="1" applyFont="1" applyFill="1" applyBorder="1" applyAlignment="1" applyProtection="1">
      <alignment horizontal="right" vertical="top"/>
    </xf>
    <xf numFmtId="49" fontId="0" fillId="0" borderId="0" xfId="0" applyNumberFormat="1" applyFont="1"/>
    <xf numFmtId="0" fontId="1" fillId="0" borderId="0" xfId="6" applyFont="1" applyAlignment="1">
      <alignment vertical="top"/>
    </xf>
    <xf numFmtId="0" fontId="12" fillId="0" borderId="0" xfId="6" applyFont="1" applyAlignment="1">
      <alignment vertical="top" wrapText="1"/>
    </xf>
    <xf numFmtId="0" fontId="99" fillId="0" borderId="0" xfId="6" applyFont="1" applyAlignment="1">
      <alignment vertical="top" wrapText="1"/>
    </xf>
    <xf numFmtId="0" fontId="1" fillId="0" borderId="0" xfId="6" applyFont="1" applyAlignment="1">
      <alignment horizontal="left" vertical="top" indent="13"/>
    </xf>
    <xf numFmtId="0" fontId="2" fillId="0" borderId="0" xfId="6" applyFont="1" applyAlignment="1" applyProtection="1">
      <alignment vertical="top" wrapText="1"/>
    </xf>
    <xf numFmtId="0" fontId="1" fillId="0" borderId="0" xfId="6" applyFont="1" applyAlignment="1" applyProtection="1">
      <alignment vertical="top"/>
    </xf>
    <xf numFmtId="0" fontId="3" fillId="0" borderId="0" xfId="6" applyFont="1" applyAlignment="1" applyProtection="1"/>
    <xf numFmtId="0" fontId="4" fillId="0" borderId="0" xfId="6" applyFont="1" applyAlignment="1" applyProtection="1"/>
    <xf numFmtId="0" fontId="37" fillId="0" borderId="0" xfId="6" applyFont="1" applyAlignment="1" applyProtection="1">
      <alignment horizontal="right" wrapText="1"/>
    </xf>
    <xf numFmtId="0" fontId="0" fillId="0" borderId="0" xfId="6" applyFont="1" applyAlignment="1" applyProtection="1"/>
    <xf numFmtId="0" fontId="5" fillId="0" borderId="0" xfId="6" applyFont="1" applyAlignment="1" applyProtection="1"/>
    <xf numFmtId="0" fontId="6" fillId="0" borderId="0" xfId="6" applyFont="1" applyAlignment="1" applyProtection="1"/>
    <xf numFmtId="0" fontId="1" fillId="0" borderId="0" xfId="6" applyFont="1" applyAlignment="1" applyProtection="1">
      <alignment horizontal="right" wrapText="1"/>
    </xf>
    <xf numFmtId="0" fontId="1" fillId="0" borderId="0" xfId="6" applyFont="1" applyAlignment="1" applyProtection="1">
      <alignment vertical="top" wrapText="1"/>
    </xf>
    <xf numFmtId="0" fontId="6" fillId="0" borderId="0" xfId="6" applyFont="1" applyAlignment="1" applyProtection="1">
      <alignment vertical="top"/>
    </xf>
    <xf numFmtId="14" fontId="1" fillId="0" borderId="0" xfId="6" applyNumberFormat="1" applyFont="1" applyAlignment="1" applyProtection="1">
      <alignment horizontal="right" vertical="top" wrapText="1"/>
    </xf>
    <xf numFmtId="0" fontId="0" fillId="0" borderId="0" xfId="6" applyFont="1" applyAlignment="1" applyProtection="1">
      <alignment vertical="top"/>
    </xf>
    <xf numFmtId="0" fontId="7" fillId="0" borderId="0" xfId="6" applyFont="1" applyAlignment="1" applyProtection="1">
      <alignment vertical="top"/>
    </xf>
    <xf numFmtId="0" fontId="6" fillId="0" borderId="0" xfId="6" applyFont="1" applyAlignment="1" applyProtection="1">
      <alignment vertical="center"/>
    </xf>
    <xf numFmtId="0" fontId="0" fillId="0" borderId="0" xfId="6" applyFont="1" applyAlignment="1" applyProtection="1">
      <alignment vertical="center"/>
    </xf>
    <xf numFmtId="0" fontId="37" fillId="0" borderId="0" xfId="6" applyFont="1" applyAlignment="1" applyProtection="1"/>
    <xf numFmtId="0" fontId="12" fillId="0" borderId="0" xfId="6" applyFont="1" applyAlignment="1" applyProtection="1"/>
    <xf numFmtId="0" fontId="99" fillId="0" borderId="0" xfId="6" applyFont="1" applyAlignment="1" applyProtection="1"/>
    <xf numFmtId="0" fontId="1" fillId="0" borderId="0" xfId="6" applyFont="1" applyAlignment="1" applyProtection="1">
      <alignment horizontal="left" vertical="top" indent="13"/>
    </xf>
    <xf numFmtId="0" fontId="20" fillId="2" borderId="0" xfId="6" applyFont="1" applyFill="1" applyAlignment="1" applyProtection="1">
      <alignment vertical="center"/>
    </xf>
    <xf numFmtId="0" fontId="20" fillId="2" borderId="0" xfId="6" applyFont="1" applyFill="1" applyAlignment="1" applyProtection="1">
      <alignment horizontal="left" vertical="center" indent="1"/>
    </xf>
    <xf numFmtId="0" fontId="37" fillId="0" borderId="0" xfId="6" applyFont="1" applyFill="1" applyAlignment="1" applyProtection="1">
      <alignment vertical="center"/>
    </xf>
    <xf numFmtId="0" fontId="37" fillId="4" borderId="0" xfId="6" applyFont="1" applyFill="1" applyBorder="1" applyAlignment="1" applyProtection="1">
      <alignment vertical="center" wrapText="1"/>
    </xf>
    <xf numFmtId="0" fontId="37" fillId="4" borderId="0" xfId="6" applyFont="1" applyFill="1" applyBorder="1" applyAlignment="1" applyProtection="1">
      <alignment vertical="center"/>
    </xf>
    <xf numFmtId="0" fontId="0" fillId="4" borderId="0" xfId="6" applyFont="1" applyFill="1" applyBorder="1" applyAlignment="1" applyProtection="1">
      <alignment horizontal="left" vertical="center" indent="1"/>
    </xf>
    <xf numFmtId="0" fontId="0" fillId="0" borderId="0" xfId="6" applyFont="1" applyAlignment="1" applyProtection="1">
      <alignment horizontal="left" vertical="center" indent="13"/>
    </xf>
    <xf numFmtId="0" fontId="12" fillId="0" borderId="4" xfId="6" applyFont="1" applyBorder="1" applyAlignment="1" applyProtection="1">
      <alignment vertical="top"/>
    </xf>
    <xf numFmtId="0" fontId="12" fillId="0" borderId="4" xfId="6" applyFont="1" applyBorder="1" applyAlignment="1" applyProtection="1">
      <alignment vertical="top" wrapText="1"/>
    </xf>
    <xf numFmtId="0" fontId="1" fillId="0" borderId="4" xfId="6" applyFont="1" applyBorder="1" applyAlignment="1" applyProtection="1">
      <alignment horizontal="left" vertical="top" wrapText="1" indent="1"/>
    </xf>
    <xf numFmtId="0" fontId="12" fillId="0" borderId="6" xfId="6" applyFont="1" applyBorder="1" applyAlignment="1" applyProtection="1">
      <alignment vertical="top"/>
    </xf>
    <xf numFmtId="0" fontId="12" fillId="0" borderId="6" xfId="6" applyFont="1" applyBorder="1" applyAlignment="1" applyProtection="1">
      <alignment vertical="top" wrapText="1"/>
    </xf>
    <xf numFmtId="0" fontId="1" fillId="0" borderId="6" xfId="6" applyFont="1" applyBorder="1" applyAlignment="1" applyProtection="1">
      <alignment horizontal="left" vertical="top" wrapText="1" indent="1"/>
    </xf>
    <xf numFmtId="0" fontId="12" fillId="0" borderId="0" xfId="6" applyFont="1" applyAlignment="1" applyProtection="1">
      <alignment vertical="top"/>
    </xf>
    <xf numFmtId="0" fontId="12" fillId="0" borderId="0" xfId="6" applyFont="1" applyAlignment="1" applyProtection="1">
      <alignment vertical="top" wrapText="1"/>
    </xf>
    <xf numFmtId="0" fontId="1" fillId="0" borderId="0" xfId="6" applyFont="1" applyAlignment="1" applyProtection="1">
      <alignment horizontal="left" vertical="top" wrapText="1" indent="1"/>
    </xf>
    <xf numFmtId="0" fontId="37" fillId="17" borderId="0" xfId="6" applyFont="1" applyFill="1" applyBorder="1" applyAlignment="1" applyProtection="1">
      <alignment vertical="center" wrapText="1"/>
    </xf>
    <xf numFmtId="0" fontId="37" fillId="17" borderId="0" xfId="6" applyFont="1" applyFill="1" applyBorder="1" applyAlignment="1" applyProtection="1">
      <alignment vertical="center"/>
    </xf>
    <xf numFmtId="0" fontId="0" fillId="17" borderId="0" xfId="6" applyFont="1" applyFill="1" applyBorder="1" applyAlignment="1" applyProtection="1">
      <alignment horizontal="left" vertical="center" indent="1"/>
    </xf>
    <xf numFmtId="0" fontId="99" fillId="0" borderId="0" xfId="6" applyFont="1" applyAlignment="1">
      <alignment horizontal="left" vertical="top" wrapText="1" indent="1"/>
    </xf>
    <xf numFmtId="0" fontId="3" fillId="0" borderId="0" xfId="6" applyFont="1" applyAlignment="1" applyProtection="1">
      <alignment vertical="center"/>
    </xf>
    <xf numFmtId="0" fontId="12" fillId="0" borderId="0" xfId="6" applyFont="1" applyAlignment="1">
      <alignment vertical="center" wrapText="1"/>
    </xf>
    <xf numFmtId="0" fontId="99" fillId="0" borderId="0" xfId="6" applyFont="1" applyAlignment="1">
      <alignment horizontal="left" vertical="center" wrapText="1" indent="1"/>
    </xf>
    <xf numFmtId="0" fontId="1" fillId="0" borderId="0" xfId="6" applyFont="1" applyAlignment="1">
      <alignment horizontal="left" vertical="center" indent="13"/>
    </xf>
    <xf numFmtId="0" fontId="101" fillId="0" borderId="201" xfId="6" applyFont="1" applyBorder="1" applyAlignment="1">
      <alignment horizontal="left" vertical="top" wrapText="1"/>
    </xf>
    <xf numFmtId="0" fontId="1" fillId="0" borderId="0" xfId="6" applyFont="1" applyAlignment="1">
      <alignment horizontal="left" vertical="top" wrapText="1"/>
    </xf>
    <xf numFmtId="0" fontId="0" fillId="0" borderId="0" xfId="0" applyAlignment="1">
      <alignment horizontal="right" vertical="center"/>
    </xf>
    <xf numFmtId="0" fontId="37" fillId="0" borderId="0" xfId="0" applyFont="1" applyAlignment="1" applyProtection="1">
      <alignment horizontal="right" wrapText="1"/>
    </xf>
    <xf numFmtId="0" fontId="37" fillId="0" borderId="0" xfId="0" applyFont="1" applyAlignment="1" applyProtection="1"/>
    <xf numFmtId="0" fontId="0" fillId="0" borderId="0" xfId="0" applyAlignment="1" applyProtection="1"/>
    <xf numFmtId="0" fontId="0" fillId="0" borderId="0" xfId="0" applyAlignment="1" applyProtection="1">
      <alignment vertical="center"/>
    </xf>
    <xf numFmtId="0" fontId="20" fillId="2" borderId="0" xfId="0" applyFont="1" applyFill="1" applyAlignment="1" applyProtection="1">
      <alignment vertical="center"/>
    </xf>
    <xf numFmtId="0" fontId="37" fillId="0" borderId="0" xfId="0" applyFont="1" applyFill="1" applyAlignment="1" applyProtection="1">
      <alignment vertical="center"/>
    </xf>
    <xf numFmtId="0" fontId="1" fillId="0" borderId="4" xfId="0" applyFont="1" applyFill="1" applyBorder="1" applyAlignment="1" applyProtection="1">
      <alignment horizontal="left" vertical="top" wrapText="1" indent="1"/>
    </xf>
    <xf numFmtId="0" fontId="1" fillId="0" borderId="6" xfId="0" applyFont="1" applyFill="1" applyBorder="1" applyAlignment="1" applyProtection="1">
      <alignment horizontal="left" vertical="top" wrapText="1" indent="1"/>
    </xf>
    <xf numFmtId="0" fontId="7" fillId="0" borderId="0" xfId="0" applyFont="1" applyBorder="1" applyAlignment="1" applyProtection="1">
      <alignment horizontal="left" vertical="top" wrapText="1"/>
    </xf>
    <xf numFmtId="0" fontId="12" fillId="4" borderId="0" xfId="0" applyFont="1" applyFill="1" applyBorder="1" applyAlignment="1" applyProtection="1">
      <alignment horizontal="left" vertical="top" wrapText="1"/>
      <protection locked="0"/>
    </xf>
    <xf numFmtId="0" fontId="12" fillId="4" borderId="0" xfId="0" applyFont="1" applyFill="1" applyBorder="1" applyAlignment="1" applyProtection="1">
      <alignment vertical="top" wrapText="1"/>
      <protection locked="0"/>
    </xf>
    <xf numFmtId="0" fontId="2" fillId="4" borderId="0" xfId="0" applyFont="1" applyFill="1" applyBorder="1" applyAlignment="1" applyProtection="1">
      <alignment vertical="top" wrapText="1"/>
      <protection locked="0"/>
    </xf>
    <xf numFmtId="0" fontId="1" fillId="0" borderId="0" xfId="0" applyFont="1" applyBorder="1" applyAlignment="1" applyProtection="1">
      <alignment horizontal="left" vertical="top" wrapText="1"/>
      <protection locked="0"/>
    </xf>
    <xf numFmtId="0" fontId="24" fillId="6" borderId="0" xfId="0" applyFont="1" applyFill="1" applyBorder="1" applyAlignment="1" applyProtection="1">
      <alignment vertical="center" wrapText="1"/>
    </xf>
    <xf numFmtId="0" fontId="12" fillId="7" borderId="7" xfId="0" applyFont="1" applyFill="1" applyBorder="1" applyAlignment="1" applyProtection="1">
      <alignment vertical="top" wrapText="1"/>
    </xf>
    <xf numFmtId="0" fontId="12" fillId="7" borderId="74" xfId="0" applyFont="1" applyFill="1" applyBorder="1" applyAlignment="1" applyProtection="1">
      <alignment vertical="top" wrapText="1"/>
    </xf>
    <xf numFmtId="170" fontId="12" fillId="12" borderId="79" xfId="5" applyNumberFormat="1" applyFont="1" applyFill="1" applyBorder="1" applyAlignment="1" applyProtection="1">
      <alignment horizontal="center" vertical="center" wrapText="1"/>
    </xf>
    <xf numFmtId="170" fontId="48" fillId="0" borderId="80" xfId="5" applyNumberFormat="1" applyFont="1" applyFill="1" applyBorder="1" applyAlignment="1" applyProtection="1">
      <alignment horizontal="center" vertical="center" wrapText="1"/>
    </xf>
    <xf numFmtId="170" fontId="22" fillId="0" borderId="81" xfId="5" applyNumberFormat="1" applyFont="1" applyFill="1" applyBorder="1" applyAlignment="1" applyProtection="1">
      <alignment horizontal="center" vertical="center" wrapText="1"/>
    </xf>
    <xf numFmtId="170" fontId="12" fillId="0" borderId="80" xfId="5" applyNumberFormat="1" applyFont="1" applyFill="1" applyBorder="1" applyAlignment="1" applyProtection="1">
      <alignment horizontal="center" vertical="center" wrapText="1"/>
    </xf>
    <xf numFmtId="170" fontId="1" fillId="0" borderId="82" xfId="5" applyNumberFormat="1" applyFont="1" applyFill="1" applyBorder="1" applyAlignment="1" applyProtection="1">
      <alignment horizontal="center" vertical="center" wrapText="1"/>
    </xf>
    <xf numFmtId="0" fontId="12" fillId="8" borderId="0" xfId="0" applyFont="1" applyFill="1" applyBorder="1" applyAlignment="1" applyProtection="1">
      <alignment horizontal="center" vertical="center" wrapText="1"/>
    </xf>
    <xf numFmtId="0" fontId="12" fillId="12" borderId="0" xfId="0"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2" fillId="0" borderId="84" xfId="0" applyFont="1" applyFill="1" applyBorder="1" applyAlignment="1" applyProtection="1">
      <alignment horizontal="center" vertical="center"/>
    </xf>
    <xf numFmtId="0" fontId="2" fillId="0" borderId="85" xfId="0" applyFont="1" applyFill="1" applyBorder="1" applyAlignment="1" applyProtection="1">
      <alignment horizontal="center" vertical="center"/>
    </xf>
    <xf numFmtId="0" fontId="32" fillId="13" borderId="142" xfId="0" applyFont="1" applyFill="1" applyBorder="1" applyAlignment="1" applyProtection="1">
      <alignment horizontal="center" vertical="center" wrapText="1"/>
    </xf>
    <xf numFmtId="0" fontId="16" fillId="0" borderId="143" xfId="0" applyFont="1" applyFill="1" applyBorder="1" applyAlignment="1" applyProtection="1">
      <alignment horizontal="right" vertical="center" wrapText="1"/>
    </xf>
    <xf numFmtId="0" fontId="67" fillId="0" borderId="157" xfId="0" applyFont="1" applyBorder="1" applyAlignment="1" applyProtection="1">
      <alignment horizontal="center" vertical="center" wrapText="1"/>
    </xf>
    <xf numFmtId="0" fontId="8" fillId="13" borderId="164" xfId="0" applyFont="1" applyFill="1" applyBorder="1" applyAlignment="1" applyProtection="1">
      <alignment horizontal="center" vertical="center"/>
    </xf>
    <xf numFmtId="0" fontId="68" fillId="31" borderId="63" xfId="0" applyFont="1" applyFill="1" applyBorder="1" applyAlignment="1" applyProtection="1">
      <alignment horizontal="center" vertical="center" wrapText="1"/>
    </xf>
    <xf numFmtId="180" fontId="12" fillId="6" borderId="144" xfId="0" applyNumberFormat="1" applyFont="1" applyFill="1" applyBorder="1" applyAlignment="1" applyProtection="1">
      <alignment horizontal="center" vertical="center"/>
    </xf>
    <xf numFmtId="180" fontId="1" fillId="6" borderId="144" xfId="0" applyNumberFormat="1" applyFont="1" applyFill="1" applyBorder="1" applyAlignment="1" applyProtection="1">
      <alignment horizontal="center" vertical="top"/>
    </xf>
    <xf numFmtId="0" fontId="12" fillId="6" borderId="144" xfId="0" applyFont="1" applyFill="1" applyBorder="1" applyAlignment="1" applyProtection="1">
      <alignment horizontal="center" vertical="center" wrapText="1"/>
    </xf>
    <xf numFmtId="0" fontId="0" fillId="11" borderId="165" xfId="0" applyFont="1" applyFill="1" applyBorder="1" applyAlignment="1" applyProtection="1">
      <alignment horizontal="center" vertical="top"/>
      <protection locked="0"/>
    </xf>
    <xf numFmtId="0" fontId="68" fillId="35" borderId="63" xfId="0" applyFont="1" applyFill="1" applyBorder="1" applyAlignment="1" applyProtection="1">
      <alignment horizontal="center" vertical="center" wrapText="1"/>
    </xf>
    <xf numFmtId="0" fontId="30" fillId="11" borderId="166" xfId="0" applyFont="1" applyFill="1" applyBorder="1" applyAlignment="1" applyProtection="1">
      <alignment horizontal="center" vertical="top" wrapText="1"/>
      <protection locked="0"/>
    </xf>
    <xf numFmtId="0" fontId="0" fillId="11" borderId="167" xfId="0" applyFont="1" applyFill="1" applyBorder="1" applyAlignment="1" applyProtection="1">
      <alignment horizontal="center" vertical="top"/>
      <protection locked="0"/>
    </xf>
    <xf numFmtId="0" fontId="16" fillId="0" borderId="0" xfId="0" applyFont="1" applyFill="1" applyBorder="1" applyAlignment="1" applyProtection="1">
      <alignment horizontal="right" vertical="center" wrapText="1"/>
    </xf>
    <xf numFmtId="0" fontId="37" fillId="0" borderId="0" xfId="0" applyFont="1" applyFill="1" applyBorder="1" applyAlignment="1" applyProtection="1">
      <alignment horizontal="right" vertical="top" wrapText="1"/>
      <protection locked="0"/>
    </xf>
    <xf numFmtId="0" fontId="0" fillId="11" borderId="0" xfId="0" applyFill="1" applyBorder="1" applyAlignment="1">
      <alignment horizontal="center"/>
    </xf>
    <xf numFmtId="0" fontId="16" fillId="0" borderId="174" xfId="0" applyFont="1" applyBorder="1" applyAlignment="1" applyProtection="1">
      <alignment horizontal="center" vertical="center" wrapText="1"/>
    </xf>
    <xf numFmtId="0" fontId="8" fillId="13" borderId="0" xfId="0" applyFont="1" applyFill="1" applyBorder="1" applyAlignment="1" applyProtection="1">
      <alignment horizontal="left" vertical="center"/>
    </xf>
    <xf numFmtId="0" fontId="37" fillId="6" borderId="67" xfId="0" applyFont="1" applyFill="1" applyBorder="1" applyAlignment="1" applyProtection="1">
      <alignment horizontal="left" vertical="top" wrapText="1"/>
    </xf>
    <xf numFmtId="168" fontId="37" fillId="17" borderId="67" xfId="0" applyNumberFormat="1" applyFont="1" applyFill="1" applyBorder="1" applyAlignment="1" applyProtection="1">
      <alignment horizontal="right" vertical="center" wrapText="1" indent="1"/>
    </xf>
    <xf numFmtId="168" fontId="37" fillId="23" borderId="67" xfId="0" applyNumberFormat="1" applyFont="1" applyFill="1" applyBorder="1" applyAlignment="1" applyProtection="1">
      <alignment horizontal="right" vertical="center" wrapText="1" indent="1"/>
    </xf>
    <xf numFmtId="0" fontId="0" fillId="6" borderId="67" xfId="0" applyFont="1" applyFill="1" applyBorder="1" applyAlignment="1" applyProtection="1">
      <alignment horizontal="left" vertical="top" wrapText="1"/>
    </xf>
    <xf numFmtId="165" fontId="37" fillId="17" borderId="67" xfId="5" applyNumberFormat="1" applyFont="1" applyFill="1" applyBorder="1" applyAlignment="1" applyProtection="1">
      <alignment horizontal="right" vertical="center" wrapText="1" indent="1"/>
    </xf>
    <xf numFmtId="165" fontId="37" fillId="23" borderId="67" xfId="5" applyNumberFormat="1" applyFont="1" applyFill="1" applyBorder="1" applyAlignment="1" applyProtection="1">
      <alignment horizontal="right" vertical="center" wrapText="1" indent="1"/>
    </xf>
    <xf numFmtId="165" fontId="37" fillId="17" borderId="67" xfId="0" applyNumberFormat="1" applyFont="1" applyFill="1" applyBorder="1" applyAlignment="1" applyProtection="1">
      <alignment vertical="center"/>
    </xf>
    <xf numFmtId="165" fontId="37" fillId="23" borderId="67" xfId="0" applyNumberFormat="1" applyFont="1" applyFill="1" applyBorder="1" applyAlignment="1" applyProtection="1">
      <alignment vertical="center"/>
    </xf>
    <xf numFmtId="0" fontId="16" fillId="12" borderId="0" xfId="0" applyFont="1" applyFill="1" applyBorder="1" applyAlignment="1" applyProtection="1">
      <alignment horizontal="center" vertical="center" wrapText="1"/>
    </xf>
    <xf numFmtId="0" fontId="61" fillId="0" borderId="174" xfId="0" applyFont="1" applyBorder="1" applyAlignment="1" applyProtection="1">
      <alignment horizontal="center" vertical="center" wrapText="1"/>
    </xf>
    <xf numFmtId="0" fontId="60" fillId="13" borderId="0" xfId="0" applyFont="1" applyFill="1" applyBorder="1" applyAlignment="1" applyProtection="1">
      <alignment horizontal="left" vertical="center"/>
    </xf>
    <xf numFmtId="0" fontId="1" fillId="6" borderId="186" xfId="0" applyFont="1" applyFill="1" applyBorder="1" applyAlignment="1" applyProtection="1">
      <alignment horizontal="left" vertical="top" wrapText="1"/>
    </xf>
    <xf numFmtId="178" fontId="37" fillId="17" borderId="186" xfId="5" applyNumberFormat="1" applyFont="1" applyFill="1" applyBorder="1" applyAlignment="1" applyProtection="1">
      <alignment horizontal="right" vertical="top" wrapText="1" indent="1"/>
    </xf>
    <xf numFmtId="178" fontId="37" fillId="23" borderId="186" xfId="5" applyNumberFormat="1" applyFont="1" applyFill="1" applyBorder="1" applyAlignment="1" applyProtection="1">
      <alignment horizontal="right" vertical="top" wrapText="1" indent="1"/>
    </xf>
    <xf numFmtId="0" fontId="1" fillId="6" borderId="187" xfId="0" applyFont="1" applyFill="1" applyBorder="1" applyAlignment="1" applyProtection="1">
      <alignment horizontal="left" vertical="top" wrapText="1"/>
    </xf>
    <xf numFmtId="168" fontId="37" fillId="17" borderId="187" xfId="0" applyNumberFormat="1" applyFont="1" applyFill="1" applyBorder="1" applyAlignment="1" applyProtection="1">
      <alignment horizontal="right" vertical="top" wrapText="1" indent="1"/>
    </xf>
    <xf numFmtId="168" fontId="37" fillId="23" borderId="187" xfId="0" applyNumberFormat="1" applyFont="1" applyFill="1" applyBorder="1" applyAlignment="1" applyProtection="1">
      <alignment horizontal="right" vertical="top" wrapText="1" indent="1"/>
    </xf>
    <xf numFmtId="0" fontId="0" fillId="6" borderId="187" xfId="0" applyFont="1" applyFill="1" applyBorder="1" applyAlignment="1" applyProtection="1">
      <alignment horizontal="left" vertical="top" wrapText="1"/>
    </xf>
    <xf numFmtId="165" fontId="37" fillId="17" borderId="187" xfId="5" applyNumberFormat="1" applyFont="1" applyFill="1" applyBorder="1" applyAlignment="1" applyProtection="1">
      <alignment horizontal="right" vertical="top" wrapText="1" indent="1"/>
    </xf>
    <xf numFmtId="165" fontId="37" fillId="23" borderId="187" xfId="5" applyNumberFormat="1" applyFont="1" applyFill="1" applyBorder="1" applyAlignment="1" applyProtection="1">
      <alignment horizontal="right" vertical="top" wrapText="1" indent="1"/>
    </xf>
    <xf numFmtId="0" fontId="37" fillId="6" borderId="187" xfId="0" applyFont="1" applyFill="1" applyBorder="1" applyAlignment="1" applyProtection="1">
      <alignment vertical="top" wrapText="1"/>
    </xf>
    <xf numFmtId="168" fontId="37" fillId="9" borderId="187" xfId="5" applyNumberFormat="1" applyFont="1" applyFill="1" applyBorder="1" applyAlignment="1" applyProtection="1">
      <alignment horizontal="center" vertical="center" wrapText="1"/>
      <protection locked="0"/>
    </xf>
    <xf numFmtId="168" fontId="37" fillId="23" borderId="187" xfId="5" applyNumberFormat="1" applyFont="1" applyFill="1" applyBorder="1" applyAlignment="1" applyProtection="1">
      <alignment horizontal="center" vertical="center" wrapText="1"/>
    </xf>
    <xf numFmtId="9" fontId="61" fillId="6" borderId="187" xfId="3" applyNumberFormat="1" applyFont="1" applyFill="1" applyBorder="1" applyAlignment="1" applyProtection="1">
      <alignment horizontal="right" vertical="center"/>
    </xf>
    <xf numFmtId="185" fontId="37" fillId="17" borderId="187" xfId="5" applyNumberFormat="1" applyFont="1" applyFill="1" applyBorder="1" applyAlignment="1" applyProtection="1">
      <alignment horizontal="right" vertical="top" wrapText="1" indent="1"/>
    </xf>
    <xf numFmtId="185" fontId="37" fillId="23" borderId="187" xfId="5" applyNumberFormat="1" applyFont="1" applyFill="1" applyBorder="1" applyAlignment="1" applyProtection="1">
      <alignment horizontal="right" vertical="top" wrapText="1" indent="1"/>
    </xf>
    <xf numFmtId="0" fontId="37" fillId="6" borderId="187" xfId="0" applyFont="1" applyFill="1" applyBorder="1" applyAlignment="1" applyProtection="1">
      <alignment vertical="center" wrapText="1"/>
    </xf>
    <xf numFmtId="178" fontId="37" fillId="17" borderId="187" xfId="5" applyNumberFormat="1" applyFont="1" applyFill="1" applyBorder="1" applyAlignment="1" applyProtection="1">
      <alignment horizontal="center" vertical="center" wrapText="1"/>
    </xf>
    <xf numFmtId="0" fontId="15" fillId="0" borderId="0" xfId="0" applyFont="1" applyFill="1" applyBorder="1" applyAlignment="1" applyProtection="1">
      <alignment horizontal="left" vertical="top" wrapText="1"/>
    </xf>
    <xf numFmtId="0" fontId="94" fillId="0" borderId="199" xfId="4" applyFont="1" applyFill="1" applyBorder="1" applyAlignment="1" applyProtection="1">
      <alignment horizontal="left" vertical="top" wrapText="1"/>
    </xf>
    <xf numFmtId="0" fontId="16" fillId="0" borderId="200" xfId="0" applyFont="1" applyFill="1" applyBorder="1" applyAlignment="1" applyProtection="1">
      <alignment horizontal="left" vertical="top" wrapText="1"/>
    </xf>
    <xf numFmtId="0" fontId="7" fillId="0" borderId="0" xfId="6" applyFont="1" applyBorder="1" applyAlignment="1" applyProtection="1">
      <alignment horizontal="left" vertical="top" wrapText="1"/>
    </xf>
    <xf numFmtId="0" fontId="100" fillId="0" borderId="201" xfId="6" applyFont="1" applyFill="1" applyBorder="1" applyAlignment="1">
      <alignment horizontal="left" vertical="top" wrapText="1"/>
    </xf>
  </cellXfs>
  <cellStyles count="7">
    <cellStyle name="Euro" xfId="5"/>
    <cellStyle name="Lien hypertexte" xfId="4" builtinId="8"/>
    <cellStyle name="Milliers" xfId="1" builtinId="3"/>
    <cellStyle name="Monétaire" xfId="2" builtinId="4"/>
    <cellStyle name="Normal" xfId="0" builtinId="0"/>
    <cellStyle name="Normal 2" xfId="6"/>
    <cellStyle name="Pourcentage" xfId="3" builtinId="5"/>
  </cellStyles>
  <dxfs count="3">
    <dxf>
      <font>
        <b val="0"/>
        <condense val="0"/>
        <extend val="0"/>
        <color indexed="37"/>
      </font>
      <fill>
        <patternFill patternType="solid">
          <fgColor indexed="47"/>
          <bgColor indexed="33"/>
        </patternFill>
      </fill>
    </dxf>
    <dxf>
      <font>
        <b val="0"/>
        <condense val="0"/>
        <extend val="0"/>
        <color indexed="37"/>
      </font>
      <fill>
        <patternFill patternType="solid">
          <fgColor indexed="47"/>
          <bgColor indexed="33"/>
        </patternFill>
      </fill>
    </dxf>
    <dxf>
      <font>
        <b val="0"/>
        <condense val="0"/>
        <extend val="0"/>
        <color indexed="37"/>
      </font>
      <fill>
        <patternFill patternType="solid">
          <fgColor indexed="47"/>
          <bgColor indexed="3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BBB59"/>
      <rgbColor rgb="000000FF"/>
      <rgbColor rgb="00FFFF00"/>
      <rgbColor rgb="00FAC090"/>
      <rgbColor rgb="00C6D9F1"/>
      <rgbColor rgb="00800000"/>
      <rgbColor rgb="00008C00"/>
      <rgbColor rgb="00000080"/>
      <rgbColor rgb="006CA62C"/>
      <rgbColor rgb="00800080"/>
      <rgbColor rgb="004F81BD"/>
      <rgbColor rgb="00C3D69B"/>
      <rgbColor rgb="00808080"/>
      <rgbColor rgb="0096B3D6"/>
      <rgbColor rgb="007030A0"/>
      <rgbColor rgb="00FFFFCC"/>
      <rgbColor rgb="00CCFFFF"/>
      <rgbColor rgb="00660066"/>
      <rgbColor rgb="00FF5050"/>
      <rgbColor rgb="00376092"/>
      <rgbColor rgb="00CCCCFF"/>
      <rgbColor rgb="00002060"/>
      <rgbColor rgb="00FFC7CE"/>
      <rgbColor rgb="00FFC000"/>
      <rgbColor rgb="00D7E4BD"/>
      <rgbColor rgb="00FFCC95"/>
      <rgbColor rgb="00A00005"/>
      <rgbColor rgb="008064A2"/>
      <rgbColor rgb="00EBF1DE"/>
      <rgbColor rgb="0000B0F0"/>
      <rgbColor rgb="00DBEEF4"/>
      <rgbColor rgb="00CCFFCC"/>
      <rgbColor rgb="00FFFF99"/>
      <rgbColor rgb="008EB4E3"/>
      <rgbColor rgb="00FF99CC"/>
      <rgbColor rgb="00E6B9B8"/>
      <rgbColor rgb="00FFCC99"/>
      <rgbColor rgb="003366FF"/>
      <rgbColor rgb="0038CCFF"/>
      <rgbColor rgb="0099CC00"/>
      <rgbColor rgb="00FFCC00"/>
      <rgbColor rgb="00FF9900"/>
      <rgbColor rgb="00E46C0A"/>
      <rgbColor rgb="00666699"/>
      <rgbColor rgb="00969696"/>
      <rgbColor rgb="00003366"/>
      <rgbColor rgb="00339966"/>
      <rgbColor rgb="00003300"/>
      <rgbColor rgb="00333300"/>
      <rgbColor rgb="00993300"/>
      <rgbColor rgb="00984807"/>
      <rgbColor rgb="00323397"/>
      <rgbColor rgb="00604A7B"/>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789473684210527"/>
          <c:y val="7.6294379436280549E-2"/>
          <c:w val="0.73947368421052628"/>
          <c:h val="0.730246203175828"/>
        </c:manualLayout>
      </c:layout>
      <c:barChart>
        <c:barDir val="col"/>
        <c:grouping val="stacked"/>
        <c:varyColors val="0"/>
        <c:ser>
          <c:idx val="0"/>
          <c:order val="0"/>
          <c:tx>
            <c:strRef>
              <c:f>Cuisine!$C$4</c:f>
              <c:strCache>
                <c:ptCount val="1"/>
                <c:pt idx="0">
                  <c:v>Alimentation</c:v>
                </c:pt>
              </c:strCache>
            </c:strRef>
          </c:tx>
          <c:spPr>
            <a:solidFill>
              <a:srgbClr val="FFCC99"/>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Cuisine!$D$4:$G$4</c:f>
              <c:numCache>
                <c:formatCode>#\ ##0" € ";\-#\ ##0" € ";" - € ";@\ </c:formatCode>
                <c:ptCount val="4"/>
                <c:pt idx="0">
                  <c:v>148.76714392777762</c:v>
                </c:pt>
                <c:pt idx="1">
                  <c:v>105.62384271682221</c:v>
                </c:pt>
              </c:numCache>
            </c:numRef>
          </c:val>
        </c:ser>
        <c:ser>
          <c:idx val="1"/>
          <c:order val="1"/>
          <c:tx>
            <c:strRef>
              <c:f>Cuisine!$C$5</c:f>
              <c:strCache>
                <c:ptCount val="1"/>
                <c:pt idx="0">
                  <c:v>Frais d'élevage</c:v>
                </c:pt>
              </c:strCache>
            </c:strRef>
          </c:tx>
          <c:spPr>
            <a:solidFill>
              <a:srgbClr val="FFFF00"/>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Cuisine!$D$5:$G$5</c:f>
              <c:numCache>
                <c:formatCode>#\ ##0" € ";\-#\ ##0" € ";" - € ";@\ </c:formatCode>
                <c:ptCount val="4"/>
                <c:pt idx="0">
                  <c:v>37.116377504665223</c:v>
                </c:pt>
                <c:pt idx="1">
                  <c:v>46.3686894925305</c:v>
                </c:pt>
              </c:numCache>
            </c:numRef>
          </c:val>
        </c:ser>
        <c:ser>
          <c:idx val="2"/>
          <c:order val="2"/>
          <c:tx>
            <c:strRef>
              <c:f>Cuisine!$C$6</c:f>
              <c:strCache>
                <c:ptCount val="1"/>
                <c:pt idx="0">
                  <c:v>Mécanisation</c:v>
                </c:pt>
              </c:strCache>
            </c:strRef>
          </c:tx>
          <c:spPr>
            <a:solidFill>
              <a:srgbClr val="E46C0A"/>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Cuisine!$D$6:$G$6</c:f>
              <c:numCache>
                <c:formatCode>#\ ##0" € ";\-#\ ##0" € ";" - € ";@\ </c:formatCode>
                <c:ptCount val="4"/>
                <c:pt idx="0">
                  <c:v>90.335057409451039</c:v>
                </c:pt>
                <c:pt idx="1">
                  <c:v>82.464889226085702</c:v>
                </c:pt>
              </c:numCache>
            </c:numRef>
          </c:val>
        </c:ser>
        <c:ser>
          <c:idx val="3"/>
          <c:order val="3"/>
          <c:tx>
            <c:strRef>
              <c:f>Cuisine!$C$7</c:f>
              <c:strCache>
                <c:ptCount val="1"/>
                <c:pt idx="0">
                  <c:v>Bâtiments</c:v>
                </c:pt>
              </c:strCache>
            </c:strRef>
          </c:tx>
          <c:spPr>
            <a:solidFill>
              <a:srgbClr val="E6B9B8"/>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Cuisine!$D$7:$G$7</c:f>
              <c:numCache>
                <c:formatCode>#\ ##0" € ";\-#\ ##0" € ";" - € ";@\ </c:formatCode>
                <c:ptCount val="4"/>
                <c:pt idx="0">
                  <c:v>47.992455824106081</c:v>
                </c:pt>
                <c:pt idx="1">
                  <c:v>43.014788428160571</c:v>
                </c:pt>
              </c:numCache>
            </c:numRef>
          </c:val>
        </c:ser>
        <c:ser>
          <c:idx val="4"/>
          <c:order val="4"/>
          <c:tx>
            <c:strRef>
              <c:f>Cuisine!$C$8</c:f>
              <c:strCache>
                <c:ptCount val="1"/>
                <c:pt idx="0">
                  <c:v>Frais de gestion</c:v>
                </c:pt>
              </c:strCache>
            </c:strRef>
          </c:tx>
          <c:spPr>
            <a:solidFill>
              <a:srgbClr val="FF5050"/>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Cuisine!$D$8:$G$8</c:f>
              <c:numCache>
                <c:formatCode>#\ ##0" € ";\-#\ ##0" € ";" - € ";@\ </c:formatCode>
                <c:ptCount val="4"/>
                <c:pt idx="0">
                  <c:v>23.720496644378152</c:v>
                </c:pt>
                <c:pt idx="1">
                  <c:v>18.4603812038659</c:v>
                </c:pt>
              </c:numCache>
            </c:numRef>
          </c:val>
        </c:ser>
        <c:ser>
          <c:idx val="5"/>
          <c:order val="5"/>
          <c:tx>
            <c:strRef>
              <c:f>Cuisine!$C$9</c:f>
              <c:strCache>
                <c:ptCount val="1"/>
                <c:pt idx="0">
                  <c:v>Foncier et Capital</c:v>
                </c:pt>
              </c:strCache>
            </c:strRef>
          </c:tx>
          <c:spPr>
            <a:solidFill>
              <a:srgbClr val="984807"/>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Cuisine!$D$9:$G$9</c:f>
              <c:numCache>
                <c:formatCode>#\ ##0" € ";\-#\ ##0" € ";" - € ";@\ </c:formatCode>
                <c:ptCount val="4"/>
                <c:pt idx="0">
                  <c:v>35.913940666328557</c:v>
                </c:pt>
                <c:pt idx="1">
                  <c:v>30.828210383755579</c:v>
                </c:pt>
              </c:numCache>
            </c:numRef>
          </c:val>
        </c:ser>
        <c:ser>
          <c:idx val="6"/>
          <c:order val="6"/>
          <c:tx>
            <c:strRef>
              <c:f>Cuisine!$C$10</c:f>
              <c:strCache>
                <c:ptCount val="1"/>
                <c:pt idx="0">
                  <c:v>Travail</c:v>
                </c:pt>
              </c:strCache>
            </c:strRef>
          </c:tx>
          <c:spPr>
            <a:solidFill>
              <a:srgbClr val="604A7B"/>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Cuisine!$D$10:$G$10</c:f>
              <c:numCache>
                <c:formatCode>#\ ##0" € ";\-#\ ##0" € ";" - € ";@\ </c:formatCode>
                <c:ptCount val="4"/>
                <c:pt idx="0">
                  <c:v>124.12789143187277</c:v>
                </c:pt>
                <c:pt idx="1">
                  <c:v>92.7912312138223</c:v>
                </c:pt>
              </c:numCache>
            </c:numRef>
          </c:val>
        </c:ser>
        <c:ser>
          <c:idx val="7"/>
          <c:order val="7"/>
          <c:tx>
            <c:strRef>
              <c:f>Cuisine!$C$11</c:f>
              <c:strCache>
                <c:ptCount val="1"/>
                <c:pt idx="0">
                  <c:v>Aides totales</c:v>
                </c:pt>
              </c:strCache>
            </c:strRef>
          </c:tx>
          <c:spPr>
            <a:solidFill>
              <a:srgbClr val="6CA62C"/>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Cuisine!$D$11:$G$11</c:f>
              <c:numCache>
                <c:formatCode>General</c:formatCode>
                <c:ptCount val="4"/>
                <c:pt idx="2" formatCode="#\ ##0&quot; € &quot;;\-#\ ##0&quot; € &quot;;&quot; - € &quot;;@\ ">
                  <c:v>26.100664717475865</c:v>
                </c:pt>
                <c:pt idx="3" formatCode="#\ ##0&quot; € &quot;;\-#\ ##0&quot; € &quot;;&quot; - € &quot;;@\ ">
                  <c:v>42.7747932988743</c:v>
                </c:pt>
              </c:numCache>
            </c:numRef>
          </c:val>
        </c:ser>
        <c:ser>
          <c:idx val="8"/>
          <c:order val="8"/>
          <c:tx>
            <c:strRef>
              <c:f>Cuisine!$C$12</c:f>
              <c:strCache>
                <c:ptCount val="1"/>
                <c:pt idx="0">
                  <c:v>autres produits joints</c:v>
                </c:pt>
              </c:strCache>
            </c:strRef>
          </c:tx>
          <c:spPr>
            <a:solidFill>
              <a:srgbClr val="008C00"/>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Cuisine!$D$12:$G$12</c:f>
              <c:numCache>
                <c:formatCode>General</c:formatCode>
                <c:ptCount val="4"/>
                <c:pt idx="2" formatCode="#\ ##0&quot; € &quot;;\-#\ ##0&quot; € &quot;;&quot; - € &quot;;@\ ">
                  <c:v>12.315136065719081</c:v>
                </c:pt>
                <c:pt idx="3" formatCode="#\ ##0&quot; € &quot;;\-#\ ##0&quot; € &quot;;&quot; - € &quot;;@\ ">
                  <c:v>0</c:v>
                </c:pt>
              </c:numCache>
            </c:numRef>
          </c:val>
        </c:ser>
        <c:ser>
          <c:idx val="9"/>
          <c:order val="9"/>
          <c:tx>
            <c:strRef>
              <c:f>Cuisine!$C$13</c:f>
              <c:strCache>
                <c:ptCount val="1"/>
                <c:pt idx="0">
                  <c:v>Produits viande </c:v>
                </c:pt>
              </c:strCache>
            </c:strRef>
          </c:tx>
          <c:spPr>
            <a:solidFill>
              <a:srgbClr val="96B3D6"/>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Cuisine!$D$13:$G$13</c:f>
              <c:numCache>
                <c:formatCode>General</c:formatCode>
                <c:ptCount val="4"/>
                <c:pt idx="2" formatCode="#\ ##0&quot; € &quot;;\-#\ ##0&quot; € &quot;;&quot; - € &quot;;@\ ">
                  <c:v>44.884035972514653</c:v>
                </c:pt>
                <c:pt idx="3" formatCode="#\ ##0&quot; € &quot;;\-#\ ##0&quot; € &quot;;&quot; - € &quot;;@\ ">
                  <c:v>38.055072463768099</c:v>
                </c:pt>
              </c:numCache>
            </c:numRef>
          </c:val>
        </c:ser>
        <c:ser>
          <c:idx val="10"/>
          <c:order val="10"/>
          <c:tx>
            <c:strRef>
              <c:f>Cuisine!$C$14</c:f>
              <c:strCache>
                <c:ptCount val="1"/>
                <c:pt idx="0">
                  <c:v>Produits lait </c:v>
                </c:pt>
              </c:strCache>
            </c:strRef>
          </c:tx>
          <c:spPr>
            <a:solidFill>
              <a:srgbClr val="4F81BD"/>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Cuisine!$D$3:$G$3</c:f>
              <c:strCache>
                <c:ptCount val="4"/>
                <c:pt idx="0">
                  <c:v>Votre atelier</c:v>
                </c:pt>
                <c:pt idx="1">
                  <c:v>Référence</c:v>
                </c:pt>
                <c:pt idx="2">
                  <c:v>Votre atelier</c:v>
                </c:pt>
                <c:pt idx="3">
                  <c:v>Référence</c:v>
                </c:pt>
              </c:strCache>
            </c:strRef>
          </c:cat>
          <c:val>
            <c:numRef>
              <c:f>Cuisine!$D$14:$G$14</c:f>
              <c:numCache>
                <c:formatCode>General</c:formatCode>
                <c:ptCount val="4"/>
                <c:pt idx="2" formatCode="#\ ##0&quot; € &quot;;\-#\ ##0&quot; € &quot;;&quot; - € &quot;;@\ ">
                  <c:v>358.92000000000007</c:v>
                </c:pt>
                <c:pt idx="3" formatCode="#\ ##0&quot; € &quot;;\-#\ ##0&quot; € &quot;;&quot; - € &quot;;@\ ">
                  <c:v>359.671099271336</c:v>
                </c:pt>
              </c:numCache>
            </c:numRef>
          </c:val>
        </c:ser>
        <c:dLbls>
          <c:showLegendKey val="0"/>
          <c:showVal val="0"/>
          <c:showCatName val="0"/>
          <c:showSerName val="0"/>
          <c:showPercent val="0"/>
          <c:showBubbleSize val="0"/>
        </c:dLbls>
        <c:gapWidth val="150"/>
        <c:overlap val="100"/>
        <c:axId val="248058968"/>
        <c:axId val="348452560"/>
      </c:barChart>
      <c:catAx>
        <c:axId val="248058968"/>
        <c:scaling>
          <c:orientation val="minMax"/>
        </c:scaling>
        <c:delete val="0"/>
        <c:axPos val="b"/>
        <c:numFmt formatCode="General" sourceLinked="1"/>
        <c:majorTickMark val="out"/>
        <c:minorTickMark val="none"/>
        <c:tickLblPos val="nextTo"/>
        <c:spPr>
          <a:ln w="12700">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348452560"/>
        <c:crossesAt val="0"/>
        <c:auto val="1"/>
        <c:lblAlgn val="ctr"/>
        <c:lblOffset val="100"/>
        <c:tickLblSkip val="1"/>
        <c:tickMarkSkip val="1"/>
        <c:noMultiLvlLbl val="0"/>
      </c:catAx>
      <c:valAx>
        <c:axId val="348452560"/>
        <c:scaling>
          <c:orientation val="minMax"/>
        </c:scaling>
        <c:delete val="0"/>
        <c:axPos val="l"/>
        <c:majorGridlines>
          <c:spPr>
            <a:ln w="12700">
              <a:solidFill>
                <a:srgbClr val="808080"/>
              </a:solidFill>
              <a:prstDash val="solid"/>
            </a:ln>
          </c:spPr>
        </c:majorGridlines>
        <c:numFmt formatCode="#\ ##0&quot; € &quot;;\-#\ ##0&quot; € &quot;;&quot; - € &quot;;@\ " sourceLinked="1"/>
        <c:majorTickMark val="out"/>
        <c:minorTickMark val="none"/>
        <c:tickLblPos val="nextTo"/>
        <c:spPr>
          <a:ln w="12700">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48058968"/>
        <c:crossesAt val="1"/>
        <c:crossBetween val="between"/>
      </c:valAx>
      <c:spPr>
        <a:solidFill>
          <a:srgbClr val="FFFFFF"/>
        </a:solidFill>
        <a:ln w="25400">
          <a:noFill/>
        </a:ln>
      </c:spPr>
    </c:plotArea>
    <c:plotVisOnly val="1"/>
    <c:dispBlanksAs val="gap"/>
    <c:showDLblsOverMax val="0"/>
  </c:chart>
  <c:spPr>
    <a:solidFill>
      <a:srgbClr val="FFFFFF"/>
    </a:solidFill>
    <a:ln w="12700">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Postes de charges en €/1000 l et  en %</a:t>
            </a:r>
          </a:p>
        </c:rich>
      </c:tx>
      <c:layout>
        <c:manualLayout>
          <c:xMode val="edge"/>
          <c:yMode val="edge"/>
          <c:x val="0.14498154422262016"/>
          <c:y val="3.5294168333766564E-2"/>
        </c:manualLayout>
      </c:layout>
      <c:overlay val="0"/>
      <c:spPr>
        <a:noFill/>
        <a:ln w="25400">
          <a:noFill/>
        </a:ln>
      </c:spPr>
    </c:title>
    <c:autoTitleDeleted val="0"/>
    <c:plotArea>
      <c:layout>
        <c:manualLayout>
          <c:layoutTarget val="inner"/>
          <c:xMode val="edge"/>
          <c:yMode val="edge"/>
          <c:x val="0.34572522083855572"/>
          <c:y val="0.40882411653279604"/>
          <c:w val="0.29553930168457182"/>
          <c:h val="0.46764773042240698"/>
        </c:manualLayout>
      </c:layout>
      <c:pieChart>
        <c:varyColors val="1"/>
        <c:ser>
          <c:idx val="0"/>
          <c:order val="0"/>
          <c:tx>
            <c:strRef>
              <c:f>'Edition éleveur'!$E$18</c:f>
              <c:strCache>
                <c:ptCount val="1"/>
                <c:pt idx="0">
                  <c:v>Postes de charges</c:v>
                </c:pt>
              </c:strCache>
            </c:strRef>
          </c:tx>
          <c:spPr>
            <a:solidFill>
              <a:srgbClr val="4F81BD"/>
            </a:solidFill>
            <a:ln w="25400">
              <a:noFill/>
            </a:ln>
          </c:spPr>
          <c:dPt>
            <c:idx val="0"/>
            <c:bubble3D val="0"/>
            <c:spPr>
              <a:solidFill>
                <a:srgbClr val="604A7B"/>
              </a:solidFill>
              <a:ln w="25400">
                <a:noFill/>
              </a:ln>
            </c:spPr>
          </c:dPt>
          <c:dPt>
            <c:idx val="1"/>
            <c:bubble3D val="0"/>
            <c:spPr>
              <a:solidFill>
                <a:srgbClr val="984807"/>
              </a:solidFill>
              <a:ln w="25400">
                <a:noFill/>
              </a:ln>
            </c:spPr>
          </c:dPt>
          <c:dPt>
            <c:idx val="2"/>
            <c:bubble3D val="0"/>
            <c:spPr>
              <a:solidFill>
                <a:srgbClr val="FF5050"/>
              </a:solidFill>
              <a:ln w="25400">
                <a:noFill/>
              </a:ln>
            </c:spPr>
          </c:dPt>
          <c:dPt>
            <c:idx val="3"/>
            <c:bubble3D val="0"/>
            <c:spPr>
              <a:solidFill>
                <a:srgbClr val="E6B9B8"/>
              </a:solidFill>
              <a:ln w="25400">
                <a:noFill/>
              </a:ln>
            </c:spPr>
          </c:dPt>
          <c:dPt>
            <c:idx val="4"/>
            <c:bubble3D val="0"/>
            <c:spPr>
              <a:solidFill>
                <a:srgbClr val="E46C0A"/>
              </a:solidFill>
              <a:ln w="25400">
                <a:noFill/>
              </a:ln>
            </c:spPr>
          </c:dPt>
          <c:dPt>
            <c:idx val="5"/>
            <c:bubble3D val="0"/>
            <c:spPr>
              <a:solidFill>
                <a:srgbClr val="FFFF00"/>
              </a:solidFill>
              <a:ln w="25400">
                <a:noFill/>
              </a:ln>
            </c:spPr>
          </c:dPt>
          <c:dPt>
            <c:idx val="6"/>
            <c:bubble3D val="0"/>
            <c:spPr>
              <a:solidFill>
                <a:srgbClr val="FFCC95"/>
              </a:solidFill>
              <a:ln w="25400">
                <a:noFill/>
              </a:ln>
            </c:spPr>
          </c:dPt>
          <c:dLbls>
            <c:dLbl>
              <c:idx val="0"/>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1"/>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2"/>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3"/>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4"/>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5"/>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dLbl>
              <c:idx val="6"/>
              <c:spPr>
                <a:noFill/>
                <a:ln w="25400">
                  <a:noFill/>
                </a:ln>
              </c:spPr>
              <c:txPr>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dLbl>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fr-FR"/>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'Edition éleveur'!$E$20:$E$26</c:f>
              <c:strCache>
                <c:ptCount val="7"/>
                <c:pt idx="0">
                  <c:v>Travail</c:v>
                </c:pt>
                <c:pt idx="1">
                  <c:v>Foncier et Capital</c:v>
                </c:pt>
                <c:pt idx="2">
                  <c:v>Frais divers de gestion</c:v>
                </c:pt>
                <c:pt idx="3">
                  <c:v>Bâtiments</c:v>
                </c:pt>
                <c:pt idx="4">
                  <c:v>Mécanisation</c:v>
                </c:pt>
                <c:pt idx="5">
                  <c:v>Frais d'élevage</c:v>
                </c:pt>
                <c:pt idx="6">
                  <c:v>Alimentation</c:v>
                </c:pt>
              </c:strCache>
            </c:strRef>
          </c:cat>
          <c:val>
            <c:numRef>
              <c:f>'Edition éleveur'!$H$20:$H$26</c:f>
              <c:numCache>
                <c:formatCode>#\ ##0" €"</c:formatCode>
                <c:ptCount val="7"/>
                <c:pt idx="0">
                  <c:v>124.12789143187277</c:v>
                </c:pt>
                <c:pt idx="1">
                  <c:v>35.913940666328557</c:v>
                </c:pt>
                <c:pt idx="2">
                  <c:v>23.720496644378152</c:v>
                </c:pt>
                <c:pt idx="3">
                  <c:v>47.992455824106081</c:v>
                </c:pt>
                <c:pt idx="4">
                  <c:v>90.335057409451039</c:v>
                </c:pt>
                <c:pt idx="5">
                  <c:v>37.116377504665223</c:v>
                </c:pt>
                <c:pt idx="6">
                  <c:v>148.76714392777762</c:v>
                </c:pt>
              </c:numCache>
            </c:numRef>
          </c:val>
        </c:ser>
        <c:dLbls>
          <c:showLegendKey val="0"/>
          <c:showVal val="0"/>
          <c:showCatName val="0"/>
          <c:showSerName val="0"/>
          <c:showPercent val="0"/>
          <c:showBubbleSize val="0"/>
          <c:showLeaderLines val="0"/>
        </c:dLbls>
        <c:firstSliceAng val="0"/>
      </c:pieChart>
      <c:spPr>
        <a:solidFill>
          <a:srgbClr val="FFFFFF"/>
        </a:solidFill>
        <a:ln w="25400">
          <a:noFill/>
        </a:ln>
      </c:spPr>
    </c:plotArea>
    <c:legend>
      <c:legendPos val="r"/>
      <c:layout>
        <c:manualLayout>
          <c:xMode val="edge"/>
          <c:yMode val="edge"/>
          <c:x val="0.60408976759425059"/>
          <c:y val="0.3647064061155878"/>
          <c:w val="0.28066939971302107"/>
          <c:h val="0.520588982923056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zero"/>
    <c:showDLblsOverMax val="0"/>
  </c:chart>
  <c:spPr>
    <a:solidFill>
      <a:srgbClr val="FFFFFF"/>
    </a:solidFill>
    <a:ln w="38100">
      <a:solidFill>
        <a:srgbClr val="4F81BD"/>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98307288088661"/>
          <c:y val="5.0000162760946487E-2"/>
          <c:w val="0.72510975782467069"/>
          <c:h val="0.59000192057916856"/>
        </c:manualLayout>
      </c:layout>
      <c:scatterChart>
        <c:scatterStyle val="lineMarker"/>
        <c:varyColors val="0"/>
        <c:ser>
          <c:idx val="0"/>
          <c:order val="0"/>
          <c:tx>
            <c:strRef>
              <c:f>Cuisine!$K$4</c:f>
              <c:strCache>
                <c:ptCount val="1"/>
                <c:pt idx="0">
                  <c:v>  Votre atelier</c:v>
                </c:pt>
              </c:strCache>
            </c:strRef>
          </c:tx>
          <c:spPr>
            <a:ln w="38100">
              <a:solidFill>
                <a:srgbClr val="323397"/>
              </a:solidFill>
              <a:prstDash val="solid"/>
            </a:ln>
          </c:spPr>
          <c:marker>
            <c:symbol val="none"/>
          </c:marker>
          <c:xVal>
            <c:numRef>
              <c:f>Cuisine!$J$5:$J$16</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2.0021232950168977</c:v>
                </c:pt>
              </c:numCache>
            </c:numRef>
          </c:xVal>
          <c:yVal>
            <c:numRef>
              <c:f>Cuisine!$K$5:$K$16</c:f>
              <c:numCache>
                <c:formatCode>#\ ##0" €"</c:formatCode>
                <c:ptCount val="12"/>
                <c:pt idx="0">
                  <c:v>346.38474063755228</c:v>
                </c:pt>
                <c:pt idx="1">
                  <c:v>369.03572115781145</c:v>
                </c:pt>
                <c:pt idx="2">
                  <c:v>391.68670167807062</c:v>
                </c:pt>
                <c:pt idx="3">
                  <c:v>414.33768219832973</c:v>
                </c:pt>
                <c:pt idx="4">
                  <c:v>436.9886627185889</c:v>
                </c:pt>
                <c:pt idx="5">
                  <c:v>459.63964323884807</c:v>
                </c:pt>
                <c:pt idx="6">
                  <c:v>482.29062375910723</c:v>
                </c:pt>
                <c:pt idx="7">
                  <c:v>504.9416042793664</c:v>
                </c:pt>
                <c:pt idx="8">
                  <c:v>527.59258479962557</c:v>
                </c:pt>
                <c:pt idx="9">
                  <c:v>550.24356531988462</c:v>
                </c:pt>
              </c:numCache>
            </c:numRef>
          </c:yVal>
          <c:smooth val="0"/>
        </c:ser>
        <c:ser>
          <c:idx val="1"/>
          <c:order val="1"/>
          <c:tx>
            <c:strRef>
              <c:f>Cuisine!$L$4</c:f>
              <c:strCache>
                <c:ptCount val="1"/>
                <c:pt idx="0">
                  <c:v>  Référence</c:v>
                </c:pt>
              </c:strCache>
            </c:strRef>
          </c:tx>
          <c:spPr>
            <a:ln w="38100">
              <a:solidFill>
                <a:srgbClr val="800000"/>
              </a:solidFill>
              <a:prstDash val="solid"/>
            </a:ln>
          </c:spPr>
          <c:marker>
            <c:symbol val="none"/>
          </c:marker>
          <c:xVal>
            <c:numRef>
              <c:f>Cuisine!$J$5:$J$16</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2.0021232950168977</c:v>
                </c:pt>
              </c:numCache>
            </c:numRef>
          </c:xVal>
          <c:yVal>
            <c:numRef>
              <c:f>Cuisine!$L$5:$L$16</c:f>
              <c:numCache>
                <c:formatCode>#\ ##0" €"</c:formatCode>
                <c:ptCount val="12"/>
                <c:pt idx="0">
                  <c:v>255.28077879380723</c:v>
                </c:pt>
                <c:pt idx="1">
                  <c:v>276.14112582095561</c:v>
                </c:pt>
                <c:pt idx="2">
                  <c:v>297.00147284810396</c:v>
                </c:pt>
                <c:pt idx="3">
                  <c:v>317.86181987525231</c:v>
                </c:pt>
                <c:pt idx="4">
                  <c:v>338.72216690240066</c:v>
                </c:pt>
                <c:pt idx="5">
                  <c:v>359.58251392954901</c:v>
                </c:pt>
                <c:pt idx="6">
                  <c:v>380.44286095669736</c:v>
                </c:pt>
                <c:pt idx="7">
                  <c:v>401.30320798384571</c:v>
                </c:pt>
                <c:pt idx="8">
                  <c:v>422.16355501099417</c:v>
                </c:pt>
                <c:pt idx="9">
                  <c:v>443.02390203814252</c:v>
                </c:pt>
              </c:numCache>
            </c:numRef>
          </c:yVal>
          <c:smooth val="0"/>
        </c:ser>
        <c:ser>
          <c:idx val="2"/>
          <c:order val="2"/>
          <c:tx>
            <c:strRef>
              <c:f>Cuisine!$M$4</c:f>
              <c:strCache>
                <c:ptCount val="1"/>
              </c:strCache>
            </c:strRef>
          </c:tx>
          <c:spPr>
            <a:ln w="38100">
              <a:solidFill>
                <a:srgbClr val="99CC00"/>
              </a:solidFill>
              <a:prstDash val="solid"/>
            </a:ln>
          </c:spPr>
          <c:marker>
            <c:symbol val="circle"/>
            <c:size val="10"/>
            <c:spPr>
              <a:solidFill>
                <a:srgbClr val="99CC00"/>
              </a:solidFill>
              <a:ln>
                <a:solidFill>
                  <a:srgbClr val="99CC00"/>
                </a:solidFill>
                <a:prstDash val="solid"/>
              </a:ln>
            </c:spPr>
          </c:marker>
          <c:xVal>
            <c:numRef>
              <c:f>Cuisine!$J$5:$J$16</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2.0021232950168977</c:v>
                </c:pt>
              </c:numCache>
            </c:numRef>
          </c:xVal>
          <c:yVal>
            <c:numRef>
              <c:f>Cuisine!$M$5:$M$16</c:f>
              <c:numCache>
                <c:formatCode>General</c:formatCode>
                <c:ptCount val="12"/>
                <c:pt idx="10" formatCode="#\ ##0&quot; €&quot;">
                  <c:v>358.92000000000007</c:v>
                </c:pt>
              </c:numCache>
            </c:numRef>
          </c:yVal>
          <c:smooth val="0"/>
        </c:ser>
        <c:ser>
          <c:idx val="3"/>
          <c:order val="3"/>
          <c:tx>
            <c:strRef>
              <c:f>Cuisine!$N$4</c:f>
              <c:strCache>
                <c:ptCount val="1"/>
              </c:strCache>
            </c:strRef>
          </c:tx>
          <c:spPr>
            <a:ln w="38100">
              <a:solidFill>
                <a:srgbClr val="666699"/>
              </a:solidFill>
              <a:prstDash val="solid"/>
            </a:ln>
          </c:spPr>
          <c:marker>
            <c:symbol val="circle"/>
            <c:size val="10"/>
            <c:spPr>
              <a:solidFill>
                <a:srgbClr val="666699"/>
              </a:solidFill>
              <a:ln>
                <a:solidFill>
                  <a:srgbClr val="666699"/>
                </a:solidFill>
                <a:prstDash val="solid"/>
              </a:ln>
            </c:spPr>
          </c:marker>
          <c:xVal>
            <c:numRef>
              <c:f>Cuisine!$J$5:$J$16</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2.0021232950168977</c:v>
                </c:pt>
              </c:numCache>
            </c:numRef>
          </c:xVal>
          <c:yVal>
            <c:numRef>
              <c:f>Cuisine!$N$5:$N$16</c:f>
              <c:numCache>
                <c:formatCode>General</c:formatCode>
                <c:ptCount val="12"/>
                <c:pt idx="11" formatCode="#\ ##0&quot; €&quot;">
                  <c:v>359.671099271336</c:v>
                </c:pt>
              </c:numCache>
            </c:numRef>
          </c:yVal>
          <c:smooth val="0"/>
        </c:ser>
        <c:dLbls>
          <c:showLegendKey val="0"/>
          <c:showVal val="0"/>
          <c:showCatName val="0"/>
          <c:showSerName val="0"/>
          <c:showPercent val="0"/>
          <c:showBubbleSize val="0"/>
        </c:dLbls>
        <c:axId val="176101040"/>
        <c:axId val="176101824"/>
      </c:scatterChart>
      <c:valAx>
        <c:axId val="176101040"/>
        <c:scaling>
          <c:orientation val="minMax"/>
        </c:scaling>
        <c:delete val="0"/>
        <c:axPos val="b"/>
        <c:majorGridlines>
          <c:spPr>
            <a:ln w="12700">
              <a:solidFill>
                <a:srgbClr val="808080"/>
              </a:solidFill>
              <a:prstDash val="solid"/>
            </a:ln>
          </c:spPr>
        </c:majorGridlines>
        <c:title>
          <c:tx>
            <c:rich>
              <a:bodyPr/>
              <a:lstStyle/>
              <a:p>
                <a:pPr>
                  <a:defRPr sz="900" b="1" i="0" u="none" strike="noStrike" baseline="0">
                    <a:solidFill>
                      <a:srgbClr val="000000"/>
                    </a:solidFill>
                    <a:latin typeface="Arial"/>
                    <a:ea typeface="Arial"/>
                    <a:cs typeface="Arial"/>
                  </a:defRPr>
                </a:pPr>
                <a:r>
                  <a:rPr lang="fr-FR"/>
                  <a:t>Rémunération du travail
Nb de SMIC brut / UMO exploitant consacrée à l'atelier</a:t>
                </a:r>
              </a:p>
            </c:rich>
          </c:tx>
          <c:layout>
            <c:manualLayout>
              <c:xMode val="edge"/>
              <c:yMode val="edge"/>
              <c:x val="0.21212166049796338"/>
              <c:y val="0.73000237630981868"/>
            </c:manualLayout>
          </c:layout>
          <c:overlay val="0"/>
          <c:spPr>
            <a:noFill/>
            <a:ln w="25400">
              <a:noFill/>
            </a:ln>
          </c:spPr>
        </c:title>
        <c:numFmt formatCode="0.0" sourceLinked="1"/>
        <c:majorTickMark val="out"/>
        <c:minorTickMark val="none"/>
        <c:tickLblPos val="nextTo"/>
        <c:spPr>
          <a:ln w="12700">
            <a:solidFill>
              <a:srgbClr val="808080"/>
            </a:solidFill>
            <a:prstDash val="solid"/>
          </a:ln>
        </c:spPr>
        <c:txPr>
          <a:bodyPr rot="0" vert="horz"/>
          <a:lstStyle/>
          <a:p>
            <a:pPr>
              <a:defRPr sz="800" b="1" i="0" u="none" strike="noStrike" baseline="0">
                <a:solidFill>
                  <a:srgbClr val="000000"/>
                </a:solidFill>
                <a:latin typeface="Arial"/>
                <a:ea typeface="Arial"/>
                <a:cs typeface="Arial"/>
              </a:defRPr>
            </a:pPr>
            <a:endParaRPr lang="fr-FR"/>
          </a:p>
        </c:txPr>
        <c:crossAx val="176101824"/>
        <c:crossesAt val="0"/>
        <c:crossBetween val="midCat"/>
        <c:majorUnit val="0.5"/>
      </c:valAx>
      <c:valAx>
        <c:axId val="176101824"/>
        <c:scaling>
          <c:orientation val="minMax"/>
          <c:min val="100"/>
        </c:scaling>
        <c:delete val="0"/>
        <c:axPos val="l"/>
        <c:majorGridlines>
          <c:spPr>
            <a:ln w="12700">
              <a:solidFill>
                <a:srgbClr val="80808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fr-FR"/>
                  <a:t>Prix de revient [ € / 1000 litres ]</a:t>
                </a:r>
              </a:p>
            </c:rich>
          </c:tx>
          <c:layout>
            <c:manualLayout>
              <c:xMode val="edge"/>
              <c:yMode val="edge"/>
              <c:x val="1.0822533698875682E-2"/>
              <c:y val="0.25333415798879555"/>
            </c:manualLayout>
          </c:layout>
          <c:overlay val="0"/>
          <c:spPr>
            <a:noFill/>
            <a:ln w="25400">
              <a:noFill/>
            </a:ln>
          </c:spPr>
        </c:title>
        <c:numFmt formatCode="#\ ##0&quot; €&quot;" sourceLinked="1"/>
        <c:majorTickMark val="none"/>
        <c:minorTickMark val="none"/>
        <c:tickLblPos val="low"/>
        <c:spPr>
          <a:ln w="38100">
            <a:solidFill>
              <a:srgbClr val="96B3D6"/>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176101040"/>
        <c:crossesAt val="0"/>
        <c:crossBetween val="midCat"/>
      </c:valAx>
      <c:spPr>
        <a:solidFill>
          <a:srgbClr val="FFFFFF"/>
        </a:solidFill>
        <a:ln w="25400">
          <a:noFill/>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42878551895743"/>
          <c:y val="0.11743772241992882"/>
          <c:w val="0.7276793645361378"/>
          <c:h val="0.5658362989323843"/>
        </c:manualLayout>
      </c:layout>
      <c:scatterChart>
        <c:scatterStyle val="lineMarker"/>
        <c:varyColors val="0"/>
        <c:ser>
          <c:idx val="0"/>
          <c:order val="0"/>
          <c:tx>
            <c:strRef>
              <c:f>Cuisine!$K$23</c:f>
              <c:strCache>
                <c:ptCount val="1"/>
                <c:pt idx="0">
                  <c:v>Résultat</c:v>
                </c:pt>
              </c:strCache>
            </c:strRef>
          </c:tx>
          <c:spPr>
            <a:ln w="38100">
              <a:solidFill>
                <a:srgbClr val="323397"/>
              </a:solidFill>
              <a:prstDash val="solid"/>
            </a:ln>
          </c:spPr>
          <c:marker>
            <c:symbol val="none"/>
          </c:marker>
          <c:xVal>
            <c:numRef>
              <c:f>Cuisine!$J$24:$J$35</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4.8550103734814318E-2</c:v>
                </c:pt>
              </c:numCache>
            </c:numRef>
          </c:xVal>
          <c:yVal>
            <c:numRef>
              <c:f>Cuisine!$K$24:$K$35</c:f>
              <c:numCache>
                <c:formatCode>#\ ##0" €"</c:formatCode>
                <c:ptCount val="12"/>
                <c:pt idx="0">
                  <c:v>346.38474063755228</c:v>
                </c:pt>
                <c:pt idx="1">
                  <c:v>369.03572115781145</c:v>
                </c:pt>
                <c:pt idx="2">
                  <c:v>391.68670167807062</c:v>
                </c:pt>
                <c:pt idx="3">
                  <c:v>414.33768219832973</c:v>
                </c:pt>
                <c:pt idx="4">
                  <c:v>436.9886627185889</c:v>
                </c:pt>
                <c:pt idx="5">
                  <c:v>459.63964323884807</c:v>
                </c:pt>
                <c:pt idx="6">
                  <c:v>482.29062375910723</c:v>
                </c:pt>
                <c:pt idx="7">
                  <c:v>504.9416042793664</c:v>
                </c:pt>
                <c:pt idx="8">
                  <c:v>527.59258479962557</c:v>
                </c:pt>
                <c:pt idx="9">
                  <c:v>550.24356531988462</c:v>
                </c:pt>
              </c:numCache>
            </c:numRef>
          </c:yVal>
          <c:smooth val="0"/>
        </c:ser>
        <c:ser>
          <c:idx val="1"/>
          <c:order val="1"/>
          <c:tx>
            <c:strRef>
              <c:f>Cuisine!$L$23</c:f>
              <c:strCache>
                <c:ptCount val="1"/>
                <c:pt idx="0">
                  <c:v>Simulation</c:v>
                </c:pt>
              </c:strCache>
            </c:strRef>
          </c:tx>
          <c:spPr>
            <a:ln w="38100">
              <a:solidFill>
                <a:srgbClr val="984807"/>
              </a:solidFill>
              <a:prstDash val="solid"/>
            </a:ln>
          </c:spPr>
          <c:marker>
            <c:symbol val="none"/>
          </c:marker>
          <c:xVal>
            <c:numRef>
              <c:f>Cuisine!$J$24:$J$35</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4.8550103734814318E-2</c:v>
                </c:pt>
              </c:numCache>
            </c:numRef>
          </c:xVal>
          <c:yVal>
            <c:numRef>
              <c:f>Cuisine!$L$24:$L$35</c:f>
              <c:numCache>
                <c:formatCode>#\ ##0" €"</c:formatCode>
                <c:ptCount val="12"/>
                <c:pt idx="0">
                  <c:v>346.38474063755228</c:v>
                </c:pt>
                <c:pt idx="1">
                  <c:v>369.03572115781145</c:v>
                </c:pt>
                <c:pt idx="2">
                  <c:v>391.68670167807062</c:v>
                </c:pt>
                <c:pt idx="3">
                  <c:v>414.33768219832973</c:v>
                </c:pt>
                <c:pt idx="4">
                  <c:v>436.9886627185889</c:v>
                </c:pt>
                <c:pt idx="5">
                  <c:v>459.63964323884807</c:v>
                </c:pt>
                <c:pt idx="6">
                  <c:v>482.29062375910723</c:v>
                </c:pt>
                <c:pt idx="7">
                  <c:v>504.9416042793664</c:v>
                </c:pt>
                <c:pt idx="8">
                  <c:v>527.59258479962557</c:v>
                </c:pt>
                <c:pt idx="9">
                  <c:v>550.24356531988462</c:v>
                </c:pt>
              </c:numCache>
            </c:numRef>
          </c:yVal>
          <c:smooth val="0"/>
        </c:ser>
        <c:ser>
          <c:idx val="2"/>
          <c:order val="2"/>
          <c:tx>
            <c:strRef>
              <c:f>Cuisine!$M$23</c:f>
              <c:strCache>
                <c:ptCount val="1"/>
              </c:strCache>
            </c:strRef>
          </c:tx>
          <c:spPr>
            <a:ln w="38100">
              <a:solidFill>
                <a:srgbClr val="323397"/>
              </a:solidFill>
              <a:prstDash val="solid"/>
            </a:ln>
          </c:spPr>
          <c:marker>
            <c:symbol val="square"/>
            <c:size val="10"/>
            <c:spPr>
              <a:solidFill>
                <a:srgbClr val="323397"/>
              </a:solidFill>
              <a:ln>
                <a:solidFill>
                  <a:srgbClr val="323397"/>
                </a:solidFill>
                <a:prstDash val="solid"/>
              </a:ln>
            </c:spPr>
          </c:marker>
          <c:xVal>
            <c:numRef>
              <c:f>Cuisine!$J$24:$J$35</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4.8550103734814318E-2</c:v>
                </c:pt>
              </c:numCache>
            </c:numRef>
          </c:xVal>
          <c:yVal>
            <c:numRef>
              <c:f>Cuisine!$M$24:$M$35</c:f>
              <c:numCache>
                <c:formatCode>General</c:formatCode>
                <c:ptCount val="12"/>
                <c:pt idx="10" formatCode="#\ ##0&quot; €&quot;">
                  <c:v>358.92000000000007</c:v>
                </c:pt>
              </c:numCache>
            </c:numRef>
          </c:yVal>
          <c:smooth val="0"/>
        </c:ser>
        <c:ser>
          <c:idx val="3"/>
          <c:order val="3"/>
          <c:tx>
            <c:strRef>
              <c:f>Cuisine!$N$23</c:f>
              <c:strCache>
                <c:ptCount val="1"/>
              </c:strCache>
            </c:strRef>
          </c:tx>
          <c:spPr>
            <a:ln w="38100">
              <a:solidFill>
                <a:srgbClr val="FFFFFF"/>
              </a:solidFill>
              <a:prstDash val="solid"/>
            </a:ln>
          </c:spPr>
          <c:marker>
            <c:symbol val="square"/>
            <c:size val="10"/>
            <c:spPr>
              <a:solidFill>
                <a:srgbClr val="FFFFFF"/>
              </a:solidFill>
              <a:ln>
                <a:solidFill>
                  <a:srgbClr val="FFFFFF"/>
                </a:solidFill>
                <a:prstDash val="solid"/>
              </a:ln>
            </c:spPr>
          </c:marker>
          <c:xVal>
            <c:numRef>
              <c:f>Cuisine!$J$24:$J$35</c:f>
              <c:numCache>
                <c:formatCode>0.0</c:formatCode>
                <c:ptCount val="12"/>
                <c:pt idx="0">
                  <c:v>-0.5</c:v>
                </c:pt>
                <c:pt idx="1">
                  <c:v>0</c:v>
                </c:pt>
                <c:pt idx="2">
                  <c:v>0.5</c:v>
                </c:pt>
                <c:pt idx="3">
                  <c:v>1</c:v>
                </c:pt>
                <c:pt idx="4">
                  <c:v>1.5</c:v>
                </c:pt>
                <c:pt idx="5">
                  <c:v>2</c:v>
                </c:pt>
                <c:pt idx="6">
                  <c:v>2.5</c:v>
                </c:pt>
                <c:pt idx="7">
                  <c:v>3</c:v>
                </c:pt>
                <c:pt idx="8">
                  <c:v>3.5</c:v>
                </c:pt>
                <c:pt idx="9">
                  <c:v>4</c:v>
                </c:pt>
                <c:pt idx="10" formatCode="0.00">
                  <c:v>4.8550103734814318E-2</c:v>
                </c:pt>
                <c:pt idx="11" formatCode="0.00">
                  <c:v>4.8550103734814318E-2</c:v>
                </c:pt>
              </c:numCache>
            </c:numRef>
          </c:xVal>
          <c:yVal>
            <c:numRef>
              <c:f>Cuisine!$N$24:$N$35</c:f>
              <c:numCache>
                <c:formatCode>General</c:formatCode>
                <c:ptCount val="12"/>
                <c:pt idx="11" formatCode="#\ ##0&quot; €&quot;">
                  <c:v>358.92000000000007</c:v>
                </c:pt>
              </c:numCache>
            </c:numRef>
          </c:yVal>
          <c:smooth val="0"/>
        </c:ser>
        <c:dLbls>
          <c:showLegendKey val="0"/>
          <c:showVal val="0"/>
          <c:showCatName val="0"/>
          <c:showSerName val="0"/>
          <c:showPercent val="0"/>
          <c:showBubbleSize val="0"/>
        </c:dLbls>
        <c:axId val="247030680"/>
        <c:axId val="247030288"/>
      </c:scatterChart>
      <c:valAx>
        <c:axId val="247030680"/>
        <c:scaling>
          <c:orientation val="minMax"/>
        </c:scaling>
        <c:delete val="0"/>
        <c:axPos val="b"/>
        <c:majorGridlines>
          <c:spPr>
            <a:ln w="12700">
              <a:solidFill>
                <a:srgbClr val="808080"/>
              </a:solidFill>
              <a:prstDash val="solid"/>
            </a:ln>
          </c:spPr>
        </c:majorGridlines>
        <c:title>
          <c:tx>
            <c:rich>
              <a:bodyPr/>
              <a:lstStyle/>
              <a:p>
                <a:pPr>
                  <a:defRPr sz="900" b="1" i="0" u="none" strike="noStrike" baseline="0">
                    <a:solidFill>
                      <a:srgbClr val="000000"/>
                    </a:solidFill>
                    <a:latin typeface="Arial"/>
                    <a:ea typeface="Arial"/>
                    <a:cs typeface="Arial"/>
                  </a:defRPr>
                </a:pPr>
                <a:r>
                  <a:rPr lang="fr-FR"/>
                  <a:t>Rémunération du travail
Nb de SMIC brut / UMO non salariée consacrée à l'atelier</a:t>
                </a:r>
              </a:p>
            </c:rich>
          </c:tx>
          <c:layout>
            <c:manualLayout>
              <c:xMode val="edge"/>
              <c:yMode val="edge"/>
              <c:x val="0.20089307609893373"/>
              <c:y val="0.77935943060498225"/>
            </c:manualLayout>
          </c:layout>
          <c:overlay val="0"/>
          <c:spPr>
            <a:noFill/>
            <a:ln w="25400">
              <a:noFill/>
            </a:ln>
          </c:spPr>
        </c:title>
        <c:numFmt formatCode="0.0" sourceLinked="1"/>
        <c:majorTickMark val="out"/>
        <c:minorTickMark val="none"/>
        <c:tickLblPos val="nextTo"/>
        <c:spPr>
          <a:ln w="12700">
            <a:solidFill>
              <a:srgbClr val="808080"/>
            </a:solidFill>
            <a:prstDash val="solid"/>
          </a:ln>
        </c:spPr>
        <c:txPr>
          <a:bodyPr rot="0" vert="horz"/>
          <a:lstStyle/>
          <a:p>
            <a:pPr>
              <a:defRPr sz="800" b="1" i="0" u="none" strike="noStrike" baseline="0">
                <a:solidFill>
                  <a:srgbClr val="000000"/>
                </a:solidFill>
                <a:latin typeface="Arial"/>
                <a:ea typeface="Arial"/>
                <a:cs typeface="Arial"/>
              </a:defRPr>
            </a:pPr>
            <a:endParaRPr lang="fr-FR"/>
          </a:p>
        </c:txPr>
        <c:crossAx val="247030288"/>
        <c:crossesAt val="0"/>
        <c:crossBetween val="midCat"/>
        <c:majorUnit val="0.5"/>
      </c:valAx>
      <c:valAx>
        <c:axId val="247030288"/>
        <c:scaling>
          <c:orientation val="minMax"/>
          <c:min val="100"/>
        </c:scaling>
        <c:delete val="0"/>
        <c:axPos val="l"/>
        <c:majorGridlines>
          <c:spPr>
            <a:ln w="12700">
              <a:solidFill>
                <a:srgbClr val="80808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fr-FR"/>
                  <a:t>Prix du lait [ € / 1000 litres ]</a:t>
                </a:r>
              </a:p>
            </c:rich>
          </c:tx>
          <c:layout>
            <c:manualLayout>
              <c:xMode val="edge"/>
              <c:yMode val="edge"/>
              <c:x val="1.1160726449940763E-2"/>
              <c:y val="0.33096085409252668"/>
            </c:manualLayout>
          </c:layout>
          <c:overlay val="0"/>
          <c:spPr>
            <a:noFill/>
            <a:ln w="25400">
              <a:noFill/>
            </a:ln>
          </c:spPr>
        </c:title>
        <c:numFmt formatCode="#\ ##0&quot; €&quot;" sourceLinked="1"/>
        <c:majorTickMark val="none"/>
        <c:minorTickMark val="none"/>
        <c:tickLblPos val="low"/>
        <c:spPr>
          <a:ln w="38100">
            <a:solidFill>
              <a:srgbClr val="96B3D6"/>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47030680"/>
        <c:crossesAt val="0"/>
        <c:crossBetween val="midCat"/>
      </c:valAx>
      <c:spPr>
        <a:solidFill>
          <a:srgbClr val="FFFFFF"/>
        </a:solidFill>
        <a:ln w="25400">
          <a:noFill/>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18934426114829"/>
          <c:y val="7.9545564888090503E-2"/>
          <c:w val="0.78223605143609454"/>
          <c:h val="0.73863738824655467"/>
        </c:manualLayout>
      </c:layout>
      <c:barChart>
        <c:barDir val="col"/>
        <c:grouping val="stacked"/>
        <c:varyColors val="0"/>
        <c:ser>
          <c:idx val="0"/>
          <c:order val="0"/>
          <c:tx>
            <c:strRef>
              <c:f>Cuisine!$C$4</c:f>
              <c:strCache>
                <c:ptCount val="1"/>
                <c:pt idx="0">
                  <c:v>Alimentation</c:v>
                </c:pt>
              </c:strCache>
            </c:strRef>
          </c:tx>
          <c:spPr>
            <a:solidFill>
              <a:srgbClr val="008C0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Cuisine!$D$4:$G$4</c:f>
              <c:numCache>
                <c:formatCode>#\ ##0" € ";\-#\ ##0" € ";" - € ";@\ </c:formatCode>
                <c:ptCount val="4"/>
                <c:pt idx="0">
                  <c:v>148.76714392777762</c:v>
                </c:pt>
                <c:pt idx="1">
                  <c:v>105.62384271682221</c:v>
                </c:pt>
              </c:numCache>
            </c:numRef>
          </c:val>
        </c:ser>
        <c:ser>
          <c:idx val="1"/>
          <c:order val="1"/>
          <c:tx>
            <c:strRef>
              <c:f>Cuisine!$C$5</c:f>
              <c:strCache>
                <c:ptCount val="1"/>
                <c:pt idx="0">
                  <c:v>Frais d'élevage</c:v>
                </c:pt>
              </c:strCache>
            </c:strRef>
          </c:tx>
          <c:spPr>
            <a:solidFill>
              <a:srgbClr val="FAC09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Cuisine!$D$5:$G$5</c:f>
              <c:numCache>
                <c:formatCode>#\ ##0" € ";\-#\ ##0" € ";" - € ";@\ </c:formatCode>
                <c:ptCount val="4"/>
                <c:pt idx="0">
                  <c:v>37.116377504665223</c:v>
                </c:pt>
                <c:pt idx="1">
                  <c:v>46.3686894925305</c:v>
                </c:pt>
              </c:numCache>
            </c:numRef>
          </c:val>
        </c:ser>
        <c:ser>
          <c:idx val="2"/>
          <c:order val="2"/>
          <c:tx>
            <c:strRef>
              <c:f>Cuisine!$C$6</c:f>
              <c:strCache>
                <c:ptCount val="1"/>
                <c:pt idx="0">
                  <c:v>Mécanisation</c:v>
                </c:pt>
              </c:strCache>
            </c:strRef>
          </c:tx>
          <c:spPr>
            <a:solidFill>
              <a:srgbClr val="7030A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Cuisine!$D$6:$G$6</c:f>
              <c:numCache>
                <c:formatCode>#\ ##0" € ";\-#\ ##0" € ";" - € ";@\ </c:formatCode>
                <c:ptCount val="4"/>
                <c:pt idx="0">
                  <c:v>90.335057409451039</c:v>
                </c:pt>
                <c:pt idx="1">
                  <c:v>82.464889226085702</c:v>
                </c:pt>
              </c:numCache>
            </c:numRef>
          </c:val>
        </c:ser>
        <c:ser>
          <c:idx val="3"/>
          <c:order val="3"/>
          <c:tx>
            <c:strRef>
              <c:f>Cuisine!$C$7</c:f>
              <c:strCache>
                <c:ptCount val="1"/>
                <c:pt idx="0">
                  <c:v>Bâtiments</c:v>
                </c:pt>
              </c:strCache>
            </c:strRef>
          </c:tx>
          <c:spPr>
            <a:solidFill>
              <a:srgbClr val="80808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Cuisine!$D$7:$G$7</c:f>
              <c:numCache>
                <c:formatCode>#\ ##0" € ";\-#\ ##0" € ";" - € ";@\ </c:formatCode>
                <c:ptCount val="4"/>
                <c:pt idx="0">
                  <c:v>47.992455824106081</c:v>
                </c:pt>
                <c:pt idx="1">
                  <c:v>43.014788428160571</c:v>
                </c:pt>
              </c:numCache>
            </c:numRef>
          </c:val>
        </c:ser>
        <c:ser>
          <c:idx val="4"/>
          <c:order val="4"/>
          <c:tx>
            <c:strRef>
              <c:f>Cuisine!$C$9</c:f>
              <c:strCache>
                <c:ptCount val="1"/>
                <c:pt idx="0">
                  <c:v>Foncier et Capital</c:v>
                </c:pt>
              </c:strCache>
            </c:strRef>
          </c:tx>
          <c:spPr>
            <a:solidFill>
              <a:srgbClr val="E46C0A"/>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Cuisine!$D$9:$G$9</c:f>
              <c:numCache>
                <c:formatCode>#\ ##0" € ";\-#\ ##0" € ";" - € ";@\ </c:formatCode>
                <c:ptCount val="4"/>
                <c:pt idx="0">
                  <c:v>35.913940666328557</c:v>
                </c:pt>
                <c:pt idx="1">
                  <c:v>30.828210383755579</c:v>
                </c:pt>
              </c:numCache>
            </c:numRef>
          </c:val>
        </c:ser>
        <c:ser>
          <c:idx val="5"/>
          <c:order val="5"/>
          <c:tx>
            <c:strRef>
              <c:f>Cuisine!$C$10</c:f>
              <c:strCache>
                <c:ptCount val="1"/>
                <c:pt idx="0">
                  <c:v>Travail</c:v>
                </c:pt>
              </c:strCache>
            </c:strRef>
          </c:tx>
          <c:spPr>
            <a:solidFill>
              <a:srgbClr val="FFFF0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Cuisine!$D$10:$G$10</c:f>
              <c:numCache>
                <c:formatCode>#\ ##0" € ";\-#\ ##0" € ";" - € ";@\ </c:formatCode>
                <c:ptCount val="4"/>
                <c:pt idx="0">
                  <c:v>124.12789143187277</c:v>
                </c:pt>
                <c:pt idx="1">
                  <c:v>92.7912312138223</c:v>
                </c:pt>
              </c:numCache>
            </c:numRef>
          </c:val>
        </c:ser>
        <c:ser>
          <c:idx val="6"/>
          <c:order val="6"/>
          <c:tx>
            <c:strRef>
              <c:f>Cuisine!$C$13</c:f>
              <c:strCache>
                <c:ptCount val="1"/>
                <c:pt idx="0">
                  <c:v>Produits viande </c:v>
                </c:pt>
              </c:strCache>
            </c:strRef>
          </c:tx>
          <c:spPr>
            <a:solidFill>
              <a:srgbClr val="FF000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Cuisine!$D$13:$G$13</c:f>
              <c:numCache>
                <c:formatCode>General</c:formatCode>
                <c:ptCount val="4"/>
                <c:pt idx="2" formatCode="#\ ##0&quot; € &quot;;\-#\ ##0&quot; € &quot;;&quot; - € &quot;;@\ ">
                  <c:v>44.884035972514653</c:v>
                </c:pt>
                <c:pt idx="3" formatCode="#\ ##0&quot; € &quot;;\-#\ ##0&quot; € &quot;;&quot; - € &quot;;@\ ">
                  <c:v>38.055072463768099</c:v>
                </c:pt>
              </c:numCache>
            </c:numRef>
          </c:val>
        </c:ser>
        <c:ser>
          <c:idx val="7"/>
          <c:order val="7"/>
          <c:tx>
            <c:strRef>
              <c:f>Cuisine!$C$12</c:f>
              <c:strCache>
                <c:ptCount val="1"/>
                <c:pt idx="0">
                  <c:v>autres produits joints</c:v>
                </c:pt>
              </c:strCache>
            </c:strRef>
          </c:tx>
          <c:spPr>
            <a:solidFill>
              <a:srgbClr val="000000"/>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Cuisine!$D$12:$G$12</c:f>
              <c:numCache>
                <c:formatCode>General</c:formatCode>
                <c:ptCount val="4"/>
                <c:pt idx="2" formatCode="#\ ##0&quot; € &quot;;\-#\ ##0&quot; € &quot;;&quot; - € &quot;;@\ ">
                  <c:v>12.315136065719081</c:v>
                </c:pt>
                <c:pt idx="3" formatCode="#\ ##0&quot; € &quot;;\-#\ ##0&quot; € &quot;;&quot; - € &quot;;@\ ">
                  <c:v>0</c:v>
                </c:pt>
              </c:numCache>
            </c:numRef>
          </c:val>
        </c:ser>
        <c:ser>
          <c:idx val="8"/>
          <c:order val="8"/>
          <c:tx>
            <c:strRef>
              <c:f>Cuisine!$C$14</c:f>
              <c:strCache>
                <c:ptCount val="1"/>
                <c:pt idx="0">
                  <c:v>Produits lait </c:v>
                </c:pt>
              </c:strCache>
            </c:strRef>
          </c:tx>
          <c:spPr>
            <a:solidFill>
              <a:srgbClr val="38CCFF"/>
            </a:solidFill>
            <a:ln w="25400">
              <a:noFill/>
            </a:ln>
          </c:spPr>
          <c:invertIfNegative val="0"/>
          <c:cat>
            <c:strRef>
              <c:f>Cuisine!$D$3:$G$3</c:f>
              <c:strCache>
                <c:ptCount val="4"/>
                <c:pt idx="0">
                  <c:v>Votre atelier</c:v>
                </c:pt>
                <c:pt idx="1">
                  <c:v>Référence</c:v>
                </c:pt>
                <c:pt idx="2">
                  <c:v>Votre atelier</c:v>
                </c:pt>
                <c:pt idx="3">
                  <c:v>Référence</c:v>
                </c:pt>
              </c:strCache>
            </c:strRef>
          </c:cat>
          <c:val>
            <c:numRef>
              <c:f>Cuisine!$D$14:$G$14</c:f>
              <c:numCache>
                <c:formatCode>General</c:formatCode>
                <c:ptCount val="4"/>
                <c:pt idx="2" formatCode="#\ ##0&quot; € &quot;;\-#\ ##0&quot; € &quot;;&quot; - € &quot;;@\ ">
                  <c:v>358.92000000000007</c:v>
                </c:pt>
                <c:pt idx="3" formatCode="#\ ##0&quot; € &quot;;\-#\ ##0&quot; € &quot;;&quot; - € &quot;;@\ ">
                  <c:v>359.671099271336</c:v>
                </c:pt>
              </c:numCache>
            </c:numRef>
          </c:val>
        </c:ser>
        <c:dLbls>
          <c:showLegendKey val="0"/>
          <c:showVal val="0"/>
          <c:showCatName val="0"/>
          <c:showSerName val="0"/>
          <c:showPercent val="0"/>
          <c:showBubbleSize val="0"/>
        </c:dLbls>
        <c:gapWidth val="70"/>
        <c:overlap val="100"/>
        <c:axId val="179041848"/>
        <c:axId val="245196896"/>
      </c:barChart>
      <c:catAx>
        <c:axId val="179041848"/>
        <c:scaling>
          <c:orientation val="minMax"/>
        </c:scaling>
        <c:delete val="0"/>
        <c:axPos val="b"/>
        <c:numFmt formatCode="General" sourceLinked="1"/>
        <c:majorTickMark val="out"/>
        <c:minorTickMark val="none"/>
        <c:tickLblPos val="nextTo"/>
        <c:spPr>
          <a:ln w="12700">
            <a:solidFill>
              <a:srgbClr val="FF0000"/>
            </a:solidFill>
            <a:prstDash val="solid"/>
          </a:ln>
        </c:spPr>
        <c:txPr>
          <a:bodyPr rot="0" vert="horz"/>
          <a:lstStyle/>
          <a:p>
            <a:pPr>
              <a:defRPr sz="800" b="1" i="0" u="none" strike="noStrike" baseline="0">
                <a:solidFill>
                  <a:srgbClr val="000000"/>
                </a:solidFill>
                <a:latin typeface="Arial"/>
                <a:ea typeface="Arial"/>
                <a:cs typeface="Arial"/>
              </a:defRPr>
            </a:pPr>
            <a:endParaRPr lang="fr-FR"/>
          </a:p>
        </c:txPr>
        <c:crossAx val="245196896"/>
        <c:crossesAt val="0"/>
        <c:auto val="1"/>
        <c:lblAlgn val="ctr"/>
        <c:lblOffset val="100"/>
        <c:tickLblSkip val="1"/>
        <c:tickMarkSkip val="1"/>
        <c:noMultiLvlLbl val="0"/>
      </c:catAx>
      <c:valAx>
        <c:axId val="245196896"/>
        <c:scaling>
          <c:orientation val="minMax"/>
          <c:min val="0"/>
        </c:scaling>
        <c:delete val="0"/>
        <c:axPos val="l"/>
        <c:minorGridlines>
          <c:spPr>
            <a:ln w="12700">
              <a:solidFill>
                <a:srgbClr val="FF0000"/>
              </a:solidFill>
              <a:prstDash val="sysDash"/>
            </a:ln>
          </c:spPr>
        </c:minorGridlines>
        <c:numFmt formatCode="#\ ##0&quot; € &quot;;\-#\ ##0&quot; € &quot;;&quot; - € &quot;;@\ " sourceLinked="1"/>
        <c:majorTickMark val="out"/>
        <c:minorTickMark val="none"/>
        <c:tickLblPos val="nextTo"/>
        <c:spPr>
          <a:ln w="12700">
            <a:solidFill>
              <a:srgbClr val="FF0000"/>
            </a:solidFill>
            <a:prstDash val="solid"/>
          </a:ln>
        </c:spPr>
        <c:txPr>
          <a:bodyPr rot="0" vert="horz"/>
          <a:lstStyle/>
          <a:p>
            <a:pPr>
              <a:defRPr sz="800" b="1" i="0" u="none" strike="noStrike" baseline="0">
                <a:solidFill>
                  <a:srgbClr val="000000"/>
                </a:solidFill>
                <a:latin typeface="Arial"/>
                <a:ea typeface="Arial"/>
                <a:cs typeface="Arial"/>
              </a:defRPr>
            </a:pPr>
            <a:endParaRPr lang="fr-FR"/>
          </a:p>
        </c:txPr>
        <c:crossAx val="179041848"/>
        <c:crossesAt val="1"/>
        <c:crossBetween val="between"/>
        <c:majorUnit val="100"/>
        <c:minorUnit val="50"/>
      </c:valAx>
      <c:spPr>
        <a:solidFill>
          <a:srgbClr val="FFFFFF"/>
        </a:solidFill>
        <a:ln w="12700">
          <a:solidFill>
            <a:srgbClr val="FF0000"/>
          </a:solid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jpeg"/><Relationship Id="rId2" Type="http://schemas.openxmlformats.org/officeDocument/2006/relationships/image" Target="../media/image1.png"/><Relationship Id="rId1" Type="http://schemas.openxmlformats.org/officeDocument/2006/relationships/chart" Target="../charts/chart4.xml"/><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26.jpeg"/><Relationship Id="rId1" Type="http://schemas.openxmlformats.org/officeDocument/2006/relationships/image" Target="../media/image1.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pn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1.jpeg"/><Relationship Id="rId2" Type="http://schemas.openxmlformats.org/officeDocument/2006/relationships/image" Target="../media/image30.jpe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1.jpeg"/><Relationship Id="rId2" Type="http://schemas.openxmlformats.org/officeDocument/2006/relationships/image" Target="../media/image32.jpeg"/><Relationship Id="rId1" Type="http://schemas.openxmlformats.org/officeDocument/2006/relationships/image" Target="../media/image1.png"/><Relationship Id="rId4"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1.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8.jpe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3.jpe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17.png"/><Relationship Id="rId4"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9.jpeg"/><Relationship Id="rId1" Type="http://schemas.openxmlformats.org/officeDocument/2006/relationships/image" Target="../media/image18.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png"/><Relationship Id="rId1" Type="http://schemas.openxmlformats.org/officeDocument/2006/relationships/chart" Target="../charts/chart3.xml"/><Relationship Id="rId5" Type="http://schemas.openxmlformats.org/officeDocument/2006/relationships/image" Target="../media/image22.png"/><Relationship Id="rId4"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twoCellAnchor>
    <xdr:from>
      <xdr:col>0</xdr:col>
      <xdr:colOff>533400</xdr:colOff>
      <xdr:row>0</xdr:row>
      <xdr:rowOff>0</xdr:rowOff>
    </xdr:from>
    <xdr:to>
      <xdr:col>3</xdr:col>
      <xdr:colOff>876300</xdr:colOff>
      <xdr:row>1</xdr:row>
      <xdr:rowOff>228600</xdr:rowOff>
    </xdr:to>
    <xdr:sp macro="" textlink="" fLocksText="0">
      <xdr:nvSpPr>
        <xdr:cNvPr id="1025" name="Rectangle 2"/>
        <xdr:cNvSpPr>
          <a:spLocks noChangeArrowheads="1"/>
        </xdr:cNvSpPr>
      </xdr:nvSpPr>
      <xdr:spPr bwMode="auto">
        <a:xfrm>
          <a:off x="533400" y="0"/>
          <a:ext cx="5905500" cy="609600"/>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clientData/>
  </xdr:twoCellAnchor>
  <xdr:twoCellAnchor>
    <xdr:from>
      <xdr:col>0</xdr:col>
      <xdr:colOff>28575</xdr:colOff>
      <xdr:row>0</xdr:row>
      <xdr:rowOff>0</xdr:rowOff>
    </xdr:from>
    <xdr:to>
      <xdr:col>0</xdr:col>
      <xdr:colOff>571500</xdr:colOff>
      <xdr:row>1</xdr:row>
      <xdr:rowOff>238125</xdr:rowOff>
    </xdr:to>
    <xdr:pic>
      <xdr:nvPicPr>
        <xdr:cNvPr id="1026"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542925" cy="6191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3457575</xdr:colOff>
      <xdr:row>0</xdr:row>
      <xdr:rowOff>28575</xdr:rowOff>
    </xdr:from>
    <xdr:to>
      <xdr:col>3</xdr:col>
      <xdr:colOff>295275</xdr:colOff>
      <xdr:row>1</xdr:row>
      <xdr:rowOff>190500</xdr:rowOff>
    </xdr:to>
    <xdr:grpSp>
      <xdr:nvGrpSpPr>
        <xdr:cNvPr id="1027" name="Groupe 11"/>
        <xdr:cNvGrpSpPr>
          <a:grpSpLocks/>
        </xdr:cNvGrpSpPr>
      </xdr:nvGrpSpPr>
      <xdr:grpSpPr bwMode="auto">
        <a:xfrm>
          <a:off x="4610100" y="28575"/>
          <a:ext cx="1247775" cy="542925"/>
          <a:chOff x="7655" y="46"/>
          <a:chExt cx="2071" cy="852"/>
        </a:xfrm>
      </xdr:grpSpPr>
      <xdr:pic>
        <xdr:nvPicPr>
          <xdr:cNvPr id="1028"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55" y="46"/>
            <a:ext cx="766" cy="85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029" name="Imag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28" y="46"/>
            <a:ext cx="1098" cy="75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xdr:from>
      <xdr:col>3</xdr:col>
      <xdr:colOff>390525</xdr:colOff>
      <xdr:row>0</xdr:row>
      <xdr:rowOff>38100</xdr:rowOff>
    </xdr:from>
    <xdr:to>
      <xdr:col>3</xdr:col>
      <xdr:colOff>828675</xdr:colOff>
      <xdr:row>1</xdr:row>
      <xdr:rowOff>133350</xdr:rowOff>
    </xdr:to>
    <xdr:pic>
      <xdr:nvPicPr>
        <xdr:cNvPr id="1030" name="Image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53125" y="38100"/>
          <a:ext cx="438150"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200025</xdr:colOff>
      <xdr:row>8</xdr:row>
      <xdr:rowOff>57150</xdr:rowOff>
    </xdr:from>
    <xdr:to>
      <xdr:col>8</xdr:col>
      <xdr:colOff>28575</xdr:colOff>
      <xdr:row>8</xdr:row>
      <xdr:rowOff>133350</xdr:rowOff>
    </xdr:to>
    <xdr:sp macro="" textlink="">
      <xdr:nvSpPr>
        <xdr:cNvPr id="10241" name="AutoShape 1"/>
        <xdr:cNvSpPr>
          <a:spLocks noChangeArrowheads="1"/>
        </xdr:cNvSpPr>
      </xdr:nvSpPr>
      <xdr:spPr bwMode="auto">
        <a:xfrm flipV="1">
          <a:off x="4495800" y="1733550"/>
          <a:ext cx="723900" cy="76200"/>
        </a:xfrm>
        <a:prstGeom prst="triangle">
          <a:avLst>
            <a:gd name="adj" fmla="val 50000"/>
          </a:avLst>
        </a:prstGeom>
        <a:solidFill>
          <a:srgbClr val="CCFFFF"/>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685800</xdr:colOff>
      <xdr:row>6</xdr:row>
      <xdr:rowOff>171450</xdr:rowOff>
    </xdr:from>
    <xdr:to>
      <xdr:col>8</xdr:col>
      <xdr:colOff>581025</xdr:colOff>
      <xdr:row>8</xdr:row>
      <xdr:rowOff>38100</xdr:rowOff>
    </xdr:to>
    <xdr:sp macro="" textlink="">
      <xdr:nvSpPr>
        <xdr:cNvPr id="10242" name="AutoShape 1"/>
        <xdr:cNvSpPr>
          <a:spLocks noChangeArrowheads="1"/>
        </xdr:cNvSpPr>
      </xdr:nvSpPr>
      <xdr:spPr bwMode="auto">
        <a:xfrm flipV="1">
          <a:off x="4981575" y="1600200"/>
          <a:ext cx="790575" cy="114300"/>
        </a:xfrm>
        <a:prstGeom prst="triangle">
          <a:avLst>
            <a:gd name="adj" fmla="val 50000"/>
          </a:avLst>
        </a:prstGeom>
        <a:solidFill>
          <a:srgbClr val="984807"/>
        </a:solidFill>
        <a:ln w="9360" cap="flat">
          <a:solidFill>
            <a:srgbClr val="984807"/>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104775</xdr:colOff>
      <xdr:row>29</xdr:row>
      <xdr:rowOff>38100</xdr:rowOff>
    </xdr:from>
    <xdr:to>
      <xdr:col>11</xdr:col>
      <xdr:colOff>571500</xdr:colOff>
      <xdr:row>44</xdr:row>
      <xdr:rowOff>85725</xdr:rowOff>
    </xdr:to>
    <xdr:graphicFrame macro="">
      <xdr:nvGraphicFramePr>
        <xdr:cNvPr id="1024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0</xdr:row>
      <xdr:rowOff>0</xdr:rowOff>
    </xdr:from>
    <xdr:to>
      <xdr:col>11</xdr:col>
      <xdr:colOff>38100</xdr:colOff>
      <xdr:row>2</xdr:row>
      <xdr:rowOff>142875</xdr:rowOff>
    </xdr:to>
    <xdr:grpSp>
      <xdr:nvGrpSpPr>
        <xdr:cNvPr id="10244" name="Groupe 20"/>
        <xdr:cNvGrpSpPr>
          <a:grpSpLocks/>
        </xdr:cNvGrpSpPr>
      </xdr:nvGrpSpPr>
      <xdr:grpSpPr bwMode="auto">
        <a:xfrm>
          <a:off x="1438275" y="0"/>
          <a:ext cx="7591425" cy="561975"/>
          <a:chOff x="2381" y="1"/>
          <a:chExt cx="12604" cy="860"/>
        </a:xfrm>
      </xdr:grpSpPr>
      <xdr:sp macro="" textlink="" fLocksText="0">
        <xdr:nvSpPr>
          <xdr:cNvPr id="10245" name="Rectangle 22"/>
          <xdr:cNvSpPr>
            <a:spLocks noChangeArrowheads="1"/>
          </xdr:cNvSpPr>
        </xdr:nvSpPr>
        <xdr:spPr bwMode="auto">
          <a:xfrm>
            <a:off x="3273" y="16"/>
            <a:ext cx="11711" cy="844"/>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lnSpc>
                <a:spcPts val="1200"/>
              </a:lnSpc>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10246"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 y="1"/>
            <a:ext cx="942" cy="85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10247" name="Groupe 11"/>
          <xdr:cNvGrpSpPr>
            <a:grpSpLocks/>
          </xdr:cNvGrpSpPr>
        </xdr:nvGrpSpPr>
        <xdr:grpSpPr bwMode="auto">
          <a:xfrm>
            <a:off x="12281" y="85"/>
            <a:ext cx="1701" cy="663"/>
            <a:chOff x="12281" y="85"/>
            <a:chExt cx="1701" cy="663"/>
          </a:xfrm>
        </xdr:grpSpPr>
        <xdr:pic>
          <xdr:nvPicPr>
            <xdr:cNvPr id="10248"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281" y="86"/>
              <a:ext cx="582" cy="65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0249" name="Image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041" y="85"/>
              <a:ext cx="941" cy="66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10</xdr:col>
      <xdr:colOff>47625</xdr:colOff>
      <xdr:row>29</xdr:row>
      <xdr:rowOff>76200</xdr:rowOff>
    </xdr:from>
    <xdr:to>
      <xdr:col>10</xdr:col>
      <xdr:colOff>333375</xdr:colOff>
      <xdr:row>29</xdr:row>
      <xdr:rowOff>76200</xdr:rowOff>
    </xdr:to>
    <xdr:sp macro="" textlink="">
      <xdr:nvSpPr>
        <xdr:cNvPr id="10250" name="Line 919"/>
        <xdr:cNvSpPr>
          <a:spLocks noChangeShapeType="1"/>
        </xdr:cNvSpPr>
      </xdr:nvSpPr>
      <xdr:spPr bwMode="auto">
        <a:xfrm>
          <a:off x="8172450" y="5219700"/>
          <a:ext cx="285750" cy="0"/>
        </a:xfrm>
        <a:prstGeom prst="line">
          <a:avLst/>
        </a:prstGeom>
        <a:noFill/>
        <a:ln w="38160" cap="flat">
          <a:solidFill>
            <a:srgbClr val="984807"/>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114300</xdr:colOff>
      <xdr:row>29</xdr:row>
      <xdr:rowOff>28575</xdr:rowOff>
    </xdr:from>
    <xdr:to>
      <xdr:col>10</xdr:col>
      <xdr:colOff>238125</xdr:colOff>
      <xdr:row>29</xdr:row>
      <xdr:rowOff>133350</xdr:rowOff>
    </xdr:to>
    <xdr:sp macro="" textlink="">
      <xdr:nvSpPr>
        <xdr:cNvPr id="10251" name="Rectangle 921"/>
        <xdr:cNvSpPr>
          <a:spLocks noChangeArrowheads="1"/>
        </xdr:cNvSpPr>
      </xdr:nvSpPr>
      <xdr:spPr bwMode="auto">
        <a:xfrm>
          <a:off x="8239125" y="5172075"/>
          <a:ext cx="123825" cy="104775"/>
        </a:xfrm>
        <a:prstGeom prst="rect">
          <a:avLst/>
        </a:prstGeom>
        <a:solidFill>
          <a:srgbClr val="984807"/>
        </a:solidFill>
        <a:ln w="9360" cap="flat">
          <a:solidFill>
            <a:srgbClr val="FFFFFF"/>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1171575</xdr:colOff>
      <xdr:row>28</xdr:row>
      <xdr:rowOff>123825</xdr:rowOff>
    </xdr:from>
    <xdr:to>
      <xdr:col>8</xdr:col>
      <xdr:colOff>1733550</xdr:colOff>
      <xdr:row>29</xdr:row>
      <xdr:rowOff>123825</xdr:rowOff>
    </xdr:to>
    <xdr:sp macro="" textlink="" fLocksText="0">
      <xdr:nvSpPr>
        <xdr:cNvPr id="10252" name="Text Box 232"/>
        <xdr:cNvSpPr>
          <a:spLocks noChangeArrowheads="1"/>
        </xdr:cNvSpPr>
      </xdr:nvSpPr>
      <xdr:spPr bwMode="auto">
        <a:xfrm>
          <a:off x="6362700" y="5105400"/>
          <a:ext cx="561975" cy="1619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22680" rIns="0" bIns="0" anchor="ctr"/>
        <a:lstStyle/>
        <a:p>
          <a:pPr algn="l" rtl="0">
            <a:defRPr sz="1000"/>
          </a:pPr>
          <a:r>
            <a:rPr lang="fr-FR" sz="900" b="1" i="0" u="none" strike="noStrike" baseline="0">
              <a:solidFill>
                <a:srgbClr val="000000"/>
              </a:solidFill>
              <a:latin typeface="Arial"/>
              <a:cs typeface="Arial"/>
            </a:rPr>
            <a:t>Résultat</a:t>
          </a:r>
        </a:p>
      </xdr:txBody>
    </xdr:sp>
    <xdr:clientData/>
  </xdr:twoCellAnchor>
  <xdr:twoCellAnchor>
    <xdr:from>
      <xdr:col>8</xdr:col>
      <xdr:colOff>742950</xdr:colOff>
      <xdr:row>29</xdr:row>
      <xdr:rowOff>76200</xdr:rowOff>
    </xdr:from>
    <xdr:to>
      <xdr:col>8</xdr:col>
      <xdr:colOff>1104900</xdr:colOff>
      <xdr:row>29</xdr:row>
      <xdr:rowOff>76200</xdr:rowOff>
    </xdr:to>
    <xdr:sp macro="" textlink="">
      <xdr:nvSpPr>
        <xdr:cNvPr id="10253" name="Line 929"/>
        <xdr:cNvSpPr>
          <a:spLocks noChangeShapeType="1"/>
        </xdr:cNvSpPr>
      </xdr:nvSpPr>
      <xdr:spPr bwMode="auto">
        <a:xfrm>
          <a:off x="5934075" y="5219700"/>
          <a:ext cx="361950" cy="0"/>
        </a:xfrm>
        <a:prstGeom prst="line">
          <a:avLst/>
        </a:prstGeom>
        <a:noFill/>
        <a:ln w="38160" cap="flat">
          <a:solidFill>
            <a:srgbClr val="00206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866775</xdr:colOff>
      <xdr:row>29</xdr:row>
      <xdr:rowOff>19050</xdr:rowOff>
    </xdr:from>
    <xdr:to>
      <xdr:col>8</xdr:col>
      <xdr:colOff>981075</xdr:colOff>
      <xdr:row>29</xdr:row>
      <xdr:rowOff>123825</xdr:rowOff>
    </xdr:to>
    <xdr:sp macro="" textlink="">
      <xdr:nvSpPr>
        <xdr:cNvPr id="10254" name="Rectangle 931"/>
        <xdr:cNvSpPr>
          <a:spLocks noChangeArrowheads="1"/>
        </xdr:cNvSpPr>
      </xdr:nvSpPr>
      <xdr:spPr bwMode="auto">
        <a:xfrm>
          <a:off x="6057900" y="5162550"/>
          <a:ext cx="114300" cy="104775"/>
        </a:xfrm>
        <a:prstGeom prst="rect">
          <a:avLst/>
        </a:prstGeom>
        <a:solidFill>
          <a:srgbClr val="002060"/>
        </a:solidFill>
        <a:ln w="9360" cap="flat">
          <a:solidFill>
            <a:srgbClr val="FFFFFF"/>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381000</xdr:colOff>
      <xdr:row>28</xdr:row>
      <xdr:rowOff>152400</xdr:rowOff>
    </xdr:from>
    <xdr:to>
      <xdr:col>11</xdr:col>
      <xdr:colOff>304800</xdr:colOff>
      <xdr:row>29</xdr:row>
      <xdr:rowOff>152400</xdr:rowOff>
    </xdr:to>
    <xdr:sp macro="" textlink="" fLocksText="0">
      <xdr:nvSpPr>
        <xdr:cNvPr id="10255" name="Text Box 232"/>
        <xdr:cNvSpPr>
          <a:spLocks noChangeArrowheads="1"/>
        </xdr:cNvSpPr>
      </xdr:nvSpPr>
      <xdr:spPr bwMode="auto">
        <a:xfrm>
          <a:off x="8505825" y="5133975"/>
          <a:ext cx="790575" cy="1619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22680" rIns="0" bIns="0" anchor="ctr"/>
        <a:lstStyle/>
        <a:p>
          <a:pPr algn="l" rtl="0">
            <a:defRPr sz="1000"/>
          </a:pPr>
          <a:r>
            <a:rPr lang="fr-FR" sz="900" b="1" i="0" u="none" strike="noStrike" baseline="0">
              <a:solidFill>
                <a:srgbClr val="000000"/>
              </a:solidFill>
              <a:latin typeface="Arial"/>
              <a:cs typeface="Arial"/>
            </a:rPr>
            <a:t>Actualisation</a:t>
          </a:r>
        </a:p>
      </xdr:txBody>
    </xdr:sp>
    <xdr:clientData/>
  </xdr:twoCellAnchor>
  <xdr:twoCellAnchor>
    <xdr:from>
      <xdr:col>10</xdr:col>
      <xdr:colOff>276225</xdr:colOff>
      <xdr:row>0</xdr:row>
      <xdr:rowOff>57150</xdr:rowOff>
    </xdr:from>
    <xdr:to>
      <xdr:col>10</xdr:col>
      <xdr:colOff>666750</xdr:colOff>
      <xdr:row>2</xdr:row>
      <xdr:rowOff>66675</xdr:rowOff>
    </xdr:to>
    <xdr:pic>
      <xdr:nvPicPr>
        <xdr:cNvPr id="10256" name="Image 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01050" y="57150"/>
          <a:ext cx="390525" cy="4286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28575</xdr:colOff>
      <xdr:row>7</xdr:row>
      <xdr:rowOff>152400</xdr:rowOff>
    </xdr:from>
    <xdr:to>
      <xdr:col>20</xdr:col>
      <xdr:colOff>495300</xdr:colOff>
      <xdr:row>28</xdr:row>
      <xdr:rowOff>104775</xdr:rowOff>
    </xdr:to>
    <xdr:graphicFrame macro="">
      <xdr:nvGraphicFramePr>
        <xdr:cNvPr id="1126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523875</xdr:colOff>
      <xdr:row>0</xdr:row>
      <xdr:rowOff>0</xdr:rowOff>
    </xdr:from>
    <xdr:to>
      <xdr:col>11</xdr:col>
      <xdr:colOff>28575</xdr:colOff>
      <xdr:row>1</xdr:row>
      <xdr:rowOff>228600</xdr:rowOff>
    </xdr:to>
    <xdr:sp macro="" textlink="" fLocksText="0">
      <xdr:nvSpPr>
        <xdr:cNvPr id="13313" name="Rectangle 11"/>
        <xdr:cNvSpPr>
          <a:spLocks noChangeArrowheads="1"/>
        </xdr:cNvSpPr>
      </xdr:nvSpPr>
      <xdr:spPr bwMode="auto">
        <a:xfrm>
          <a:off x="523875" y="0"/>
          <a:ext cx="9505950" cy="609600"/>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clientData/>
  </xdr:twoCellAnchor>
  <xdr:twoCellAnchor>
    <xdr:from>
      <xdr:col>0</xdr:col>
      <xdr:colOff>28575</xdr:colOff>
      <xdr:row>0</xdr:row>
      <xdr:rowOff>0</xdr:rowOff>
    </xdr:from>
    <xdr:to>
      <xdr:col>0</xdr:col>
      <xdr:colOff>561975</xdr:colOff>
      <xdr:row>1</xdr:row>
      <xdr:rowOff>238125</xdr:rowOff>
    </xdr:to>
    <xdr:pic>
      <xdr:nvPicPr>
        <xdr:cNvPr id="13314"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533400" cy="6191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409575</xdr:colOff>
      <xdr:row>0</xdr:row>
      <xdr:rowOff>47625</xdr:rowOff>
    </xdr:from>
    <xdr:to>
      <xdr:col>9</xdr:col>
      <xdr:colOff>57150</xdr:colOff>
      <xdr:row>1</xdr:row>
      <xdr:rowOff>152400</xdr:rowOff>
    </xdr:to>
    <xdr:pic>
      <xdr:nvPicPr>
        <xdr:cNvPr id="13315"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20050" y="47625"/>
          <a:ext cx="428625"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9</xdr:col>
      <xdr:colOff>266700</xdr:colOff>
      <xdr:row>0</xdr:row>
      <xdr:rowOff>47625</xdr:rowOff>
    </xdr:from>
    <xdr:to>
      <xdr:col>10</xdr:col>
      <xdr:colOff>180975</xdr:colOff>
      <xdr:row>1</xdr:row>
      <xdr:rowOff>152400</xdr:rowOff>
    </xdr:to>
    <xdr:pic>
      <xdr:nvPicPr>
        <xdr:cNvPr id="13316" name="Image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58225" y="47625"/>
          <a:ext cx="695325"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342900</xdr:colOff>
      <xdr:row>0</xdr:row>
      <xdr:rowOff>57150</xdr:rowOff>
    </xdr:from>
    <xdr:to>
      <xdr:col>10</xdr:col>
      <xdr:colOff>733425</xdr:colOff>
      <xdr:row>1</xdr:row>
      <xdr:rowOff>152400</xdr:rowOff>
    </xdr:to>
    <xdr:pic>
      <xdr:nvPicPr>
        <xdr:cNvPr id="13317" name="Image 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15475" y="57150"/>
          <a:ext cx="390525"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28575</xdr:colOff>
      <xdr:row>0</xdr:row>
      <xdr:rowOff>0</xdr:rowOff>
    </xdr:from>
    <xdr:to>
      <xdr:col>9</xdr:col>
      <xdr:colOff>476250</xdr:colOff>
      <xdr:row>1</xdr:row>
      <xdr:rowOff>238125</xdr:rowOff>
    </xdr:to>
    <xdr:grpSp>
      <xdr:nvGrpSpPr>
        <xdr:cNvPr id="14337" name="Groupe 17"/>
        <xdr:cNvGrpSpPr>
          <a:grpSpLocks/>
        </xdr:cNvGrpSpPr>
      </xdr:nvGrpSpPr>
      <xdr:grpSpPr bwMode="auto">
        <a:xfrm>
          <a:off x="28575" y="0"/>
          <a:ext cx="6924675" cy="619125"/>
          <a:chOff x="43" y="0"/>
          <a:chExt cx="11503" cy="972"/>
        </a:xfrm>
      </xdr:grpSpPr>
      <xdr:sp macro="" textlink="" fLocksText="0">
        <xdr:nvSpPr>
          <xdr:cNvPr id="14338" name="Rectangle 11"/>
          <xdr:cNvSpPr>
            <a:spLocks noChangeArrowheads="1"/>
          </xdr:cNvSpPr>
        </xdr:nvSpPr>
        <xdr:spPr bwMode="auto">
          <a:xfrm>
            <a:off x="925" y="15"/>
            <a:ext cx="10619" cy="95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14339"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42" cy="9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14340" name="Groupe 11"/>
          <xdr:cNvGrpSpPr>
            <a:grpSpLocks/>
          </xdr:cNvGrpSpPr>
        </xdr:nvGrpSpPr>
        <xdr:grpSpPr bwMode="auto">
          <a:xfrm>
            <a:off x="8853" y="64"/>
            <a:ext cx="1710" cy="751"/>
            <a:chOff x="8853" y="64"/>
            <a:chExt cx="1710" cy="751"/>
          </a:xfrm>
        </xdr:grpSpPr>
        <xdr:pic>
          <xdr:nvPicPr>
            <xdr:cNvPr id="14341"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53" y="66"/>
              <a:ext cx="584"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4342" name="Image 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620" y="64"/>
              <a:ext cx="942"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8</xdr:col>
      <xdr:colOff>581025</xdr:colOff>
      <xdr:row>0</xdr:row>
      <xdr:rowOff>28575</xdr:rowOff>
    </xdr:from>
    <xdr:to>
      <xdr:col>9</xdr:col>
      <xdr:colOff>428625</xdr:colOff>
      <xdr:row>1</xdr:row>
      <xdr:rowOff>133350</xdr:rowOff>
    </xdr:to>
    <xdr:pic>
      <xdr:nvPicPr>
        <xdr:cNvPr id="14343" name="Imag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48425" y="28575"/>
          <a:ext cx="457200"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2390775</xdr:colOff>
      <xdr:row>7</xdr:row>
      <xdr:rowOff>152400</xdr:rowOff>
    </xdr:from>
    <xdr:to>
      <xdr:col>1</xdr:col>
      <xdr:colOff>2571750</xdr:colOff>
      <xdr:row>9</xdr:row>
      <xdr:rowOff>133350</xdr:rowOff>
    </xdr:to>
    <xdr:sp macro="" textlink="">
      <xdr:nvSpPr>
        <xdr:cNvPr id="15361" name="ZoneTexte 1"/>
        <xdr:cNvSpPr>
          <a:spLocks noChangeArrowheads="1"/>
        </xdr:cNvSpPr>
      </xdr:nvSpPr>
      <xdr:spPr bwMode="auto">
        <a:xfrm>
          <a:off x="3324225" y="2590800"/>
          <a:ext cx="18097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62" name="ZoneTexte 2"/>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63" name="ZoneTexte 3"/>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64" name="ZoneTexte 10"/>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65" name="ZoneTexte 11"/>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66" name="ZoneTexte 12"/>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67" name="ZoneTexte 13"/>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1095375</xdr:colOff>
      <xdr:row>14</xdr:row>
      <xdr:rowOff>38100</xdr:rowOff>
    </xdr:from>
    <xdr:to>
      <xdr:col>10</xdr:col>
      <xdr:colOff>209550</xdr:colOff>
      <xdr:row>15</xdr:row>
      <xdr:rowOff>161925</xdr:rowOff>
    </xdr:to>
    <xdr:sp macro="" textlink="">
      <xdr:nvSpPr>
        <xdr:cNvPr id="15368" name="ZoneTexte 14"/>
        <xdr:cNvSpPr>
          <a:spLocks noChangeArrowheads="1"/>
        </xdr:cNvSpPr>
      </xdr:nvSpPr>
      <xdr:spPr bwMode="auto">
        <a:xfrm>
          <a:off x="14525625" y="3829050"/>
          <a:ext cx="238125" cy="314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1095375</xdr:colOff>
      <xdr:row>11</xdr:row>
      <xdr:rowOff>38100</xdr:rowOff>
    </xdr:from>
    <xdr:to>
      <xdr:col>10</xdr:col>
      <xdr:colOff>209550</xdr:colOff>
      <xdr:row>13</xdr:row>
      <xdr:rowOff>142875</xdr:rowOff>
    </xdr:to>
    <xdr:sp macro="" textlink="">
      <xdr:nvSpPr>
        <xdr:cNvPr id="15369" name="ZoneTexte 15"/>
        <xdr:cNvSpPr>
          <a:spLocks noChangeArrowheads="1"/>
        </xdr:cNvSpPr>
      </xdr:nvSpPr>
      <xdr:spPr bwMode="auto">
        <a:xfrm>
          <a:off x="14525625" y="3181350"/>
          <a:ext cx="238125" cy="590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70" name="ZoneTexte 17"/>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71" name="ZoneTexte 18"/>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1019175</xdr:colOff>
      <xdr:row>7</xdr:row>
      <xdr:rowOff>152400</xdr:rowOff>
    </xdr:from>
    <xdr:to>
      <xdr:col>3</xdr:col>
      <xdr:colOff>1200150</xdr:colOff>
      <xdr:row>9</xdr:row>
      <xdr:rowOff>133350</xdr:rowOff>
    </xdr:to>
    <xdr:sp macro="" textlink="">
      <xdr:nvSpPr>
        <xdr:cNvPr id="15372" name="ZoneTexte 19"/>
        <xdr:cNvSpPr>
          <a:spLocks noChangeArrowheads="1"/>
        </xdr:cNvSpPr>
      </xdr:nvSpPr>
      <xdr:spPr bwMode="auto">
        <a:xfrm>
          <a:off x="7381875" y="2590800"/>
          <a:ext cx="18097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1019175</xdr:colOff>
      <xdr:row>7</xdr:row>
      <xdr:rowOff>152400</xdr:rowOff>
    </xdr:from>
    <xdr:to>
      <xdr:col>3</xdr:col>
      <xdr:colOff>1200150</xdr:colOff>
      <xdr:row>9</xdr:row>
      <xdr:rowOff>133350</xdr:rowOff>
    </xdr:to>
    <xdr:sp macro="" textlink="">
      <xdr:nvSpPr>
        <xdr:cNvPr id="15373" name="ZoneTexte 20"/>
        <xdr:cNvSpPr>
          <a:spLocks noChangeArrowheads="1"/>
        </xdr:cNvSpPr>
      </xdr:nvSpPr>
      <xdr:spPr bwMode="auto">
        <a:xfrm>
          <a:off x="7381875" y="2590800"/>
          <a:ext cx="18097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74" name="ZoneTexte 21"/>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1019175</xdr:colOff>
      <xdr:row>7</xdr:row>
      <xdr:rowOff>152400</xdr:rowOff>
    </xdr:from>
    <xdr:to>
      <xdr:col>5</xdr:col>
      <xdr:colOff>133350</xdr:colOff>
      <xdr:row>9</xdr:row>
      <xdr:rowOff>133350</xdr:rowOff>
    </xdr:to>
    <xdr:sp macro="" textlink="">
      <xdr:nvSpPr>
        <xdr:cNvPr id="15375" name="ZoneTexte 22"/>
        <xdr:cNvSpPr>
          <a:spLocks noChangeArrowheads="1"/>
        </xdr:cNvSpPr>
      </xdr:nvSpPr>
      <xdr:spPr bwMode="auto">
        <a:xfrm>
          <a:off x="882967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76" name="ZoneTexte 23"/>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77" name="ZoneTexte 24"/>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78" name="ZoneTexte 25"/>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79" name="ZoneTexte 26"/>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80" name="ZoneTexte 27"/>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1019175</xdr:colOff>
      <xdr:row>7</xdr:row>
      <xdr:rowOff>152400</xdr:rowOff>
    </xdr:from>
    <xdr:to>
      <xdr:col>6</xdr:col>
      <xdr:colOff>133350</xdr:colOff>
      <xdr:row>9</xdr:row>
      <xdr:rowOff>133350</xdr:rowOff>
    </xdr:to>
    <xdr:sp macro="" textlink="">
      <xdr:nvSpPr>
        <xdr:cNvPr id="15381" name="ZoneTexte 28"/>
        <xdr:cNvSpPr>
          <a:spLocks noChangeArrowheads="1"/>
        </xdr:cNvSpPr>
      </xdr:nvSpPr>
      <xdr:spPr bwMode="auto">
        <a:xfrm>
          <a:off x="9953625" y="2590800"/>
          <a:ext cx="238125" cy="333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3</xdr:col>
      <xdr:colOff>1390650</xdr:colOff>
      <xdr:row>1</xdr:row>
      <xdr:rowOff>57150</xdr:rowOff>
    </xdr:to>
    <xdr:grpSp>
      <xdr:nvGrpSpPr>
        <xdr:cNvPr id="15382" name="Groupe 29"/>
        <xdr:cNvGrpSpPr>
          <a:grpSpLocks/>
        </xdr:cNvGrpSpPr>
      </xdr:nvGrpSpPr>
      <xdr:grpSpPr bwMode="auto">
        <a:xfrm>
          <a:off x="28575" y="0"/>
          <a:ext cx="7720013" cy="616744"/>
          <a:chOff x="43" y="0"/>
          <a:chExt cx="12812" cy="971"/>
        </a:xfrm>
      </xdr:grpSpPr>
      <xdr:grpSp>
        <xdr:nvGrpSpPr>
          <xdr:cNvPr id="15383" name="Groupe 16"/>
          <xdr:cNvGrpSpPr>
            <a:grpSpLocks/>
          </xdr:cNvGrpSpPr>
        </xdr:nvGrpSpPr>
        <xdr:grpSpPr bwMode="auto">
          <a:xfrm>
            <a:off x="43" y="0"/>
            <a:ext cx="12812" cy="971"/>
            <a:chOff x="43" y="0"/>
            <a:chExt cx="12812" cy="971"/>
          </a:xfrm>
        </xdr:grpSpPr>
        <xdr:sp macro="" textlink="" fLocksText="0">
          <xdr:nvSpPr>
            <xdr:cNvPr id="15384" name="Rectangle 4"/>
            <xdr:cNvSpPr>
              <a:spLocks noChangeArrowheads="1"/>
            </xdr:cNvSpPr>
          </xdr:nvSpPr>
          <xdr:spPr bwMode="auto">
            <a:xfrm>
              <a:off x="920" y="15"/>
              <a:ext cx="11934" cy="955"/>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15385"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36" cy="97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15386" name="Groupe 11"/>
            <xdr:cNvGrpSpPr>
              <a:grpSpLocks/>
            </xdr:cNvGrpSpPr>
          </xdr:nvGrpSpPr>
          <xdr:grpSpPr bwMode="auto">
            <a:xfrm>
              <a:off x="10179" y="90"/>
              <a:ext cx="1688" cy="761"/>
              <a:chOff x="10179" y="90"/>
              <a:chExt cx="1688" cy="761"/>
            </a:xfrm>
          </xdr:grpSpPr>
          <xdr:pic>
            <xdr:nvPicPr>
              <xdr:cNvPr id="15387"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79" y="91"/>
                <a:ext cx="580" cy="75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5388" name="Image 1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30" y="90"/>
                <a:ext cx="936" cy="76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pic>
        <xdr:nvPicPr>
          <xdr:cNvPr id="15389" name="Image 2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010" y="105"/>
            <a:ext cx="750"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28575</xdr:colOff>
      <xdr:row>0</xdr:row>
      <xdr:rowOff>0</xdr:rowOff>
    </xdr:from>
    <xdr:to>
      <xdr:col>2</xdr:col>
      <xdr:colOff>4657725</xdr:colOff>
      <xdr:row>1</xdr:row>
      <xdr:rowOff>238125</xdr:rowOff>
    </xdr:to>
    <xdr:grpSp>
      <xdr:nvGrpSpPr>
        <xdr:cNvPr id="17409" name="Groupe 12"/>
        <xdr:cNvGrpSpPr>
          <a:grpSpLocks/>
        </xdr:cNvGrpSpPr>
      </xdr:nvGrpSpPr>
      <xdr:grpSpPr bwMode="auto">
        <a:xfrm>
          <a:off x="28575" y="0"/>
          <a:ext cx="6210300" cy="619125"/>
          <a:chOff x="43" y="0"/>
          <a:chExt cx="10304" cy="972"/>
        </a:xfrm>
      </xdr:grpSpPr>
      <xdr:sp macro="" textlink="" fLocksText="0">
        <xdr:nvSpPr>
          <xdr:cNvPr id="17410" name="Rectangle 11"/>
          <xdr:cNvSpPr>
            <a:spLocks noChangeArrowheads="1"/>
          </xdr:cNvSpPr>
        </xdr:nvSpPr>
        <xdr:spPr bwMode="auto">
          <a:xfrm>
            <a:off x="893" y="15"/>
            <a:ext cx="9453" cy="95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17411"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08" cy="9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17412" name="Groupe 11"/>
          <xdr:cNvGrpSpPr>
            <a:grpSpLocks/>
          </xdr:cNvGrpSpPr>
        </xdr:nvGrpSpPr>
        <xdr:grpSpPr bwMode="auto">
          <a:xfrm>
            <a:off x="7660" y="64"/>
            <a:ext cx="1713" cy="751"/>
            <a:chOff x="7660" y="64"/>
            <a:chExt cx="1713" cy="751"/>
          </a:xfrm>
        </xdr:grpSpPr>
        <xdr:pic>
          <xdr:nvPicPr>
            <xdr:cNvPr id="17413"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60" y="66"/>
              <a:ext cx="562"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7414" name="Image 1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64" y="64"/>
              <a:ext cx="908"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2</xdr:col>
      <xdr:colOff>4162425</xdr:colOff>
      <xdr:row>0</xdr:row>
      <xdr:rowOff>47625</xdr:rowOff>
    </xdr:from>
    <xdr:to>
      <xdr:col>2</xdr:col>
      <xdr:colOff>4591050</xdr:colOff>
      <xdr:row>1</xdr:row>
      <xdr:rowOff>142875</xdr:rowOff>
    </xdr:to>
    <xdr:pic>
      <xdr:nvPicPr>
        <xdr:cNvPr id="17415" name="Image 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43575" y="47625"/>
          <a:ext cx="428625"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28575</xdr:colOff>
      <xdr:row>0</xdr:row>
      <xdr:rowOff>0</xdr:rowOff>
    </xdr:from>
    <xdr:to>
      <xdr:col>1</xdr:col>
      <xdr:colOff>4067175</xdr:colOff>
      <xdr:row>1</xdr:row>
      <xdr:rowOff>238125</xdr:rowOff>
    </xdr:to>
    <xdr:grpSp>
      <xdr:nvGrpSpPr>
        <xdr:cNvPr id="18433" name="Groupe 12"/>
        <xdr:cNvGrpSpPr>
          <a:grpSpLocks/>
        </xdr:cNvGrpSpPr>
      </xdr:nvGrpSpPr>
      <xdr:grpSpPr bwMode="auto">
        <a:xfrm>
          <a:off x="28575" y="0"/>
          <a:ext cx="6238875" cy="619125"/>
          <a:chOff x="43" y="0"/>
          <a:chExt cx="10373" cy="972"/>
        </a:xfrm>
      </xdr:grpSpPr>
      <xdr:sp macro="" textlink="" fLocksText="0">
        <xdr:nvSpPr>
          <xdr:cNvPr id="18434" name="Rectangle 12"/>
          <xdr:cNvSpPr>
            <a:spLocks noChangeArrowheads="1"/>
          </xdr:cNvSpPr>
        </xdr:nvSpPr>
        <xdr:spPr bwMode="auto">
          <a:xfrm>
            <a:off x="899" y="15"/>
            <a:ext cx="9516" cy="95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18435"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13" cy="9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18436" name="Groupe 11"/>
          <xdr:cNvGrpSpPr>
            <a:grpSpLocks/>
          </xdr:cNvGrpSpPr>
        </xdr:nvGrpSpPr>
        <xdr:grpSpPr bwMode="auto">
          <a:xfrm>
            <a:off x="7711" y="64"/>
            <a:ext cx="1684" cy="751"/>
            <a:chOff x="7711" y="64"/>
            <a:chExt cx="1684" cy="751"/>
          </a:xfrm>
        </xdr:grpSpPr>
        <xdr:pic>
          <xdr:nvPicPr>
            <xdr:cNvPr id="18437"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11" y="66"/>
              <a:ext cx="565"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18438" name="Image 1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81" y="64"/>
              <a:ext cx="914"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1</xdr:col>
      <xdr:colOff>3571875</xdr:colOff>
      <xdr:row>0</xdr:row>
      <xdr:rowOff>38100</xdr:rowOff>
    </xdr:from>
    <xdr:to>
      <xdr:col>1</xdr:col>
      <xdr:colOff>4010025</xdr:colOff>
      <xdr:row>1</xdr:row>
      <xdr:rowOff>133350</xdr:rowOff>
    </xdr:to>
    <xdr:pic>
      <xdr:nvPicPr>
        <xdr:cNvPr id="18439" name="Image 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72150" y="38100"/>
          <a:ext cx="438150"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2</xdr:col>
      <xdr:colOff>1485900</xdr:colOff>
      <xdr:row>1</xdr:row>
      <xdr:rowOff>238125</xdr:rowOff>
    </xdr:to>
    <xdr:grpSp>
      <xdr:nvGrpSpPr>
        <xdr:cNvPr id="2049" name="Groupe 10"/>
        <xdr:cNvGrpSpPr>
          <a:grpSpLocks/>
        </xdr:cNvGrpSpPr>
      </xdr:nvGrpSpPr>
      <xdr:grpSpPr bwMode="auto">
        <a:xfrm>
          <a:off x="28575" y="0"/>
          <a:ext cx="6372225" cy="619125"/>
          <a:chOff x="43" y="0"/>
          <a:chExt cx="10589" cy="972"/>
        </a:xfrm>
      </xdr:grpSpPr>
      <xdr:sp macro="" textlink="" fLocksText="0">
        <xdr:nvSpPr>
          <xdr:cNvPr id="2050" name="Rectangle 11"/>
          <xdr:cNvSpPr>
            <a:spLocks noChangeArrowheads="1"/>
          </xdr:cNvSpPr>
        </xdr:nvSpPr>
        <xdr:spPr bwMode="auto">
          <a:xfrm>
            <a:off x="917" y="15"/>
            <a:ext cx="9714" cy="95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2051"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34" cy="9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2052" name="Groupe 11"/>
          <xdr:cNvGrpSpPr>
            <a:grpSpLocks/>
          </xdr:cNvGrpSpPr>
        </xdr:nvGrpSpPr>
        <xdr:grpSpPr bwMode="auto">
          <a:xfrm>
            <a:off x="7870" y="64"/>
            <a:ext cx="1726" cy="751"/>
            <a:chOff x="7870" y="64"/>
            <a:chExt cx="1726" cy="751"/>
          </a:xfrm>
        </xdr:grpSpPr>
        <xdr:pic>
          <xdr:nvPicPr>
            <xdr:cNvPr id="2053"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70" y="66"/>
              <a:ext cx="578"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2054" name="Image 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62" y="64"/>
              <a:ext cx="934"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2</xdr:col>
      <xdr:colOff>981075</xdr:colOff>
      <xdr:row>0</xdr:row>
      <xdr:rowOff>38100</xdr:rowOff>
    </xdr:from>
    <xdr:to>
      <xdr:col>2</xdr:col>
      <xdr:colOff>1438275</xdr:colOff>
      <xdr:row>1</xdr:row>
      <xdr:rowOff>142875</xdr:rowOff>
    </xdr:to>
    <xdr:pic>
      <xdr:nvPicPr>
        <xdr:cNvPr id="2055" name="Image 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895975" y="38100"/>
          <a:ext cx="457200"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2076450</xdr:colOff>
      <xdr:row>12</xdr:row>
      <xdr:rowOff>38100</xdr:rowOff>
    </xdr:from>
    <xdr:to>
      <xdr:col>2</xdr:col>
      <xdr:colOff>28575</xdr:colOff>
      <xdr:row>14</xdr:row>
      <xdr:rowOff>28575</xdr:rowOff>
    </xdr:to>
    <xdr:sp macro="" textlink="">
      <xdr:nvSpPr>
        <xdr:cNvPr id="3073" name="ZoneTexte 1"/>
        <xdr:cNvSpPr>
          <a:spLocks noChangeArrowheads="1"/>
        </xdr:cNvSpPr>
      </xdr:nvSpPr>
      <xdr:spPr bwMode="auto">
        <a:xfrm>
          <a:off x="2314575" y="3238500"/>
          <a:ext cx="495300"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xdr:colOff>
      <xdr:row>0</xdr:row>
      <xdr:rowOff>0</xdr:rowOff>
    </xdr:from>
    <xdr:to>
      <xdr:col>5</xdr:col>
      <xdr:colOff>28575</xdr:colOff>
      <xdr:row>1</xdr:row>
      <xdr:rowOff>161925</xdr:rowOff>
    </xdr:to>
    <xdr:grpSp>
      <xdr:nvGrpSpPr>
        <xdr:cNvPr id="3074" name="Groupe 10"/>
        <xdr:cNvGrpSpPr>
          <a:grpSpLocks/>
        </xdr:cNvGrpSpPr>
      </xdr:nvGrpSpPr>
      <xdr:grpSpPr bwMode="auto">
        <a:xfrm>
          <a:off x="266700" y="0"/>
          <a:ext cx="6629400" cy="542925"/>
          <a:chOff x="438" y="0"/>
          <a:chExt cx="11006" cy="852"/>
        </a:xfrm>
      </xdr:grpSpPr>
      <xdr:sp macro="" textlink="" fLocksText="0">
        <xdr:nvSpPr>
          <xdr:cNvPr id="3075" name="Rectangle 13"/>
          <xdr:cNvSpPr>
            <a:spLocks noChangeArrowheads="1"/>
          </xdr:cNvSpPr>
        </xdr:nvSpPr>
        <xdr:spPr bwMode="auto">
          <a:xfrm>
            <a:off x="1244" y="15"/>
            <a:ext cx="10199" cy="83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3076"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 y="0"/>
            <a:ext cx="861" cy="85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3077" name="Groupe 11"/>
          <xdr:cNvGrpSpPr>
            <a:grpSpLocks/>
          </xdr:cNvGrpSpPr>
        </xdr:nvGrpSpPr>
        <xdr:grpSpPr bwMode="auto">
          <a:xfrm>
            <a:off x="8905" y="83"/>
            <a:ext cx="1667" cy="658"/>
            <a:chOff x="8905" y="83"/>
            <a:chExt cx="1667" cy="658"/>
          </a:xfrm>
        </xdr:grpSpPr>
        <xdr:pic>
          <xdr:nvPicPr>
            <xdr:cNvPr id="3078"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05" y="83"/>
              <a:ext cx="638" cy="65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3079" name="Image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10" y="83"/>
              <a:ext cx="861" cy="65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pic>
        <xdr:nvPicPr>
          <xdr:cNvPr id="3080" name="Image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27" y="79"/>
            <a:ext cx="674" cy="65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2076450</xdr:colOff>
      <xdr:row>12</xdr:row>
      <xdr:rowOff>38100</xdr:rowOff>
    </xdr:from>
    <xdr:to>
      <xdr:col>1</xdr:col>
      <xdr:colOff>142875</xdr:colOff>
      <xdr:row>14</xdr:row>
      <xdr:rowOff>28575</xdr:rowOff>
    </xdr:to>
    <xdr:sp macro="" textlink="">
      <xdr:nvSpPr>
        <xdr:cNvPr id="4097" name="ZoneTexte 1"/>
        <xdr:cNvSpPr>
          <a:spLocks noChangeArrowheads="1"/>
        </xdr:cNvSpPr>
      </xdr:nvSpPr>
      <xdr:spPr bwMode="auto">
        <a:xfrm>
          <a:off x="2076450" y="2600325"/>
          <a:ext cx="295275" cy="314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638175</xdr:colOff>
      <xdr:row>4</xdr:row>
      <xdr:rowOff>171450</xdr:rowOff>
    </xdr:from>
    <xdr:to>
      <xdr:col>1</xdr:col>
      <xdr:colOff>819150</xdr:colOff>
      <xdr:row>7</xdr:row>
      <xdr:rowOff>152400</xdr:rowOff>
    </xdr:to>
    <xdr:sp macro="" textlink="">
      <xdr:nvSpPr>
        <xdr:cNvPr id="4098" name="ZoneTexte 11"/>
        <xdr:cNvSpPr>
          <a:spLocks noChangeArrowheads="1"/>
        </xdr:cNvSpPr>
      </xdr:nvSpPr>
      <xdr:spPr bwMode="auto">
        <a:xfrm>
          <a:off x="2867025" y="1419225"/>
          <a:ext cx="180975" cy="2952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552450</xdr:colOff>
      <xdr:row>0</xdr:row>
      <xdr:rowOff>0</xdr:rowOff>
    </xdr:from>
    <xdr:to>
      <xdr:col>4</xdr:col>
      <xdr:colOff>2362200</xdr:colOff>
      <xdr:row>1</xdr:row>
      <xdr:rowOff>228600</xdr:rowOff>
    </xdr:to>
    <xdr:sp macro="" textlink="" fLocksText="0">
      <xdr:nvSpPr>
        <xdr:cNvPr id="4099" name="Rectangle 13"/>
        <xdr:cNvSpPr>
          <a:spLocks noChangeArrowheads="1"/>
        </xdr:cNvSpPr>
      </xdr:nvSpPr>
      <xdr:spPr bwMode="auto">
        <a:xfrm>
          <a:off x="552450" y="0"/>
          <a:ext cx="6867525" cy="609600"/>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clientData/>
  </xdr:twoCellAnchor>
  <xdr:twoCellAnchor>
    <xdr:from>
      <xdr:col>0</xdr:col>
      <xdr:colOff>28575</xdr:colOff>
      <xdr:row>0</xdr:row>
      <xdr:rowOff>0</xdr:rowOff>
    </xdr:from>
    <xdr:to>
      <xdr:col>0</xdr:col>
      <xdr:colOff>581025</xdr:colOff>
      <xdr:row>1</xdr:row>
      <xdr:rowOff>238125</xdr:rowOff>
    </xdr:to>
    <xdr:pic>
      <xdr:nvPicPr>
        <xdr:cNvPr id="410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552450" cy="6191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781050</xdr:colOff>
      <xdr:row>0</xdr:row>
      <xdr:rowOff>47625</xdr:rowOff>
    </xdr:from>
    <xdr:to>
      <xdr:col>4</xdr:col>
      <xdr:colOff>1790700</xdr:colOff>
      <xdr:row>1</xdr:row>
      <xdr:rowOff>152400</xdr:rowOff>
    </xdr:to>
    <xdr:grpSp>
      <xdr:nvGrpSpPr>
        <xdr:cNvPr id="4101" name="Groupe 11"/>
        <xdr:cNvGrpSpPr>
          <a:grpSpLocks/>
        </xdr:cNvGrpSpPr>
      </xdr:nvGrpSpPr>
      <xdr:grpSpPr bwMode="auto">
        <a:xfrm>
          <a:off x="5838825" y="47625"/>
          <a:ext cx="1009650" cy="485775"/>
          <a:chOff x="9699" y="76"/>
          <a:chExt cx="1679" cy="762"/>
        </a:xfrm>
      </xdr:grpSpPr>
      <xdr:pic>
        <xdr:nvPicPr>
          <xdr:cNvPr id="4102"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9" y="77"/>
            <a:ext cx="573" cy="75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4103" name="Image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51" y="76"/>
            <a:ext cx="926" cy="76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xdr:from>
      <xdr:col>4</xdr:col>
      <xdr:colOff>1895475</xdr:colOff>
      <xdr:row>0</xdr:row>
      <xdr:rowOff>47625</xdr:rowOff>
    </xdr:from>
    <xdr:to>
      <xdr:col>4</xdr:col>
      <xdr:colOff>2333625</xdr:colOff>
      <xdr:row>1</xdr:row>
      <xdr:rowOff>142875</xdr:rowOff>
    </xdr:to>
    <xdr:pic>
      <xdr:nvPicPr>
        <xdr:cNvPr id="4104" name="Image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953250" y="47625"/>
          <a:ext cx="438150"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0</xdr:rowOff>
    </xdr:from>
    <xdr:to>
      <xdr:col>4</xdr:col>
      <xdr:colOff>2619375</xdr:colOff>
      <xdr:row>3</xdr:row>
      <xdr:rowOff>133350</xdr:rowOff>
    </xdr:to>
    <xdr:grpSp>
      <xdr:nvGrpSpPr>
        <xdr:cNvPr id="5121" name="Groupe 10"/>
        <xdr:cNvGrpSpPr>
          <a:grpSpLocks/>
        </xdr:cNvGrpSpPr>
      </xdr:nvGrpSpPr>
      <xdr:grpSpPr bwMode="auto">
        <a:xfrm>
          <a:off x="28575" y="0"/>
          <a:ext cx="7248525" cy="619125"/>
          <a:chOff x="43" y="0"/>
          <a:chExt cx="12034" cy="977"/>
        </a:xfrm>
      </xdr:grpSpPr>
      <xdr:sp macro="" textlink="" fLocksText="0">
        <xdr:nvSpPr>
          <xdr:cNvPr id="5122" name="Rectangle 13"/>
          <xdr:cNvSpPr>
            <a:spLocks noChangeArrowheads="1"/>
          </xdr:cNvSpPr>
        </xdr:nvSpPr>
        <xdr:spPr bwMode="auto">
          <a:xfrm>
            <a:off x="926" y="15"/>
            <a:ext cx="11150" cy="961"/>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5123"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42" cy="97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5124" name="Groupe 11"/>
          <xdr:cNvGrpSpPr>
            <a:grpSpLocks/>
          </xdr:cNvGrpSpPr>
        </xdr:nvGrpSpPr>
        <xdr:grpSpPr bwMode="auto">
          <a:xfrm>
            <a:off x="9416" y="95"/>
            <a:ext cx="1709" cy="755"/>
            <a:chOff x="9416" y="95"/>
            <a:chExt cx="1709" cy="755"/>
          </a:xfrm>
        </xdr:grpSpPr>
        <xdr:pic>
          <xdr:nvPicPr>
            <xdr:cNvPr id="5125"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6" y="96"/>
              <a:ext cx="583"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5126" name="Image 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82" y="95"/>
              <a:ext cx="942" cy="75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pic>
        <xdr:nvPicPr>
          <xdr:cNvPr id="5127" name="Image 1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293" y="90"/>
            <a:ext cx="737" cy="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5</xdr:col>
      <xdr:colOff>762000</xdr:colOff>
      <xdr:row>1</xdr:row>
      <xdr:rowOff>238125</xdr:rowOff>
    </xdr:to>
    <xdr:grpSp>
      <xdr:nvGrpSpPr>
        <xdr:cNvPr id="6145" name="Groupe 9"/>
        <xdr:cNvGrpSpPr>
          <a:grpSpLocks/>
        </xdr:cNvGrpSpPr>
      </xdr:nvGrpSpPr>
      <xdr:grpSpPr bwMode="auto">
        <a:xfrm>
          <a:off x="28575" y="0"/>
          <a:ext cx="7172325" cy="619125"/>
          <a:chOff x="43" y="0"/>
          <a:chExt cx="11918" cy="971"/>
        </a:xfrm>
      </xdr:grpSpPr>
      <xdr:sp macro="" textlink="" fLocksText="0">
        <xdr:nvSpPr>
          <xdr:cNvPr id="6146" name="Rectangle 19"/>
          <xdr:cNvSpPr>
            <a:spLocks noChangeArrowheads="1"/>
          </xdr:cNvSpPr>
        </xdr:nvSpPr>
        <xdr:spPr bwMode="auto">
          <a:xfrm>
            <a:off x="1049" y="15"/>
            <a:ext cx="10911" cy="956"/>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6147"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1067" cy="97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xdr:from>
      <xdr:col>3</xdr:col>
      <xdr:colOff>1019175</xdr:colOff>
      <xdr:row>0</xdr:row>
      <xdr:rowOff>28575</xdr:rowOff>
    </xdr:from>
    <xdr:to>
      <xdr:col>5</xdr:col>
      <xdr:colOff>38100</xdr:colOff>
      <xdr:row>1</xdr:row>
      <xdr:rowOff>123825</xdr:rowOff>
    </xdr:to>
    <xdr:grpSp>
      <xdr:nvGrpSpPr>
        <xdr:cNvPr id="6148" name="Groupe 11"/>
        <xdr:cNvGrpSpPr>
          <a:grpSpLocks/>
        </xdr:cNvGrpSpPr>
      </xdr:nvGrpSpPr>
      <xdr:grpSpPr bwMode="auto">
        <a:xfrm>
          <a:off x="5219700" y="28575"/>
          <a:ext cx="1257300" cy="476250"/>
          <a:chOff x="8666" y="46"/>
          <a:chExt cx="2080" cy="747"/>
        </a:xfrm>
      </xdr:grpSpPr>
      <xdr:pic>
        <xdr:nvPicPr>
          <xdr:cNvPr id="6149"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 y="48"/>
            <a:ext cx="697" cy="74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6150" name="Image 2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21" y="46"/>
            <a:ext cx="1124"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xdr:from>
      <xdr:col>5</xdr:col>
      <xdr:colOff>228600</xdr:colOff>
      <xdr:row>0</xdr:row>
      <xdr:rowOff>38100</xdr:rowOff>
    </xdr:from>
    <xdr:to>
      <xdr:col>5</xdr:col>
      <xdr:colOff>657225</xdr:colOff>
      <xdr:row>1</xdr:row>
      <xdr:rowOff>133350</xdr:rowOff>
    </xdr:to>
    <xdr:pic>
      <xdr:nvPicPr>
        <xdr:cNvPr id="6151" name="Image 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67500" y="38100"/>
          <a:ext cx="428625"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-419100</xdr:colOff>
      <xdr:row>3</xdr:row>
      <xdr:rowOff>9525</xdr:rowOff>
    </xdr:from>
    <xdr:to>
      <xdr:col>0</xdr:col>
      <xdr:colOff>276225</xdr:colOff>
      <xdr:row>3</xdr:row>
      <xdr:rowOff>209550</xdr:rowOff>
    </xdr:to>
    <xdr:sp macro="" textlink="">
      <xdr:nvSpPr>
        <xdr:cNvPr id="7169" name="AutoShape 1"/>
        <xdr:cNvSpPr>
          <a:spLocks noChangeArrowheads="1"/>
        </xdr:cNvSpPr>
      </xdr:nvSpPr>
      <xdr:spPr bwMode="auto">
        <a:xfrm flipV="1">
          <a:off x="-419100" y="581025"/>
          <a:ext cx="695325" cy="200025"/>
        </a:xfrm>
        <a:prstGeom prst="triangle">
          <a:avLst>
            <a:gd name="adj" fmla="val 50000"/>
          </a:avLst>
        </a:prstGeom>
        <a:solidFill>
          <a:srgbClr val="CCFFFF"/>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-47625</xdr:colOff>
      <xdr:row>3</xdr:row>
      <xdr:rowOff>76200</xdr:rowOff>
    </xdr:from>
    <xdr:to>
      <xdr:col>0</xdr:col>
      <xdr:colOff>752475</xdr:colOff>
      <xdr:row>3</xdr:row>
      <xdr:rowOff>266700</xdr:rowOff>
    </xdr:to>
    <xdr:sp macro="" textlink="">
      <xdr:nvSpPr>
        <xdr:cNvPr id="7170" name="AutoShape 1"/>
        <xdr:cNvSpPr>
          <a:spLocks noChangeArrowheads="1"/>
        </xdr:cNvSpPr>
      </xdr:nvSpPr>
      <xdr:spPr bwMode="auto">
        <a:xfrm flipV="1">
          <a:off x="-47625" y="647700"/>
          <a:ext cx="800100" cy="190500"/>
        </a:xfrm>
        <a:prstGeom prst="triangle">
          <a:avLst>
            <a:gd name="adj" fmla="val 50000"/>
          </a:avLst>
        </a:prstGeom>
        <a:solidFill>
          <a:srgbClr val="984807"/>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723900</xdr:colOff>
      <xdr:row>0</xdr:row>
      <xdr:rowOff>28575</xdr:rowOff>
    </xdr:from>
    <xdr:to>
      <xdr:col>10</xdr:col>
      <xdr:colOff>76200</xdr:colOff>
      <xdr:row>0</xdr:row>
      <xdr:rowOff>104775</xdr:rowOff>
    </xdr:to>
    <xdr:sp macro="" textlink="">
      <xdr:nvSpPr>
        <xdr:cNvPr id="7171" name="Rectangle 271"/>
        <xdr:cNvSpPr>
          <a:spLocks noChangeArrowheads="1"/>
        </xdr:cNvSpPr>
      </xdr:nvSpPr>
      <xdr:spPr bwMode="auto">
        <a:xfrm>
          <a:off x="7362825" y="28575"/>
          <a:ext cx="781050" cy="76200"/>
        </a:xfrm>
        <a:prstGeom prst="rect">
          <a:avLst/>
        </a:prstGeom>
        <a:solidFill>
          <a:srgbClr val="FFFFFF"/>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28575</xdr:colOff>
      <xdr:row>0</xdr:row>
      <xdr:rowOff>0</xdr:rowOff>
    </xdr:from>
    <xdr:to>
      <xdr:col>9</xdr:col>
      <xdr:colOff>466725</xdr:colOff>
      <xdr:row>3</xdr:row>
      <xdr:rowOff>47625</xdr:rowOff>
    </xdr:to>
    <xdr:grpSp>
      <xdr:nvGrpSpPr>
        <xdr:cNvPr id="7172" name="Groupe 80"/>
        <xdr:cNvGrpSpPr>
          <a:grpSpLocks/>
        </xdr:cNvGrpSpPr>
      </xdr:nvGrpSpPr>
      <xdr:grpSpPr bwMode="auto">
        <a:xfrm>
          <a:off x="28575" y="0"/>
          <a:ext cx="7820025" cy="619125"/>
          <a:chOff x="43" y="0"/>
          <a:chExt cx="12990" cy="957"/>
        </a:xfrm>
      </xdr:grpSpPr>
      <xdr:sp macro="" textlink="" fLocksText="0">
        <xdr:nvSpPr>
          <xdr:cNvPr id="7173" name="Rectangle 30"/>
          <xdr:cNvSpPr>
            <a:spLocks noChangeArrowheads="1"/>
          </xdr:cNvSpPr>
        </xdr:nvSpPr>
        <xdr:spPr bwMode="auto">
          <a:xfrm>
            <a:off x="967" y="15"/>
            <a:ext cx="12065" cy="941"/>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7174"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 y="0"/>
            <a:ext cx="983" cy="95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7175" name="Groupe 11"/>
          <xdr:cNvGrpSpPr>
            <a:grpSpLocks/>
          </xdr:cNvGrpSpPr>
        </xdr:nvGrpSpPr>
        <xdr:grpSpPr bwMode="auto">
          <a:xfrm>
            <a:off x="10146" y="93"/>
            <a:ext cx="1827" cy="739"/>
            <a:chOff x="10146" y="93"/>
            <a:chExt cx="1827" cy="739"/>
          </a:xfrm>
        </xdr:grpSpPr>
        <xdr:pic>
          <xdr:nvPicPr>
            <xdr:cNvPr id="717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46" y="94"/>
              <a:ext cx="637" cy="73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7177" name="Image 3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90" y="93"/>
              <a:ext cx="982" cy="73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4</xdr:col>
      <xdr:colOff>66675</xdr:colOff>
      <xdr:row>34</xdr:row>
      <xdr:rowOff>38100</xdr:rowOff>
    </xdr:from>
    <xdr:to>
      <xdr:col>9</xdr:col>
      <xdr:colOff>428625</xdr:colOff>
      <xdr:row>55</xdr:row>
      <xdr:rowOff>76200</xdr:rowOff>
    </xdr:to>
    <xdr:graphicFrame macro="">
      <xdr:nvGraphicFramePr>
        <xdr:cNvPr id="7178"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666750</xdr:colOff>
      <xdr:row>0</xdr:row>
      <xdr:rowOff>57150</xdr:rowOff>
    </xdr:from>
    <xdr:to>
      <xdr:col>9</xdr:col>
      <xdr:colOff>409575</xdr:colOff>
      <xdr:row>2</xdr:row>
      <xdr:rowOff>123825</xdr:rowOff>
    </xdr:to>
    <xdr:pic>
      <xdr:nvPicPr>
        <xdr:cNvPr id="7179" name="Image 1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05675" y="57150"/>
          <a:ext cx="485775"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13</xdr:col>
      <xdr:colOff>733425</xdr:colOff>
      <xdr:row>17</xdr:row>
      <xdr:rowOff>47625</xdr:rowOff>
    </xdr:from>
    <xdr:to>
      <xdr:col>20</xdr:col>
      <xdr:colOff>523875</xdr:colOff>
      <xdr:row>36</xdr:row>
      <xdr:rowOff>152400</xdr:rowOff>
    </xdr:to>
    <xdr:graphicFrame macro="">
      <xdr:nvGraphicFramePr>
        <xdr:cNvPr id="7180"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85725</xdr:rowOff>
    </xdr:from>
    <xdr:to>
      <xdr:col>7</xdr:col>
      <xdr:colOff>9525</xdr:colOff>
      <xdr:row>3</xdr:row>
      <xdr:rowOff>133350</xdr:rowOff>
    </xdr:to>
    <xdr:grpSp>
      <xdr:nvGrpSpPr>
        <xdr:cNvPr id="8193" name="Groupe 80"/>
        <xdr:cNvGrpSpPr>
          <a:grpSpLocks/>
        </xdr:cNvGrpSpPr>
      </xdr:nvGrpSpPr>
      <xdr:grpSpPr bwMode="auto">
        <a:xfrm>
          <a:off x="28575" y="85725"/>
          <a:ext cx="5743575" cy="533400"/>
          <a:chOff x="43" y="136"/>
          <a:chExt cx="9530" cy="841"/>
        </a:xfrm>
      </xdr:grpSpPr>
      <xdr:sp macro="" textlink="" fLocksText="0">
        <xdr:nvSpPr>
          <xdr:cNvPr id="8194" name="Rectangle 30"/>
          <xdr:cNvSpPr>
            <a:spLocks noChangeArrowheads="1"/>
          </xdr:cNvSpPr>
        </xdr:nvSpPr>
        <xdr:spPr bwMode="auto">
          <a:xfrm>
            <a:off x="43" y="136"/>
            <a:ext cx="9530" cy="841"/>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grpSp>
        <xdr:nvGrpSpPr>
          <xdr:cNvPr id="8195" name="Groupe 11"/>
          <xdr:cNvGrpSpPr>
            <a:grpSpLocks/>
          </xdr:cNvGrpSpPr>
        </xdr:nvGrpSpPr>
        <xdr:grpSpPr bwMode="auto">
          <a:xfrm>
            <a:off x="7543" y="206"/>
            <a:ext cx="1298" cy="661"/>
            <a:chOff x="7543" y="206"/>
            <a:chExt cx="1298" cy="661"/>
          </a:xfrm>
        </xdr:grpSpPr>
        <xdr:pic>
          <xdr:nvPicPr>
            <xdr:cNvPr id="819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43" y="206"/>
              <a:ext cx="541" cy="65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8197" name="Image 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44" y="206"/>
              <a:ext cx="697" cy="66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6</xdr:col>
      <xdr:colOff>333375</xdr:colOff>
      <xdr:row>0</xdr:row>
      <xdr:rowOff>133350</xdr:rowOff>
    </xdr:from>
    <xdr:to>
      <xdr:col>6</xdr:col>
      <xdr:colOff>695325</xdr:colOff>
      <xdr:row>3</xdr:row>
      <xdr:rowOff>104775</xdr:rowOff>
    </xdr:to>
    <xdr:pic>
      <xdr:nvPicPr>
        <xdr:cNvPr id="8198" name="Image 1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381625" y="133350"/>
          <a:ext cx="361950" cy="457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-771525</xdr:colOff>
      <xdr:row>4</xdr:row>
      <xdr:rowOff>161925</xdr:rowOff>
    </xdr:from>
    <xdr:to>
      <xdr:col>0</xdr:col>
      <xdr:colOff>-28575</xdr:colOff>
      <xdr:row>5</xdr:row>
      <xdr:rowOff>66675</xdr:rowOff>
    </xdr:to>
    <xdr:sp macro="" textlink="">
      <xdr:nvSpPr>
        <xdr:cNvPr id="9217" name="AutoShape 1"/>
        <xdr:cNvSpPr>
          <a:spLocks noChangeArrowheads="1"/>
        </xdr:cNvSpPr>
      </xdr:nvSpPr>
      <xdr:spPr bwMode="auto">
        <a:xfrm flipV="1">
          <a:off x="-771525" y="1038225"/>
          <a:ext cx="742950" cy="114300"/>
        </a:xfrm>
        <a:prstGeom prst="triangle">
          <a:avLst>
            <a:gd name="adj" fmla="val 50000"/>
          </a:avLst>
        </a:prstGeom>
        <a:solidFill>
          <a:srgbClr val="DBEEF4"/>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485775</xdr:colOff>
      <xdr:row>4</xdr:row>
      <xdr:rowOff>161925</xdr:rowOff>
    </xdr:from>
    <xdr:to>
      <xdr:col>0</xdr:col>
      <xdr:colOff>1114425</xdr:colOff>
      <xdr:row>5</xdr:row>
      <xdr:rowOff>66675</xdr:rowOff>
    </xdr:to>
    <xdr:sp macro="" textlink="">
      <xdr:nvSpPr>
        <xdr:cNvPr id="9218" name="AutoShape 1"/>
        <xdr:cNvSpPr>
          <a:spLocks noChangeArrowheads="1"/>
        </xdr:cNvSpPr>
      </xdr:nvSpPr>
      <xdr:spPr bwMode="auto">
        <a:xfrm flipV="1">
          <a:off x="485775" y="1038225"/>
          <a:ext cx="628650" cy="114300"/>
        </a:xfrm>
        <a:prstGeom prst="triangle">
          <a:avLst>
            <a:gd name="adj" fmla="val 50000"/>
          </a:avLst>
        </a:prstGeom>
        <a:solidFill>
          <a:srgbClr val="984807"/>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47625</xdr:colOff>
      <xdr:row>0</xdr:row>
      <xdr:rowOff>28575</xdr:rowOff>
    </xdr:from>
    <xdr:to>
      <xdr:col>6</xdr:col>
      <xdr:colOff>619125</xdr:colOff>
      <xdr:row>0</xdr:row>
      <xdr:rowOff>104775</xdr:rowOff>
    </xdr:to>
    <xdr:sp macro="" textlink="">
      <xdr:nvSpPr>
        <xdr:cNvPr id="9219" name="Rectangle 271"/>
        <xdr:cNvSpPr>
          <a:spLocks noChangeArrowheads="1"/>
        </xdr:cNvSpPr>
      </xdr:nvSpPr>
      <xdr:spPr bwMode="auto">
        <a:xfrm>
          <a:off x="7019925" y="28575"/>
          <a:ext cx="571500" cy="76200"/>
        </a:xfrm>
        <a:prstGeom prst="rect">
          <a:avLst/>
        </a:prstGeom>
        <a:solidFill>
          <a:srgbClr val="FFFFFF"/>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1657350</xdr:colOff>
      <xdr:row>26</xdr:row>
      <xdr:rowOff>9525</xdr:rowOff>
    </xdr:from>
    <xdr:to>
      <xdr:col>4</xdr:col>
      <xdr:colOff>2028825</xdr:colOff>
      <xdr:row>26</xdr:row>
      <xdr:rowOff>9525</xdr:rowOff>
    </xdr:to>
    <xdr:sp macro="" textlink="">
      <xdr:nvSpPr>
        <xdr:cNvPr id="9220" name="Line 919"/>
        <xdr:cNvSpPr>
          <a:spLocks noChangeShapeType="1"/>
        </xdr:cNvSpPr>
      </xdr:nvSpPr>
      <xdr:spPr bwMode="auto">
        <a:xfrm>
          <a:off x="5543550" y="5915025"/>
          <a:ext cx="371475" cy="0"/>
        </a:xfrm>
        <a:prstGeom prst="line">
          <a:avLst/>
        </a:prstGeom>
        <a:noFill/>
        <a:ln w="38160" cap="flat">
          <a:solidFill>
            <a:srgbClr val="8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2133600</xdr:colOff>
      <xdr:row>25</xdr:row>
      <xdr:rowOff>161925</xdr:rowOff>
    </xdr:from>
    <xdr:to>
      <xdr:col>5</xdr:col>
      <xdr:colOff>781050</xdr:colOff>
      <xdr:row>26</xdr:row>
      <xdr:rowOff>123825</xdr:rowOff>
    </xdr:to>
    <xdr:sp macro="" textlink="" fLocksText="0">
      <xdr:nvSpPr>
        <xdr:cNvPr id="9221" name="Text Box 232"/>
        <xdr:cNvSpPr>
          <a:spLocks noChangeArrowheads="1"/>
        </xdr:cNvSpPr>
      </xdr:nvSpPr>
      <xdr:spPr bwMode="auto">
        <a:xfrm>
          <a:off x="6019800" y="5905500"/>
          <a:ext cx="885825" cy="1238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22680" rIns="0" bIns="0" anchor="ctr"/>
        <a:lstStyle/>
        <a:p>
          <a:pPr algn="l" rtl="0">
            <a:defRPr sz="1000"/>
          </a:pPr>
          <a:r>
            <a:rPr lang="fr-FR" sz="900" b="1" i="0" u="none" strike="noStrike" baseline="0">
              <a:solidFill>
                <a:srgbClr val="000000"/>
              </a:solidFill>
              <a:latin typeface="Arial"/>
              <a:cs typeface="Arial"/>
            </a:rPr>
            <a:t>Référence</a:t>
          </a:r>
          <a:r>
            <a:rPr lang="fr-FR" sz="900" b="0" i="0" u="none" strike="noStrike" baseline="0">
              <a:solidFill>
                <a:srgbClr val="000000"/>
              </a:solidFill>
              <a:latin typeface="Arial"/>
              <a:cs typeface="Arial"/>
            </a:rPr>
            <a:t> </a:t>
          </a:r>
        </a:p>
      </xdr:txBody>
    </xdr:sp>
    <xdr:clientData/>
  </xdr:twoCellAnchor>
  <xdr:twoCellAnchor>
    <xdr:from>
      <xdr:col>4</xdr:col>
      <xdr:colOff>257175</xdr:colOff>
      <xdr:row>26</xdr:row>
      <xdr:rowOff>19050</xdr:rowOff>
    </xdr:from>
    <xdr:to>
      <xdr:col>4</xdr:col>
      <xdr:colOff>647700</xdr:colOff>
      <xdr:row>26</xdr:row>
      <xdr:rowOff>19050</xdr:rowOff>
    </xdr:to>
    <xdr:sp macro="" textlink="">
      <xdr:nvSpPr>
        <xdr:cNvPr id="9222" name="Line 919"/>
        <xdr:cNvSpPr>
          <a:spLocks noChangeShapeType="1"/>
        </xdr:cNvSpPr>
      </xdr:nvSpPr>
      <xdr:spPr bwMode="auto">
        <a:xfrm>
          <a:off x="4143375" y="5924550"/>
          <a:ext cx="390525" cy="0"/>
        </a:xfrm>
        <a:prstGeom prst="line">
          <a:avLst/>
        </a:prstGeom>
        <a:noFill/>
        <a:ln w="38160" cap="flat">
          <a:solidFill>
            <a:srgbClr val="376092"/>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666750</xdr:colOff>
      <xdr:row>25</xdr:row>
      <xdr:rowOff>66675</xdr:rowOff>
    </xdr:from>
    <xdr:to>
      <xdr:col>4</xdr:col>
      <xdr:colOff>1962150</xdr:colOff>
      <xdr:row>26</xdr:row>
      <xdr:rowOff>104775</xdr:rowOff>
    </xdr:to>
    <xdr:sp macro="" textlink="" fLocksText="0">
      <xdr:nvSpPr>
        <xdr:cNvPr id="9223" name="Text Box 232"/>
        <xdr:cNvSpPr>
          <a:spLocks noChangeArrowheads="1"/>
        </xdr:cNvSpPr>
      </xdr:nvSpPr>
      <xdr:spPr bwMode="auto">
        <a:xfrm>
          <a:off x="4552950" y="5810250"/>
          <a:ext cx="129540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22680" rIns="0" bIns="0" anchor="ctr"/>
        <a:lstStyle/>
        <a:p>
          <a:pPr algn="l" rtl="0">
            <a:defRPr sz="1000"/>
          </a:pPr>
          <a:r>
            <a:rPr lang="fr-FR" sz="900" b="1" i="0" u="none" strike="noStrike" baseline="0">
              <a:solidFill>
                <a:srgbClr val="000000"/>
              </a:solidFill>
              <a:latin typeface="Arial"/>
              <a:cs typeface="Arial"/>
            </a:rPr>
            <a:t>Votre atelier</a:t>
          </a:r>
        </a:p>
      </xdr:txBody>
    </xdr:sp>
    <xdr:clientData/>
  </xdr:twoCellAnchor>
  <xdr:twoCellAnchor>
    <xdr:from>
      <xdr:col>3</xdr:col>
      <xdr:colOff>152400</xdr:colOff>
      <xdr:row>27</xdr:row>
      <xdr:rowOff>85725</xdr:rowOff>
    </xdr:from>
    <xdr:to>
      <xdr:col>7</xdr:col>
      <xdr:colOff>457200</xdr:colOff>
      <xdr:row>44</xdr:row>
      <xdr:rowOff>104775</xdr:rowOff>
    </xdr:to>
    <xdr:graphicFrame macro="">
      <xdr:nvGraphicFramePr>
        <xdr:cNvPr id="9224"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0</xdr:row>
      <xdr:rowOff>0</xdr:rowOff>
    </xdr:from>
    <xdr:to>
      <xdr:col>8</xdr:col>
      <xdr:colOff>66675</xdr:colOff>
      <xdr:row>3</xdr:row>
      <xdr:rowOff>38100</xdr:rowOff>
    </xdr:to>
    <xdr:grpSp>
      <xdr:nvGrpSpPr>
        <xdr:cNvPr id="9225" name="Groupe 16"/>
        <xdr:cNvGrpSpPr>
          <a:grpSpLocks/>
        </xdr:cNvGrpSpPr>
      </xdr:nvGrpSpPr>
      <xdr:grpSpPr bwMode="auto">
        <a:xfrm>
          <a:off x="28575" y="0"/>
          <a:ext cx="8277225" cy="619125"/>
          <a:chOff x="43" y="0"/>
          <a:chExt cx="13752" cy="966"/>
        </a:xfrm>
      </xdr:grpSpPr>
      <xdr:sp macro="" textlink="" fLocksText="0">
        <xdr:nvSpPr>
          <xdr:cNvPr id="9226" name="Rectangle 10"/>
          <xdr:cNvSpPr>
            <a:spLocks noChangeArrowheads="1"/>
          </xdr:cNvSpPr>
        </xdr:nvSpPr>
        <xdr:spPr bwMode="auto">
          <a:xfrm>
            <a:off x="1006" y="15"/>
            <a:ext cx="12788" cy="950"/>
          </a:xfrm>
          <a:prstGeom prst="rect">
            <a:avLst/>
          </a:prstGeom>
          <a:solidFill>
            <a:srgbClr val="F4C600"/>
          </a:solidFill>
          <a:ln>
            <a:noFill/>
          </a:ln>
          <a:effectLst/>
          <a:extLs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l" rtl="0">
              <a:defRPr sz="1000"/>
            </a:pPr>
            <a:r>
              <a:rPr lang="fr-FR" sz="1100" b="0" i="0" u="none" strike="noStrike" baseline="0">
                <a:solidFill>
                  <a:srgbClr val="000000"/>
                </a:solidFill>
                <a:latin typeface="Arial"/>
                <a:cs typeface="Arial"/>
              </a:rPr>
              <a:t>Institut de l’Elevage – Réseaux d’élevage</a:t>
            </a:r>
          </a:p>
          <a:p>
            <a:pPr algn="l" rtl="0">
              <a:defRPr sz="1000"/>
            </a:pPr>
            <a:r>
              <a:rPr lang="fr-FR" sz="1100" b="0" i="0" u="none" strike="noStrike" baseline="0">
                <a:solidFill>
                  <a:srgbClr val="800000"/>
                </a:solidFill>
                <a:latin typeface="Arial"/>
                <a:cs typeface="Arial"/>
              </a:rPr>
              <a:t>Utilitaire de calcul du coût de production d’un atelier bovins lait</a:t>
            </a:r>
          </a:p>
        </xdr:txBody>
      </xdr:sp>
      <xdr:pic>
        <xdr:nvPicPr>
          <xdr:cNvPr id="9227"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 y="0"/>
            <a:ext cx="1021" cy="96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nvGrpSpPr>
          <xdr:cNvPr id="9228" name="Groupe 11"/>
          <xdr:cNvGrpSpPr>
            <a:grpSpLocks/>
          </xdr:cNvGrpSpPr>
        </xdr:nvGrpSpPr>
        <xdr:grpSpPr bwMode="auto">
          <a:xfrm>
            <a:off x="10553" y="93"/>
            <a:ext cx="1927" cy="746"/>
            <a:chOff x="10553" y="93"/>
            <a:chExt cx="1927" cy="746"/>
          </a:xfrm>
        </xdr:grpSpPr>
        <xdr:pic>
          <xdr:nvPicPr>
            <xdr:cNvPr id="9229"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 y="95"/>
              <a:ext cx="631" cy="74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9230" name="Image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459" y="93"/>
              <a:ext cx="1020" cy="74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twoCellAnchor>
    <xdr:from>
      <xdr:col>6</xdr:col>
      <xdr:colOff>638175</xdr:colOff>
      <xdr:row>0</xdr:row>
      <xdr:rowOff>57150</xdr:rowOff>
    </xdr:from>
    <xdr:to>
      <xdr:col>7</xdr:col>
      <xdr:colOff>323850</xdr:colOff>
      <xdr:row>2</xdr:row>
      <xdr:rowOff>123825</xdr:rowOff>
    </xdr:to>
    <xdr:pic>
      <xdr:nvPicPr>
        <xdr:cNvPr id="9231" name="Image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10475" y="57150"/>
          <a:ext cx="485775"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360"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97"/>
  <sheetViews>
    <sheetView zoomScale="115" zoomScaleNormal="115" workbookViewId="0">
      <selection activeCell="G15" sqref="G15"/>
    </sheetView>
  </sheetViews>
  <sheetFormatPr baseColWidth="10" defaultRowHeight="30.75" customHeight="1" x14ac:dyDescent="0.2"/>
  <cols>
    <col min="1" max="1" width="12" style="1" customWidth="1"/>
    <col min="2" max="2" width="5.28515625" style="2" customWidth="1"/>
    <col min="3" max="3" width="66.140625" style="3" customWidth="1"/>
    <col min="4" max="4" width="32.42578125" style="4" customWidth="1"/>
    <col min="5" max="16384" width="11.42578125" style="5"/>
  </cols>
  <sheetData>
    <row r="1" spans="1:4" ht="30" customHeight="1" x14ac:dyDescent="0.2">
      <c r="A1" s="6"/>
      <c r="B1" s="7"/>
      <c r="C1" s="8"/>
      <c r="D1" s="9"/>
    </row>
    <row r="2" spans="1:4" s="14" customFormat="1" ht="42.75" customHeight="1" x14ac:dyDescent="0.25">
      <c r="A2" s="10" t="s">
        <v>0</v>
      </c>
      <c r="B2" s="11"/>
      <c r="C2" s="12"/>
      <c r="D2" s="13" t="s">
        <v>1</v>
      </c>
    </row>
    <row r="3" spans="1:4" s="14" customFormat="1" ht="21.75" customHeight="1" x14ac:dyDescent="0.2">
      <c r="A3" s="15"/>
      <c r="B3" s="16"/>
      <c r="C3" s="17"/>
      <c r="D3" s="18">
        <f>DATEVER</f>
        <v>41760</v>
      </c>
    </row>
    <row r="4" spans="1:4" s="20" customFormat="1" ht="33" customHeight="1" x14ac:dyDescent="0.2">
      <c r="A4" s="1515" t="s">
        <v>2</v>
      </c>
      <c r="B4" s="1515"/>
      <c r="C4" s="1515"/>
      <c r="D4" s="1515"/>
    </row>
    <row r="5" spans="1:4" s="20" customFormat="1" ht="13.5" customHeight="1" x14ac:dyDescent="0.2">
      <c r="A5" s="1515"/>
      <c r="B5" s="1515"/>
      <c r="C5" s="1515"/>
      <c r="D5" s="1515"/>
    </row>
    <row r="6" spans="1:4" s="25" customFormat="1" ht="15" x14ac:dyDescent="0.2">
      <c r="A6" s="21" t="s">
        <v>1</v>
      </c>
      <c r="B6" s="22"/>
      <c r="C6" s="23" t="s">
        <v>3</v>
      </c>
      <c r="D6" s="24"/>
    </row>
    <row r="7" spans="1:4" s="25" customFormat="1" ht="15" x14ac:dyDescent="0.2">
      <c r="A7" s="26">
        <v>41760</v>
      </c>
      <c r="B7" s="27"/>
      <c r="C7" s="28" t="s">
        <v>4</v>
      </c>
      <c r="D7" s="29"/>
    </row>
    <row r="8" spans="1:4" s="25" customFormat="1" ht="14.25" customHeight="1" x14ac:dyDescent="0.2">
      <c r="A8" s="30"/>
      <c r="B8" s="31">
        <v>1</v>
      </c>
      <c r="C8" s="1516" t="s">
        <v>5</v>
      </c>
      <c r="D8" s="1516"/>
    </row>
    <row r="9" spans="1:4" s="25" customFormat="1" ht="14.25" customHeight="1" x14ac:dyDescent="0.2">
      <c r="A9" s="30"/>
      <c r="B9" s="31">
        <v>2</v>
      </c>
      <c r="C9" s="1516" t="s">
        <v>6</v>
      </c>
      <c r="D9" s="1516"/>
    </row>
    <row r="10" spans="1:4" s="25" customFormat="1" ht="14.25" customHeight="1" x14ac:dyDescent="0.2">
      <c r="A10" s="30"/>
      <c r="B10" s="31">
        <v>3</v>
      </c>
      <c r="C10" s="1516" t="s">
        <v>7</v>
      </c>
      <c r="D10" s="1516"/>
    </row>
    <row r="11" spans="1:4" s="25" customFormat="1" ht="14.25" customHeight="1" x14ac:dyDescent="0.2">
      <c r="A11" s="30"/>
      <c r="B11" s="31">
        <v>4</v>
      </c>
      <c r="C11" s="1516" t="s">
        <v>8</v>
      </c>
      <c r="D11" s="1516"/>
    </row>
    <row r="12" spans="1:4" s="25" customFormat="1" ht="14.25" customHeight="1" x14ac:dyDescent="0.2">
      <c r="A12" s="30"/>
      <c r="B12" s="31">
        <v>5</v>
      </c>
      <c r="C12" s="1516" t="s">
        <v>9</v>
      </c>
      <c r="D12" s="1516"/>
    </row>
    <row r="13" spans="1:4" s="25" customFormat="1" ht="15" x14ac:dyDescent="0.2">
      <c r="A13" s="32">
        <v>41096</v>
      </c>
      <c r="B13" s="33"/>
      <c r="C13" s="34"/>
      <c r="D13" s="32"/>
    </row>
    <row r="14" spans="1:4" s="25" customFormat="1" ht="14.25" customHeight="1" x14ac:dyDescent="0.2">
      <c r="A14" s="30"/>
      <c r="B14" s="31">
        <v>1</v>
      </c>
      <c r="C14" s="35" t="s">
        <v>10</v>
      </c>
      <c r="D14" s="35"/>
    </row>
    <row r="15" spans="1:4" s="25" customFormat="1" ht="14.25" customHeight="1" x14ac:dyDescent="0.2">
      <c r="A15" s="30"/>
      <c r="B15" s="31">
        <v>2</v>
      </c>
      <c r="C15" s="35" t="s">
        <v>11</v>
      </c>
      <c r="D15" s="35"/>
    </row>
    <row r="16" spans="1:4" s="25" customFormat="1" ht="14.25" customHeight="1" x14ac:dyDescent="0.2">
      <c r="A16" s="30"/>
      <c r="B16" s="31">
        <v>3</v>
      </c>
      <c r="C16" s="35" t="s">
        <v>12</v>
      </c>
      <c r="D16" s="35"/>
    </row>
    <row r="17" spans="1:4" s="25" customFormat="1" ht="14.25" customHeight="1" x14ac:dyDescent="0.2">
      <c r="A17" s="30"/>
      <c r="B17" s="31">
        <v>4</v>
      </c>
      <c r="C17" s="1517" t="s">
        <v>13</v>
      </c>
      <c r="D17" s="1517"/>
    </row>
    <row r="18" spans="1:4" s="25" customFormat="1" ht="14.25" customHeight="1" x14ac:dyDescent="0.2">
      <c r="A18" s="30"/>
      <c r="B18" s="31">
        <v>5</v>
      </c>
      <c r="C18" s="35" t="s">
        <v>14</v>
      </c>
      <c r="D18" s="35"/>
    </row>
    <row r="19" spans="1:4" s="25" customFormat="1" ht="15.75" customHeight="1" x14ac:dyDescent="0.2">
      <c r="A19" s="30"/>
      <c r="B19" s="31">
        <v>6</v>
      </c>
      <c r="C19" s="1516" t="s">
        <v>15</v>
      </c>
      <c r="D19" s="1516"/>
    </row>
    <row r="20" spans="1:4" s="25" customFormat="1" ht="15" x14ac:dyDescent="0.2">
      <c r="A20" s="32">
        <v>40585</v>
      </c>
      <c r="B20" s="33"/>
      <c r="C20" s="34"/>
      <c r="D20" s="36"/>
    </row>
    <row r="21" spans="1:4" s="25" customFormat="1" ht="14.25" customHeight="1" x14ac:dyDescent="0.2">
      <c r="A21" s="30"/>
      <c r="B21" s="31">
        <v>1</v>
      </c>
      <c r="C21" s="1517" t="s">
        <v>16</v>
      </c>
      <c r="D21" s="1517"/>
    </row>
    <row r="22" spans="1:4" s="25" customFormat="1" ht="15" x14ac:dyDescent="0.2">
      <c r="A22" s="32">
        <v>40575</v>
      </c>
      <c r="B22" s="33"/>
      <c r="C22" s="34"/>
      <c r="D22" s="36"/>
    </row>
    <row r="23" spans="1:4" ht="12.75" customHeight="1" x14ac:dyDescent="0.2">
      <c r="A23" s="30"/>
      <c r="B23" s="31">
        <v>1</v>
      </c>
      <c r="C23" s="1517" t="s">
        <v>17</v>
      </c>
      <c r="D23" s="1517"/>
    </row>
    <row r="24" spans="1:4" ht="12.75" x14ac:dyDescent="0.2">
      <c r="A24" s="30"/>
      <c r="B24" s="31"/>
      <c r="C24" s="37"/>
      <c r="D24" s="37"/>
    </row>
    <row r="25" spans="1:4" s="25" customFormat="1" ht="15" x14ac:dyDescent="0.2">
      <c r="A25" s="32">
        <v>40483</v>
      </c>
      <c r="B25" s="33"/>
      <c r="C25" s="36"/>
      <c r="D25" s="36"/>
    </row>
    <row r="26" spans="1:4" ht="12.75" customHeight="1" x14ac:dyDescent="0.2">
      <c r="A26" s="30"/>
      <c r="B26" s="31">
        <v>1</v>
      </c>
      <c r="C26" s="1517" t="s">
        <v>18</v>
      </c>
      <c r="D26" s="1517"/>
    </row>
    <row r="27" spans="1:4" ht="12.75" x14ac:dyDescent="0.2">
      <c r="A27" s="30"/>
      <c r="B27" s="31"/>
      <c r="C27" s="37"/>
      <c r="D27" s="37"/>
    </row>
    <row r="28" spans="1:4" s="25" customFormat="1" ht="15" x14ac:dyDescent="0.2">
      <c r="A28" s="32">
        <v>40466</v>
      </c>
      <c r="B28" s="33"/>
      <c r="C28" s="34"/>
      <c r="D28" s="36"/>
    </row>
    <row r="29" spans="1:4" ht="12.75" customHeight="1" x14ac:dyDescent="0.2">
      <c r="A29" s="30"/>
      <c r="B29" s="31">
        <v>1</v>
      </c>
      <c r="C29" s="1517" t="s">
        <v>19</v>
      </c>
      <c r="D29" s="1517"/>
    </row>
    <row r="30" spans="1:4" ht="12.75" x14ac:dyDescent="0.2">
      <c r="A30" s="30"/>
      <c r="B30" s="31">
        <v>2</v>
      </c>
      <c r="C30" s="37" t="s">
        <v>20</v>
      </c>
      <c r="D30" s="37"/>
    </row>
    <row r="31" spans="1:4" ht="12.75" x14ac:dyDescent="0.2">
      <c r="A31" s="30"/>
      <c r="B31" s="31">
        <v>3</v>
      </c>
      <c r="C31" s="37" t="s">
        <v>21</v>
      </c>
      <c r="D31" s="37"/>
    </row>
    <row r="32" spans="1:4" ht="12.75" x14ac:dyDescent="0.2">
      <c r="A32" s="30"/>
      <c r="B32" s="31"/>
      <c r="C32" s="37"/>
      <c r="D32" s="37"/>
    </row>
    <row r="33" spans="1:4" s="25" customFormat="1" ht="15" x14ac:dyDescent="0.2">
      <c r="A33" s="32">
        <v>40462</v>
      </c>
      <c r="B33" s="33"/>
      <c r="C33" s="34"/>
      <c r="D33" s="36"/>
    </row>
    <row r="34" spans="1:4" ht="12.75" customHeight="1" x14ac:dyDescent="0.2">
      <c r="A34" s="30"/>
      <c r="B34" s="31">
        <v>1</v>
      </c>
      <c r="C34" s="1517" t="s">
        <v>22</v>
      </c>
      <c r="D34" s="1517"/>
    </row>
    <row r="35" spans="1:4" ht="12.75" x14ac:dyDescent="0.2">
      <c r="A35" s="30"/>
      <c r="B35" s="31">
        <v>2</v>
      </c>
      <c r="C35" s="37" t="s">
        <v>20</v>
      </c>
      <c r="D35" s="37"/>
    </row>
    <row r="36" spans="1:4" ht="12.75" customHeight="1" x14ac:dyDescent="0.2">
      <c r="A36" s="30"/>
      <c r="B36" s="31"/>
      <c r="C36" s="1517"/>
      <c r="D36" s="1517"/>
    </row>
    <row r="37" spans="1:4" s="25" customFormat="1" ht="15" x14ac:dyDescent="0.2">
      <c r="A37" s="32">
        <v>40350</v>
      </c>
      <c r="B37" s="33"/>
      <c r="C37" s="34"/>
      <c r="D37" s="36"/>
    </row>
    <row r="38" spans="1:4" ht="31.5" customHeight="1" x14ac:dyDescent="0.2">
      <c r="A38" s="30"/>
      <c r="B38" s="31">
        <v>1</v>
      </c>
      <c r="C38" s="1517" t="s">
        <v>23</v>
      </c>
      <c r="D38" s="1517"/>
    </row>
    <row r="39" spans="1:4" ht="15.75" customHeight="1" x14ac:dyDescent="0.2">
      <c r="A39" s="30"/>
      <c r="B39" s="31">
        <v>2</v>
      </c>
      <c r="C39" s="1517" t="s">
        <v>24</v>
      </c>
      <c r="D39" s="1517"/>
    </row>
    <row r="40" spans="1:4" ht="24.75" customHeight="1" x14ac:dyDescent="0.2">
      <c r="A40" s="30"/>
      <c r="B40" s="31">
        <v>3</v>
      </c>
      <c r="C40" s="37" t="s">
        <v>25</v>
      </c>
      <c r="D40" s="37"/>
    </row>
    <row r="41" spans="1:4" ht="15.75" customHeight="1" x14ac:dyDescent="0.2">
      <c r="A41" s="30"/>
      <c r="B41" s="31">
        <v>4</v>
      </c>
      <c r="C41" s="37" t="s">
        <v>26</v>
      </c>
      <c r="D41" s="37"/>
    </row>
    <row r="42" spans="1:4" ht="27.75" customHeight="1" x14ac:dyDescent="0.2">
      <c r="A42" s="30"/>
      <c r="B42" s="31">
        <v>5</v>
      </c>
      <c r="C42" s="37" t="s">
        <v>27</v>
      </c>
      <c r="D42" s="37"/>
    </row>
    <row r="43" spans="1:4" ht="29.25" customHeight="1" x14ac:dyDescent="0.2">
      <c r="A43" s="30"/>
      <c r="B43" s="31"/>
      <c r="C43" s="1517"/>
      <c r="D43" s="1517"/>
    </row>
    <row r="44" spans="1:4" s="25" customFormat="1" ht="15" x14ac:dyDescent="0.2">
      <c r="A44" s="32">
        <v>40275</v>
      </c>
      <c r="B44" s="33"/>
      <c r="C44" s="34"/>
      <c r="D44" s="36"/>
    </row>
    <row r="45" spans="1:4" ht="22.5" customHeight="1" x14ac:dyDescent="0.2">
      <c r="A45" s="30"/>
      <c r="B45" s="31">
        <v>1</v>
      </c>
      <c r="C45" s="1517" t="s">
        <v>28</v>
      </c>
      <c r="D45" s="1517"/>
    </row>
    <row r="46" spans="1:4" ht="29.25" customHeight="1" x14ac:dyDescent="0.2">
      <c r="A46" s="30"/>
      <c r="B46" s="31">
        <v>2</v>
      </c>
      <c r="C46" s="1517" t="s">
        <v>29</v>
      </c>
      <c r="D46" s="1517"/>
    </row>
    <row r="47" spans="1:4" ht="27.75" customHeight="1" x14ac:dyDescent="0.2">
      <c r="A47" s="30"/>
      <c r="B47" s="31">
        <v>3</v>
      </c>
      <c r="C47" s="1517" t="s">
        <v>30</v>
      </c>
      <c r="D47" s="1517"/>
    </row>
    <row r="48" spans="1:4" ht="27.75" customHeight="1" x14ac:dyDescent="0.2">
      <c r="A48" s="30"/>
      <c r="B48" s="31">
        <v>4</v>
      </c>
      <c r="C48" s="37" t="s">
        <v>31</v>
      </c>
      <c r="D48" s="37"/>
    </row>
    <row r="49" spans="1:4" ht="15.75" customHeight="1" x14ac:dyDescent="0.2">
      <c r="A49" s="30"/>
      <c r="B49" s="31">
        <v>5</v>
      </c>
      <c r="C49" s="37" t="s">
        <v>32</v>
      </c>
      <c r="D49" s="37"/>
    </row>
    <row r="50" spans="1:4" ht="28.5" customHeight="1" x14ac:dyDescent="0.2">
      <c r="A50" s="30"/>
      <c r="B50" s="31">
        <v>6</v>
      </c>
      <c r="C50" s="37" t="s">
        <v>33</v>
      </c>
      <c r="D50" s="37"/>
    </row>
    <row r="51" spans="1:4" ht="45" customHeight="1" x14ac:dyDescent="0.2">
      <c r="A51" s="30"/>
      <c r="B51" s="31"/>
      <c r="C51" s="37"/>
      <c r="D51" s="37"/>
    </row>
    <row r="52" spans="1:4" s="25" customFormat="1" ht="15" x14ac:dyDescent="0.2">
      <c r="A52" s="32">
        <v>40238</v>
      </c>
      <c r="B52" s="33"/>
      <c r="C52" s="34"/>
      <c r="D52" s="36"/>
    </row>
    <row r="53" spans="1:4" ht="74.25" customHeight="1" x14ac:dyDescent="0.2">
      <c r="A53" s="30">
        <v>40238</v>
      </c>
      <c r="B53" s="31">
        <v>1</v>
      </c>
      <c r="C53" s="1517" t="s">
        <v>34</v>
      </c>
      <c r="D53" s="1517"/>
    </row>
    <row r="54" spans="1:4" ht="18.75" customHeight="1" x14ac:dyDescent="0.2">
      <c r="A54" s="30">
        <v>40238</v>
      </c>
      <c r="B54" s="31">
        <v>2</v>
      </c>
      <c r="C54" s="1517" t="s">
        <v>35</v>
      </c>
      <c r="D54" s="1517"/>
    </row>
    <row r="55" spans="1:4" ht="29.25" customHeight="1" x14ac:dyDescent="0.2">
      <c r="A55" s="30">
        <v>40238</v>
      </c>
      <c r="B55" s="31">
        <v>3</v>
      </c>
      <c r="C55" s="1517" t="s">
        <v>36</v>
      </c>
      <c r="D55" s="1517"/>
    </row>
    <row r="56" spans="1:4" ht="43.5" customHeight="1" x14ac:dyDescent="0.2">
      <c r="A56" s="30">
        <v>40238</v>
      </c>
      <c r="B56" s="31">
        <v>4</v>
      </c>
      <c r="C56" s="1518" t="s">
        <v>37</v>
      </c>
      <c r="D56" s="1518"/>
    </row>
    <row r="57" spans="1:4" ht="63.75" customHeight="1" x14ac:dyDescent="0.2">
      <c r="A57" s="30">
        <v>40238</v>
      </c>
      <c r="B57" s="31">
        <v>4</v>
      </c>
      <c r="C57" s="1517" t="s">
        <v>38</v>
      </c>
      <c r="D57" s="1517"/>
    </row>
    <row r="58" spans="1:4" ht="98.25" customHeight="1" x14ac:dyDescent="0.2">
      <c r="A58" s="30">
        <v>40238</v>
      </c>
      <c r="B58" s="31">
        <v>5</v>
      </c>
      <c r="C58" s="1517" t="s">
        <v>39</v>
      </c>
      <c r="D58" s="1517"/>
    </row>
    <row r="59" spans="1:4" ht="20.25" customHeight="1" x14ac:dyDescent="0.2">
      <c r="A59" s="30">
        <v>40238</v>
      </c>
      <c r="B59" s="31">
        <v>6</v>
      </c>
      <c r="C59" s="1517" t="s">
        <v>40</v>
      </c>
      <c r="D59" s="1517"/>
    </row>
    <row r="60" spans="1:4" ht="81.75" customHeight="1" x14ac:dyDescent="0.2">
      <c r="A60" s="30">
        <v>40238</v>
      </c>
      <c r="B60" s="31">
        <v>7</v>
      </c>
      <c r="C60" s="1517" t="s">
        <v>41</v>
      </c>
      <c r="D60" s="1517"/>
    </row>
    <row r="61" spans="1:4" ht="55.5" customHeight="1" x14ac:dyDescent="0.2">
      <c r="A61" s="30">
        <v>40238</v>
      </c>
      <c r="B61" s="31">
        <v>8</v>
      </c>
      <c r="C61" s="1517" t="s">
        <v>42</v>
      </c>
      <c r="D61" s="1517"/>
    </row>
    <row r="62" spans="1:4" s="25" customFormat="1" ht="15" x14ac:dyDescent="0.2">
      <c r="A62" s="32">
        <v>40227</v>
      </c>
      <c r="B62" s="33"/>
      <c r="C62" s="34" t="s">
        <v>43</v>
      </c>
      <c r="D62" s="36"/>
    </row>
    <row r="63" spans="1:4" ht="41.25" customHeight="1" x14ac:dyDescent="0.2">
      <c r="A63" s="38">
        <v>40227</v>
      </c>
      <c r="B63" s="39">
        <v>1</v>
      </c>
      <c r="C63" s="1519" t="s">
        <v>44</v>
      </c>
      <c r="D63" s="1519"/>
    </row>
    <row r="64" spans="1:4" ht="28.5" customHeight="1" x14ac:dyDescent="0.2">
      <c r="A64" s="38">
        <v>40227</v>
      </c>
      <c r="B64" s="39">
        <v>2</v>
      </c>
      <c r="C64" s="40" t="s">
        <v>45</v>
      </c>
      <c r="D64" s="41"/>
    </row>
    <row r="65" spans="1:4" ht="51.75" customHeight="1" x14ac:dyDescent="0.2">
      <c r="A65" s="38">
        <v>40227</v>
      </c>
      <c r="B65" s="39">
        <v>3</v>
      </c>
      <c r="C65" s="1519" t="s">
        <v>46</v>
      </c>
      <c r="D65" s="1519"/>
    </row>
    <row r="66" spans="1:4" ht="30" customHeight="1" x14ac:dyDescent="0.2">
      <c r="A66" s="38">
        <v>40227</v>
      </c>
      <c r="B66" s="39">
        <v>4</v>
      </c>
      <c r="C66" s="1519" t="s">
        <v>47</v>
      </c>
      <c r="D66" s="1519"/>
    </row>
    <row r="67" spans="1:4" ht="18.75" customHeight="1" x14ac:dyDescent="0.2">
      <c r="A67" s="38">
        <v>40227</v>
      </c>
      <c r="B67" s="39">
        <v>5</v>
      </c>
      <c r="C67" s="1519" t="s">
        <v>48</v>
      </c>
      <c r="D67" s="1519"/>
    </row>
    <row r="68" spans="1:4" ht="29.25" customHeight="1" x14ac:dyDescent="0.2">
      <c r="A68" s="38">
        <v>40227</v>
      </c>
      <c r="B68" s="39">
        <v>6</v>
      </c>
      <c r="C68" s="1519" t="s">
        <v>49</v>
      </c>
      <c r="D68" s="1519"/>
    </row>
    <row r="69" spans="1:4" ht="30.75" customHeight="1" x14ac:dyDescent="0.2">
      <c r="A69" s="38">
        <v>40227</v>
      </c>
      <c r="B69" s="39">
        <v>7</v>
      </c>
      <c r="C69" s="1519" t="s">
        <v>50</v>
      </c>
      <c r="D69" s="1519"/>
    </row>
    <row r="70" spans="1:4" ht="30.75" customHeight="1" x14ac:dyDescent="0.2">
      <c r="A70" s="42"/>
      <c r="B70" s="43"/>
      <c r="C70" s="44"/>
    </row>
    <row r="71" spans="1:4" ht="30.75" customHeight="1" x14ac:dyDescent="0.2">
      <c r="A71" s="42"/>
      <c r="B71" s="43"/>
      <c r="C71" s="44"/>
    </row>
    <row r="72" spans="1:4" ht="30.75" customHeight="1" x14ac:dyDescent="0.2">
      <c r="A72" s="42"/>
      <c r="B72" s="43"/>
      <c r="C72" s="44"/>
    </row>
    <row r="73" spans="1:4" ht="30.75" customHeight="1" x14ac:dyDescent="0.2">
      <c r="A73" s="42"/>
      <c r="B73" s="43"/>
      <c r="C73" s="44"/>
    </row>
    <row r="74" spans="1:4" ht="30.75" customHeight="1" x14ac:dyDescent="0.2">
      <c r="A74" s="42"/>
      <c r="B74" s="43"/>
      <c r="C74" s="44"/>
    </row>
    <row r="75" spans="1:4" ht="30.75" customHeight="1" x14ac:dyDescent="0.2">
      <c r="A75" s="42"/>
      <c r="B75" s="43"/>
      <c r="C75" s="44"/>
    </row>
    <row r="76" spans="1:4" ht="30.75" customHeight="1" x14ac:dyDescent="0.2">
      <c r="A76" s="42"/>
      <c r="B76" s="43"/>
      <c r="C76" s="44"/>
    </row>
    <row r="77" spans="1:4" ht="30.75" customHeight="1" x14ac:dyDescent="0.2">
      <c r="A77" s="42"/>
      <c r="B77" s="43"/>
      <c r="C77" s="44"/>
    </row>
    <row r="78" spans="1:4" ht="30.75" customHeight="1" x14ac:dyDescent="0.2">
      <c r="A78" s="42"/>
      <c r="B78" s="43"/>
      <c r="C78" s="44"/>
    </row>
    <row r="79" spans="1:4" ht="30.75" customHeight="1" x14ac:dyDescent="0.2">
      <c r="A79" s="42"/>
      <c r="B79" s="43"/>
      <c r="C79" s="44"/>
    </row>
    <row r="80" spans="1:4" ht="30.75" customHeight="1" x14ac:dyDescent="0.2">
      <c r="A80" s="42"/>
      <c r="B80" s="43"/>
      <c r="C80" s="44"/>
    </row>
    <row r="81" spans="1:3" ht="30.75" customHeight="1" x14ac:dyDescent="0.2">
      <c r="A81" s="42"/>
      <c r="B81" s="43"/>
      <c r="C81" s="44"/>
    </row>
    <row r="82" spans="1:3" ht="30.75" customHeight="1" x14ac:dyDescent="0.2">
      <c r="A82" s="42"/>
      <c r="B82" s="43"/>
      <c r="C82" s="44"/>
    </row>
    <row r="83" spans="1:3" ht="30.75" customHeight="1" x14ac:dyDescent="0.2">
      <c r="A83" s="42"/>
      <c r="B83" s="43"/>
      <c r="C83" s="44"/>
    </row>
    <row r="84" spans="1:3" ht="30.75" customHeight="1" x14ac:dyDescent="0.2">
      <c r="A84" s="42"/>
      <c r="B84" s="43"/>
      <c r="C84" s="44"/>
    </row>
    <row r="85" spans="1:3" ht="30.75" customHeight="1" x14ac:dyDescent="0.2">
      <c r="A85" s="42"/>
      <c r="B85" s="43"/>
      <c r="C85" s="44"/>
    </row>
    <row r="86" spans="1:3" ht="30.75" customHeight="1" x14ac:dyDescent="0.2">
      <c r="A86" s="42"/>
      <c r="B86" s="43"/>
      <c r="C86" s="44"/>
    </row>
    <row r="87" spans="1:3" ht="30.75" customHeight="1" x14ac:dyDescent="0.2">
      <c r="A87" s="42"/>
      <c r="B87" s="43"/>
      <c r="C87" s="44"/>
    </row>
    <row r="88" spans="1:3" ht="30.75" customHeight="1" x14ac:dyDescent="0.2">
      <c r="A88" s="42"/>
      <c r="B88" s="43"/>
      <c r="C88" s="44"/>
    </row>
    <row r="89" spans="1:3" ht="30.75" customHeight="1" x14ac:dyDescent="0.2">
      <c r="A89" s="42"/>
      <c r="B89" s="43"/>
      <c r="C89" s="44"/>
    </row>
    <row r="90" spans="1:3" ht="30.75" customHeight="1" x14ac:dyDescent="0.2">
      <c r="A90" s="42"/>
      <c r="B90" s="43"/>
      <c r="C90" s="44"/>
    </row>
    <row r="91" spans="1:3" ht="30.75" customHeight="1" x14ac:dyDescent="0.2">
      <c r="A91" s="42"/>
      <c r="B91" s="43"/>
      <c r="C91" s="44"/>
    </row>
    <row r="92" spans="1:3" ht="30.75" customHeight="1" x14ac:dyDescent="0.2">
      <c r="A92" s="42"/>
      <c r="B92" s="43"/>
      <c r="C92" s="44"/>
    </row>
    <row r="93" spans="1:3" ht="30.75" customHeight="1" x14ac:dyDescent="0.2">
      <c r="A93" s="42"/>
      <c r="B93" s="43"/>
      <c r="C93" s="44"/>
    </row>
    <row r="94" spans="1:3" ht="30.75" customHeight="1" x14ac:dyDescent="0.2">
      <c r="A94" s="42"/>
      <c r="B94" s="43"/>
      <c r="C94" s="44"/>
    </row>
    <row r="95" spans="1:3" ht="30.75" customHeight="1" x14ac:dyDescent="0.2">
      <c r="A95" s="42"/>
      <c r="B95" s="43"/>
      <c r="C95" s="44"/>
    </row>
    <row r="96" spans="1:3" ht="30.75" customHeight="1" x14ac:dyDescent="0.2">
      <c r="A96" s="42"/>
      <c r="B96" s="43"/>
      <c r="C96" s="44"/>
    </row>
    <row r="97" spans="1:3" ht="30.75" customHeight="1" x14ac:dyDescent="0.2">
      <c r="A97" s="42"/>
      <c r="B97" s="43"/>
      <c r="C97" s="44"/>
    </row>
    <row r="98" spans="1:3" ht="30.75" customHeight="1" x14ac:dyDescent="0.2">
      <c r="A98" s="42"/>
      <c r="B98" s="43"/>
      <c r="C98" s="44"/>
    </row>
    <row r="99" spans="1:3" ht="30.75" customHeight="1" x14ac:dyDescent="0.2">
      <c r="A99" s="42"/>
      <c r="B99" s="43"/>
      <c r="C99" s="44"/>
    </row>
    <row r="100" spans="1:3" ht="30.75" customHeight="1" x14ac:dyDescent="0.2">
      <c r="A100" s="42"/>
      <c r="B100" s="43"/>
      <c r="C100" s="44"/>
    </row>
    <row r="101" spans="1:3" ht="30.75" customHeight="1" x14ac:dyDescent="0.2">
      <c r="A101" s="42"/>
      <c r="B101" s="43"/>
      <c r="C101" s="44"/>
    </row>
    <row r="102" spans="1:3" ht="30.75" customHeight="1" x14ac:dyDescent="0.2">
      <c r="A102" s="42"/>
      <c r="B102" s="43"/>
      <c r="C102" s="44"/>
    </row>
    <row r="103" spans="1:3" ht="30.75" customHeight="1" x14ac:dyDescent="0.2">
      <c r="A103" s="42"/>
      <c r="B103" s="43"/>
      <c r="C103" s="44"/>
    </row>
    <row r="104" spans="1:3" ht="30.75" customHeight="1" x14ac:dyDescent="0.2">
      <c r="A104" s="42"/>
      <c r="B104" s="43"/>
      <c r="C104" s="44"/>
    </row>
    <row r="105" spans="1:3" ht="30.75" customHeight="1" x14ac:dyDescent="0.2">
      <c r="A105" s="42"/>
      <c r="B105" s="43"/>
      <c r="C105" s="44"/>
    </row>
    <row r="106" spans="1:3" ht="30.75" customHeight="1" x14ac:dyDescent="0.2">
      <c r="A106" s="42"/>
      <c r="B106" s="43"/>
      <c r="C106" s="44"/>
    </row>
    <row r="107" spans="1:3" ht="30.75" customHeight="1" x14ac:dyDescent="0.2">
      <c r="A107" s="42"/>
      <c r="B107" s="43"/>
      <c r="C107" s="44"/>
    </row>
    <row r="108" spans="1:3" ht="30.75" customHeight="1" x14ac:dyDescent="0.2">
      <c r="A108" s="42"/>
      <c r="B108" s="43"/>
      <c r="C108" s="44"/>
    </row>
    <row r="109" spans="1:3" ht="30.75" customHeight="1" x14ac:dyDescent="0.2">
      <c r="A109" s="42"/>
      <c r="B109" s="43"/>
      <c r="C109" s="44"/>
    </row>
    <row r="110" spans="1:3" ht="30.75" customHeight="1" x14ac:dyDescent="0.2">
      <c r="A110" s="42"/>
      <c r="B110" s="43"/>
      <c r="C110" s="44"/>
    </row>
    <row r="111" spans="1:3" ht="30.75" customHeight="1" x14ac:dyDescent="0.2">
      <c r="A111" s="42"/>
      <c r="B111" s="43"/>
      <c r="C111" s="44"/>
    </row>
    <row r="112" spans="1:3" ht="30.75" customHeight="1" x14ac:dyDescent="0.2">
      <c r="A112" s="42"/>
      <c r="B112" s="43"/>
      <c r="C112" s="44"/>
    </row>
    <row r="113" spans="1:3" ht="30.75" customHeight="1" x14ac:dyDescent="0.2">
      <c r="A113" s="42"/>
      <c r="B113" s="43"/>
      <c r="C113" s="44"/>
    </row>
    <row r="114" spans="1:3" ht="30.75" customHeight="1" x14ac:dyDescent="0.2">
      <c r="A114" s="42"/>
      <c r="B114" s="43"/>
      <c r="C114" s="44"/>
    </row>
    <row r="115" spans="1:3" ht="30.75" customHeight="1" x14ac:dyDescent="0.2">
      <c r="A115" s="42"/>
      <c r="B115" s="43"/>
      <c r="C115" s="44"/>
    </row>
    <row r="116" spans="1:3" ht="30.75" customHeight="1" x14ac:dyDescent="0.2">
      <c r="A116" s="42"/>
      <c r="B116" s="43"/>
      <c r="C116" s="44"/>
    </row>
    <row r="117" spans="1:3" ht="30.75" customHeight="1" x14ac:dyDescent="0.2">
      <c r="A117" s="42"/>
      <c r="B117" s="43"/>
      <c r="C117" s="44"/>
    </row>
    <row r="118" spans="1:3" ht="30.75" customHeight="1" x14ac:dyDescent="0.2">
      <c r="A118" s="42"/>
      <c r="B118" s="43"/>
      <c r="C118" s="44"/>
    </row>
    <row r="119" spans="1:3" ht="30.75" customHeight="1" x14ac:dyDescent="0.2">
      <c r="A119" s="42"/>
      <c r="B119" s="43"/>
      <c r="C119" s="44"/>
    </row>
    <row r="120" spans="1:3" ht="30.75" customHeight="1" x14ac:dyDescent="0.2">
      <c r="A120" s="42"/>
      <c r="B120" s="43"/>
      <c r="C120" s="44"/>
    </row>
    <row r="121" spans="1:3" ht="30.75" customHeight="1" x14ac:dyDescent="0.2">
      <c r="A121" s="42"/>
      <c r="B121" s="43"/>
      <c r="C121" s="44"/>
    </row>
    <row r="122" spans="1:3" ht="30.75" customHeight="1" x14ac:dyDescent="0.2">
      <c r="A122" s="42"/>
      <c r="B122" s="43"/>
      <c r="C122" s="44"/>
    </row>
    <row r="123" spans="1:3" ht="30.75" customHeight="1" x14ac:dyDescent="0.2">
      <c r="A123" s="42"/>
      <c r="B123" s="43"/>
      <c r="C123" s="44"/>
    </row>
    <row r="124" spans="1:3" ht="30.75" customHeight="1" x14ac:dyDescent="0.2">
      <c r="A124" s="42"/>
      <c r="B124" s="43"/>
      <c r="C124" s="44"/>
    </row>
    <row r="125" spans="1:3" ht="30.75" customHeight="1" x14ac:dyDescent="0.2">
      <c r="A125" s="42"/>
      <c r="B125" s="43"/>
      <c r="C125" s="44"/>
    </row>
    <row r="126" spans="1:3" ht="30.75" customHeight="1" x14ac:dyDescent="0.2">
      <c r="A126" s="42"/>
      <c r="B126" s="43"/>
      <c r="C126" s="44"/>
    </row>
    <row r="127" spans="1:3" ht="30.75" customHeight="1" x14ac:dyDescent="0.2">
      <c r="A127" s="42"/>
      <c r="B127" s="43"/>
      <c r="C127" s="44"/>
    </row>
    <row r="128" spans="1:3" ht="30.75" customHeight="1" x14ac:dyDescent="0.2">
      <c r="A128" s="42"/>
      <c r="B128" s="43"/>
      <c r="C128" s="44"/>
    </row>
    <row r="129" spans="1:3" ht="30.75" customHeight="1" x14ac:dyDescent="0.2">
      <c r="A129" s="42"/>
      <c r="B129" s="43"/>
      <c r="C129" s="44"/>
    </row>
    <row r="130" spans="1:3" ht="30.75" customHeight="1" x14ac:dyDescent="0.2">
      <c r="A130" s="42"/>
      <c r="B130" s="43"/>
      <c r="C130" s="44"/>
    </row>
    <row r="131" spans="1:3" ht="30.75" customHeight="1" x14ac:dyDescent="0.2">
      <c r="A131" s="42"/>
      <c r="B131" s="43"/>
      <c r="C131" s="44"/>
    </row>
    <row r="132" spans="1:3" ht="30.75" customHeight="1" x14ac:dyDescent="0.2">
      <c r="A132" s="42"/>
      <c r="B132" s="43"/>
      <c r="C132" s="44"/>
    </row>
    <row r="133" spans="1:3" ht="30.75" customHeight="1" x14ac:dyDescent="0.2">
      <c r="A133" s="42"/>
      <c r="B133" s="43"/>
      <c r="C133" s="44"/>
    </row>
    <row r="134" spans="1:3" ht="30.75" customHeight="1" x14ac:dyDescent="0.2">
      <c r="A134" s="42"/>
      <c r="B134" s="43"/>
      <c r="C134" s="44"/>
    </row>
    <row r="135" spans="1:3" ht="30.75" customHeight="1" x14ac:dyDescent="0.2">
      <c r="A135" s="42"/>
      <c r="B135" s="43"/>
      <c r="C135" s="44"/>
    </row>
    <row r="136" spans="1:3" ht="30.75" customHeight="1" x14ac:dyDescent="0.2">
      <c r="A136" s="42"/>
      <c r="B136" s="43"/>
      <c r="C136" s="44"/>
    </row>
    <row r="137" spans="1:3" ht="30.75" customHeight="1" x14ac:dyDescent="0.2">
      <c r="A137" s="42"/>
      <c r="B137" s="43"/>
      <c r="C137" s="44"/>
    </row>
    <row r="138" spans="1:3" ht="30.75" customHeight="1" x14ac:dyDescent="0.2">
      <c r="A138" s="42"/>
      <c r="B138" s="43"/>
      <c r="C138" s="44"/>
    </row>
    <row r="139" spans="1:3" ht="30.75" customHeight="1" x14ac:dyDescent="0.2">
      <c r="A139" s="42"/>
      <c r="B139" s="43"/>
      <c r="C139" s="44"/>
    </row>
    <row r="140" spans="1:3" ht="30.75" customHeight="1" x14ac:dyDescent="0.2">
      <c r="A140" s="42"/>
      <c r="B140" s="43"/>
      <c r="C140" s="44"/>
    </row>
    <row r="141" spans="1:3" ht="30.75" customHeight="1" x14ac:dyDescent="0.2">
      <c r="A141" s="42"/>
      <c r="B141" s="43"/>
      <c r="C141" s="44"/>
    </row>
    <row r="142" spans="1:3" ht="30.75" customHeight="1" x14ac:dyDescent="0.2">
      <c r="A142" s="42"/>
      <c r="B142" s="43"/>
      <c r="C142" s="44"/>
    </row>
    <row r="143" spans="1:3" ht="30.75" customHeight="1" x14ac:dyDescent="0.2">
      <c r="A143" s="42"/>
      <c r="B143" s="43"/>
      <c r="C143" s="44"/>
    </row>
    <row r="144" spans="1:3" ht="30.75" customHeight="1" x14ac:dyDescent="0.2">
      <c r="A144" s="42"/>
      <c r="B144" s="43"/>
      <c r="C144" s="44"/>
    </row>
    <row r="145" spans="1:3" ht="30.75" customHeight="1" x14ac:dyDescent="0.2">
      <c r="A145" s="42"/>
      <c r="B145" s="43"/>
      <c r="C145" s="44"/>
    </row>
    <row r="146" spans="1:3" ht="30.75" customHeight="1" x14ac:dyDescent="0.2">
      <c r="A146" s="42"/>
      <c r="B146" s="43"/>
      <c r="C146" s="44"/>
    </row>
    <row r="147" spans="1:3" ht="30.75" customHeight="1" x14ac:dyDescent="0.2">
      <c r="A147" s="42"/>
      <c r="B147" s="43"/>
      <c r="C147" s="44"/>
    </row>
    <row r="148" spans="1:3" ht="30.75" customHeight="1" x14ac:dyDescent="0.2">
      <c r="A148" s="42"/>
      <c r="B148" s="43"/>
      <c r="C148" s="44"/>
    </row>
    <row r="149" spans="1:3" ht="30.75" customHeight="1" x14ac:dyDescent="0.2">
      <c r="A149" s="42"/>
      <c r="B149" s="43"/>
      <c r="C149" s="44"/>
    </row>
    <row r="150" spans="1:3" ht="30.75" customHeight="1" x14ac:dyDescent="0.2">
      <c r="A150" s="42"/>
      <c r="B150" s="43"/>
      <c r="C150" s="44"/>
    </row>
    <row r="151" spans="1:3" ht="30.75" customHeight="1" x14ac:dyDescent="0.2">
      <c r="A151" s="42"/>
      <c r="B151" s="43"/>
      <c r="C151" s="44"/>
    </row>
    <row r="152" spans="1:3" ht="30.75" customHeight="1" x14ac:dyDescent="0.2">
      <c r="A152" s="42"/>
      <c r="B152" s="43"/>
      <c r="C152" s="44"/>
    </row>
    <row r="153" spans="1:3" ht="30.75" customHeight="1" x14ac:dyDescent="0.2">
      <c r="A153" s="42"/>
      <c r="B153" s="43"/>
      <c r="C153" s="44"/>
    </row>
    <row r="154" spans="1:3" ht="30.75" customHeight="1" x14ac:dyDescent="0.2">
      <c r="A154" s="42"/>
      <c r="B154" s="43"/>
      <c r="C154" s="44"/>
    </row>
    <row r="155" spans="1:3" ht="30.75" customHeight="1" x14ac:dyDescent="0.2">
      <c r="A155" s="42"/>
      <c r="B155" s="43"/>
      <c r="C155" s="44"/>
    </row>
    <row r="156" spans="1:3" ht="30.75" customHeight="1" x14ac:dyDescent="0.2">
      <c r="A156" s="42"/>
      <c r="B156" s="43"/>
      <c r="C156" s="44"/>
    </row>
    <row r="157" spans="1:3" ht="30.75" customHeight="1" x14ac:dyDescent="0.2">
      <c r="A157" s="42"/>
      <c r="B157" s="43"/>
      <c r="C157" s="44"/>
    </row>
    <row r="158" spans="1:3" ht="30.75" customHeight="1" x14ac:dyDescent="0.2">
      <c r="A158" s="42"/>
      <c r="B158" s="43"/>
      <c r="C158" s="44"/>
    </row>
    <row r="159" spans="1:3" ht="30.75" customHeight="1" x14ac:dyDescent="0.2">
      <c r="A159" s="42"/>
      <c r="B159" s="43"/>
      <c r="C159" s="44"/>
    </row>
    <row r="160" spans="1:3" ht="30.75" customHeight="1" x14ac:dyDescent="0.2">
      <c r="A160" s="42"/>
      <c r="B160" s="43"/>
      <c r="C160" s="44"/>
    </row>
    <row r="161" spans="1:3" ht="30.75" customHeight="1" x14ac:dyDescent="0.2">
      <c r="A161" s="42"/>
      <c r="B161" s="43"/>
      <c r="C161" s="44"/>
    </row>
    <row r="162" spans="1:3" ht="30.75" customHeight="1" x14ac:dyDescent="0.2">
      <c r="A162" s="42"/>
      <c r="B162" s="43"/>
      <c r="C162" s="44"/>
    </row>
    <row r="163" spans="1:3" ht="30.75" customHeight="1" x14ac:dyDescent="0.2">
      <c r="A163" s="42"/>
      <c r="B163" s="43"/>
      <c r="C163" s="44"/>
    </row>
    <row r="164" spans="1:3" ht="30.75" customHeight="1" x14ac:dyDescent="0.2">
      <c r="A164" s="42"/>
      <c r="B164" s="43"/>
      <c r="C164" s="44"/>
    </row>
    <row r="165" spans="1:3" ht="30.75" customHeight="1" x14ac:dyDescent="0.2">
      <c r="A165" s="42"/>
      <c r="B165" s="43"/>
      <c r="C165" s="44"/>
    </row>
    <row r="166" spans="1:3" ht="30.75" customHeight="1" x14ac:dyDescent="0.2">
      <c r="A166" s="42"/>
      <c r="B166" s="43"/>
      <c r="C166" s="44"/>
    </row>
    <row r="167" spans="1:3" ht="30.75" customHeight="1" x14ac:dyDescent="0.2">
      <c r="A167" s="42"/>
      <c r="B167" s="43"/>
      <c r="C167" s="44"/>
    </row>
    <row r="168" spans="1:3" ht="30.75" customHeight="1" x14ac:dyDescent="0.2">
      <c r="A168" s="42"/>
      <c r="B168" s="43"/>
      <c r="C168" s="44"/>
    </row>
    <row r="169" spans="1:3" ht="30.75" customHeight="1" x14ac:dyDescent="0.2">
      <c r="A169" s="42"/>
      <c r="B169" s="43"/>
      <c r="C169" s="44"/>
    </row>
    <row r="170" spans="1:3" ht="30.75" customHeight="1" x14ac:dyDescent="0.2">
      <c r="A170" s="42"/>
      <c r="B170" s="43"/>
      <c r="C170" s="44"/>
    </row>
    <row r="171" spans="1:3" ht="30.75" customHeight="1" x14ac:dyDescent="0.2">
      <c r="A171" s="42"/>
      <c r="B171" s="43"/>
      <c r="C171" s="44"/>
    </row>
    <row r="172" spans="1:3" ht="30.75" customHeight="1" x14ac:dyDescent="0.2">
      <c r="A172" s="42"/>
      <c r="B172" s="43"/>
      <c r="C172" s="44"/>
    </row>
    <row r="173" spans="1:3" ht="30.75" customHeight="1" x14ac:dyDescent="0.2">
      <c r="A173" s="42"/>
      <c r="B173" s="43"/>
      <c r="C173" s="44"/>
    </row>
    <row r="174" spans="1:3" ht="30.75" customHeight="1" x14ac:dyDescent="0.2">
      <c r="A174" s="42"/>
      <c r="B174" s="43"/>
      <c r="C174" s="44"/>
    </row>
    <row r="175" spans="1:3" ht="30.75" customHeight="1" x14ac:dyDescent="0.2">
      <c r="A175" s="42"/>
      <c r="B175" s="43"/>
      <c r="C175" s="44"/>
    </row>
    <row r="176" spans="1:3" ht="30.75" customHeight="1" x14ac:dyDescent="0.2">
      <c r="A176" s="42"/>
      <c r="B176" s="43"/>
      <c r="C176" s="44"/>
    </row>
    <row r="177" spans="1:3" ht="30.75" customHeight="1" x14ac:dyDescent="0.2">
      <c r="A177" s="42"/>
      <c r="B177" s="43"/>
      <c r="C177" s="44"/>
    </row>
    <row r="178" spans="1:3" ht="30.75" customHeight="1" x14ac:dyDescent="0.2">
      <c r="A178" s="42"/>
      <c r="B178" s="43"/>
      <c r="C178" s="44"/>
    </row>
    <row r="179" spans="1:3" ht="30.75" customHeight="1" x14ac:dyDescent="0.2">
      <c r="A179" s="42"/>
      <c r="B179" s="43"/>
      <c r="C179" s="44"/>
    </row>
    <row r="180" spans="1:3" ht="30.75" customHeight="1" x14ac:dyDescent="0.2">
      <c r="A180" s="42"/>
      <c r="B180" s="43"/>
      <c r="C180" s="44"/>
    </row>
    <row r="181" spans="1:3" ht="30.75" customHeight="1" x14ac:dyDescent="0.2">
      <c r="A181" s="42"/>
      <c r="B181" s="43"/>
      <c r="C181" s="44"/>
    </row>
    <row r="182" spans="1:3" ht="30.75" customHeight="1" x14ac:dyDescent="0.2">
      <c r="A182" s="42"/>
      <c r="B182" s="43"/>
      <c r="C182" s="44"/>
    </row>
    <row r="183" spans="1:3" ht="30.75" customHeight="1" x14ac:dyDescent="0.2">
      <c r="A183" s="42"/>
      <c r="B183" s="43"/>
      <c r="C183" s="44"/>
    </row>
    <row r="184" spans="1:3" ht="30.75" customHeight="1" x14ac:dyDescent="0.2">
      <c r="A184" s="42"/>
      <c r="B184" s="43"/>
      <c r="C184" s="44"/>
    </row>
    <row r="185" spans="1:3" ht="30.75" customHeight="1" x14ac:dyDescent="0.2">
      <c r="A185" s="42"/>
      <c r="B185" s="43"/>
      <c r="C185" s="44"/>
    </row>
    <row r="186" spans="1:3" ht="30.75" customHeight="1" x14ac:dyDescent="0.2">
      <c r="A186" s="42"/>
      <c r="B186" s="43"/>
      <c r="C186" s="44"/>
    </row>
    <row r="187" spans="1:3" ht="30.75" customHeight="1" x14ac:dyDescent="0.2">
      <c r="A187" s="42"/>
      <c r="B187" s="43"/>
      <c r="C187" s="44"/>
    </row>
    <row r="188" spans="1:3" ht="30.75" customHeight="1" x14ac:dyDescent="0.2">
      <c r="A188" s="42"/>
      <c r="B188" s="43"/>
      <c r="C188" s="44"/>
    </row>
    <row r="189" spans="1:3" ht="30.75" customHeight="1" x14ac:dyDescent="0.2">
      <c r="A189" s="42"/>
      <c r="B189" s="43"/>
      <c r="C189" s="44"/>
    </row>
    <row r="190" spans="1:3" ht="30.75" customHeight="1" x14ac:dyDescent="0.2">
      <c r="A190" s="42"/>
      <c r="B190" s="43"/>
      <c r="C190" s="44"/>
    </row>
    <row r="191" spans="1:3" ht="30.75" customHeight="1" x14ac:dyDescent="0.2">
      <c r="A191" s="42"/>
      <c r="B191" s="43"/>
      <c r="C191" s="44"/>
    </row>
    <row r="192" spans="1:3" ht="30.75" customHeight="1" x14ac:dyDescent="0.2">
      <c r="A192" s="42"/>
      <c r="B192" s="43"/>
      <c r="C192" s="44"/>
    </row>
    <row r="193" spans="1:3" ht="30.75" customHeight="1" x14ac:dyDescent="0.2">
      <c r="A193" s="42"/>
      <c r="B193" s="43"/>
      <c r="C193" s="44"/>
    </row>
    <row r="194" spans="1:3" ht="30.75" customHeight="1" x14ac:dyDescent="0.2">
      <c r="A194" s="42"/>
      <c r="B194" s="43"/>
      <c r="C194" s="44"/>
    </row>
    <row r="195" spans="1:3" ht="30.75" customHeight="1" x14ac:dyDescent="0.2">
      <c r="A195" s="42"/>
      <c r="B195" s="43"/>
      <c r="C195" s="44"/>
    </row>
    <row r="196" spans="1:3" ht="30.75" customHeight="1" x14ac:dyDescent="0.2">
      <c r="A196" s="42"/>
      <c r="B196" s="43"/>
      <c r="C196" s="44"/>
    </row>
    <row r="197" spans="1:3" ht="30.75" customHeight="1" x14ac:dyDescent="0.2">
      <c r="A197" s="42"/>
      <c r="B197" s="43"/>
      <c r="C197" s="44"/>
    </row>
  </sheetData>
  <sheetProtection selectLockedCells="1" selectUnlockedCells="1"/>
  <mergeCells count="36">
    <mergeCell ref="C63:D63"/>
    <mergeCell ref="C65:D65"/>
    <mergeCell ref="C66:D66"/>
    <mergeCell ref="C67:D67"/>
    <mergeCell ref="C68:D68"/>
    <mergeCell ref="C69:D69"/>
    <mergeCell ref="C56:D56"/>
    <mergeCell ref="C57:D57"/>
    <mergeCell ref="C58:D58"/>
    <mergeCell ref="C59:D59"/>
    <mergeCell ref="C60:D60"/>
    <mergeCell ref="C61:D61"/>
    <mergeCell ref="C45:D45"/>
    <mergeCell ref="C46:D46"/>
    <mergeCell ref="C47:D47"/>
    <mergeCell ref="C53:D53"/>
    <mergeCell ref="C54:D54"/>
    <mergeCell ref="C55:D55"/>
    <mergeCell ref="C29:D29"/>
    <mergeCell ref="C34:D34"/>
    <mergeCell ref="C36:D36"/>
    <mergeCell ref="C38:D38"/>
    <mergeCell ref="C39:D39"/>
    <mergeCell ref="C43:D43"/>
    <mergeCell ref="C12:D12"/>
    <mergeCell ref="C17:D17"/>
    <mergeCell ref="C19:D19"/>
    <mergeCell ref="C21:D21"/>
    <mergeCell ref="C23:D23"/>
    <mergeCell ref="C26:D26"/>
    <mergeCell ref="A4:D4"/>
    <mergeCell ref="A5:D5"/>
    <mergeCell ref="C8:D8"/>
    <mergeCell ref="C9:D9"/>
    <mergeCell ref="C10:D10"/>
    <mergeCell ref="C11:D11"/>
  </mergeCells>
  <pageMargins left="0.39374999999999999" right="0.39374999999999999" top="0.39374999999999999" bottom="0.78749999999999998" header="0.51180555555555551" footer="0.39374999999999999"/>
  <pageSetup paperSize="9" firstPageNumber="0" fitToHeight="0" orientation="portrait" horizontalDpi="300" verticalDpi="300"/>
  <headerFooter alignWithMargins="0">
    <oddFooter>&amp;C&amp;8&amp;F - Feuille &amp;A - page &amp;P /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203"/>
  <sheetViews>
    <sheetView zoomScale="70" zoomScaleNormal="70" workbookViewId="0">
      <selection activeCell="C61" sqref="C61"/>
    </sheetView>
  </sheetViews>
  <sheetFormatPr baseColWidth="10" defaultRowHeight="15" customHeight="1" x14ac:dyDescent="0.2"/>
  <cols>
    <col min="1" max="1" width="2.42578125" style="677" customWidth="1"/>
    <col min="2" max="2" width="7.5703125" style="459" customWidth="1"/>
    <col min="3" max="3" width="9.140625" style="459" customWidth="1"/>
    <col min="4" max="4" width="1.85546875" style="534" customWidth="1"/>
    <col min="5" max="5" width="33" style="673" customWidth="1"/>
    <col min="6" max="6" width="10.42578125" style="534" customWidth="1"/>
    <col min="7" max="7" width="11.85546875" style="534" customWidth="1"/>
    <col min="8" max="8" width="1.5703125" style="459" customWidth="1"/>
    <col min="9" max="9" width="34.5703125" style="459" customWidth="1"/>
    <col min="10" max="10" width="9.42578125" style="459" customWidth="1"/>
    <col min="11" max="11" width="13" style="459" customWidth="1"/>
    <col min="12" max="12" width="10.5703125" style="459" customWidth="1"/>
    <col min="13" max="13" width="11.42578125" style="459"/>
    <col min="14" max="14" width="6.28515625" style="459" customWidth="1"/>
    <col min="15" max="15" width="6" style="459" customWidth="1"/>
    <col min="16" max="16384" width="11.42578125" style="459"/>
  </cols>
  <sheetData>
    <row r="2" spans="1:16" ht="18" x14ac:dyDescent="0.2">
      <c r="E2" s="675"/>
      <c r="G2" s="500"/>
    </row>
    <row r="3" spans="1:16" ht="12" x14ac:dyDescent="0.2"/>
    <row r="4" spans="1:16" ht="23.25" customHeight="1" x14ac:dyDescent="0.2">
      <c r="B4" s="1558" t="s">
        <v>797</v>
      </c>
      <c r="C4" s="1558"/>
      <c r="F4" s="556"/>
      <c r="I4" s="676"/>
      <c r="K4" s="677" t="s">
        <v>652</v>
      </c>
      <c r="L4" s="993">
        <f>DATEVER</f>
        <v>41760</v>
      </c>
      <c r="P4" s="679"/>
    </row>
    <row r="5" spans="1:16" ht="18" x14ac:dyDescent="0.2">
      <c r="B5" s="1558"/>
      <c r="C5" s="1558"/>
      <c r="E5" s="680" t="str">
        <f>IF(EXP&lt;&gt;"",EXP,"")</f>
        <v>EARL BEL EPI</v>
      </c>
      <c r="F5" s="994" t="s">
        <v>653</v>
      </c>
      <c r="G5" s="995" t="s">
        <v>798</v>
      </c>
      <c r="I5" s="996"/>
      <c r="J5" s="997"/>
      <c r="K5" s="997"/>
      <c r="L5" s="998" t="s">
        <v>798</v>
      </c>
    </row>
    <row r="6" spans="1:16" ht="26.25" customHeight="1" x14ac:dyDescent="0.2">
      <c r="B6" s="1558"/>
      <c r="C6" s="1558"/>
      <c r="E6" s="687"/>
      <c r="F6" s="999" t="str">
        <f>"RESULTAT  "&amp;CAMP</f>
        <v>RESULTAT  2013</v>
      </c>
      <c r="G6" s="1000">
        <v>2011</v>
      </c>
      <c r="I6" s="695"/>
      <c r="J6" s="679"/>
      <c r="K6" s="1001"/>
    </row>
    <row r="7" spans="1:16" ht="16.5" customHeight="1" x14ac:dyDescent="0.2">
      <c r="B7" s="1558"/>
      <c r="C7" s="1558"/>
      <c r="E7" s="463" t="s">
        <v>799</v>
      </c>
      <c r="F7" s="577"/>
      <c r="G7" s="577"/>
    </row>
    <row r="8" spans="1:16" ht="3" customHeight="1" x14ac:dyDescent="0.2">
      <c r="E8" s="463"/>
      <c r="F8" s="577"/>
      <c r="G8" s="577"/>
    </row>
    <row r="9" spans="1:16" s="49" customFormat="1" ht="15.75" customHeight="1" x14ac:dyDescent="0.2">
      <c r="A9" s="677"/>
      <c r="D9" s="847"/>
      <c r="E9" s="697" t="s">
        <v>661</v>
      </c>
      <c r="F9" s="698">
        <f>F40+F35+F10</f>
        <v>507.97336340857942</v>
      </c>
      <c r="G9" s="698">
        <f>G40+G35+G10</f>
        <v>507.97336340857942</v>
      </c>
      <c r="I9" s="1002" t="s">
        <v>800</v>
      </c>
      <c r="J9" s="1003" t="s">
        <v>801</v>
      </c>
      <c r="K9" s="1004" t="s">
        <v>798</v>
      </c>
      <c r="L9" s="1005" t="s">
        <v>802</v>
      </c>
    </row>
    <row r="10" spans="1:16" s="501" customFormat="1" ht="15" customHeight="1" x14ac:dyDescent="0.2">
      <c r="A10" s="1006"/>
      <c r="B10" s="1007" t="s">
        <v>803</v>
      </c>
      <c r="C10" s="1007" t="s">
        <v>804</v>
      </c>
      <c r="D10" s="554"/>
      <c r="E10" s="1008" t="s">
        <v>760</v>
      </c>
      <c r="F10" s="1009">
        <f>F11+F14+F18+F21+F26+F30</f>
        <v>367.77406210861744</v>
      </c>
      <c r="G10" s="1009">
        <f>G11+G14+G18+G21+G26+G30</f>
        <v>367.77406210861744</v>
      </c>
      <c r="I10" s="1010" t="s">
        <v>805</v>
      </c>
      <c r="J10" s="1011">
        <f>CAMP</f>
        <v>2013</v>
      </c>
      <c r="K10" s="1012">
        <f>G6</f>
        <v>2011</v>
      </c>
      <c r="L10" s="1013" t="str">
        <f>CAMP&amp;"/"&amp;G6</f>
        <v>2013/2011</v>
      </c>
      <c r="N10" s="459"/>
    </row>
    <row r="11" spans="1:16" s="501" customFormat="1" ht="12.75" x14ac:dyDescent="0.2">
      <c r="A11" s="1006"/>
      <c r="D11" s="554"/>
      <c r="E11" s="704" t="s">
        <v>762</v>
      </c>
      <c r="F11" s="705">
        <f>F12+F13</f>
        <v>126.70355318350227</v>
      </c>
      <c r="G11" s="705">
        <f>G12+G13</f>
        <v>126.70355318350227</v>
      </c>
      <c r="I11" s="733"/>
      <c r="J11" s="1014"/>
      <c r="K11" s="1014"/>
      <c r="L11" s="1015"/>
      <c r="N11" s="459"/>
    </row>
    <row r="12" spans="1:16" s="501" customFormat="1" ht="12.75" x14ac:dyDescent="0.2">
      <c r="A12" s="1006" t="s">
        <v>316</v>
      </c>
      <c r="B12" s="1016"/>
      <c r="C12" s="1016"/>
      <c r="D12" s="1017"/>
      <c r="E12" s="452" t="s">
        <v>764</v>
      </c>
      <c r="F12" s="712">
        <f>'Edition éleveur'!B11</f>
        <v>117.23982220481267</v>
      </c>
      <c r="G12" s="713">
        <f>F12*(1+B12)*(1+C12)</f>
        <v>117.23982220481267</v>
      </c>
      <c r="I12" s="1018" t="s">
        <v>676</v>
      </c>
      <c r="J12" s="1019">
        <f>SUM(J14:J20)</f>
        <v>507.97336340857942</v>
      </c>
      <c r="K12" s="1019">
        <f>SUM(K14:K20)</f>
        <v>507.97336340857942</v>
      </c>
      <c r="L12" s="1020">
        <f>(K12-J12)/J12</f>
        <v>0</v>
      </c>
      <c r="N12" s="459"/>
    </row>
    <row r="13" spans="1:16" s="501" customFormat="1" ht="12.75" x14ac:dyDescent="0.2">
      <c r="A13" s="1006" t="s">
        <v>316</v>
      </c>
      <c r="B13" s="1016"/>
      <c r="C13" s="1016"/>
      <c r="D13" s="1017"/>
      <c r="E13" s="452" t="s">
        <v>183</v>
      </c>
      <c r="F13" s="712">
        <f>'Edition éleveur'!B12</f>
        <v>9.463730978689604</v>
      </c>
      <c r="G13" s="713">
        <f>F13*(1+B13)*(1+C13)</f>
        <v>9.463730978689604</v>
      </c>
      <c r="I13" s="1021"/>
      <c r="J13" s="1022"/>
      <c r="K13" s="1022"/>
      <c r="L13" s="1023"/>
      <c r="N13" s="459"/>
    </row>
    <row r="14" spans="1:16" s="501" customFormat="1" ht="12.75" x14ac:dyDescent="0.2">
      <c r="A14" s="1006"/>
      <c r="B14" s="459"/>
      <c r="C14" s="459"/>
      <c r="D14" s="1017"/>
      <c r="E14" s="704" t="s">
        <v>666</v>
      </c>
      <c r="F14" s="705">
        <f>F15+F16+F17</f>
        <v>22.063590744275356</v>
      </c>
      <c r="G14" s="705">
        <f>G15+G16+G17</f>
        <v>22.063590744275356</v>
      </c>
      <c r="I14" s="780" t="s">
        <v>689</v>
      </c>
      <c r="J14" s="1024">
        <f>F11+F14</f>
        <v>148.76714392777762</v>
      </c>
      <c r="K14" s="1025">
        <f>G11+G14</f>
        <v>148.76714392777762</v>
      </c>
      <c r="L14" s="1026">
        <f t="shared" ref="L14:L20" si="0">(K14-J14)/J14</f>
        <v>0</v>
      </c>
      <c r="N14" s="459"/>
    </row>
    <row r="15" spans="1:16" s="501" customFormat="1" ht="12.75" x14ac:dyDescent="0.2">
      <c r="A15" s="1006" t="s">
        <v>316</v>
      </c>
      <c r="B15" s="1016"/>
      <c r="C15" s="1016"/>
      <c r="D15" s="1017"/>
      <c r="E15" s="452" t="s">
        <v>187</v>
      </c>
      <c r="F15" s="712">
        <f>'Edition éleveur'!B14</f>
        <v>10.93904789076894</v>
      </c>
      <c r="G15" s="713">
        <f>F15*(1+B15)*(1+C15)</f>
        <v>10.93904789076894</v>
      </c>
      <c r="I15" s="780" t="s">
        <v>609</v>
      </c>
      <c r="J15" s="926">
        <f>F18</f>
        <v>37.116377504665223</v>
      </c>
      <c r="K15" s="1027">
        <f>G18</f>
        <v>37.116377504665223</v>
      </c>
      <c r="L15" s="1026">
        <f t="shared" si="0"/>
        <v>0</v>
      </c>
      <c r="N15" s="459"/>
    </row>
    <row r="16" spans="1:16" s="49" customFormat="1" ht="12.75" x14ac:dyDescent="0.2">
      <c r="A16" s="677" t="s">
        <v>316</v>
      </c>
      <c r="B16" s="1016"/>
      <c r="C16" s="1016"/>
      <c r="D16" s="1017"/>
      <c r="E16" s="452" t="s">
        <v>191</v>
      </c>
      <c r="F16" s="712">
        <f>'Edition éleveur'!B15</f>
        <v>4.5584139277039251</v>
      </c>
      <c r="G16" s="713">
        <f>F16*(1+B16)*(1+C16)</f>
        <v>4.5584139277039251</v>
      </c>
      <c r="I16" s="780" t="s">
        <v>686</v>
      </c>
      <c r="J16" s="1024">
        <f>F21+F36</f>
        <v>90.335057409451039</v>
      </c>
      <c r="K16" s="1025">
        <f>G21+G36</f>
        <v>90.335057409451039</v>
      </c>
      <c r="L16" s="1026">
        <f t="shared" si="0"/>
        <v>0</v>
      </c>
    </row>
    <row r="17" spans="1:15" s="501" customFormat="1" ht="12.75" x14ac:dyDescent="0.2">
      <c r="A17" s="1006" t="s">
        <v>316</v>
      </c>
      <c r="B17" s="1016"/>
      <c r="C17" s="1016"/>
      <c r="D17" s="1017"/>
      <c r="E17" s="452" t="s">
        <v>193</v>
      </c>
      <c r="F17" s="712">
        <f>'Edition éleveur'!B16</f>
        <v>6.5661289258024915</v>
      </c>
      <c r="G17" s="713">
        <f>F17*(1+B17)*(1+C17)</f>
        <v>6.5661289258024915</v>
      </c>
      <c r="H17" s="459"/>
      <c r="I17" s="780" t="s">
        <v>684</v>
      </c>
      <c r="J17" s="1024">
        <f>F26+F37</f>
        <v>47.992455824106081</v>
      </c>
      <c r="K17" s="1025">
        <f>G26+G37</f>
        <v>47.992455824106081</v>
      </c>
      <c r="L17" s="1026">
        <f t="shared" si="0"/>
        <v>0</v>
      </c>
      <c r="N17" s="459"/>
    </row>
    <row r="18" spans="1:15" ht="12.75" x14ac:dyDescent="0.2">
      <c r="D18" s="1017"/>
      <c r="E18" s="704" t="s">
        <v>609</v>
      </c>
      <c r="F18" s="705">
        <f>F19+F20</f>
        <v>37.116377504665223</v>
      </c>
      <c r="G18" s="705">
        <f>G19+G20</f>
        <v>37.116377504665223</v>
      </c>
      <c r="I18" s="780" t="s">
        <v>230</v>
      </c>
      <c r="J18" s="1024">
        <f>F31</f>
        <v>23.720496644378152</v>
      </c>
      <c r="K18" s="1025">
        <f>G31</f>
        <v>23.720496644378152</v>
      </c>
      <c r="L18" s="1026">
        <f t="shared" si="0"/>
        <v>0</v>
      </c>
      <c r="O18" s="501"/>
    </row>
    <row r="19" spans="1:15" ht="12.75" x14ac:dyDescent="0.2">
      <c r="A19" s="677" t="s">
        <v>316</v>
      </c>
      <c r="B19" s="1016"/>
      <c r="C19" s="1016"/>
      <c r="D19" s="1017"/>
      <c r="E19" s="452" t="s">
        <v>196</v>
      </c>
      <c r="F19" s="712">
        <f>'Edition éleveur'!B18</f>
        <v>7.1746451440913575</v>
      </c>
      <c r="G19" s="713">
        <f>F19*(1+B19)*(1+C19)</f>
        <v>7.1746451440913575</v>
      </c>
      <c r="I19" s="780" t="s">
        <v>681</v>
      </c>
      <c r="J19" s="926">
        <f>F41+F42+F32+F34</f>
        <v>35.913940666328557</v>
      </c>
      <c r="K19" s="1025">
        <f>G41+G42+G32+G34</f>
        <v>35.913940666328557</v>
      </c>
      <c r="L19" s="1026">
        <f t="shared" si="0"/>
        <v>0</v>
      </c>
      <c r="O19" s="501"/>
    </row>
    <row r="20" spans="1:15" ht="12.75" x14ac:dyDescent="0.2">
      <c r="A20" s="677" t="s">
        <v>316</v>
      </c>
      <c r="B20" s="1016"/>
      <c r="C20" s="1016"/>
      <c r="D20" s="1017"/>
      <c r="E20" s="452" t="s">
        <v>200</v>
      </c>
      <c r="F20" s="712">
        <f>'Edition éleveur'!B19</f>
        <v>29.941732360573866</v>
      </c>
      <c r="G20" s="713">
        <f>F20*(1+B20)*(1+C20)</f>
        <v>29.941732360573866</v>
      </c>
      <c r="I20" s="780" t="s">
        <v>679</v>
      </c>
      <c r="J20" s="1024">
        <f>F43+F33</f>
        <v>124.12789143187277</v>
      </c>
      <c r="K20" s="1025">
        <f>G43+G33</f>
        <v>124.12789143187277</v>
      </c>
      <c r="L20" s="1026">
        <f t="shared" si="0"/>
        <v>0</v>
      </c>
      <c r="O20" s="501"/>
    </row>
    <row r="21" spans="1:15" ht="12.75" x14ac:dyDescent="0.2">
      <c r="D21" s="1017"/>
      <c r="E21" s="704" t="s">
        <v>806</v>
      </c>
      <c r="F21" s="705">
        <f>F22+F23+F24+F25</f>
        <v>60.759283054818411</v>
      </c>
      <c r="G21" s="705">
        <f>G22+G23+G24+G25</f>
        <v>60.759283054818411</v>
      </c>
      <c r="I21" s="731"/>
      <c r="J21" s="1028"/>
      <c r="K21" s="1029"/>
      <c r="L21" s="1030"/>
      <c r="O21" s="501"/>
    </row>
    <row r="22" spans="1:15" ht="12.75" x14ac:dyDescent="0.2">
      <c r="A22" s="677" t="s">
        <v>316</v>
      </c>
      <c r="B22" s="1016"/>
      <c r="C22" s="1016"/>
      <c r="D22" s="1017"/>
      <c r="E22" s="452" t="s">
        <v>261</v>
      </c>
      <c r="F22" s="712">
        <f>'Edition éleveur'!B23</f>
        <v>26.088478989799853</v>
      </c>
      <c r="G22" s="713">
        <f>F22*(1+B22)*(1+C22)</f>
        <v>26.088478989799853</v>
      </c>
      <c r="I22" s="1018" t="s">
        <v>692</v>
      </c>
      <c r="J22" s="1019">
        <f>SUM(J24:J26)</f>
        <v>442.21983675570965</v>
      </c>
      <c r="K22" s="1019">
        <f>SUM(K24:K26)</f>
        <v>442.21983675570965</v>
      </c>
      <c r="L22" s="1020">
        <f>(K22-J22)/J22</f>
        <v>0</v>
      </c>
      <c r="O22" s="501"/>
    </row>
    <row r="23" spans="1:15" ht="12.75" x14ac:dyDescent="0.2">
      <c r="A23" s="677" t="s">
        <v>316</v>
      </c>
      <c r="B23" s="1016"/>
      <c r="C23" s="1016"/>
      <c r="D23" s="1017"/>
      <c r="E23" s="452" t="s">
        <v>216</v>
      </c>
      <c r="F23" s="712">
        <f>'Edition éleveur'!B24</f>
        <v>17.604217967760945</v>
      </c>
      <c r="G23" s="713">
        <f>F23*(1+B23)*(1+C23)</f>
        <v>17.604217967760945</v>
      </c>
      <c r="I23" s="1021"/>
      <c r="J23" s="1022"/>
      <c r="K23" s="1022"/>
      <c r="L23" s="1023"/>
    </row>
    <row r="24" spans="1:15" ht="12.75" x14ac:dyDescent="0.2">
      <c r="A24" s="677" t="s">
        <v>316</v>
      </c>
      <c r="B24" s="1016"/>
      <c r="C24" s="1016"/>
      <c r="D24" s="1017"/>
      <c r="E24" s="452" t="s">
        <v>218</v>
      </c>
      <c r="F24" s="712">
        <f>'Edition éleveur'!B25</f>
        <v>15.002939925517646</v>
      </c>
      <c r="G24" s="713">
        <f>F24*(1+B24)*(1+C24)</f>
        <v>15.002939925517646</v>
      </c>
      <c r="I24" s="780" t="s">
        <v>429</v>
      </c>
      <c r="J24" s="926">
        <f>F47</f>
        <v>358.92000000000007</v>
      </c>
      <c r="K24" s="1027">
        <f>G47</f>
        <v>358.92000000000007</v>
      </c>
      <c r="L24" s="1026">
        <f>(K24-J24)/J24</f>
        <v>0</v>
      </c>
    </row>
    <row r="25" spans="1:15" ht="12.75" x14ac:dyDescent="0.2">
      <c r="A25" s="677" t="s">
        <v>316</v>
      </c>
      <c r="B25" s="1016"/>
      <c r="C25" s="1016"/>
      <c r="D25" s="1017"/>
      <c r="E25" s="452" t="s">
        <v>770</v>
      </c>
      <c r="F25" s="712">
        <f>'Edition éleveur'!B26</f>
        <v>2.063646171739971</v>
      </c>
      <c r="G25" s="713">
        <f>F25*(1+B25)*(1+C25)</f>
        <v>2.063646171739971</v>
      </c>
      <c r="I25" s="780" t="s">
        <v>807</v>
      </c>
      <c r="J25" s="926">
        <f>F48+F50</f>
        <v>57.199172038233733</v>
      </c>
      <c r="K25" s="1027">
        <f>G48+G50</f>
        <v>57.199172038233733</v>
      </c>
      <c r="L25" s="1026">
        <f>(K25-J25)/J25</f>
        <v>0</v>
      </c>
    </row>
    <row r="26" spans="1:15" ht="12.75" x14ac:dyDescent="0.2">
      <c r="D26" s="1017"/>
      <c r="E26" s="704" t="s">
        <v>808</v>
      </c>
      <c r="F26" s="705">
        <f>F27+F28+F29</f>
        <v>10.506750392521319</v>
      </c>
      <c r="G26" s="705">
        <f>G27+G28+G29</f>
        <v>10.506750392521319</v>
      </c>
      <c r="I26" s="780" t="s">
        <v>809</v>
      </c>
      <c r="J26" s="926">
        <f>SUM(F51:F53)</f>
        <v>26.100664717475865</v>
      </c>
      <c r="K26" s="1027">
        <f>SUM(G51:G53)</f>
        <v>26.100664717475865</v>
      </c>
      <c r="L26" s="1026">
        <f>(K26-J26)/J26</f>
        <v>0</v>
      </c>
    </row>
    <row r="27" spans="1:15" ht="12.95" customHeight="1" x14ac:dyDescent="0.2">
      <c r="A27" s="677" t="s">
        <v>316</v>
      </c>
      <c r="B27" s="1016"/>
      <c r="C27" s="1016"/>
      <c r="D27" s="1017"/>
      <c r="E27" s="452" t="s">
        <v>223</v>
      </c>
      <c r="F27" s="712">
        <f>'Edition éleveur'!B30</f>
        <v>3.3035211320583859</v>
      </c>
      <c r="G27" s="713">
        <f>F27*(1+B27)*(1+C27)</f>
        <v>3.3035211320583859</v>
      </c>
      <c r="I27" s="731"/>
      <c r="J27" s="731"/>
      <c r="K27" s="731"/>
      <c r="L27" s="731"/>
      <c r="M27" s="45"/>
    </row>
    <row r="28" spans="1:15" ht="12.75" customHeight="1" x14ac:dyDescent="0.2">
      <c r="A28" s="677" t="s">
        <v>316</v>
      </c>
      <c r="B28" s="1016"/>
      <c r="C28" s="1016"/>
      <c r="D28" s="1017"/>
      <c r="E28" s="452" t="s">
        <v>224</v>
      </c>
      <c r="F28" s="712">
        <f>'Edition éleveur'!B31</f>
        <v>7.2032292604629324</v>
      </c>
      <c r="G28" s="713">
        <f>F28*(1+B28)*(1+C28)</f>
        <v>7.2032292604629324</v>
      </c>
      <c r="I28" s="1559" t="s">
        <v>810</v>
      </c>
      <c r="J28" s="1559"/>
      <c r="K28" s="1559"/>
      <c r="L28" s="1559"/>
    </row>
    <row r="29" spans="1:15" ht="12.75" x14ac:dyDescent="0.2">
      <c r="A29" s="677" t="s">
        <v>316</v>
      </c>
      <c r="B29" s="1016"/>
      <c r="C29" s="1016"/>
      <c r="D29" s="1017"/>
      <c r="E29" s="452" t="s">
        <v>227</v>
      </c>
      <c r="F29" s="712">
        <f>'Edition éleveur'!B32</f>
        <v>0</v>
      </c>
      <c r="G29" s="713">
        <f>F29*(1+B29)*(1+C29)</f>
        <v>0</v>
      </c>
      <c r="I29" s="1559"/>
      <c r="J29" s="1559"/>
      <c r="K29" s="1559"/>
      <c r="L29" s="1559"/>
      <c r="M29" s="49"/>
    </row>
    <row r="30" spans="1:15" ht="12.75" x14ac:dyDescent="0.2">
      <c r="D30" s="1017"/>
      <c r="E30" s="704" t="s">
        <v>612</v>
      </c>
      <c r="F30" s="705">
        <f>F31+F32+F33+F34</f>
        <v>110.6245072288349</v>
      </c>
      <c r="G30" s="705">
        <f>G31+G32+G33+G34</f>
        <v>110.6245072288349</v>
      </c>
      <c r="I30" s="929"/>
      <c r="J30" s="731"/>
      <c r="K30" s="731"/>
      <c r="L30" s="930"/>
      <c r="M30" s="49"/>
    </row>
    <row r="31" spans="1:15" ht="12.75" x14ac:dyDescent="0.2">
      <c r="A31" s="677" t="s">
        <v>316</v>
      </c>
      <c r="B31" s="1016"/>
      <c r="C31" s="1016"/>
      <c r="D31" s="1017"/>
      <c r="E31" s="452" t="s">
        <v>230</v>
      </c>
      <c r="F31" s="712">
        <f>'Edition éleveur'!B35</f>
        <v>23.720496644378152</v>
      </c>
      <c r="G31" s="713">
        <f>F31*(1+B31)*(1+C31)</f>
        <v>23.720496644378152</v>
      </c>
      <c r="I31" s="929"/>
      <c r="J31" s="731"/>
      <c r="K31" s="731"/>
      <c r="L31" s="930"/>
      <c r="M31" s="49"/>
    </row>
    <row r="32" spans="1:15" ht="12.75" x14ac:dyDescent="0.2">
      <c r="A32" s="677" t="s">
        <v>316</v>
      </c>
      <c r="B32" s="1016"/>
      <c r="C32" s="1016"/>
      <c r="D32" s="1017"/>
      <c r="E32" s="452" t="s">
        <v>811</v>
      </c>
      <c r="F32" s="712">
        <f>'Edition éleveur'!B38</f>
        <v>10.938069901761029</v>
      </c>
      <c r="G32" s="713">
        <f>F32*(1+B32)*(1+C32)</f>
        <v>10.938069901761029</v>
      </c>
      <c r="I32" s="1031"/>
      <c r="J32" s="731"/>
      <c r="K32" s="731"/>
      <c r="L32" s="930"/>
      <c r="M32" s="49"/>
    </row>
    <row r="33" spans="1:13" ht="12.75" x14ac:dyDescent="0.2">
      <c r="A33" s="677" t="s">
        <v>316</v>
      </c>
      <c r="B33" s="1016"/>
      <c r="C33" s="1016"/>
      <c r="D33" s="1017"/>
      <c r="E33" s="452" t="s">
        <v>236</v>
      </c>
      <c r="F33" s="712">
        <f>'Edition éleveur'!B44</f>
        <v>56.174949871095322</v>
      </c>
      <c r="G33" s="713">
        <f>F33*(1+B33)*(1+C33)</f>
        <v>56.174949871095322</v>
      </c>
      <c r="I33" s="1031"/>
      <c r="J33" s="731"/>
      <c r="K33" s="731"/>
      <c r="L33" s="930"/>
      <c r="M33" s="49"/>
    </row>
    <row r="34" spans="1:13" ht="12.75" x14ac:dyDescent="0.2">
      <c r="A34" s="677" t="s">
        <v>316</v>
      </c>
      <c r="B34" s="1016"/>
      <c r="C34" s="1016"/>
      <c r="D34" s="1017"/>
      <c r="E34" s="452" t="s">
        <v>239</v>
      </c>
      <c r="F34" s="712">
        <f>'Edition éleveur'!B41</f>
        <v>19.790990811600391</v>
      </c>
      <c r="G34" s="713">
        <f>F34*(1+B34)*(1+C34)</f>
        <v>19.790990811600391</v>
      </c>
      <c r="I34" s="1031"/>
      <c r="J34" s="731"/>
      <c r="K34" s="731"/>
      <c r="L34" s="930"/>
      <c r="M34" s="49"/>
    </row>
    <row r="35" spans="1:13" x14ac:dyDescent="0.2">
      <c r="D35" s="1017"/>
      <c r="E35" s="1008" t="s">
        <v>774</v>
      </c>
      <c r="F35" s="1009">
        <f>F36+F37</f>
        <v>67.06147978621739</v>
      </c>
      <c r="G35" s="1009">
        <f>G36+G37</f>
        <v>67.06147978621739</v>
      </c>
      <c r="I35" s="1032"/>
      <c r="J35" s="679"/>
      <c r="K35" s="679"/>
      <c r="L35" s="925"/>
      <c r="M35" s="1033"/>
    </row>
    <row r="36" spans="1:13" ht="14.25" x14ac:dyDescent="0.2">
      <c r="A36" s="677" t="s">
        <v>316</v>
      </c>
      <c r="B36" s="1016"/>
      <c r="C36" s="1016"/>
      <c r="D36" s="1017"/>
      <c r="E36" s="452" t="s">
        <v>615</v>
      </c>
      <c r="F36" s="926">
        <f>'Edition éleveur'!B28</f>
        <v>29.575774354632625</v>
      </c>
      <c r="G36" s="860">
        <f>F36*(1+B36)*(1+C36)</f>
        <v>29.575774354632625</v>
      </c>
      <c r="I36" s="1034"/>
      <c r="J36" s="1035"/>
      <c r="K36" s="1035"/>
      <c r="L36" s="1036"/>
      <c r="M36" s="45"/>
    </row>
    <row r="37" spans="1:13" ht="14.25" x14ac:dyDescent="0.2">
      <c r="A37" s="677" t="s">
        <v>316</v>
      </c>
      <c r="B37" s="1016"/>
      <c r="C37" s="1016"/>
      <c r="D37" s="1017"/>
      <c r="E37" s="452" t="s">
        <v>684</v>
      </c>
      <c r="F37" s="926">
        <f>'Edition éleveur'!B33</f>
        <v>37.485705431584762</v>
      </c>
      <c r="G37" s="860">
        <f>F37*(1+B37)*(1+C37)</f>
        <v>37.485705431584762</v>
      </c>
      <c r="I37" s="1037"/>
      <c r="J37" s="1038"/>
      <c r="K37" s="1038"/>
      <c r="L37" s="1039"/>
    </row>
    <row r="38" spans="1:13" ht="14.25" x14ac:dyDescent="0.2">
      <c r="A38" s="677" t="s">
        <v>316</v>
      </c>
      <c r="B38" s="1016"/>
      <c r="C38" s="1016"/>
      <c r="D38" s="1017"/>
      <c r="E38" s="452" t="s">
        <v>775</v>
      </c>
      <c r="F38" s="926">
        <f>'Edition éleveur'!B40</f>
        <v>0</v>
      </c>
      <c r="G38" s="860">
        <f>F38*(1+B38)*(1+C38)</f>
        <v>0</v>
      </c>
      <c r="I38" s="1037"/>
      <c r="J38" s="1038"/>
      <c r="K38" s="1038"/>
      <c r="L38" s="1039"/>
    </row>
    <row r="39" spans="1:13" ht="14.25" x14ac:dyDescent="0.2">
      <c r="A39" s="677" t="s">
        <v>316</v>
      </c>
      <c r="B39" s="1016"/>
      <c r="C39" s="1016"/>
      <c r="D39" s="1017"/>
      <c r="E39" s="452" t="s">
        <v>415</v>
      </c>
      <c r="F39" s="926">
        <f>'Edition éleveur'!B36</f>
        <v>0</v>
      </c>
      <c r="G39" s="860">
        <f>F39*(1+B39)*(1+C39)</f>
        <v>0</v>
      </c>
      <c r="I39" s="1037"/>
      <c r="J39" s="1038"/>
      <c r="K39" s="1038"/>
      <c r="L39" s="1039"/>
    </row>
    <row r="40" spans="1:13" ht="14.25" x14ac:dyDescent="0.2">
      <c r="D40" s="1017"/>
      <c r="E40" s="1008" t="s">
        <v>776</v>
      </c>
      <c r="F40" s="1009">
        <f>F41+F42+F43</f>
        <v>73.137821513744584</v>
      </c>
      <c r="G40" s="1009">
        <f>G41+G42+G43</f>
        <v>73.137821513744584</v>
      </c>
      <c r="I40" s="1037"/>
      <c r="J40" s="1038"/>
      <c r="K40" s="1038"/>
      <c r="L40" s="1039"/>
    </row>
    <row r="41" spans="1:13" ht="14.25" x14ac:dyDescent="0.2">
      <c r="A41" s="677" t="s">
        <v>316</v>
      </c>
      <c r="B41" s="1016"/>
      <c r="C41" s="1016"/>
      <c r="D41" s="1017"/>
      <c r="E41" s="452" t="s">
        <v>618</v>
      </c>
      <c r="F41" s="926">
        <f>'Edition éleveur'!B39</f>
        <v>0</v>
      </c>
      <c r="G41" s="860">
        <f>F41*(1+B41)*(1+C41)</f>
        <v>0</v>
      </c>
      <c r="I41" s="1037"/>
      <c r="J41" s="1038"/>
      <c r="K41" s="1038"/>
      <c r="L41" s="1039"/>
      <c r="M41" s="731"/>
    </row>
    <row r="42" spans="1:13" ht="14.25" x14ac:dyDescent="0.2">
      <c r="A42" s="677" t="s">
        <v>316</v>
      </c>
      <c r="B42" s="1016"/>
      <c r="C42" s="1016"/>
      <c r="D42" s="1017"/>
      <c r="E42" s="452" t="s">
        <v>619</v>
      </c>
      <c r="F42" s="926">
        <f>'Edition éleveur'!B42</f>
        <v>5.1848799529671394</v>
      </c>
      <c r="G42" s="860">
        <f>F42*(1+B42)*(1+C42)</f>
        <v>5.1848799529671394</v>
      </c>
      <c r="I42" s="1037"/>
      <c r="J42" s="1038"/>
      <c r="K42" s="1038"/>
      <c r="L42" s="1039"/>
    </row>
    <row r="43" spans="1:13" ht="14.25" x14ac:dyDescent="0.2">
      <c r="A43" s="677" t="s">
        <v>316</v>
      </c>
      <c r="B43" s="1016"/>
      <c r="C43" s="1040"/>
      <c r="D43" s="1017"/>
      <c r="E43" s="452" t="s">
        <v>812</v>
      </c>
      <c r="F43" s="926">
        <f>'Edition éleveur'!B45</f>
        <v>67.952941560777447</v>
      </c>
      <c r="G43" s="860">
        <f>F43*(1+B43)*(1+C43)</f>
        <v>67.952941560777447</v>
      </c>
      <c r="I43" s="1037"/>
      <c r="J43" s="1038"/>
      <c r="K43" s="1038"/>
      <c r="L43" s="1039"/>
    </row>
    <row r="44" spans="1:13" s="49" customFormat="1" ht="14.25" x14ac:dyDescent="0.2">
      <c r="A44" s="677" t="s">
        <v>316</v>
      </c>
      <c r="B44" s="1016"/>
      <c r="C44" s="1016"/>
      <c r="D44" s="1017"/>
      <c r="E44" s="790" t="s">
        <v>712</v>
      </c>
      <c r="F44" s="1041">
        <f>MSABL/LCB</f>
        <v>21.707996735666537</v>
      </c>
      <c r="G44" s="1041">
        <f>F44*(1+B44)*(1+C44)</f>
        <v>21.707996735666537</v>
      </c>
      <c r="I44" s="1037"/>
      <c r="J44" s="1038"/>
      <c r="K44" s="1038"/>
      <c r="L44" s="1039"/>
      <c r="M44" s="1033"/>
    </row>
    <row r="45" spans="1:13" s="45" customFormat="1" ht="13.5" customHeight="1" x14ac:dyDescent="0.2">
      <c r="A45" s="677"/>
      <c r="B45" s="1017"/>
      <c r="C45" s="1017"/>
      <c r="D45" s="56"/>
      <c r="E45" s="1042"/>
      <c r="F45" s="1043"/>
      <c r="G45" s="1043"/>
      <c r="I45" s="1044"/>
      <c r="J45" s="935"/>
      <c r="K45" s="935"/>
      <c r="L45" s="936"/>
      <c r="M45" s="25"/>
    </row>
    <row r="46" spans="1:13" s="45" customFormat="1" ht="13.5" customHeight="1" x14ac:dyDescent="0.2">
      <c r="A46" s="677"/>
      <c r="B46" s="1045" t="s">
        <v>813</v>
      </c>
      <c r="C46" s="1046"/>
      <c r="D46" s="56"/>
      <c r="E46" s="697" t="s">
        <v>713</v>
      </c>
      <c r="F46" s="698">
        <f>F47+F48+F51+F52+F53+F50</f>
        <v>442.21983675570965</v>
      </c>
      <c r="G46" s="698">
        <f>G47+G48+G51+G52+G53+G50</f>
        <v>442.21983675570965</v>
      </c>
      <c r="M46" s="25"/>
    </row>
    <row r="47" spans="1:13" ht="12.75" x14ac:dyDescent="0.2">
      <c r="A47" s="677" t="s">
        <v>316</v>
      </c>
      <c r="B47" s="1047"/>
      <c r="C47" s="1016"/>
      <c r="D47" s="1017"/>
      <c r="E47" s="452" t="s">
        <v>778</v>
      </c>
      <c r="F47" s="926">
        <f>'Edition éleveur'!B49</f>
        <v>358.92000000000007</v>
      </c>
      <c r="G47" s="860">
        <f>F47+B47</f>
        <v>358.92000000000007</v>
      </c>
      <c r="I47" s="45"/>
      <c r="J47" s="45"/>
      <c r="K47" s="45"/>
      <c r="L47" s="45"/>
      <c r="M47" s="20"/>
    </row>
    <row r="48" spans="1:13" s="49" customFormat="1" ht="13.5" x14ac:dyDescent="0.2">
      <c r="A48" s="677" t="s">
        <v>316</v>
      </c>
      <c r="B48" s="1016"/>
      <c r="C48" s="1016"/>
      <c r="D48" s="1017"/>
      <c r="E48" s="1048" t="s">
        <v>779</v>
      </c>
      <c r="F48" s="1049">
        <f>'Edition éleveur'!B50</f>
        <v>44.884035972514653</v>
      </c>
      <c r="G48" s="1050">
        <f>F48*(1+B48)*(1+C48)+(F49-G49)</f>
        <v>44.884035972514653</v>
      </c>
      <c r="I48" s="1560" t="s">
        <v>814</v>
      </c>
      <c r="J48" s="1560"/>
      <c r="K48" s="1560"/>
      <c r="L48" s="1560"/>
      <c r="M48" s="459"/>
    </row>
    <row r="49" spans="1:13" s="49" customFormat="1" ht="13.5" customHeight="1" x14ac:dyDescent="0.2">
      <c r="A49" s="677" t="s">
        <v>316</v>
      </c>
      <c r="B49" s="1016"/>
      <c r="C49" s="1016"/>
      <c r="D49" s="1017"/>
      <c r="E49" s="1051" t="s">
        <v>815</v>
      </c>
      <c r="F49" s="1052">
        <f>'Edition éleveur'!B51</f>
        <v>0</v>
      </c>
      <c r="G49" s="1053">
        <f>F49*(1+B49)*(1+C49)</f>
        <v>0</v>
      </c>
      <c r="I49" s="746" t="s">
        <v>780</v>
      </c>
      <c r="J49" s="809">
        <f>F46</f>
        <v>442.21983675570965</v>
      </c>
      <c r="K49" s="1054">
        <f>G46</f>
        <v>442.21983675570965</v>
      </c>
      <c r="L49" s="1055">
        <f t="shared" ref="L49:L55" si="1">(K49-J49)/J49</f>
        <v>0</v>
      </c>
    </row>
    <row r="50" spans="1:13" s="49" customFormat="1" ht="12" customHeight="1" x14ac:dyDescent="0.2">
      <c r="A50" s="677" t="s">
        <v>316</v>
      </c>
      <c r="B50" s="1016"/>
      <c r="C50" s="1016"/>
      <c r="D50" s="1017"/>
      <c r="E50" s="452" t="s">
        <v>717</v>
      </c>
      <c r="F50" s="926">
        <f>'Edition éleveur'!B52</f>
        <v>12.315136065719081</v>
      </c>
      <c r="G50" s="1050">
        <f>F50*(1+B50)*(1+C50)</f>
        <v>12.315136065719081</v>
      </c>
      <c r="I50" s="928" t="s">
        <v>631</v>
      </c>
      <c r="J50" s="1056">
        <f>F11+F14+F18</f>
        <v>185.88352143244285</v>
      </c>
      <c r="K50" s="1057">
        <f>G11+G14+G18</f>
        <v>185.88352143244285</v>
      </c>
      <c r="L50" s="1058">
        <f t="shared" si="1"/>
        <v>0</v>
      </c>
    </row>
    <row r="51" spans="1:13" s="49" customFormat="1" ht="12.75" x14ac:dyDescent="0.2">
      <c r="A51" s="677" t="s">
        <v>316</v>
      </c>
      <c r="B51" s="1016"/>
      <c r="C51" s="1016"/>
      <c r="D51" s="1017"/>
      <c r="E51" s="1048" t="s">
        <v>816</v>
      </c>
      <c r="F51" s="1049">
        <f>'Edition éleveur'!B54</f>
        <v>0</v>
      </c>
      <c r="G51" s="1050">
        <f>F51*(1+B51)*(1+C51)</f>
        <v>0</v>
      </c>
      <c r="I51" s="88" t="s">
        <v>817</v>
      </c>
      <c r="J51" s="1056">
        <f>F21+F26+F30-F34+(IF+MSABL)/LCB</f>
        <v>183.80754660024078</v>
      </c>
      <c r="K51" s="1057">
        <f>G21+G26+G30-G34+G44+IF/LCB</f>
        <v>183.80754660024078</v>
      </c>
      <c r="L51" s="1058">
        <f t="shared" si="1"/>
        <v>0</v>
      </c>
    </row>
    <row r="52" spans="1:13" s="49" customFormat="1" ht="12.75" x14ac:dyDescent="0.2">
      <c r="A52" s="677" t="s">
        <v>316</v>
      </c>
      <c r="B52" s="1016"/>
      <c r="C52" s="1016"/>
      <c r="D52" s="1017"/>
      <c r="E52" s="452" t="s">
        <v>818</v>
      </c>
      <c r="F52" s="926">
        <f>'Edition éleveur'!B56</f>
        <v>0</v>
      </c>
      <c r="G52" s="860">
        <f>F52*(1+B52)*(1+C52)</f>
        <v>0</v>
      </c>
      <c r="I52" s="831" t="s">
        <v>819</v>
      </c>
      <c r="J52" s="747">
        <f>J49-J50-J51</f>
        <v>72.528768723026047</v>
      </c>
      <c r="K52" s="748">
        <f>K49-K50-K51</f>
        <v>72.528768723026047</v>
      </c>
      <c r="L52" s="1058">
        <f t="shared" si="1"/>
        <v>0</v>
      </c>
    </row>
    <row r="53" spans="1:13" s="49" customFormat="1" ht="15" customHeight="1" x14ac:dyDescent="0.2">
      <c r="A53" s="677" t="s">
        <v>316</v>
      </c>
      <c r="B53" s="1016"/>
      <c r="C53" s="1016"/>
      <c r="D53" s="1059"/>
      <c r="E53" s="1060" t="s">
        <v>820</v>
      </c>
      <c r="F53" s="915">
        <f>'Edition éleveur'!B55</f>
        <v>26.100664717475865</v>
      </c>
      <c r="G53" s="1061">
        <f>F53*(1+B53)*(1+C53)</f>
        <v>26.100664717475865</v>
      </c>
      <c r="I53" s="928" t="s">
        <v>821</v>
      </c>
      <c r="J53" s="1056">
        <f>'Edition Compléments'!F53</f>
        <v>99.976880995297236</v>
      </c>
      <c r="K53" s="1057">
        <f>J53*(1+B34)*(1+C34)</f>
        <v>99.976880995297236</v>
      </c>
      <c r="L53" s="1058">
        <f t="shared" si="1"/>
        <v>0</v>
      </c>
    </row>
    <row r="54" spans="1:13" s="1033" customFormat="1" ht="14.25" x14ac:dyDescent="0.2">
      <c r="A54" s="677"/>
      <c r="B54" s="677"/>
      <c r="C54" s="677"/>
      <c r="D54" s="847"/>
      <c r="E54" s="1062"/>
      <c r="F54" s="1063"/>
      <c r="G54" s="1064"/>
      <c r="I54" s="831" t="s">
        <v>822</v>
      </c>
      <c r="J54" s="747">
        <f>J52-J53</f>
        <v>-27.448112272271189</v>
      </c>
      <c r="K54" s="748">
        <f>K52-K53</f>
        <v>-27.448112272271189</v>
      </c>
      <c r="L54" s="1058">
        <f t="shared" si="1"/>
        <v>0</v>
      </c>
      <c r="M54" s="49"/>
    </row>
    <row r="55" spans="1:13" s="1033" customFormat="1" ht="25.5" x14ac:dyDescent="0.2">
      <c r="A55" s="1065"/>
      <c r="B55" s="459"/>
      <c r="C55" s="45"/>
      <c r="D55" s="56"/>
      <c r="E55" s="697" t="s">
        <v>788</v>
      </c>
      <c r="F55" s="1066"/>
      <c r="G55" s="1066"/>
      <c r="H55" s="1067"/>
      <c r="I55" s="1068" t="str">
        <f>"Prix de fonctionnement pour  "&amp;J64&amp;" SMIC/UMO expl  (à indiquer en J58)"</f>
        <v>Prix de fonctionnement pour   SMIC/UMO expl  (à indiquer en J58)</v>
      </c>
      <c r="J55" s="1069">
        <f>(J61*SMIC/Cuisine!C44)+(J50+J51+J53-F48-F51-F52-F53-F44-F50)</f>
        <v>432.61305709738218</v>
      </c>
      <c r="K55" s="1070">
        <f>(K61*SMIC/Cuisine!E44)+(K50+K51+K53-G48-G51-G52-G53-G44-G50)</f>
        <v>432.61305709738218</v>
      </c>
      <c r="L55" s="1071">
        <f t="shared" si="1"/>
        <v>0</v>
      </c>
      <c r="M55" s="49"/>
    </row>
    <row r="56" spans="1:13" s="45" customFormat="1" ht="15.75" x14ac:dyDescent="0.2">
      <c r="A56" s="1065"/>
      <c r="B56" s="534"/>
      <c r="C56" s="56"/>
      <c r="D56" s="56"/>
      <c r="E56" s="1072"/>
      <c r="F56" s="1073"/>
      <c r="G56" s="1073"/>
      <c r="I56" s="1074"/>
      <c r="J56" s="1075"/>
      <c r="K56" s="1067"/>
      <c r="L56" s="1067"/>
      <c r="M56" s="49"/>
    </row>
    <row r="57" spans="1:13" ht="12.75" customHeight="1" x14ac:dyDescent="0.2">
      <c r="E57" s="1561" t="s">
        <v>823</v>
      </c>
      <c r="F57" s="1562">
        <f>F46-F9+F43</f>
        <v>2.1994149079076806</v>
      </c>
      <c r="G57" s="1563">
        <f>G46-G9+G43</f>
        <v>2.1994149079076806</v>
      </c>
      <c r="I57" s="1560" t="str">
        <f>"Prix de revient du lait pour n SMIC en "&amp;G6-1&amp;" puis en "&amp;G6</f>
        <v>Prix de revient du lait pour n SMIC en 2010 puis en 2011</v>
      </c>
      <c r="J57" s="1560"/>
      <c r="K57" s="1560"/>
      <c r="L57" s="1560"/>
      <c r="M57" s="49"/>
    </row>
    <row r="58" spans="1:13" ht="12.75" x14ac:dyDescent="0.2">
      <c r="E58" s="1561"/>
      <c r="F58" s="1562"/>
      <c r="G58" s="1563"/>
      <c r="M58" s="49"/>
    </row>
    <row r="59" spans="1:13" ht="12.75" customHeight="1" x14ac:dyDescent="0.2">
      <c r="B59" s="731"/>
      <c r="E59" s="1564" t="s">
        <v>824</v>
      </c>
      <c r="F59" s="1565">
        <f>F57*Cuisine!C44/SMIC</f>
        <v>4.8550103734814318E-2</v>
      </c>
      <c r="G59" s="1566">
        <f>G57*Cuisine!E44/SMIC</f>
        <v>4.8550103734814318E-2</v>
      </c>
      <c r="I59" s="1076" t="s">
        <v>825</v>
      </c>
      <c r="J59" s="1076"/>
      <c r="K59" s="1076"/>
      <c r="L59" s="1076"/>
      <c r="M59" s="49"/>
    </row>
    <row r="60" spans="1:13" ht="12.95" customHeight="1" x14ac:dyDescent="0.2">
      <c r="B60" s="1077" t="s">
        <v>826</v>
      </c>
      <c r="E60" s="1564"/>
      <c r="F60" s="1565"/>
      <c r="G60" s="1566"/>
      <c r="M60" s="49"/>
    </row>
    <row r="61" spans="1:13" s="731" customFormat="1" ht="12.75" customHeight="1" x14ac:dyDescent="0.2">
      <c r="A61" s="1078"/>
      <c r="C61" s="1079"/>
      <c r="D61" s="1017"/>
      <c r="E61" s="1567" t="s">
        <v>827</v>
      </c>
      <c r="F61" s="1568">
        <f>Cuisine!C43</f>
        <v>1.9049053595595189</v>
      </c>
      <c r="G61" s="1569">
        <f>F61+C61</f>
        <v>1.9049053595595189</v>
      </c>
      <c r="I61" s="1570" t="s">
        <v>828</v>
      </c>
      <c r="J61" s="1571">
        <v>1.5</v>
      </c>
      <c r="K61" s="1572">
        <f>J61</f>
        <v>1.5</v>
      </c>
      <c r="L61" s="1573"/>
    </row>
    <row r="62" spans="1:13" s="731" customFormat="1" ht="12.75" x14ac:dyDescent="0.2">
      <c r="A62" s="1078"/>
      <c r="C62" s="679"/>
      <c r="D62" s="1017"/>
      <c r="E62" s="1567"/>
      <c r="F62" s="1568"/>
      <c r="G62" s="1569"/>
      <c r="I62" s="1570"/>
      <c r="J62" s="1571"/>
      <c r="K62" s="1572"/>
      <c r="L62" s="1573"/>
    </row>
    <row r="63" spans="1:13" ht="12.75" customHeight="1" x14ac:dyDescent="0.2">
      <c r="B63" s="731"/>
      <c r="D63" s="1017"/>
      <c r="E63" s="1567" t="s">
        <v>829</v>
      </c>
      <c r="F63" s="1574">
        <f>LCB/F61</f>
        <v>385.9656314736867</v>
      </c>
      <c r="G63" s="1575">
        <f>F63*(1+C47)*F61/G61</f>
        <v>385.9656314736867</v>
      </c>
      <c r="I63" s="1576" t="str">
        <f>"Prix de revient pour "&amp;J61&amp;" SMIC"</f>
        <v>Prix de revient pour 1,5 SMIC</v>
      </c>
      <c r="J63" s="1577">
        <f>$F$9-$F$43+(SMIC*J61/Cuisine!C44)-$F$48-$F$51-$F$52-$F$53-F50</f>
        <v>424.67352665286984</v>
      </c>
      <c r="K63" s="1577">
        <f>$G$9-$G$43+(SMICSIM*K61/Cuisine!E44)-$G$48-$G$51-$G$52-$G$53-G50</f>
        <v>424.67352665286984</v>
      </c>
      <c r="L63" s="1573">
        <f>(K63-J63)/J63</f>
        <v>0</v>
      </c>
      <c r="M63" s="49"/>
    </row>
    <row r="64" spans="1:13" ht="13.5" customHeight="1" x14ac:dyDescent="0.2">
      <c r="B64" s="731"/>
      <c r="D64" s="1017"/>
      <c r="E64" s="1567"/>
      <c r="F64" s="1574"/>
      <c r="G64" s="1575">
        <f>F64*(1+B64)*(1+C64)</f>
        <v>0</v>
      </c>
      <c r="I64" s="1576"/>
      <c r="J64" s="1577"/>
      <c r="K64" s="1577"/>
      <c r="L64" s="1573" t="e">
        <f>(K64-J64)/J64</f>
        <v>#DIV/0!</v>
      </c>
      <c r="M64" s="49"/>
    </row>
    <row r="65" spans="1:13" ht="15" customHeight="1" x14ac:dyDescent="0.2">
      <c r="B65" s="677"/>
      <c r="C65" s="677"/>
      <c r="D65" s="1017"/>
      <c r="E65" s="1080"/>
      <c r="F65" s="1081"/>
      <c r="G65" s="1082"/>
      <c r="I65" s="49"/>
      <c r="J65" s="49"/>
      <c r="K65" s="49"/>
      <c r="L65" s="49"/>
      <c r="M65" s="49"/>
    </row>
    <row r="66" spans="1:13" s="1086" customFormat="1" ht="12.75" customHeight="1" x14ac:dyDescent="0.2">
      <c r="A66" s="1083"/>
      <c r="B66" s="25"/>
      <c r="C66" s="1033"/>
      <c r="D66" s="1067"/>
      <c r="E66" s="1084" t="s">
        <v>830</v>
      </c>
      <c r="F66" s="1085"/>
      <c r="G66" s="1085"/>
      <c r="I66" s="49"/>
      <c r="J66" s="49"/>
      <c r="K66" s="49"/>
      <c r="L66" s="49"/>
      <c r="M66" s="459"/>
    </row>
    <row r="67" spans="1:13" s="45" customFormat="1" ht="12.75" x14ac:dyDescent="0.2">
      <c r="A67" s="9"/>
      <c r="D67" s="56"/>
      <c r="E67" s="1087"/>
      <c r="F67" s="1088"/>
      <c r="G67" s="1088"/>
      <c r="H67" s="731"/>
      <c r="I67" s="459"/>
      <c r="J67" s="459"/>
      <c r="K67" s="459"/>
      <c r="L67" s="459"/>
      <c r="M67" s="459"/>
    </row>
    <row r="68" spans="1:13" s="45" customFormat="1" ht="12" customHeight="1" x14ac:dyDescent="0.2">
      <c r="A68" s="9"/>
      <c r="B68" s="459"/>
      <c r="D68" s="56"/>
      <c r="E68" s="1089" t="s">
        <v>729</v>
      </c>
      <c r="F68" s="733"/>
      <c r="G68" s="733"/>
      <c r="H68" s="1038"/>
      <c r="I68" s="731"/>
      <c r="J68" s="731"/>
      <c r="K68" s="459"/>
      <c r="L68" s="459"/>
      <c r="M68" s="459"/>
    </row>
    <row r="69" spans="1:13" ht="8.25" customHeight="1" x14ac:dyDescent="0.2">
      <c r="A69" s="667"/>
      <c r="E69" s="20"/>
      <c r="F69" s="64"/>
      <c r="G69" s="64"/>
      <c r="H69" s="1090"/>
      <c r="I69" s="1038"/>
      <c r="J69" s="1038"/>
    </row>
    <row r="70" spans="1:13" ht="12.75" x14ac:dyDescent="0.2">
      <c r="A70" s="667"/>
      <c r="E70" s="1091"/>
      <c r="F70" s="1091"/>
      <c r="G70" s="1091"/>
      <c r="H70" s="1091"/>
      <c r="I70" s="1091"/>
      <c r="J70" s="1091"/>
      <c r="K70" s="1091"/>
      <c r="L70" s="1091"/>
    </row>
    <row r="71" spans="1:13" ht="12.75" x14ac:dyDescent="0.2">
      <c r="A71" s="667"/>
      <c r="E71" s="1092"/>
      <c r="F71" s="1092"/>
      <c r="G71" s="1092"/>
      <c r="H71" s="1092"/>
      <c r="I71" s="1092"/>
      <c r="J71" s="1092"/>
      <c r="K71" s="1092"/>
      <c r="L71" s="1092"/>
    </row>
    <row r="72" spans="1:13" ht="12.75" x14ac:dyDescent="0.2">
      <c r="A72" s="667"/>
      <c r="E72" s="1092"/>
      <c r="F72" s="1092"/>
      <c r="G72" s="1092"/>
      <c r="H72" s="1092"/>
      <c r="I72" s="1092"/>
      <c r="J72" s="1092"/>
      <c r="K72" s="1092"/>
      <c r="L72" s="1092"/>
    </row>
    <row r="73" spans="1:13" ht="12.75" x14ac:dyDescent="0.2">
      <c r="A73" s="667"/>
      <c r="E73" s="1092"/>
      <c r="F73" s="1092"/>
      <c r="G73" s="1092"/>
      <c r="H73" s="1092"/>
      <c r="I73" s="1092"/>
      <c r="J73" s="1092"/>
      <c r="K73" s="1092"/>
      <c r="L73" s="1092"/>
    </row>
    <row r="74" spans="1:13" ht="12.75" x14ac:dyDescent="0.2">
      <c r="A74" s="667"/>
      <c r="E74" s="1092"/>
      <c r="F74" s="1092"/>
      <c r="G74" s="1092"/>
      <c r="H74" s="1092"/>
      <c r="I74" s="1092"/>
      <c r="J74" s="1092"/>
      <c r="K74" s="1092"/>
      <c r="L74" s="1092"/>
    </row>
    <row r="75" spans="1:13" ht="12.75" x14ac:dyDescent="0.2">
      <c r="A75" s="667"/>
      <c r="E75" s="1092"/>
      <c r="F75" s="1092"/>
      <c r="G75" s="1092"/>
      <c r="H75" s="1092"/>
      <c r="I75" s="1092"/>
      <c r="J75" s="1092"/>
      <c r="K75" s="1092"/>
      <c r="L75" s="1092"/>
    </row>
    <row r="76" spans="1:13" ht="12" x14ac:dyDescent="0.2">
      <c r="A76" s="667"/>
    </row>
    <row r="77" spans="1:13" ht="12" x14ac:dyDescent="0.2">
      <c r="A77" s="667"/>
    </row>
    <row r="78" spans="1:13" ht="12" x14ac:dyDescent="0.2">
      <c r="A78" s="667"/>
    </row>
    <row r="79" spans="1:13" ht="12" x14ac:dyDescent="0.2">
      <c r="A79" s="667"/>
    </row>
    <row r="80" spans="1:13" ht="12" x14ac:dyDescent="0.2">
      <c r="A80" s="667"/>
    </row>
    <row r="81" spans="1:1" ht="12" x14ac:dyDescent="0.2">
      <c r="A81" s="667"/>
    </row>
    <row r="82" spans="1:1" ht="12" x14ac:dyDescent="0.2">
      <c r="A82" s="667"/>
    </row>
    <row r="83" spans="1:1" ht="12" x14ac:dyDescent="0.2">
      <c r="A83" s="667"/>
    </row>
    <row r="84" spans="1:1" ht="12" x14ac:dyDescent="0.2">
      <c r="A84" s="667"/>
    </row>
    <row r="85" spans="1:1" ht="12" x14ac:dyDescent="0.2">
      <c r="A85" s="667"/>
    </row>
    <row r="86" spans="1:1" ht="12" x14ac:dyDescent="0.2">
      <c r="A86" s="667"/>
    </row>
    <row r="87" spans="1:1" ht="12" x14ac:dyDescent="0.2">
      <c r="A87" s="667"/>
    </row>
    <row r="88" spans="1:1" ht="12" x14ac:dyDescent="0.2">
      <c r="A88" s="667"/>
    </row>
    <row r="89" spans="1:1" ht="12" x14ac:dyDescent="0.2">
      <c r="A89" s="667"/>
    </row>
    <row r="90" spans="1:1" ht="12" x14ac:dyDescent="0.2">
      <c r="A90" s="667"/>
    </row>
    <row r="91" spans="1:1" ht="12" x14ac:dyDescent="0.2">
      <c r="A91" s="667"/>
    </row>
    <row r="92" spans="1:1" ht="12" x14ac:dyDescent="0.2">
      <c r="A92" s="667"/>
    </row>
    <row r="93" spans="1:1" ht="12" x14ac:dyDescent="0.2">
      <c r="A93" s="667"/>
    </row>
    <row r="94" spans="1:1" ht="12" x14ac:dyDescent="0.2">
      <c r="A94" s="667"/>
    </row>
    <row r="95" spans="1:1" ht="12" x14ac:dyDescent="0.2">
      <c r="A95" s="667"/>
    </row>
    <row r="96" spans="1:1" ht="12" x14ac:dyDescent="0.2">
      <c r="A96" s="667"/>
    </row>
    <row r="97" spans="1:12" ht="12" x14ac:dyDescent="0.2">
      <c r="A97" s="667"/>
    </row>
    <row r="98" spans="1:12" ht="12" x14ac:dyDescent="0.2">
      <c r="A98" s="667"/>
    </row>
    <row r="99" spans="1:12" ht="12" x14ac:dyDescent="0.2">
      <c r="A99" s="667"/>
    </row>
    <row r="100" spans="1:12" ht="12" x14ac:dyDescent="0.2">
      <c r="A100" s="667"/>
    </row>
    <row r="101" spans="1:12" ht="12" x14ac:dyDescent="0.2">
      <c r="A101" s="667"/>
    </row>
    <row r="102" spans="1:12" ht="12" x14ac:dyDescent="0.2">
      <c r="A102" s="667"/>
    </row>
    <row r="103" spans="1:12" ht="12" x14ac:dyDescent="0.2">
      <c r="A103" s="667"/>
    </row>
    <row r="104" spans="1:12" ht="12" x14ac:dyDescent="0.2">
      <c r="A104" s="667"/>
    </row>
    <row r="105" spans="1:12" ht="12" x14ac:dyDescent="0.2">
      <c r="A105" s="667"/>
    </row>
    <row r="106" spans="1:12" ht="12" x14ac:dyDescent="0.2">
      <c r="A106" s="667"/>
    </row>
    <row r="107" spans="1:12" ht="12" x14ac:dyDescent="0.2">
      <c r="A107" s="667"/>
    </row>
    <row r="108" spans="1:12" ht="12" x14ac:dyDescent="0.2">
      <c r="A108" s="667"/>
    </row>
    <row r="109" spans="1:12" ht="12" x14ac:dyDescent="0.2">
      <c r="A109" s="667"/>
    </row>
    <row r="110" spans="1:12" ht="12" x14ac:dyDescent="0.2">
      <c r="A110" s="667"/>
    </row>
    <row r="111" spans="1:12" ht="12" x14ac:dyDescent="0.2">
      <c r="A111" s="667"/>
    </row>
    <row r="112" spans="1:12" s="49" customFormat="1" ht="15" customHeight="1" x14ac:dyDescent="0.2">
      <c r="A112" s="667"/>
      <c r="B112" s="459"/>
      <c r="C112" s="459"/>
      <c r="D112" s="534"/>
      <c r="E112" s="673"/>
      <c r="F112" s="534"/>
      <c r="G112" s="534"/>
      <c r="I112" s="459"/>
      <c r="J112" s="459"/>
      <c r="K112" s="459"/>
      <c r="L112" s="459"/>
    </row>
    <row r="113" spans="1:7" s="49" customFormat="1" ht="15" customHeight="1" x14ac:dyDescent="0.2">
      <c r="A113" s="677"/>
      <c r="D113" s="847"/>
      <c r="E113" s="846"/>
      <c r="F113" s="847"/>
      <c r="G113" s="847"/>
    </row>
    <row r="114" spans="1:7" s="49" customFormat="1" ht="15" customHeight="1" x14ac:dyDescent="0.2">
      <c r="A114" s="677"/>
      <c r="D114" s="847"/>
      <c r="E114" s="846"/>
      <c r="F114" s="847"/>
      <c r="G114" s="847"/>
    </row>
    <row r="115" spans="1:7" s="49" customFormat="1" ht="15" customHeight="1" x14ac:dyDescent="0.2">
      <c r="A115" s="677"/>
      <c r="D115" s="847"/>
      <c r="E115" s="846"/>
      <c r="F115" s="847"/>
      <c r="G115" s="847"/>
    </row>
    <row r="116" spans="1:7" s="49" customFormat="1" ht="15" customHeight="1" x14ac:dyDescent="0.2">
      <c r="A116" s="677"/>
      <c r="D116" s="847"/>
      <c r="E116" s="846"/>
      <c r="F116" s="847"/>
      <c r="G116" s="847"/>
    </row>
    <row r="117" spans="1:7" s="49" customFormat="1" ht="15" customHeight="1" x14ac:dyDescent="0.2">
      <c r="A117" s="677"/>
      <c r="D117" s="847"/>
      <c r="E117" s="846"/>
      <c r="F117" s="847"/>
      <c r="G117" s="847"/>
    </row>
    <row r="118" spans="1:7" s="49" customFormat="1" ht="15" customHeight="1" x14ac:dyDescent="0.2">
      <c r="A118" s="677"/>
      <c r="D118" s="847"/>
      <c r="E118" s="846"/>
      <c r="F118" s="847"/>
      <c r="G118" s="847"/>
    </row>
    <row r="119" spans="1:7" s="49" customFormat="1" ht="15" customHeight="1" x14ac:dyDescent="0.2">
      <c r="A119" s="677"/>
      <c r="D119" s="847"/>
      <c r="E119" s="846"/>
      <c r="F119" s="847"/>
      <c r="G119" s="847"/>
    </row>
    <row r="120" spans="1:7" s="49" customFormat="1" ht="15" customHeight="1" x14ac:dyDescent="0.2">
      <c r="A120" s="677"/>
      <c r="D120" s="847"/>
      <c r="E120" s="846"/>
      <c r="F120" s="847"/>
      <c r="G120" s="847"/>
    </row>
    <row r="121" spans="1:7" s="49" customFormat="1" ht="15" customHeight="1" x14ac:dyDescent="0.2">
      <c r="A121" s="677"/>
      <c r="D121" s="847"/>
      <c r="E121" s="846"/>
      <c r="F121" s="847"/>
      <c r="G121" s="847"/>
    </row>
    <row r="122" spans="1:7" s="49" customFormat="1" ht="15" customHeight="1" x14ac:dyDescent="0.2">
      <c r="A122" s="677"/>
      <c r="D122" s="847"/>
      <c r="E122" s="846"/>
      <c r="F122" s="847"/>
      <c r="G122" s="847"/>
    </row>
    <row r="123" spans="1:7" s="49" customFormat="1" ht="15" customHeight="1" x14ac:dyDescent="0.2">
      <c r="A123" s="677"/>
      <c r="D123" s="847"/>
      <c r="E123" s="846"/>
      <c r="F123" s="847"/>
      <c r="G123" s="847"/>
    </row>
    <row r="124" spans="1:7" s="49" customFormat="1" ht="15" customHeight="1" x14ac:dyDescent="0.2">
      <c r="A124" s="677"/>
      <c r="D124" s="847"/>
      <c r="E124" s="846"/>
      <c r="F124" s="847"/>
      <c r="G124" s="847"/>
    </row>
    <row r="125" spans="1:7" s="49" customFormat="1" ht="15" customHeight="1" x14ac:dyDescent="0.2">
      <c r="A125" s="677"/>
      <c r="D125" s="847"/>
      <c r="E125" s="846"/>
      <c r="F125" s="847"/>
      <c r="G125" s="847"/>
    </row>
    <row r="126" spans="1:7" s="49" customFormat="1" ht="15" customHeight="1" x14ac:dyDescent="0.2">
      <c r="A126" s="677"/>
      <c r="D126" s="847"/>
      <c r="E126" s="846"/>
      <c r="F126" s="847"/>
      <c r="G126" s="847"/>
    </row>
    <row r="127" spans="1:7" s="49" customFormat="1" ht="15" customHeight="1" x14ac:dyDescent="0.2">
      <c r="A127" s="677"/>
      <c r="D127" s="847"/>
      <c r="E127" s="846"/>
      <c r="F127" s="847"/>
      <c r="G127" s="847"/>
    </row>
    <row r="128" spans="1:7" s="49" customFormat="1" ht="15" customHeight="1" x14ac:dyDescent="0.2">
      <c r="A128" s="677"/>
      <c r="D128" s="847"/>
      <c r="E128" s="846"/>
      <c r="F128" s="847"/>
      <c r="G128" s="847"/>
    </row>
    <row r="129" spans="1:7" s="49" customFormat="1" ht="15" customHeight="1" x14ac:dyDescent="0.2">
      <c r="A129" s="677"/>
      <c r="D129" s="847"/>
      <c r="E129" s="846"/>
      <c r="F129" s="847"/>
      <c r="G129" s="847"/>
    </row>
    <row r="130" spans="1:7" s="49" customFormat="1" ht="15" customHeight="1" x14ac:dyDescent="0.2">
      <c r="A130" s="677"/>
      <c r="D130" s="847"/>
      <c r="E130" s="846"/>
      <c r="F130" s="847"/>
      <c r="G130" s="847"/>
    </row>
    <row r="131" spans="1:7" s="49" customFormat="1" ht="15" customHeight="1" x14ac:dyDescent="0.2">
      <c r="A131" s="677"/>
      <c r="D131" s="847"/>
      <c r="E131" s="846"/>
      <c r="F131" s="847"/>
      <c r="G131" s="847"/>
    </row>
    <row r="132" spans="1:7" s="49" customFormat="1" ht="15" customHeight="1" x14ac:dyDescent="0.2">
      <c r="A132" s="677"/>
      <c r="D132" s="847"/>
      <c r="E132" s="846"/>
      <c r="F132" s="847"/>
      <c r="G132" s="847"/>
    </row>
    <row r="133" spans="1:7" s="49" customFormat="1" ht="15" customHeight="1" x14ac:dyDescent="0.2">
      <c r="A133" s="677"/>
      <c r="D133" s="847"/>
      <c r="E133" s="846"/>
      <c r="F133" s="847"/>
      <c r="G133" s="847"/>
    </row>
    <row r="134" spans="1:7" s="49" customFormat="1" ht="15" customHeight="1" x14ac:dyDescent="0.2">
      <c r="A134" s="677"/>
      <c r="D134" s="847"/>
      <c r="E134" s="846"/>
      <c r="F134" s="847"/>
      <c r="G134" s="847"/>
    </row>
    <row r="135" spans="1:7" s="49" customFormat="1" ht="15" customHeight="1" x14ac:dyDescent="0.2">
      <c r="A135" s="677"/>
      <c r="D135" s="847"/>
      <c r="E135" s="846"/>
      <c r="F135" s="847"/>
      <c r="G135" s="847"/>
    </row>
    <row r="136" spans="1:7" s="49" customFormat="1" ht="15" customHeight="1" x14ac:dyDescent="0.2">
      <c r="A136" s="677"/>
      <c r="D136" s="847"/>
      <c r="E136" s="846"/>
      <c r="F136" s="847"/>
      <c r="G136" s="847"/>
    </row>
    <row r="137" spans="1:7" s="49" customFormat="1" ht="15" customHeight="1" x14ac:dyDescent="0.2">
      <c r="A137" s="677"/>
      <c r="D137" s="847"/>
      <c r="E137" s="846"/>
      <c r="F137" s="847"/>
      <c r="G137" s="847"/>
    </row>
    <row r="138" spans="1:7" s="49" customFormat="1" ht="15" customHeight="1" x14ac:dyDescent="0.2">
      <c r="A138" s="677"/>
      <c r="D138" s="847"/>
      <c r="E138" s="846"/>
      <c r="F138" s="847"/>
      <c r="G138" s="847"/>
    </row>
    <row r="139" spans="1:7" s="49" customFormat="1" ht="15" customHeight="1" x14ac:dyDescent="0.2">
      <c r="A139" s="677"/>
      <c r="D139" s="847"/>
      <c r="E139" s="846"/>
      <c r="F139" s="847"/>
      <c r="G139" s="847"/>
    </row>
    <row r="140" spans="1:7" s="49" customFormat="1" ht="15" customHeight="1" x14ac:dyDescent="0.2">
      <c r="A140" s="677"/>
      <c r="D140" s="847"/>
      <c r="E140" s="846"/>
      <c r="F140" s="847"/>
      <c r="G140" s="847"/>
    </row>
    <row r="141" spans="1:7" s="49" customFormat="1" ht="15" customHeight="1" x14ac:dyDescent="0.2">
      <c r="A141" s="677"/>
      <c r="D141" s="847"/>
      <c r="E141" s="846"/>
      <c r="F141" s="847"/>
      <c r="G141" s="847"/>
    </row>
    <row r="142" spans="1:7" s="49" customFormat="1" ht="15" customHeight="1" x14ac:dyDescent="0.2">
      <c r="A142" s="677"/>
      <c r="D142" s="847"/>
      <c r="E142" s="846"/>
      <c r="F142" s="847"/>
      <c r="G142" s="847"/>
    </row>
    <row r="143" spans="1:7" s="49" customFormat="1" ht="15" customHeight="1" x14ac:dyDescent="0.2">
      <c r="A143" s="677"/>
      <c r="D143" s="847"/>
      <c r="E143" s="846"/>
      <c r="F143" s="847"/>
      <c r="G143" s="847"/>
    </row>
    <row r="144" spans="1:7" s="49" customFormat="1" ht="15" customHeight="1" x14ac:dyDescent="0.2">
      <c r="A144" s="677"/>
      <c r="D144" s="847"/>
      <c r="E144" s="846"/>
      <c r="F144" s="847"/>
      <c r="G144" s="847"/>
    </row>
    <row r="145" spans="1:7" s="49" customFormat="1" ht="15" customHeight="1" x14ac:dyDescent="0.2">
      <c r="A145" s="677"/>
      <c r="D145" s="847"/>
      <c r="E145" s="846"/>
      <c r="F145" s="847"/>
      <c r="G145" s="847"/>
    </row>
    <row r="146" spans="1:7" s="49" customFormat="1" ht="15" customHeight="1" x14ac:dyDescent="0.2">
      <c r="A146" s="677"/>
      <c r="D146" s="847"/>
      <c r="E146" s="846"/>
      <c r="F146" s="847"/>
      <c r="G146" s="847"/>
    </row>
    <row r="147" spans="1:7" s="49" customFormat="1" ht="15" customHeight="1" x14ac:dyDescent="0.2">
      <c r="A147" s="677"/>
      <c r="D147" s="847"/>
      <c r="E147" s="846"/>
      <c r="F147" s="847"/>
      <c r="G147" s="847"/>
    </row>
    <row r="148" spans="1:7" s="49" customFormat="1" ht="15" customHeight="1" x14ac:dyDescent="0.2">
      <c r="A148" s="677"/>
      <c r="D148" s="847"/>
      <c r="E148" s="846"/>
      <c r="F148" s="847"/>
      <c r="G148" s="847"/>
    </row>
    <row r="149" spans="1:7" s="49" customFormat="1" ht="15" customHeight="1" x14ac:dyDescent="0.2">
      <c r="A149" s="677"/>
      <c r="D149" s="847"/>
      <c r="E149" s="846"/>
      <c r="F149" s="847"/>
      <c r="G149" s="847"/>
    </row>
    <row r="150" spans="1:7" s="49" customFormat="1" ht="15" customHeight="1" x14ac:dyDescent="0.2">
      <c r="A150" s="677"/>
      <c r="D150" s="847"/>
      <c r="E150" s="846"/>
      <c r="F150" s="847"/>
      <c r="G150" s="847"/>
    </row>
    <row r="151" spans="1:7" s="49" customFormat="1" ht="15" customHeight="1" x14ac:dyDescent="0.2">
      <c r="A151" s="677"/>
      <c r="D151" s="847"/>
      <c r="E151" s="846"/>
      <c r="F151" s="847"/>
      <c r="G151" s="847"/>
    </row>
    <row r="152" spans="1:7" s="49" customFormat="1" ht="15" customHeight="1" x14ac:dyDescent="0.2">
      <c r="A152" s="677"/>
      <c r="D152" s="847"/>
      <c r="E152" s="846"/>
      <c r="F152" s="847"/>
      <c r="G152" s="847"/>
    </row>
    <row r="153" spans="1:7" s="49" customFormat="1" ht="15" customHeight="1" x14ac:dyDescent="0.2">
      <c r="A153" s="677"/>
      <c r="D153" s="847"/>
      <c r="E153" s="846"/>
      <c r="F153" s="847"/>
      <c r="G153" s="847"/>
    </row>
    <row r="154" spans="1:7" s="49" customFormat="1" ht="15" customHeight="1" x14ac:dyDescent="0.2">
      <c r="A154" s="677"/>
      <c r="D154" s="847"/>
      <c r="E154" s="846"/>
      <c r="F154" s="847"/>
      <c r="G154" s="847"/>
    </row>
    <row r="155" spans="1:7" s="49" customFormat="1" ht="15" customHeight="1" x14ac:dyDescent="0.2">
      <c r="A155" s="677"/>
      <c r="D155" s="847"/>
      <c r="E155" s="846"/>
      <c r="F155" s="847"/>
      <c r="G155" s="847"/>
    </row>
    <row r="156" spans="1:7" s="49" customFormat="1" ht="15" customHeight="1" x14ac:dyDescent="0.2">
      <c r="A156" s="677"/>
      <c r="D156" s="847"/>
      <c r="E156" s="846"/>
      <c r="F156" s="847"/>
      <c r="G156" s="847"/>
    </row>
    <row r="157" spans="1:7" s="49" customFormat="1" ht="15" customHeight="1" x14ac:dyDescent="0.2">
      <c r="A157" s="677"/>
      <c r="D157" s="847"/>
      <c r="E157" s="846"/>
      <c r="F157" s="847"/>
      <c r="G157" s="847"/>
    </row>
    <row r="158" spans="1:7" s="49" customFormat="1" ht="15" customHeight="1" x14ac:dyDescent="0.2">
      <c r="A158" s="677"/>
      <c r="D158" s="847"/>
      <c r="E158" s="846"/>
      <c r="F158" s="847"/>
      <c r="G158" s="847"/>
    </row>
    <row r="159" spans="1:7" s="49" customFormat="1" ht="15" customHeight="1" x14ac:dyDescent="0.2">
      <c r="A159" s="677"/>
      <c r="D159" s="847"/>
      <c r="E159" s="846"/>
      <c r="F159" s="847"/>
      <c r="G159" s="847"/>
    </row>
    <row r="160" spans="1:7" s="49" customFormat="1" ht="15" customHeight="1" x14ac:dyDescent="0.2">
      <c r="A160" s="677"/>
      <c r="D160" s="847"/>
      <c r="E160" s="846"/>
      <c r="F160" s="847"/>
      <c r="G160" s="847"/>
    </row>
    <row r="161" spans="1:7" s="49" customFormat="1" ht="15" customHeight="1" x14ac:dyDescent="0.2">
      <c r="A161" s="677"/>
      <c r="D161" s="847"/>
      <c r="E161" s="846"/>
      <c r="F161" s="847"/>
      <c r="G161" s="847"/>
    </row>
    <row r="162" spans="1:7" s="49" customFormat="1" ht="15" customHeight="1" x14ac:dyDescent="0.2">
      <c r="A162" s="677"/>
      <c r="D162" s="847"/>
      <c r="E162" s="846"/>
      <c r="F162" s="847"/>
      <c r="G162" s="847"/>
    </row>
    <row r="163" spans="1:7" s="49" customFormat="1" ht="15" customHeight="1" x14ac:dyDescent="0.2">
      <c r="A163" s="677"/>
      <c r="D163" s="847"/>
      <c r="E163" s="846"/>
      <c r="F163" s="847"/>
      <c r="G163" s="847"/>
    </row>
    <row r="164" spans="1:7" s="49" customFormat="1" ht="15" customHeight="1" x14ac:dyDescent="0.2">
      <c r="A164" s="677"/>
      <c r="D164" s="847"/>
      <c r="E164" s="846"/>
      <c r="F164" s="847"/>
      <c r="G164" s="847"/>
    </row>
    <row r="165" spans="1:7" s="49" customFormat="1" ht="15" customHeight="1" x14ac:dyDescent="0.2">
      <c r="A165" s="677"/>
      <c r="D165" s="847"/>
      <c r="E165" s="846"/>
      <c r="F165" s="847"/>
      <c r="G165" s="847"/>
    </row>
    <row r="166" spans="1:7" s="49" customFormat="1" ht="15" customHeight="1" x14ac:dyDescent="0.2">
      <c r="A166" s="677"/>
      <c r="D166" s="847"/>
      <c r="E166" s="846"/>
      <c r="F166" s="847"/>
      <c r="G166" s="847"/>
    </row>
    <row r="167" spans="1:7" s="49" customFormat="1" ht="15" customHeight="1" x14ac:dyDescent="0.2">
      <c r="A167" s="677"/>
      <c r="D167" s="847"/>
      <c r="E167" s="846"/>
      <c r="F167" s="847"/>
      <c r="G167" s="847"/>
    </row>
    <row r="168" spans="1:7" s="49" customFormat="1" ht="15" customHeight="1" x14ac:dyDescent="0.2">
      <c r="A168" s="677"/>
      <c r="D168" s="847"/>
      <c r="E168" s="846"/>
      <c r="F168" s="847"/>
      <c r="G168" s="847"/>
    </row>
    <row r="169" spans="1:7" s="49" customFormat="1" ht="15" customHeight="1" x14ac:dyDescent="0.2">
      <c r="A169" s="677"/>
      <c r="D169" s="847"/>
      <c r="E169" s="846"/>
      <c r="F169" s="847"/>
      <c r="G169" s="847"/>
    </row>
    <row r="170" spans="1:7" s="49" customFormat="1" ht="15" customHeight="1" x14ac:dyDescent="0.2">
      <c r="A170" s="677"/>
      <c r="D170" s="847"/>
      <c r="E170" s="846"/>
      <c r="F170" s="847"/>
      <c r="G170" s="847"/>
    </row>
    <row r="171" spans="1:7" s="49" customFormat="1" ht="15" customHeight="1" x14ac:dyDescent="0.2">
      <c r="A171" s="677"/>
      <c r="D171" s="847"/>
      <c r="E171" s="846"/>
      <c r="F171" s="847"/>
      <c r="G171" s="847"/>
    </row>
    <row r="172" spans="1:7" s="49" customFormat="1" ht="15" customHeight="1" x14ac:dyDescent="0.2">
      <c r="A172" s="677"/>
      <c r="D172" s="847"/>
      <c r="E172" s="846"/>
      <c r="F172" s="847"/>
      <c r="G172" s="847"/>
    </row>
    <row r="173" spans="1:7" s="49" customFormat="1" ht="15" customHeight="1" x14ac:dyDescent="0.2">
      <c r="A173" s="677"/>
      <c r="D173" s="847"/>
      <c r="E173" s="846"/>
      <c r="F173" s="847"/>
      <c r="G173" s="847"/>
    </row>
    <row r="174" spans="1:7" s="49" customFormat="1" ht="15" customHeight="1" x14ac:dyDescent="0.2">
      <c r="A174" s="677"/>
      <c r="D174" s="847"/>
      <c r="E174" s="846"/>
      <c r="F174" s="847"/>
      <c r="G174" s="847"/>
    </row>
    <row r="175" spans="1:7" s="49" customFormat="1" ht="15" customHeight="1" x14ac:dyDescent="0.2">
      <c r="A175" s="677"/>
      <c r="D175" s="847"/>
      <c r="E175" s="846"/>
      <c r="F175" s="847"/>
      <c r="G175" s="847"/>
    </row>
    <row r="176" spans="1:7" s="49" customFormat="1" ht="15" customHeight="1" x14ac:dyDescent="0.2">
      <c r="A176" s="677"/>
      <c r="D176" s="847"/>
      <c r="E176" s="846"/>
      <c r="F176" s="847"/>
      <c r="G176" s="847"/>
    </row>
    <row r="177" spans="1:7" s="49" customFormat="1" ht="15" customHeight="1" x14ac:dyDescent="0.2">
      <c r="A177" s="677"/>
      <c r="D177" s="847"/>
      <c r="E177" s="846"/>
      <c r="F177" s="847"/>
      <c r="G177" s="847"/>
    </row>
    <row r="178" spans="1:7" s="49" customFormat="1" ht="15" customHeight="1" x14ac:dyDescent="0.2">
      <c r="A178" s="677"/>
      <c r="D178" s="847"/>
      <c r="E178" s="846"/>
      <c r="F178" s="847"/>
      <c r="G178" s="847"/>
    </row>
    <row r="179" spans="1:7" s="49" customFormat="1" ht="15" customHeight="1" x14ac:dyDescent="0.2">
      <c r="A179" s="677"/>
      <c r="D179" s="847"/>
      <c r="E179" s="846"/>
      <c r="F179" s="847"/>
      <c r="G179" s="847"/>
    </row>
    <row r="180" spans="1:7" s="49" customFormat="1" ht="15" customHeight="1" x14ac:dyDescent="0.2">
      <c r="A180" s="677"/>
      <c r="D180" s="847"/>
      <c r="E180" s="846"/>
      <c r="F180" s="847"/>
      <c r="G180" s="847"/>
    </row>
    <row r="181" spans="1:7" s="49" customFormat="1" ht="15" customHeight="1" x14ac:dyDescent="0.2">
      <c r="A181" s="677"/>
      <c r="D181" s="847"/>
      <c r="E181" s="846"/>
      <c r="F181" s="847"/>
      <c r="G181" s="847"/>
    </row>
    <row r="182" spans="1:7" s="49" customFormat="1" ht="15" customHeight="1" x14ac:dyDescent="0.2">
      <c r="A182" s="677"/>
      <c r="D182" s="847"/>
      <c r="E182" s="846"/>
      <c r="F182" s="847"/>
      <c r="G182" s="847"/>
    </row>
    <row r="183" spans="1:7" s="49" customFormat="1" ht="15" customHeight="1" x14ac:dyDescent="0.2">
      <c r="A183" s="677"/>
      <c r="D183" s="847"/>
      <c r="E183" s="846"/>
      <c r="F183" s="847"/>
      <c r="G183" s="847"/>
    </row>
    <row r="184" spans="1:7" s="49" customFormat="1" ht="15" customHeight="1" x14ac:dyDescent="0.2">
      <c r="A184" s="677"/>
      <c r="D184" s="847"/>
      <c r="E184" s="846"/>
      <c r="F184" s="847"/>
      <c r="G184" s="847"/>
    </row>
    <row r="185" spans="1:7" s="49" customFormat="1" ht="15" customHeight="1" x14ac:dyDescent="0.2">
      <c r="A185" s="677"/>
      <c r="D185" s="847"/>
      <c r="E185" s="846"/>
      <c r="F185" s="847"/>
      <c r="G185" s="847"/>
    </row>
    <row r="186" spans="1:7" s="49" customFormat="1" ht="15" customHeight="1" x14ac:dyDescent="0.2">
      <c r="A186" s="677"/>
      <c r="D186" s="847"/>
      <c r="E186" s="846"/>
      <c r="F186" s="847"/>
      <c r="G186" s="847"/>
    </row>
    <row r="187" spans="1:7" s="49" customFormat="1" ht="15" customHeight="1" x14ac:dyDescent="0.2">
      <c r="A187" s="677"/>
      <c r="D187" s="847"/>
      <c r="E187" s="846"/>
      <c r="F187" s="847"/>
      <c r="G187" s="847"/>
    </row>
    <row r="188" spans="1:7" s="49" customFormat="1" ht="15" customHeight="1" x14ac:dyDescent="0.2">
      <c r="A188" s="677"/>
      <c r="D188" s="847"/>
      <c r="E188" s="846"/>
      <c r="F188" s="847"/>
      <c r="G188" s="847"/>
    </row>
    <row r="189" spans="1:7" s="49" customFormat="1" ht="15" customHeight="1" x14ac:dyDescent="0.2">
      <c r="A189" s="677"/>
      <c r="D189" s="847"/>
      <c r="E189" s="846"/>
      <c r="F189" s="847"/>
      <c r="G189" s="847"/>
    </row>
    <row r="190" spans="1:7" s="49" customFormat="1" ht="15" customHeight="1" x14ac:dyDescent="0.2">
      <c r="A190" s="677"/>
      <c r="D190" s="847"/>
      <c r="E190" s="846"/>
      <c r="F190" s="847"/>
      <c r="G190" s="847"/>
    </row>
    <row r="191" spans="1:7" s="49" customFormat="1" ht="15" customHeight="1" x14ac:dyDescent="0.2">
      <c r="A191" s="677"/>
      <c r="D191" s="847"/>
      <c r="E191" s="846"/>
      <c r="F191" s="847"/>
      <c r="G191" s="847"/>
    </row>
    <row r="192" spans="1:7" s="49" customFormat="1" ht="15" customHeight="1" x14ac:dyDescent="0.2">
      <c r="A192" s="677"/>
      <c r="D192" s="847"/>
      <c r="E192" s="846"/>
      <c r="F192" s="847"/>
      <c r="G192" s="847"/>
    </row>
    <row r="193" spans="1:7" s="49" customFormat="1" ht="15" customHeight="1" x14ac:dyDescent="0.2">
      <c r="A193" s="677"/>
      <c r="D193" s="847"/>
      <c r="E193" s="846"/>
      <c r="F193" s="847"/>
      <c r="G193" s="847"/>
    </row>
    <row r="194" spans="1:7" s="49" customFormat="1" ht="15" customHeight="1" x14ac:dyDescent="0.2">
      <c r="A194" s="677"/>
      <c r="D194" s="847"/>
      <c r="E194" s="846"/>
      <c r="F194" s="847"/>
      <c r="G194" s="847"/>
    </row>
    <row r="195" spans="1:7" s="49" customFormat="1" ht="15" customHeight="1" x14ac:dyDescent="0.2">
      <c r="A195" s="677"/>
      <c r="D195" s="847"/>
      <c r="E195" s="846"/>
      <c r="F195" s="847"/>
      <c r="G195" s="847"/>
    </row>
    <row r="196" spans="1:7" s="49" customFormat="1" ht="15" customHeight="1" x14ac:dyDescent="0.2">
      <c r="A196" s="677"/>
      <c r="D196" s="847"/>
      <c r="E196" s="846"/>
      <c r="F196" s="847"/>
      <c r="G196" s="847"/>
    </row>
    <row r="197" spans="1:7" s="49" customFormat="1" ht="15" customHeight="1" x14ac:dyDescent="0.2">
      <c r="A197" s="677"/>
      <c r="D197" s="847"/>
      <c r="E197" s="846"/>
      <c r="F197" s="847"/>
      <c r="G197" s="847"/>
    </row>
    <row r="198" spans="1:7" s="49" customFormat="1" ht="15" customHeight="1" x14ac:dyDescent="0.2">
      <c r="A198" s="677"/>
      <c r="D198" s="847"/>
      <c r="E198" s="846"/>
      <c r="F198" s="847"/>
      <c r="G198" s="847"/>
    </row>
    <row r="199" spans="1:7" s="49" customFormat="1" ht="15" customHeight="1" x14ac:dyDescent="0.2">
      <c r="A199" s="677"/>
      <c r="D199" s="847"/>
      <c r="E199" s="846"/>
      <c r="F199" s="847"/>
      <c r="G199" s="847"/>
    </row>
    <row r="200" spans="1:7" s="49" customFormat="1" ht="15" customHeight="1" x14ac:dyDescent="0.2">
      <c r="A200" s="677"/>
      <c r="D200" s="847"/>
      <c r="E200" s="846"/>
      <c r="F200" s="847"/>
      <c r="G200" s="847"/>
    </row>
    <row r="201" spans="1:7" s="49" customFormat="1" ht="15" customHeight="1" x14ac:dyDescent="0.2">
      <c r="A201" s="677"/>
      <c r="D201" s="847"/>
      <c r="E201" s="846"/>
      <c r="F201" s="847"/>
      <c r="G201" s="847"/>
    </row>
    <row r="202" spans="1:7" s="49" customFormat="1" ht="15" customHeight="1" x14ac:dyDescent="0.2">
      <c r="A202" s="677"/>
      <c r="D202" s="847"/>
      <c r="E202" s="846"/>
      <c r="F202" s="847"/>
      <c r="G202" s="847"/>
    </row>
    <row r="203" spans="1:7" s="49" customFormat="1" ht="15" customHeight="1" x14ac:dyDescent="0.2">
      <c r="A203" s="677"/>
      <c r="D203" s="847"/>
      <c r="E203" s="846"/>
      <c r="F203" s="847"/>
      <c r="G203" s="847"/>
    </row>
  </sheetData>
  <sheetProtection sheet="1"/>
  <mergeCells count="24">
    <mergeCell ref="L63:L64"/>
    <mergeCell ref="I61:I62"/>
    <mergeCell ref="J61:J62"/>
    <mergeCell ref="K61:K62"/>
    <mergeCell ref="L61:L62"/>
    <mergeCell ref="E63:E64"/>
    <mergeCell ref="F63:F64"/>
    <mergeCell ref="G63:G64"/>
    <mergeCell ref="I63:I64"/>
    <mergeCell ref="J63:J64"/>
    <mergeCell ref="K63:K64"/>
    <mergeCell ref="E59:E60"/>
    <mergeCell ref="F59:F60"/>
    <mergeCell ref="G59:G60"/>
    <mergeCell ref="E61:E62"/>
    <mergeCell ref="F61:F62"/>
    <mergeCell ref="G61:G62"/>
    <mergeCell ref="B4:C7"/>
    <mergeCell ref="I28:L29"/>
    <mergeCell ref="I48:L48"/>
    <mergeCell ref="E57:E58"/>
    <mergeCell ref="F57:F58"/>
    <mergeCell ref="G57:G58"/>
    <mergeCell ref="I57:L57"/>
  </mergeCells>
  <printOptions horizontalCentered="1"/>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topLeftCell="A16" zoomScale="70" zoomScaleNormal="70" workbookViewId="0">
      <selection activeCell="D40" sqref="D40"/>
    </sheetView>
  </sheetViews>
  <sheetFormatPr baseColWidth="10" defaultColWidth="10.7109375" defaultRowHeight="12.75" x14ac:dyDescent="0.2"/>
  <cols>
    <col min="1" max="1" width="34.140625" customWidth="1"/>
    <col min="2" max="2" width="14.7109375" customWidth="1"/>
    <col min="3" max="3" width="21.42578125" customWidth="1"/>
    <col min="4" max="4" width="10.28515625" customWidth="1"/>
    <col min="5" max="5" width="9.140625" customWidth="1"/>
    <col min="6" max="6" width="10.28515625" customWidth="1"/>
    <col min="7" max="7" width="9.140625" customWidth="1"/>
    <col min="8" max="8" width="5.7109375" customWidth="1"/>
    <col min="9" max="9" width="14.7109375" customWidth="1"/>
    <col min="10" max="10" width="6" style="1093" customWidth="1"/>
    <col min="11" max="11" width="10.28515625" customWidth="1"/>
    <col min="12" max="12" width="9.140625" customWidth="1"/>
    <col min="13" max="13" width="8" customWidth="1"/>
    <col min="14" max="14" width="8.28515625" customWidth="1"/>
    <col min="15" max="15" width="7.5703125" customWidth="1"/>
    <col min="16" max="16" width="7.42578125" customWidth="1"/>
    <col min="23" max="23" width="25.85546875" customWidth="1"/>
    <col min="24" max="24" width="6.28515625" customWidth="1"/>
  </cols>
  <sheetData>
    <row r="1" spans="1:24" ht="15.75" x14ac:dyDescent="0.25">
      <c r="A1" s="1094" t="s">
        <v>831</v>
      </c>
      <c r="C1" s="1094" t="s">
        <v>832</v>
      </c>
      <c r="D1" s="1095"/>
      <c r="E1" s="1095"/>
      <c r="F1" s="1095"/>
      <c r="G1" s="1096"/>
      <c r="J1" s="1097" t="s">
        <v>833</v>
      </c>
      <c r="K1" s="1098"/>
      <c r="L1" s="1098"/>
      <c r="M1" s="1098"/>
      <c r="N1" s="1098"/>
      <c r="O1" s="1099"/>
      <c r="W1" s="1100" t="s">
        <v>834</v>
      </c>
      <c r="X1" s="1100" t="s">
        <v>835</v>
      </c>
    </row>
    <row r="2" spans="1:24" x14ac:dyDescent="0.2">
      <c r="A2" s="1101" t="str">
        <f>IF(Référentiel!C7&lt;&gt;"",Référentiel!C7,"")</f>
        <v>Rosace lait 1H</v>
      </c>
      <c r="C2" s="1102"/>
      <c r="D2" s="1103"/>
      <c r="E2" s="1103"/>
      <c r="F2" s="1103"/>
      <c r="G2" s="1104"/>
      <c r="J2" s="1105"/>
      <c r="K2" s="1103"/>
      <c r="L2" s="1103"/>
      <c r="M2" s="1103"/>
      <c r="N2" s="1103"/>
      <c r="O2" s="1104"/>
      <c r="W2" s="1100"/>
      <c r="X2" s="1100"/>
    </row>
    <row r="3" spans="1:24" x14ac:dyDescent="0.2">
      <c r="A3" s="1101" t="str">
        <f>IF(Référentiel!D7&lt;&gt;"",Référentiel!D7,"")</f>
        <v>Rosace lait 3MS</v>
      </c>
      <c r="C3" s="1106"/>
      <c r="D3" s="1107" t="s">
        <v>836</v>
      </c>
      <c r="E3" s="1107" t="s">
        <v>654</v>
      </c>
      <c r="F3" s="1107" t="s">
        <v>836</v>
      </c>
      <c r="G3" s="1108" t="s">
        <v>654</v>
      </c>
      <c r="J3" s="1105"/>
      <c r="K3" s="1103"/>
      <c r="L3" s="1103"/>
      <c r="M3" s="1103"/>
      <c r="N3" s="1103"/>
      <c r="O3" s="1104"/>
      <c r="W3" t="s">
        <v>837</v>
      </c>
      <c r="X3">
        <v>12</v>
      </c>
    </row>
    <row r="4" spans="1:24" x14ac:dyDescent="0.2">
      <c r="A4" s="1101" t="str">
        <f>IF(Référentiel!E7&lt;&gt;"",Référentiel!E7,"")</f>
        <v>Rosace lait 3MS irrig</v>
      </c>
      <c r="C4" s="1106" t="str">
        <f>'Edition éleveur'!E26</f>
        <v>Alimentation</v>
      </c>
      <c r="D4" s="1109">
        <f>'Edition éleveur'!H26</f>
        <v>148.76714392777762</v>
      </c>
      <c r="E4" s="1109">
        <f>'Edition éleveur'!I26</f>
        <v>105.62384271682221</v>
      </c>
      <c r="F4" s="1109"/>
      <c r="G4" s="1110"/>
      <c r="J4" s="1111"/>
      <c r="K4" s="1107" t="s">
        <v>838</v>
      </c>
      <c r="L4" s="1107" t="s">
        <v>839</v>
      </c>
      <c r="M4" s="1103"/>
      <c r="N4" s="1103"/>
      <c r="O4" s="1104"/>
      <c r="W4" t="s">
        <v>840</v>
      </c>
      <c r="X4">
        <v>17</v>
      </c>
    </row>
    <row r="5" spans="1:24" x14ac:dyDescent="0.2">
      <c r="A5" s="1101" t="str">
        <f>IF(Référentiel!F7&lt;&gt;"",Référentiel!F7,"")</f>
        <v>Rosace lait 4M</v>
      </c>
      <c r="C5" s="1106" t="str">
        <f>'Edition éleveur'!E25</f>
        <v>Frais d'élevage</v>
      </c>
      <c r="D5" s="1109">
        <f>'Edition éleveur'!H25</f>
        <v>37.116377504665223</v>
      </c>
      <c r="E5" s="1109">
        <f>'Edition éleveur'!I25</f>
        <v>46.3686894925305</v>
      </c>
      <c r="F5" s="1109"/>
      <c r="G5" s="1110"/>
      <c r="J5" s="1112">
        <v>-0.5</v>
      </c>
      <c r="K5" s="1113">
        <f>'Edition éleveur'!$B$9-'Edition éleveur'!$B$45+($J5*SMIC/$C$44)-'Edition éleveur'!$B$50-'Edition éleveur'!$B$54-'Edition éleveur'!$B$56-'Edition éleveur'!$B$55</f>
        <v>346.38474063755228</v>
      </c>
      <c r="L5" s="1113">
        <f>'Edition éleveur'!$C$9-'Edition éleveur'!$C$45+(J5*SMIC/$D$44)-'Edition éleveur'!$C$50-'Edition éleveur'!$C$54-'Edition éleveur'!$C$56-'Edition éleveur'!$C$55</f>
        <v>255.28077879380723</v>
      </c>
      <c r="M5" s="1103"/>
      <c r="N5" s="1103"/>
      <c r="O5" s="1104"/>
      <c r="W5" t="s">
        <v>841</v>
      </c>
      <c r="X5">
        <v>43</v>
      </c>
    </row>
    <row r="6" spans="1:24" x14ac:dyDescent="0.2">
      <c r="A6" s="1101" t="str">
        <f>IF(Référentiel!G7&lt;&gt;"",Référentiel!G7,"")</f>
        <v>Rosace lait 6M</v>
      </c>
      <c r="C6" s="1106" t="str">
        <f>'Edition éleveur'!E24</f>
        <v>Mécanisation</v>
      </c>
      <c r="D6" s="1109">
        <f>'Edition éleveur'!H24</f>
        <v>90.335057409451039</v>
      </c>
      <c r="E6" s="1109">
        <f>'Edition éleveur'!I24</f>
        <v>82.464889226085702</v>
      </c>
      <c r="F6" s="1109"/>
      <c r="G6" s="1110"/>
      <c r="J6" s="1112">
        <v>0</v>
      </c>
      <c r="K6" s="1113">
        <f>'Edition éleveur'!$B$9-'Edition éleveur'!$B$45+($J6*SMIC/$C$44)-'Edition éleveur'!$B$50-'Edition éleveur'!$B$54-'Edition éleveur'!$B$56-'Edition éleveur'!$B$55</f>
        <v>369.03572115781145</v>
      </c>
      <c r="L6" s="1113">
        <f>'Edition éleveur'!$C$9-'Edition éleveur'!$C$45+(J6*SMIC/$D$44)-'Edition éleveur'!$C$50-'Edition éleveur'!$C$54-'Edition éleveur'!$C$56-'Edition éleveur'!$C$55</f>
        <v>276.14112582095561</v>
      </c>
      <c r="M6" s="1103"/>
      <c r="N6" s="1103"/>
      <c r="O6" s="1104"/>
      <c r="W6" t="s">
        <v>842</v>
      </c>
      <c r="X6">
        <v>14</v>
      </c>
    </row>
    <row r="7" spans="1:24" x14ac:dyDescent="0.2">
      <c r="A7" s="1101" t="str">
        <f>IF(Référentiel!H7&lt;&gt;"",Référentiel!H7,"")</f>
        <v>Rosace lait 7S</v>
      </c>
      <c r="C7" s="1106" t="str">
        <f>'Edition éleveur'!E23</f>
        <v>Bâtiments</v>
      </c>
      <c r="D7" s="1109">
        <f>'Edition éleveur'!H23</f>
        <v>47.992455824106081</v>
      </c>
      <c r="E7" s="1109">
        <f>'Edition éleveur'!I23</f>
        <v>43.014788428160571</v>
      </c>
      <c r="F7" s="1109"/>
      <c r="G7" s="1110"/>
      <c r="J7" s="1112">
        <v>0.5</v>
      </c>
      <c r="K7" s="1113">
        <f>'Edition éleveur'!$B$9-'Edition éleveur'!$B$45+($J7*SMIC/$C$44)-'Edition éleveur'!$B$50-'Edition éleveur'!$B$54-'Edition éleveur'!$B$56-'Edition éleveur'!$B$55</f>
        <v>391.68670167807062</v>
      </c>
      <c r="L7" s="1113">
        <f>'Edition éleveur'!$C$9-'Edition éleveur'!$C$45+(J7*SMIC/$D$44)-'Edition éleveur'!$C$50-'Edition éleveur'!$C$54-'Edition éleveur'!$C$56-'Edition éleveur'!$C$55</f>
        <v>297.00147284810396</v>
      </c>
      <c r="M7" s="1103"/>
      <c r="N7" s="1103"/>
      <c r="O7" s="1104"/>
      <c r="W7" t="s">
        <v>843</v>
      </c>
      <c r="X7">
        <v>30</v>
      </c>
    </row>
    <row r="8" spans="1:24" x14ac:dyDescent="0.2">
      <c r="A8" s="1101" t="str">
        <f>IF(Référentiel!I7&lt;&gt;"",Référentiel!I7,"")</f>
        <v>Rosace lait 7p</v>
      </c>
      <c r="C8" s="1114" t="s">
        <v>844</v>
      </c>
      <c r="D8" s="1109">
        <f>'Edition éleveur'!$H$22</f>
        <v>23.720496644378152</v>
      </c>
      <c r="E8" s="1109">
        <f>'Edition éleveur'!$I$22</f>
        <v>18.4603812038659</v>
      </c>
      <c r="J8" s="1112">
        <v>1</v>
      </c>
      <c r="K8" s="1113">
        <f>'Edition éleveur'!$B$9-'Edition éleveur'!$B$45+($J8*SMIC/$C$44)-'Edition éleveur'!$B$50-'Edition éleveur'!$B$54-'Edition éleveur'!$B$56-'Edition éleveur'!$B$55</f>
        <v>414.33768219832973</v>
      </c>
      <c r="L8" s="1113">
        <f>'Edition éleveur'!$C$9-'Edition éleveur'!$C$45+(J8*SMIC/$D$44)-'Edition éleveur'!$C$50-'Edition éleveur'!$C$54-'Edition éleveur'!$C$56-'Edition éleveur'!$C$55</f>
        <v>317.86181987525231</v>
      </c>
      <c r="M8" s="1103"/>
      <c r="N8" s="1103"/>
      <c r="O8" s="1104"/>
      <c r="W8" t="s">
        <v>845</v>
      </c>
      <c r="X8">
        <v>48</v>
      </c>
    </row>
    <row r="9" spans="1:24" x14ac:dyDescent="0.2">
      <c r="A9" s="1101" t="str">
        <f>IF(Référentiel!J7&lt;&gt;"",Référentiel!J7,"")</f>
        <v/>
      </c>
      <c r="C9" s="1106" t="str">
        <f>'Edition éleveur'!E21</f>
        <v>Foncier et Capital</v>
      </c>
      <c r="D9" s="1109">
        <f>'Edition éleveur'!H21</f>
        <v>35.913940666328557</v>
      </c>
      <c r="E9" s="1109">
        <f>'Edition éleveur'!I21</f>
        <v>30.828210383755579</v>
      </c>
      <c r="F9" s="1109"/>
      <c r="G9" s="1110"/>
      <c r="J9" s="1112">
        <v>1.5</v>
      </c>
      <c r="K9" s="1113">
        <f>'Edition éleveur'!$B$9-'Edition éleveur'!$B$45+($J9*SMIC/$C$44)-'Edition éleveur'!$B$50-'Edition éleveur'!$B$54-'Edition éleveur'!$B$56-'Edition éleveur'!$B$55</f>
        <v>436.9886627185889</v>
      </c>
      <c r="L9" s="1113">
        <f>'Edition éleveur'!$C$9-'Edition éleveur'!$C$45+(J9*SMIC/$D$44)-'Edition éleveur'!$C$50-'Edition éleveur'!$C$54-'Edition éleveur'!$C$56-'Edition éleveur'!$C$55</f>
        <v>338.72216690240066</v>
      </c>
      <c r="M9" s="1103"/>
      <c r="N9" s="1103"/>
      <c r="O9" s="1104"/>
      <c r="W9" t="s">
        <v>846</v>
      </c>
      <c r="X9">
        <v>44</v>
      </c>
    </row>
    <row r="10" spans="1:24" x14ac:dyDescent="0.2">
      <c r="A10" s="1101" t="str">
        <f>IF(Référentiel!K7&lt;&gt;"",Référentiel!K7,"")</f>
        <v/>
      </c>
      <c r="C10" s="1106" t="str">
        <f>'Edition éleveur'!E20</f>
        <v>Travail</v>
      </c>
      <c r="D10" s="1109">
        <f>'Edition éleveur'!H20</f>
        <v>124.12789143187277</v>
      </c>
      <c r="E10" s="1109">
        <f>'Edition éleveur'!I20</f>
        <v>92.7912312138223</v>
      </c>
      <c r="F10" s="1109"/>
      <c r="G10" s="1110"/>
      <c r="J10" s="1112">
        <v>2</v>
      </c>
      <c r="K10" s="1113">
        <f>'Edition éleveur'!$B$9-'Edition éleveur'!$B$45+($J10*SMIC/$C$44)-'Edition éleveur'!$B$50-'Edition éleveur'!$B$54-'Edition éleveur'!$B$56-'Edition éleveur'!$B$55</f>
        <v>459.63964323884807</v>
      </c>
      <c r="L10" s="1113">
        <f>'Edition éleveur'!$C$9-'Edition éleveur'!$C$45+(J10*SMIC/$D$44)-'Edition éleveur'!$C$50-'Edition éleveur'!$C$54-'Edition éleveur'!$C$56-'Edition éleveur'!$C$55</f>
        <v>359.58251392954901</v>
      </c>
      <c r="M10" s="1103"/>
      <c r="N10" s="1103"/>
      <c r="O10" s="1104"/>
      <c r="W10" t="s">
        <v>847</v>
      </c>
      <c r="X10">
        <v>18</v>
      </c>
    </row>
    <row r="11" spans="1:24" x14ac:dyDescent="0.2">
      <c r="A11" s="1101" t="str">
        <f>IF(Référentiel!M7&lt;&gt;"",Référentiel!M7,"")</f>
        <v/>
      </c>
      <c r="C11" s="1106" t="str">
        <f>'Edition éleveur'!E33</f>
        <v>Aides totales</v>
      </c>
      <c r="D11" s="679"/>
      <c r="E11" s="679"/>
      <c r="F11" s="1109">
        <f>'Edition éleveur'!H33</f>
        <v>26.100664717475865</v>
      </c>
      <c r="G11" s="1115">
        <f>'Edition éleveur'!I33</f>
        <v>42.7747932988743</v>
      </c>
      <c r="J11" s="1112">
        <v>2.5</v>
      </c>
      <c r="K11" s="1113">
        <f>'Edition éleveur'!$B$9-'Edition éleveur'!$B$45+($J11*SMIC/$C$44)-'Edition éleveur'!$B$50-'Edition éleveur'!$B$54-'Edition éleveur'!$B$56-'Edition éleveur'!$B$55</f>
        <v>482.29062375910723</v>
      </c>
      <c r="L11" s="1113">
        <f>'Edition éleveur'!$C$9-'Edition éleveur'!$C$45+(J11*SMIC/$D$44)-'Edition éleveur'!$C$50-'Edition éleveur'!$C$54-'Edition éleveur'!$C$56-'Edition éleveur'!$C$55</f>
        <v>380.44286095669736</v>
      </c>
      <c r="M11" s="1103"/>
      <c r="N11" s="1103"/>
      <c r="O11" s="1104"/>
      <c r="W11" t="s">
        <v>848</v>
      </c>
      <c r="X11">
        <v>24</v>
      </c>
    </row>
    <row r="12" spans="1:24" x14ac:dyDescent="0.2">
      <c r="A12" s="1101" t="str">
        <f>IF(Référentiel!N7&lt;&gt;"",Référentiel!N7,"")</f>
        <v/>
      </c>
      <c r="C12" s="1106" t="str">
        <f>'Edition éleveur'!E32</f>
        <v>autres produits joints</v>
      </c>
      <c r="D12" s="679"/>
      <c r="E12" s="679"/>
      <c r="F12" s="1109">
        <f>'Edition éleveur'!H32</f>
        <v>12.315136065719081</v>
      </c>
      <c r="G12" s="1115">
        <f>'Edition éleveur'!I32</f>
        <v>0</v>
      </c>
      <c r="J12" s="1112">
        <f>J11+0.5</f>
        <v>3</v>
      </c>
      <c r="K12" s="1113">
        <f>'Edition éleveur'!$B$9-'Edition éleveur'!$B$45+($J12*SMIC/$C$44)-'Edition éleveur'!$B$50-'Edition éleveur'!$B$54-'Edition éleveur'!$B$56-'Edition éleveur'!$B$55</f>
        <v>504.9416042793664</v>
      </c>
      <c r="L12" s="1113">
        <f>'Edition éleveur'!$C$9-'Edition éleveur'!$C$45+(J12*SMIC/$D$44)-'Edition éleveur'!$C$50-'Edition éleveur'!$C$54-'Edition éleveur'!$C$56-'Edition éleveur'!$C$55</f>
        <v>401.30320798384571</v>
      </c>
      <c r="M12" s="1103"/>
      <c r="N12" s="1103"/>
      <c r="O12" s="1104"/>
      <c r="W12" t="s">
        <v>849</v>
      </c>
      <c r="X12">
        <v>61</v>
      </c>
    </row>
    <row r="13" spans="1:24" x14ac:dyDescent="0.2">
      <c r="A13" s="1101" t="str">
        <f>IF(Référentiel!O7&lt;&gt;"",Référentiel!O7,"")</f>
        <v/>
      </c>
      <c r="C13" s="1106" t="str">
        <f>'Edition éleveur'!E31</f>
        <v xml:space="preserve">Produits viande </v>
      </c>
      <c r="D13" s="679"/>
      <c r="E13" s="679"/>
      <c r="F13" s="1109">
        <f>'Edition éleveur'!H31</f>
        <v>44.884035972514653</v>
      </c>
      <c r="G13" s="1115">
        <f>'Edition éleveur'!I31</f>
        <v>38.055072463768099</v>
      </c>
      <c r="J13" s="1112">
        <f>J12+0.5</f>
        <v>3.5</v>
      </c>
      <c r="K13" s="1113">
        <f>'Edition éleveur'!$B$9-'Edition éleveur'!$B$45+($J13*SMIC/$C$44)-'Edition éleveur'!$B$50-'Edition éleveur'!$B$54-'Edition éleveur'!$B$56-'Edition éleveur'!$B$55</f>
        <v>527.59258479962557</v>
      </c>
      <c r="L13" s="1113">
        <f>'Edition éleveur'!$C$9-'Edition éleveur'!$C$45+(J13*SMIC/$D$44)-'Edition éleveur'!$C$50-'Edition éleveur'!$C$54-'Edition éleveur'!$C$56-'Edition éleveur'!$C$55</f>
        <v>422.16355501099417</v>
      </c>
      <c r="M13" s="1103"/>
      <c r="N13" s="1103"/>
      <c r="O13" s="1104"/>
      <c r="W13" t="s">
        <v>850</v>
      </c>
      <c r="X13">
        <v>10</v>
      </c>
    </row>
    <row r="14" spans="1:24" x14ac:dyDescent="0.2">
      <c r="A14" s="1101" t="str">
        <f>IF(Référentiel!P$7&lt;&gt;"",Référentiel!P$7,"")</f>
        <v/>
      </c>
      <c r="C14" s="1106" t="str">
        <f>'Edition éleveur'!E30</f>
        <v xml:space="preserve">Produits lait </v>
      </c>
      <c r="D14" s="679"/>
      <c r="E14" s="679"/>
      <c r="F14" s="1109">
        <f>'Edition éleveur'!H30</f>
        <v>358.92000000000007</v>
      </c>
      <c r="G14" s="1115">
        <f>'Edition éleveur'!I30</f>
        <v>359.671099271336</v>
      </c>
      <c r="J14" s="1112">
        <f>J13+0.5</f>
        <v>4</v>
      </c>
      <c r="K14" s="1113">
        <f>'Edition éleveur'!$B$9-'Edition éleveur'!$B$45+($J14*SMIC/$C$44)-'Edition éleveur'!$B$50-'Edition éleveur'!$B$54-'Edition éleveur'!$B$56-'Edition éleveur'!$B$55</f>
        <v>550.24356531988462</v>
      </c>
      <c r="L14" s="1113">
        <f>'Edition éleveur'!$C$9-'Edition éleveur'!$C$45+(J14*SMIC/$D$44)-'Edition éleveur'!$C$50-'Edition éleveur'!$C$54-'Edition éleveur'!$C$56-'Edition éleveur'!$C$55</f>
        <v>443.02390203814252</v>
      </c>
      <c r="M14" s="1103"/>
      <c r="N14" s="1103"/>
      <c r="O14" s="1104"/>
      <c r="W14" t="s">
        <v>851</v>
      </c>
      <c r="X14">
        <v>25</v>
      </c>
    </row>
    <row r="15" spans="1:24" x14ac:dyDescent="0.2">
      <c r="A15" s="1101" t="str">
        <f>IF(Référentiel!Q$7&lt;&gt;"",Référentiel!Q$7,"")</f>
        <v/>
      </c>
      <c r="J15" s="1116">
        <f>'Edition éleveur'!B$60</f>
        <v>4.8550103734814318E-2</v>
      </c>
      <c r="K15" s="1103"/>
      <c r="L15" s="1103"/>
      <c r="M15" s="1117">
        <f>'Edition éleveur'!B$49</f>
        <v>358.92000000000007</v>
      </c>
      <c r="N15" s="1103"/>
      <c r="O15" s="1104"/>
      <c r="W15" t="s">
        <v>852</v>
      </c>
      <c r="X15">
        <v>52</v>
      </c>
    </row>
    <row r="16" spans="1:24" x14ac:dyDescent="0.2">
      <c r="A16" s="1101" t="str">
        <f>IF(Référentiel!R$7&lt;&gt;"",Référentiel!R$7,"")</f>
        <v/>
      </c>
      <c r="J16" s="1118">
        <f>'Edition éleveur'!C$60</f>
        <v>2.0021232950168977</v>
      </c>
      <c r="K16" s="1119"/>
      <c r="L16" s="1119"/>
      <c r="M16" s="1119"/>
      <c r="N16" s="1120">
        <f>'Edition éleveur'!C$49</f>
        <v>359.671099271336</v>
      </c>
      <c r="O16" s="1121"/>
      <c r="W16" t="s">
        <v>853</v>
      </c>
      <c r="X16">
        <v>79</v>
      </c>
    </row>
    <row r="17" spans="1:24" x14ac:dyDescent="0.2">
      <c r="A17" s="1101" t="str">
        <f>IF(Référentiel!S$7&lt;&gt;"",Référentiel!S$7,"")</f>
        <v/>
      </c>
      <c r="W17" t="s">
        <v>854</v>
      </c>
      <c r="X17">
        <v>26</v>
      </c>
    </row>
    <row r="18" spans="1:24" x14ac:dyDescent="0.2">
      <c r="A18" s="1101" t="str">
        <f>IF(Référentiel!T$7&lt;&gt;"",Référentiel!T$7,"")</f>
        <v/>
      </c>
      <c r="W18" t="s">
        <v>855</v>
      </c>
      <c r="X18">
        <v>81</v>
      </c>
    </row>
    <row r="19" spans="1:24" x14ac:dyDescent="0.2">
      <c r="A19" s="1101" t="str">
        <f>IF(Référentiel!U$7&lt;&gt;"",Référentiel!U$7,"")</f>
        <v/>
      </c>
      <c r="W19" t="s">
        <v>856</v>
      </c>
      <c r="X19">
        <v>29</v>
      </c>
    </row>
    <row r="20" spans="1:24" x14ac:dyDescent="0.2">
      <c r="A20" s="1101" t="str">
        <f>IF(Référentiel!V$7&lt;&gt;"",Référentiel!V$7,"")</f>
        <v/>
      </c>
      <c r="C20" s="1122" t="s">
        <v>857</v>
      </c>
      <c r="D20" s="1098"/>
      <c r="E20" s="1098"/>
      <c r="F20" s="1098"/>
      <c r="G20" s="1098"/>
      <c r="H20" s="1099"/>
      <c r="J20" s="1097" t="s">
        <v>858</v>
      </c>
      <c r="K20" s="1098"/>
      <c r="L20" s="1098"/>
      <c r="M20" s="1098"/>
      <c r="N20" s="1098"/>
      <c r="O20" s="1099"/>
      <c r="W20" t="s">
        <v>859</v>
      </c>
      <c r="X20">
        <v>21</v>
      </c>
    </row>
    <row r="21" spans="1:24" x14ac:dyDescent="0.2">
      <c r="A21" s="1101" t="str">
        <f>IF(Référentiel!W$7&lt;&gt;"",Référentiel!W$7,"")</f>
        <v/>
      </c>
      <c r="C21" s="1102"/>
      <c r="D21" s="1103"/>
      <c r="E21" s="1103"/>
      <c r="F21" s="1103"/>
      <c r="G21" s="1103"/>
      <c r="H21" s="1104"/>
      <c r="J21" s="1105"/>
      <c r="K21" s="1103"/>
      <c r="L21" s="1103"/>
      <c r="M21" s="1103"/>
      <c r="N21" s="1103"/>
      <c r="O21" s="1104"/>
      <c r="W21" t="s">
        <v>860</v>
      </c>
      <c r="X21">
        <v>20</v>
      </c>
    </row>
    <row r="22" spans="1:24" x14ac:dyDescent="0.2">
      <c r="A22" s="1101" t="str">
        <f>IF(Référentiel!X$7&lt;&gt;"",Référentiel!X$7,"")</f>
        <v/>
      </c>
      <c r="C22" s="1106"/>
      <c r="D22" s="1107" t="s">
        <v>801</v>
      </c>
      <c r="E22" s="1107" t="s">
        <v>861</v>
      </c>
      <c r="F22" s="1107" t="s">
        <v>801</v>
      </c>
      <c r="G22" s="1107" t="s">
        <v>861</v>
      </c>
      <c r="H22" s="1104"/>
      <c r="J22" s="1105"/>
      <c r="K22" s="1103"/>
      <c r="L22" s="1103"/>
      <c r="M22" s="1103"/>
      <c r="N22" s="1103"/>
      <c r="O22" s="1104"/>
      <c r="W22" t="s">
        <v>862</v>
      </c>
      <c r="X22">
        <v>92</v>
      </c>
    </row>
    <row r="23" spans="1:24" x14ac:dyDescent="0.2">
      <c r="A23" s="1101" t="str">
        <f>IF(Référentiel!Y$7&lt;&gt;"",Référentiel!Y$7,"")</f>
        <v/>
      </c>
      <c r="C23" s="1106" t="str">
        <f>Actualisation!I14</f>
        <v>Alimentation</v>
      </c>
      <c r="D23" s="1109">
        <f>Actualisation!J14</f>
        <v>148.76714392777762</v>
      </c>
      <c r="E23" s="1109">
        <f>Actualisation!K14</f>
        <v>148.76714392777762</v>
      </c>
      <c r="F23" s="1109"/>
      <c r="G23" s="679"/>
      <c r="H23" s="1104"/>
      <c r="J23" s="1111"/>
      <c r="K23" s="1107" t="s">
        <v>801</v>
      </c>
      <c r="L23" s="1107" t="s">
        <v>861</v>
      </c>
      <c r="M23" s="1103"/>
      <c r="N23" s="1103"/>
      <c r="O23" s="1104"/>
      <c r="W23" t="s">
        <v>863</v>
      </c>
      <c r="X23">
        <v>97</v>
      </c>
    </row>
    <row r="24" spans="1:24" x14ac:dyDescent="0.2">
      <c r="A24" s="1101" t="str">
        <f>IF(Référentiel!Z$7&lt;&gt;"",Référentiel!Z$7,"")</f>
        <v/>
      </c>
      <c r="C24" s="1106" t="str">
        <f>Actualisation!I15</f>
        <v>Frais d'élevage</v>
      </c>
      <c r="D24" s="1109">
        <f>Actualisation!J15</f>
        <v>37.116377504665223</v>
      </c>
      <c r="E24" s="1109">
        <f>Actualisation!K15</f>
        <v>37.116377504665223</v>
      </c>
      <c r="F24" s="1109"/>
      <c r="G24" s="679"/>
      <c r="H24" s="1104"/>
      <c r="J24" s="1112">
        <v>-0.5</v>
      </c>
      <c r="K24" s="1113">
        <f>Actualisation!F$9-Actualisation!F$43+($J24*SMIC/$C$44)-Actualisation!F$48-Actualisation!F$51-Actualisation!F$52-Actualisation!F$53</f>
        <v>346.38474063755228</v>
      </c>
      <c r="L24" s="1113">
        <f>Actualisation!G$9-Actualisation!G$43+($J24*SMICSIM/$E$44)-Actualisation!G$48-Actualisation!G$51-Actualisation!G$52-Actualisation!G$53</f>
        <v>346.38474063755228</v>
      </c>
      <c r="M24" s="1103"/>
      <c r="N24" s="1103"/>
      <c r="O24" s="1104"/>
      <c r="W24" t="s">
        <v>864</v>
      </c>
      <c r="X24">
        <v>38</v>
      </c>
    </row>
    <row r="25" spans="1:24" x14ac:dyDescent="0.2">
      <c r="A25" s="1101" t="str">
        <f>IF(Référentiel!AA$7&lt;&gt;"",Référentiel!AA$7,"")</f>
        <v/>
      </c>
      <c r="C25" s="1106" t="str">
        <f>Actualisation!I16</f>
        <v>Mécanisation</v>
      </c>
      <c r="D25" s="1109">
        <f>Actualisation!J16</f>
        <v>90.335057409451039</v>
      </c>
      <c r="E25" s="1109">
        <f>Actualisation!K16</f>
        <v>90.335057409451039</v>
      </c>
      <c r="F25" s="1109"/>
      <c r="G25" s="679"/>
      <c r="H25" s="1104"/>
      <c r="J25" s="1112">
        <v>0</v>
      </c>
      <c r="K25" s="1113">
        <f>Actualisation!F$9-Actualisation!F$43+($J25*SMIC/$C$44)-Actualisation!F$48-Actualisation!F$51-Actualisation!F$52-Actualisation!F$53</f>
        <v>369.03572115781145</v>
      </c>
      <c r="L25" s="1113">
        <f>Actualisation!G$9-Actualisation!G$43+($J25*SMICSIM/$E$44)-Actualisation!G$48-Actualisation!G$51-Actualisation!G$52-Actualisation!G$53</f>
        <v>369.03572115781145</v>
      </c>
      <c r="M25" s="1103"/>
      <c r="N25" s="1103"/>
      <c r="O25" s="1104"/>
      <c r="W25" t="s">
        <v>865</v>
      </c>
      <c r="X25">
        <v>32</v>
      </c>
    </row>
    <row r="26" spans="1:24" x14ac:dyDescent="0.2">
      <c r="A26" s="1101" t="str">
        <f>IF(Référentiel!AB$7&lt;&gt;"",Référentiel!AB$7,"")</f>
        <v/>
      </c>
      <c r="C26" s="1106" t="str">
        <f>Actualisation!I17</f>
        <v>Bâtiments</v>
      </c>
      <c r="D26" s="1109">
        <f>Actualisation!J17</f>
        <v>47.992455824106081</v>
      </c>
      <c r="E26" s="1109">
        <f>Actualisation!K17</f>
        <v>47.992455824106081</v>
      </c>
      <c r="F26" s="1109"/>
      <c r="G26" s="679"/>
      <c r="H26" s="1104"/>
      <c r="J26" s="1112">
        <v>0.5</v>
      </c>
      <c r="K26" s="1113">
        <f>Actualisation!F$9-Actualisation!F$43+($J26*SMIC/$C$44)-Actualisation!F$48-Actualisation!F$51-Actualisation!F$52-Actualisation!F$53</f>
        <v>391.68670167807062</v>
      </c>
      <c r="L26" s="1113">
        <f>Actualisation!G$9-Actualisation!G$43+($J26*SMICSIM/$E$44)-Actualisation!G$48-Actualisation!G$51-Actualisation!G$52-Actualisation!G$53</f>
        <v>391.68670167807062</v>
      </c>
      <c r="M26" s="1103"/>
      <c r="N26" s="1103"/>
      <c r="O26" s="1104"/>
      <c r="W26" t="s">
        <v>866</v>
      </c>
      <c r="X26">
        <v>36</v>
      </c>
    </row>
    <row r="27" spans="1:24" x14ac:dyDescent="0.2">
      <c r="A27" s="1101" t="str">
        <f>IF(Référentiel!AC$7&lt;&gt;"",Référentiel!AC$7,"")</f>
        <v/>
      </c>
      <c r="C27" s="1106" t="str">
        <f>Actualisation!I19</f>
        <v>Foncier et Capital</v>
      </c>
      <c r="D27" s="1109">
        <f>Actualisation!J19</f>
        <v>35.913940666328557</v>
      </c>
      <c r="E27" s="1109">
        <f>Actualisation!K19</f>
        <v>35.913940666328557</v>
      </c>
      <c r="F27" s="1109"/>
      <c r="G27" s="679"/>
      <c r="H27" s="1104"/>
      <c r="J27" s="1112">
        <v>1</v>
      </c>
      <c r="K27" s="1113">
        <f>Actualisation!F$9-Actualisation!F$43+($J27*SMIC/$C$44)-Actualisation!F$48-Actualisation!F$51-Actualisation!F$52-Actualisation!F$53</f>
        <v>414.33768219832973</v>
      </c>
      <c r="L27" s="1113">
        <f>Actualisation!G$9-Actualisation!G$43+($J27*SMICSIM/$E$44)-Actualisation!G$48-Actualisation!G$51-Actualisation!G$52-Actualisation!G$53</f>
        <v>414.33768219832973</v>
      </c>
      <c r="M27" s="1103"/>
      <c r="N27" s="1103"/>
      <c r="O27" s="1104"/>
      <c r="W27" t="s">
        <v>867</v>
      </c>
      <c r="X27">
        <v>55</v>
      </c>
    </row>
    <row r="28" spans="1:24" x14ac:dyDescent="0.2">
      <c r="A28" s="1101" t="str">
        <f>IF(Référentiel!AD$7&lt;&gt;"",Référentiel!AD$7,"")</f>
        <v/>
      </c>
      <c r="C28" s="1106" t="str">
        <f>Actualisation!I20</f>
        <v>Travail</v>
      </c>
      <c r="D28" s="1109">
        <f>Actualisation!J20</f>
        <v>124.12789143187277</v>
      </c>
      <c r="E28" s="1109">
        <f>Actualisation!K20</f>
        <v>124.12789143187277</v>
      </c>
      <c r="F28" s="1109"/>
      <c r="G28" s="679"/>
      <c r="H28" s="1104"/>
      <c r="J28" s="1112">
        <v>1.5</v>
      </c>
      <c r="K28" s="1113">
        <f>Actualisation!F$9-Actualisation!F$43+($J28*SMIC/$C$44)-Actualisation!F$48-Actualisation!F$51-Actualisation!F$52-Actualisation!F$53</f>
        <v>436.9886627185889</v>
      </c>
      <c r="L28" s="1113">
        <f>Actualisation!G$9-Actualisation!G$43+($J28*SMICSIM/$E$44)-Actualisation!G$48-Actualisation!G$51-Actualisation!G$52-Actualisation!G$53</f>
        <v>436.9886627185889</v>
      </c>
      <c r="M28" s="1103"/>
      <c r="N28" s="1103"/>
      <c r="O28" s="1104"/>
      <c r="W28" t="s">
        <v>868</v>
      </c>
      <c r="X28">
        <v>39</v>
      </c>
    </row>
    <row r="29" spans="1:24" x14ac:dyDescent="0.2">
      <c r="A29" s="1123" t="str">
        <f>IF(Référentiel!AE$7&lt;&gt;"",Référentiel!AE$7,"")</f>
        <v/>
      </c>
      <c r="C29" s="1106" t="str">
        <f>Actualisation!I24</f>
        <v>Lait commercialisé</v>
      </c>
      <c r="D29" s="679"/>
      <c r="E29" s="679"/>
      <c r="F29" s="1109">
        <f>Actualisation!J24</f>
        <v>358.92000000000007</v>
      </c>
      <c r="G29" s="1109">
        <f>Actualisation!K24</f>
        <v>358.92000000000007</v>
      </c>
      <c r="H29" s="1104"/>
      <c r="J29" s="1112">
        <v>2</v>
      </c>
      <c r="K29" s="1113">
        <f>Actualisation!F$9-Actualisation!F$43+($J29*SMIC/$C$44)-Actualisation!F$48-Actualisation!F$51-Actualisation!F$52-Actualisation!F$53</f>
        <v>459.63964323884807</v>
      </c>
      <c r="L29" s="1113">
        <f>Actualisation!G$9-Actualisation!G$43+($J29*SMICSIM/$E$44)-Actualisation!G$48-Actualisation!G$51-Actualisation!G$52-Actualisation!G$53</f>
        <v>459.63964323884807</v>
      </c>
      <c r="M29" s="1103"/>
      <c r="N29" s="1103"/>
      <c r="O29" s="1104"/>
      <c r="W29" t="s">
        <v>869</v>
      </c>
      <c r="X29">
        <v>42</v>
      </c>
    </row>
    <row r="30" spans="1:24" x14ac:dyDescent="0.2">
      <c r="C30" s="1106" t="str">
        <f>Actualisation!I25</f>
        <v>Viande et autres pdts</v>
      </c>
      <c r="D30" s="679"/>
      <c r="E30" s="679"/>
      <c r="F30" s="1109">
        <f>Actualisation!J25</f>
        <v>57.199172038233733</v>
      </c>
      <c r="G30" s="1109">
        <f>Actualisation!K25</f>
        <v>57.199172038233733</v>
      </c>
      <c r="H30" s="1104"/>
      <c r="J30" s="1112">
        <v>2.5</v>
      </c>
      <c r="K30" s="1113">
        <f>Actualisation!F$9-Actualisation!F$43+($J30*SMIC/$C$44)-Actualisation!F$48-Actualisation!F$51-Actualisation!F$52-Actualisation!F$53</f>
        <v>482.29062375910723</v>
      </c>
      <c r="L30" s="1113">
        <f>Actualisation!G$9-Actualisation!G$43+($J30*SMICSIM/$E$44)-Actualisation!G$48-Actualisation!G$51-Actualisation!G$52-Actualisation!G$53</f>
        <v>482.29062375910723</v>
      </c>
      <c r="M30" s="1103"/>
      <c r="N30" s="1103"/>
      <c r="O30" s="1104"/>
      <c r="W30" t="s">
        <v>870</v>
      </c>
      <c r="X30">
        <v>51</v>
      </c>
    </row>
    <row r="31" spans="1:24" x14ac:dyDescent="0.2">
      <c r="C31" s="1106" t="str">
        <f>Actualisation!I26</f>
        <v>Aides</v>
      </c>
      <c r="D31" s="679"/>
      <c r="E31" s="679"/>
      <c r="F31" s="1109">
        <f>Actualisation!J26</f>
        <v>26.100664717475865</v>
      </c>
      <c r="G31" s="1109">
        <f>Actualisation!K26</f>
        <v>26.100664717475865</v>
      </c>
      <c r="H31" s="1104"/>
      <c r="J31" s="1112">
        <f>J30+0.5</f>
        <v>3</v>
      </c>
      <c r="K31" s="1113">
        <f>Actualisation!F$9-Actualisation!F$43+($J31*SMIC/$C$44)-Actualisation!F$48-Actualisation!F$51-Actualisation!F$52-Actualisation!F$53</f>
        <v>504.9416042793664</v>
      </c>
      <c r="L31" s="1113">
        <f>Actualisation!G$9-Actualisation!G$43+($J31*SMICSIM/$E$44)-Actualisation!G$48-Actualisation!G$51-Actualisation!G$52-Actualisation!G$53</f>
        <v>504.9416042793664</v>
      </c>
      <c r="M31" s="1103"/>
      <c r="N31" s="1103"/>
      <c r="O31" s="1104"/>
      <c r="W31" t="s">
        <v>871</v>
      </c>
      <c r="X31">
        <v>65</v>
      </c>
    </row>
    <row r="32" spans="1:24" x14ac:dyDescent="0.2">
      <c r="C32" s="1124"/>
      <c r="D32" s="1119"/>
      <c r="E32" s="1119"/>
      <c r="F32" s="1119"/>
      <c r="G32" s="1119"/>
      <c r="H32" s="1121"/>
      <c r="J32" s="1112">
        <f>J31+0.5</f>
        <v>3.5</v>
      </c>
      <c r="K32" s="1113">
        <f>Actualisation!F$9-Actualisation!F$43+($J32*SMIC/$C$44)-Actualisation!F$48-Actualisation!F$51-Actualisation!F$52-Actualisation!F$53</f>
        <v>527.59258479962557</v>
      </c>
      <c r="L32" s="1113">
        <f>Actualisation!G$9-Actualisation!G$43+($J32*SMICSIM/$E$44)-Actualisation!G$48-Actualisation!G$51-Actualisation!G$52-Actualisation!G$53</f>
        <v>527.59258479962557</v>
      </c>
      <c r="M32" s="1103"/>
      <c r="N32" s="1103"/>
      <c r="O32" s="1104"/>
      <c r="W32" t="s">
        <v>872</v>
      </c>
      <c r="X32">
        <v>69</v>
      </c>
    </row>
    <row r="33" spans="1:24" x14ac:dyDescent="0.2">
      <c r="J33" s="1112">
        <f>J32+0.5</f>
        <v>4</v>
      </c>
      <c r="K33" s="1113">
        <f>Actualisation!F$9-Actualisation!F$43+($J33*SMIC/$C$44)-Actualisation!F$48-Actualisation!F$51-Actualisation!F$52-Actualisation!F$53</f>
        <v>550.24356531988462</v>
      </c>
      <c r="L33" s="1113">
        <f>Actualisation!G$9-Actualisation!G$43+($J33*SMICSIM/$E$44)-Actualisation!G$48-Actualisation!G$51-Actualisation!G$52-Actualisation!G$53</f>
        <v>550.24356531988462</v>
      </c>
      <c r="M33" s="1103"/>
      <c r="N33" s="1103"/>
      <c r="O33" s="1104"/>
      <c r="W33" t="s">
        <v>873</v>
      </c>
      <c r="X33">
        <v>73</v>
      </c>
    </row>
    <row r="34" spans="1:24" x14ac:dyDescent="0.2">
      <c r="J34" s="1116">
        <f>Actualisation!F$59</f>
        <v>4.8550103734814318E-2</v>
      </c>
      <c r="K34" s="1103"/>
      <c r="L34" s="1103"/>
      <c r="M34" s="1117">
        <f>Actualisation!F$47</f>
        <v>358.92000000000007</v>
      </c>
      <c r="N34" s="1103"/>
      <c r="O34" s="1104"/>
      <c r="W34" t="s">
        <v>874</v>
      </c>
      <c r="X34">
        <v>72</v>
      </c>
    </row>
    <row r="35" spans="1:24" x14ac:dyDescent="0.2">
      <c r="J35" s="1118">
        <f>Actualisation!G$59</f>
        <v>4.8550103734814318E-2</v>
      </c>
      <c r="K35" s="1119"/>
      <c r="L35" s="1119"/>
      <c r="M35" s="1119"/>
      <c r="N35" s="1120">
        <f>Actualisation!G$47</f>
        <v>358.92000000000007</v>
      </c>
      <c r="O35" s="1121"/>
      <c r="W35" t="s">
        <v>875</v>
      </c>
      <c r="X35">
        <v>78</v>
      </c>
    </row>
    <row r="36" spans="1:24" x14ac:dyDescent="0.2">
      <c r="W36" t="s">
        <v>876</v>
      </c>
      <c r="X36">
        <v>74</v>
      </c>
    </row>
    <row r="37" spans="1:24" x14ac:dyDescent="0.2">
      <c r="W37" t="s">
        <v>877</v>
      </c>
      <c r="X37">
        <v>85</v>
      </c>
    </row>
    <row r="38" spans="1:24" x14ac:dyDescent="0.2">
      <c r="W38" t="s">
        <v>878</v>
      </c>
      <c r="X38">
        <v>82</v>
      </c>
    </row>
    <row r="39" spans="1:24" x14ac:dyDescent="0.2">
      <c r="W39" t="s">
        <v>879</v>
      </c>
      <c r="X39">
        <v>86</v>
      </c>
    </row>
    <row r="40" spans="1:24" ht="15.75" x14ac:dyDescent="0.25">
      <c r="A40" s="1094" t="s">
        <v>880</v>
      </c>
      <c r="B40" s="1125"/>
      <c r="C40" s="1126">
        <f>Actualisation!G6-1</f>
        <v>2010</v>
      </c>
      <c r="D40" s="1126" t="s">
        <v>881</v>
      </c>
      <c r="E40" s="1127">
        <f>Actualisation!G6</f>
        <v>2011</v>
      </c>
      <c r="W40" t="s">
        <v>882</v>
      </c>
      <c r="X40">
        <v>95</v>
      </c>
    </row>
    <row r="41" spans="1:24" x14ac:dyDescent="0.2">
      <c r="A41" s="1128" t="s">
        <v>883</v>
      </c>
      <c r="B41" s="1129"/>
      <c r="C41" s="1130">
        <f>UMOns+UMOs</f>
        <v>3</v>
      </c>
      <c r="D41" s="1131">
        <f>HLOOKUP('Edition éleveur'!C6,refdata,66,0)+D42</f>
        <v>3</v>
      </c>
      <c r="E41" s="1132"/>
      <c r="G41" s="1133"/>
      <c r="W41" t="s">
        <v>884</v>
      </c>
      <c r="X41">
        <v>15</v>
      </c>
    </row>
    <row r="42" spans="1:24" x14ac:dyDescent="0.2">
      <c r="A42" s="1128" t="s">
        <v>885</v>
      </c>
      <c r="B42" s="1129"/>
      <c r="C42" s="1130">
        <f>UMOns</f>
        <v>2.5</v>
      </c>
      <c r="D42" s="1131">
        <f>HLOOKUP('Edition éleveur'!C6,refdata,65,0)</f>
        <v>2</v>
      </c>
      <c r="E42" s="1132"/>
      <c r="G42" s="1133"/>
      <c r="W42" t="s">
        <v>886</v>
      </c>
      <c r="X42">
        <v>34</v>
      </c>
    </row>
    <row r="43" spans="1:24" ht="25.5" x14ac:dyDescent="0.2">
      <c r="A43" s="1134" t="s">
        <v>887</v>
      </c>
      <c r="B43" s="1129"/>
      <c r="C43" s="1131">
        <f>IF(PAUMO="",B79+UMOnsCV*B85,UMOns*(Calcul!C69+Calcul!F69)/Calcul!B69)</f>
        <v>1.9049053595595189</v>
      </c>
      <c r="D43" s="1131">
        <f>HLOOKUP('Edition éleveur'!$C$6,refdata,67,0)</f>
        <v>1.6463985643388499</v>
      </c>
      <c r="E43" s="1135">
        <f>Actualisation!G61</f>
        <v>1.9049053595595189</v>
      </c>
      <c r="G43" s="1133"/>
      <c r="W43" t="s">
        <v>888</v>
      </c>
      <c r="X43">
        <v>33</v>
      </c>
    </row>
    <row r="44" spans="1:24" ht="25.5" x14ac:dyDescent="0.2">
      <c r="A44" s="1134" t="s">
        <v>889</v>
      </c>
      <c r="B44" s="1129"/>
      <c r="C44" s="1136">
        <f>LCB/C43</f>
        <v>385.9656314736867</v>
      </c>
      <c r="D44" s="1136">
        <f>HLOOKUP('Edition éleveur'!$C$6,refdata,69,0)</f>
        <v>419.09657536484002</v>
      </c>
      <c r="E44" s="1137">
        <f>C44*UMOnsBL*(1+Actualisation!C47)/Cuisine!E43</f>
        <v>385.9656314736867</v>
      </c>
      <c r="G44" s="1133"/>
      <c r="W44" t="s">
        <v>890</v>
      </c>
      <c r="X44">
        <v>58</v>
      </c>
    </row>
    <row r="45" spans="1:24" ht="76.5" x14ac:dyDescent="0.2">
      <c r="A45" s="1134" t="s">
        <v>891</v>
      </c>
      <c r="B45" s="1129"/>
      <c r="C45" s="1138">
        <f>C44*'Edition éleveur'!B58</f>
        <v>163909.38588473242</v>
      </c>
      <c r="D45" s="1138">
        <f>D44*'Edition éleveur'!C58</f>
        <v>141957.30014895383</v>
      </c>
      <c r="E45" s="1132"/>
      <c r="W45" t="s">
        <v>892</v>
      </c>
      <c r="X45">
        <v>49</v>
      </c>
    </row>
    <row r="46" spans="1:24" x14ac:dyDescent="0.2">
      <c r="A46" s="1139" t="s">
        <v>893</v>
      </c>
      <c r="B46" s="1140"/>
      <c r="C46" s="1131">
        <f>IF(PAUMO="",B80+UMOsCV*B85,IF(Calcul!B59&gt;0,UMOs*(Calcul!C59+Calcul!F59)/Calcul!B59,0))</f>
        <v>0.38098107191190383</v>
      </c>
      <c r="D46" s="1131">
        <f>HLOOKUP('Edition éleveur'!$C$6,refdata,68,0)</f>
        <v>0.82319928216942306</v>
      </c>
      <c r="E46" s="1132"/>
      <c r="W46" t="s">
        <v>894</v>
      </c>
      <c r="X46">
        <v>77</v>
      </c>
    </row>
    <row r="47" spans="1:24" x14ac:dyDescent="0.2">
      <c r="A47" s="1134" t="s">
        <v>895</v>
      </c>
      <c r="B47" s="1129"/>
      <c r="C47" s="1130">
        <f>BRUT</f>
        <v>1.3</v>
      </c>
      <c r="D47" s="1130">
        <f>BRUT</f>
        <v>1.3</v>
      </c>
      <c r="E47" s="1132">
        <f>BRUT</f>
        <v>1.3</v>
      </c>
      <c r="W47" t="s">
        <v>896</v>
      </c>
      <c r="X47">
        <v>46</v>
      </c>
    </row>
    <row r="48" spans="1:24" x14ac:dyDescent="0.2">
      <c r="A48" s="1141" t="s">
        <v>897</v>
      </c>
      <c r="B48" s="1142"/>
      <c r="C48" s="1143">
        <f>COCS*SMICNETAN</f>
        <v>17485</v>
      </c>
      <c r="D48" s="1143">
        <f>D47*SMICNETAN</f>
        <v>17485</v>
      </c>
      <c r="E48" s="1144">
        <f>E47*SMICNETAN*(1+Actualisation!B43)</f>
        <v>17485</v>
      </c>
      <c r="W48" t="s">
        <v>898</v>
      </c>
      <c r="X48">
        <v>76</v>
      </c>
    </row>
    <row r="49" spans="1:24" x14ac:dyDescent="0.2">
      <c r="A49" s="1129"/>
      <c r="B49" s="1129"/>
      <c r="C49" s="1129"/>
      <c r="D49" s="1129"/>
      <c r="E49" s="1129"/>
      <c r="W49" t="s">
        <v>899</v>
      </c>
      <c r="X49">
        <v>54</v>
      </c>
    </row>
    <row r="50" spans="1:24" x14ac:dyDescent="0.2">
      <c r="W50" t="s">
        <v>900</v>
      </c>
      <c r="X50">
        <v>56</v>
      </c>
    </row>
    <row r="51" spans="1:24" x14ac:dyDescent="0.2">
      <c r="W51" t="s">
        <v>901</v>
      </c>
      <c r="X51">
        <v>71</v>
      </c>
    </row>
    <row r="52" spans="1:24" ht="23.25" x14ac:dyDescent="0.35">
      <c r="A52" s="1145" t="s">
        <v>902</v>
      </c>
      <c r="B52" s="1146" t="s">
        <v>575</v>
      </c>
      <c r="C52" s="1147" t="s">
        <v>903</v>
      </c>
      <c r="D52" s="1148" t="s">
        <v>347</v>
      </c>
      <c r="E52" s="1149" t="s">
        <v>350</v>
      </c>
      <c r="F52" s="1150" t="s">
        <v>353</v>
      </c>
      <c r="W52" t="s">
        <v>904</v>
      </c>
      <c r="X52">
        <v>19</v>
      </c>
    </row>
    <row r="53" spans="1:24" s="1154" customFormat="1" ht="29.25" customHeight="1" x14ac:dyDescent="0.2">
      <c r="A53" s="1151"/>
      <c r="B53" s="1152" t="str">
        <f>BLsys</f>
        <v>BL plaine</v>
      </c>
      <c r="C53" s="1152">
        <f>AHsys</f>
        <v>0</v>
      </c>
      <c r="D53" s="1152"/>
      <c r="E53" s="1152" t="str">
        <f>"Maïs "&amp;GCUsys</f>
        <v>Maïs Plaine</v>
      </c>
      <c r="F53" s="1153" t="str">
        <f>"GCU "&amp;GCUsys</f>
        <v>GCU Plaine</v>
      </c>
      <c r="W53" s="1154" t="s">
        <v>905</v>
      </c>
      <c r="X53" s="1154">
        <v>75</v>
      </c>
    </row>
    <row r="54" spans="1:24" x14ac:dyDescent="0.2">
      <c r="A54" s="1155" t="s">
        <v>906</v>
      </c>
      <c r="B54" s="1156">
        <f>VLOOKUP($B$53,Cle_BL,5,0)</f>
        <v>1</v>
      </c>
      <c r="C54" s="1157" t="str">
        <f>IF(ISERROR(VLOOKUP($C$53,cle_AH,5,0)),"",VLOOKUP($C$53,cle_AH,5,0))</f>
        <v/>
      </c>
      <c r="D54" s="1156"/>
      <c r="E54" s="1158">
        <f>VLOOKUP($E$53,Cle_MF,5,0)</f>
        <v>1.0253968253968253</v>
      </c>
      <c r="F54" s="1159">
        <f>VLOOKUP($F$53,Cle_GCU,5,0)</f>
        <v>0.99365079365079367</v>
      </c>
      <c r="W54" s="421" t="s">
        <v>907</v>
      </c>
      <c r="X54" s="421">
        <v>66</v>
      </c>
    </row>
    <row r="55" spans="1:24" x14ac:dyDescent="0.2">
      <c r="A55" s="1160" t="s">
        <v>908</v>
      </c>
      <c r="B55" s="1161">
        <f>B54/$B54</f>
        <v>1</v>
      </c>
      <c r="C55" s="1161">
        <f>IF(C54&lt;&gt;"",C54/$B54,0)</f>
        <v>0</v>
      </c>
      <c r="D55" s="1161">
        <f>D54/$B54</f>
        <v>0</v>
      </c>
      <c r="E55" s="1162">
        <f>E54/$B54</f>
        <v>1.0253968253968253</v>
      </c>
      <c r="F55" s="1163">
        <f>F54/$B54</f>
        <v>0.99365079365079367</v>
      </c>
      <c r="W55" s="421" t="s">
        <v>909</v>
      </c>
      <c r="X55" s="421">
        <v>0</v>
      </c>
    </row>
    <row r="56" spans="1:24" x14ac:dyDescent="0.2">
      <c r="A56" s="1155" t="s">
        <v>910</v>
      </c>
      <c r="B56" s="1156">
        <f>VLOOKUP($B$53,Cle_BL,6,0)</f>
        <v>1</v>
      </c>
      <c r="C56" s="1157" t="str">
        <f>IF(ISERROR(VLOOKUP($C$53,cle_AH,6,0)),"",VLOOKUP($C$53,cle_AH,6,0))</f>
        <v/>
      </c>
      <c r="D56" s="1156"/>
      <c r="E56" s="1158">
        <f>VLOOKUP($E$53,Cle_MF,6,0)</f>
        <v>0</v>
      </c>
      <c r="F56" s="1159">
        <f>VLOOKUP($F$53,Cle_GCU,6,0)</f>
        <v>0.17935071846726983</v>
      </c>
      <c r="W56" s="421" t="s">
        <v>911</v>
      </c>
      <c r="X56" s="421">
        <v>37</v>
      </c>
    </row>
    <row r="57" spans="1:24" x14ac:dyDescent="0.2">
      <c r="A57" s="1160" t="s">
        <v>912</v>
      </c>
      <c r="B57" s="1161">
        <f>B56/$B56</f>
        <v>1</v>
      </c>
      <c r="C57" s="1161">
        <f>IF(C56&lt;&gt;"",C56/$B56,0)</f>
        <v>0</v>
      </c>
      <c r="D57" s="1161">
        <f>D56/$B56</f>
        <v>0</v>
      </c>
      <c r="E57" s="1162">
        <f>E56/$B56</f>
        <v>0</v>
      </c>
      <c r="F57" s="1163">
        <f>F56/$B56</f>
        <v>0.17935071846726983</v>
      </c>
      <c r="W57" t="s">
        <v>913</v>
      </c>
      <c r="X57">
        <v>41</v>
      </c>
    </row>
    <row r="58" spans="1:24" x14ac:dyDescent="0.2">
      <c r="A58" s="1155" t="s">
        <v>914</v>
      </c>
      <c r="B58" s="1156">
        <f>VLOOKUP($B$53,Cle_BL,7,0)</f>
        <v>1</v>
      </c>
      <c r="C58" s="1157" t="str">
        <f>IF(ISERROR(VLOOKUP($C$53,cle_AH,7,0)),"",VLOOKUP($C$53,cle_AH,7,0))</f>
        <v/>
      </c>
      <c r="D58" s="1156"/>
      <c r="E58" s="1158">
        <f>VLOOKUP($E$53,Cle_MF,7,0)</f>
        <v>0</v>
      </c>
      <c r="F58" s="1159">
        <f>VLOOKUP($F$53,Cle_GCU,7,0)</f>
        <v>0.72195087827707238</v>
      </c>
      <c r="W58" t="s">
        <v>915</v>
      </c>
      <c r="X58">
        <v>63</v>
      </c>
    </row>
    <row r="59" spans="1:24" x14ac:dyDescent="0.2">
      <c r="A59" s="1160" t="s">
        <v>916</v>
      </c>
      <c r="B59" s="1161">
        <f>B58/$B58</f>
        <v>1</v>
      </c>
      <c r="C59" s="1161">
        <f>IF(C58&lt;&gt;"",C58/$B58,0)</f>
        <v>0</v>
      </c>
      <c r="D59" s="1161">
        <f>D58/$B58</f>
        <v>0</v>
      </c>
      <c r="E59" s="1162">
        <f>E58/$B58</f>
        <v>0</v>
      </c>
      <c r="F59" s="1163">
        <f>F58/$B58</f>
        <v>0.72195087827707238</v>
      </c>
      <c r="W59" t="s">
        <v>917</v>
      </c>
      <c r="X59">
        <v>23</v>
      </c>
    </row>
    <row r="60" spans="1:24" x14ac:dyDescent="0.2">
      <c r="A60" s="1155" t="s">
        <v>918</v>
      </c>
      <c r="B60" s="1156">
        <f>VLOOKUP($B$53,Cle_BL,8,0)</f>
        <v>1</v>
      </c>
      <c r="C60" s="1157" t="str">
        <f>IF(ISERROR(VLOOKUP($C$53,cle_AH,8,0)),"",VLOOKUP($C$53,cle_AH,8,0))</f>
        <v/>
      </c>
      <c r="D60" s="1156"/>
      <c r="E60" s="1158">
        <f>VLOOKUP($E$53,Cle_MF,8,0)</f>
        <v>0</v>
      </c>
      <c r="F60" s="1159">
        <f>VLOOKUP($F$53,Cle_GCU,8,0)</f>
        <v>0.4988422948289169</v>
      </c>
      <c r="W60" t="s">
        <v>919</v>
      </c>
      <c r="X60">
        <v>88</v>
      </c>
    </row>
    <row r="61" spans="1:24" x14ac:dyDescent="0.2">
      <c r="A61" s="1160" t="s">
        <v>920</v>
      </c>
      <c r="B61" s="1161">
        <f>B60/$B60</f>
        <v>1</v>
      </c>
      <c r="C61" s="1161">
        <f>IF(C60&lt;&gt;"",C60/$B60,0)</f>
        <v>0</v>
      </c>
      <c r="D61" s="1161">
        <f>D60/$B60</f>
        <v>0</v>
      </c>
      <c r="E61" s="1162">
        <f>E60/$B60</f>
        <v>0</v>
      </c>
      <c r="F61" s="1163">
        <f>F60/$B60</f>
        <v>0.4988422948289169</v>
      </c>
      <c r="W61" t="s">
        <v>921</v>
      </c>
      <c r="X61">
        <v>35</v>
      </c>
    </row>
    <row r="62" spans="1:24" x14ac:dyDescent="0.2">
      <c r="A62" s="1155" t="s">
        <v>922</v>
      </c>
      <c r="B62" s="1156">
        <f>VLOOKUP($B$53,Cle_BL,9,0)</f>
        <v>1</v>
      </c>
      <c r="C62" s="1157" t="str">
        <f>IF(ISERROR(VLOOKUP($C$53,cle_AH,9,0)),"",VLOOKUP($C$53,cle_AH,9,0))</f>
        <v/>
      </c>
      <c r="D62" s="1156"/>
      <c r="E62" s="1158">
        <f>VLOOKUP($E$53,Cle_MF,9,0)</f>
        <v>0</v>
      </c>
      <c r="F62" s="1159">
        <f>VLOOKUP($F$53,Cle_GCU,9,0)</f>
        <v>0.40540540540540537</v>
      </c>
      <c r="W62" t="s">
        <v>923</v>
      </c>
      <c r="X62">
        <v>45</v>
      </c>
    </row>
    <row r="63" spans="1:24" x14ac:dyDescent="0.2">
      <c r="A63" s="1160" t="s">
        <v>924</v>
      </c>
      <c r="B63" s="1161">
        <f>B62/$B62</f>
        <v>1</v>
      </c>
      <c r="C63" s="1161">
        <f>IF(C62&lt;&gt;"",C62/$B62,0)</f>
        <v>0</v>
      </c>
      <c r="D63" s="1161">
        <f>D62/$B62</f>
        <v>0</v>
      </c>
      <c r="E63" s="1162">
        <f>E62/$B62</f>
        <v>0</v>
      </c>
      <c r="F63" s="1163">
        <f>F62/$B62</f>
        <v>0.40540540540540537</v>
      </c>
      <c r="W63" t="s">
        <v>925</v>
      </c>
      <c r="X63">
        <v>31</v>
      </c>
    </row>
    <row r="64" spans="1:24" x14ac:dyDescent="0.2">
      <c r="W64" t="s">
        <v>926</v>
      </c>
      <c r="X64">
        <v>53</v>
      </c>
    </row>
    <row r="65" spans="1:24" x14ac:dyDescent="0.2">
      <c r="A65" s="1164" t="s">
        <v>927</v>
      </c>
      <c r="W65" t="s">
        <v>928</v>
      </c>
      <c r="X65">
        <v>57</v>
      </c>
    </row>
    <row r="66" spans="1:24" x14ac:dyDescent="0.2">
      <c r="A66" s="1165" t="s">
        <v>331</v>
      </c>
      <c r="W66" s="1100"/>
      <c r="X66" s="1100"/>
    </row>
    <row r="67" spans="1:24" x14ac:dyDescent="0.2">
      <c r="A67" s="1166" t="s">
        <v>929</v>
      </c>
      <c r="W67" s="1100"/>
      <c r="X67" s="1100"/>
    </row>
    <row r="68" spans="1:24" x14ac:dyDescent="0.2">
      <c r="W68" s="1100"/>
      <c r="X68" s="1100"/>
    </row>
    <row r="70" spans="1:24" x14ac:dyDescent="0.2">
      <c r="A70" s="1164" t="s">
        <v>930</v>
      </c>
      <c r="B70" s="1167"/>
    </row>
    <row r="71" spans="1:24" x14ac:dyDescent="0.2">
      <c r="A71" s="1168" t="s">
        <v>931</v>
      </c>
      <c r="B71" s="1169">
        <f>VALUE(CAMP)</f>
        <v>2013</v>
      </c>
      <c r="D71" s="1114"/>
    </row>
    <row r="72" spans="1:24" x14ac:dyDescent="0.2">
      <c r="A72" s="1168" t="s">
        <v>932</v>
      </c>
      <c r="B72" s="1170">
        <f>HLOOKUP($B$71,paraman,2,0)</f>
        <v>1.6E-2</v>
      </c>
      <c r="D72" s="1171"/>
      <c r="E72" s="1172"/>
    </row>
    <row r="73" spans="1:24" x14ac:dyDescent="0.2">
      <c r="A73" s="1168" t="s">
        <v>933</v>
      </c>
      <c r="B73" s="1173">
        <f>HLOOKUP($B$71,paraman,3,0)</f>
        <v>13450</v>
      </c>
      <c r="D73" s="1171"/>
      <c r="E73" s="1172"/>
    </row>
    <row r="74" spans="1:24" x14ac:dyDescent="0.2">
      <c r="A74" s="1168" t="s">
        <v>934</v>
      </c>
      <c r="B74" s="1174">
        <f>HLOOKUP($B$71,paraman,4,0)</f>
        <v>1.3</v>
      </c>
      <c r="D74" s="1171"/>
      <c r="E74" s="1172"/>
    </row>
    <row r="75" spans="1:24" x14ac:dyDescent="0.2">
      <c r="A75" s="1175" t="s">
        <v>935</v>
      </c>
      <c r="B75" s="1176">
        <f>HLOOKUP($B$71,paraman,5,0)</f>
        <v>150</v>
      </c>
      <c r="D75" s="1171"/>
      <c r="E75" s="1172"/>
    </row>
    <row r="76" spans="1:24" x14ac:dyDescent="0.2">
      <c r="D76" s="1171"/>
      <c r="E76" s="1172"/>
    </row>
    <row r="77" spans="1:24" x14ac:dyDescent="0.2">
      <c r="A77" s="1177" t="s">
        <v>341</v>
      </c>
      <c r="B77">
        <f>UMOns</f>
        <v>2.5</v>
      </c>
      <c r="D77" s="1171"/>
      <c r="E77" s="1172"/>
    </row>
    <row r="78" spans="1:24" x14ac:dyDescent="0.2">
      <c r="A78" s="1177" t="s">
        <v>342</v>
      </c>
      <c r="B78">
        <f>UMOs</f>
        <v>0.5</v>
      </c>
      <c r="D78" s="1171"/>
      <c r="E78" s="1172"/>
    </row>
    <row r="79" spans="1:24" x14ac:dyDescent="0.2">
      <c r="A79" s="1178" t="s">
        <v>936</v>
      </c>
      <c r="B79" t="str">
        <f>IF(PAUMO="",Saisie!C120,"calcul coefff")</f>
        <v>calcul coefff</v>
      </c>
      <c r="C79" s="1172" t="e">
        <f>B79/$B$77</f>
        <v>#VALUE!</v>
      </c>
      <c r="D79" s="1171" t="s">
        <v>937</v>
      </c>
      <c r="E79" s="1172"/>
    </row>
    <row r="80" spans="1:24" x14ac:dyDescent="0.2">
      <c r="A80" s="1178" t="s">
        <v>938</v>
      </c>
      <c r="B80" t="str">
        <f>IF(PAUMO="",Saisie!C121,"calcul coeff")</f>
        <v>calcul coeff</v>
      </c>
      <c r="C80" s="1172" t="e">
        <f>IF($B$78&gt;0,B80/$B$78,0)</f>
        <v>#VALUE!</v>
      </c>
      <c r="D80" s="1171" t="s">
        <v>939</v>
      </c>
      <c r="E80" s="1172"/>
    </row>
    <row r="81" spans="1:5" x14ac:dyDescent="0.2">
      <c r="A81" s="1178" t="s">
        <v>940</v>
      </c>
      <c r="B81" t="str">
        <f>IF(PAUMO="",Saisie!C122,"calcul coeff")</f>
        <v>calcul coeff</v>
      </c>
      <c r="C81" s="1172" t="e">
        <f>B81/$B$77</f>
        <v>#VALUE!</v>
      </c>
      <c r="D81" s="1171" t="s">
        <v>937</v>
      </c>
      <c r="E81" s="1172"/>
    </row>
    <row r="82" spans="1:5" x14ac:dyDescent="0.2">
      <c r="A82" s="1178" t="s">
        <v>941</v>
      </c>
      <c r="B82" t="str">
        <f>IF(PAUMO="",Saisie!C123,"calcul coeff")</f>
        <v>calcul coeff</v>
      </c>
      <c r="C82" s="1172" t="e">
        <f>IF($B$78&gt;0,B82/$B$78,0)</f>
        <v>#VALUE!</v>
      </c>
      <c r="D82" s="1171" t="s">
        <v>939</v>
      </c>
      <c r="E82" s="1172"/>
    </row>
    <row r="83" spans="1:5" x14ac:dyDescent="0.2">
      <c r="A83" s="1178" t="s">
        <v>942</v>
      </c>
      <c r="B83" t="str">
        <f>IF(PAUMO="",Saisie!C124,"calcul coeff")</f>
        <v>calcul coeff</v>
      </c>
      <c r="C83" s="1172" t="e">
        <f>B83/$B$77</f>
        <v>#VALUE!</v>
      </c>
      <c r="D83" s="1171" t="s">
        <v>937</v>
      </c>
      <c r="E83" s="1172"/>
    </row>
    <row r="84" spans="1:5" x14ac:dyDescent="0.2">
      <c r="A84" s="1178" t="s">
        <v>943</v>
      </c>
      <c r="B84" t="str">
        <f>IF(PAUMO="",Saisie!C125,"calcul coeff")</f>
        <v>calcul coeff</v>
      </c>
      <c r="C84" s="1172" t="e">
        <f>IF($B$78&gt;0,B84/$B$78,0)</f>
        <v>#VALUE!</v>
      </c>
      <c r="D84" s="1171" t="s">
        <v>939</v>
      </c>
      <c r="E84" s="1172"/>
    </row>
    <row r="85" spans="1:5" x14ac:dyDescent="0.2">
      <c r="A85" s="1178" t="s">
        <v>944</v>
      </c>
      <c r="B85" s="1172">
        <f>IF(CV&gt;0,CVBL/CV,0)</f>
        <v>8.1112398609501733E-3</v>
      </c>
      <c r="D85" s="1171"/>
      <c r="E85" s="1172"/>
    </row>
    <row r="86" spans="1:5" x14ac:dyDescent="0.2">
      <c r="D86" s="1171"/>
      <c r="E86" s="1172"/>
    </row>
    <row r="87" spans="1:5" x14ac:dyDescent="0.2">
      <c r="D87" s="1171"/>
      <c r="E87" s="1172"/>
    </row>
    <row r="88" spans="1:5" x14ac:dyDescent="0.2">
      <c r="D88" s="1171"/>
      <c r="E88" s="1172"/>
    </row>
    <row r="89" spans="1:5" x14ac:dyDescent="0.2">
      <c r="D89" s="1171"/>
      <c r="E89" s="1172"/>
    </row>
    <row r="90" spans="1:5" x14ac:dyDescent="0.2">
      <c r="D90" s="1171"/>
      <c r="E90" s="1172"/>
    </row>
    <row r="91" spans="1:5" x14ac:dyDescent="0.2">
      <c r="D91" s="1171"/>
      <c r="E91" s="1172"/>
    </row>
    <row r="92" spans="1:5" x14ac:dyDescent="0.2">
      <c r="D92" s="1171"/>
      <c r="E92" s="1172"/>
    </row>
    <row r="93" spans="1:5" ht="18" x14ac:dyDescent="0.25">
      <c r="A93" s="1179"/>
      <c r="D93" s="1171"/>
      <c r="E93" s="1172"/>
    </row>
    <row r="94" spans="1:5" x14ac:dyDescent="0.2">
      <c r="A94" s="1180"/>
      <c r="B94" s="1180"/>
      <c r="C94" s="1180"/>
      <c r="D94" s="1171"/>
      <c r="E94" s="1172"/>
    </row>
    <row r="95" spans="1:5" x14ac:dyDescent="0.2">
      <c r="D95" s="1171"/>
      <c r="E95" s="1172"/>
    </row>
    <row r="96" spans="1:5" x14ac:dyDescent="0.2">
      <c r="A96" s="1181"/>
      <c r="B96" s="1182"/>
      <c r="C96" s="1182"/>
      <c r="D96" s="1171"/>
      <c r="E96" s="1172"/>
    </row>
    <row r="97" spans="1:5" x14ac:dyDescent="0.2">
      <c r="A97" s="1181"/>
      <c r="B97" s="1182"/>
      <c r="C97" s="1182"/>
      <c r="D97" s="1171"/>
      <c r="E97" s="1172"/>
    </row>
    <row r="98" spans="1:5" x14ac:dyDescent="0.2">
      <c r="A98" s="1181"/>
      <c r="B98" s="1182"/>
      <c r="C98" s="1182"/>
      <c r="D98" s="1171"/>
      <c r="E98" s="1172"/>
    </row>
    <row r="99" spans="1:5" x14ac:dyDescent="0.2">
      <c r="A99" s="1181"/>
      <c r="B99" s="1182"/>
      <c r="C99" s="1182"/>
      <c r="D99" s="1171"/>
      <c r="E99" s="1172"/>
    </row>
    <row r="100" spans="1:5" x14ac:dyDescent="0.2">
      <c r="A100" s="1181"/>
      <c r="B100" s="1182"/>
      <c r="C100" s="1182"/>
      <c r="D100" s="1171"/>
      <c r="E100" s="1172"/>
    </row>
    <row r="101" spans="1:5" x14ac:dyDescent="0.2">
      <c r="A101" s="1181"/>
      <c r="B101" s="1182"/>
      <c r="C101" s="1182"/>
      <c r="D101" s="1171"/>
      <c r="E101" s="1172"/>
    </row>
    <row r="102" spans="1:5" x14ac:dyDescent="0.2">
      <c r="A102" s="1181"/>
      <c r="B102" s="1182"/>
      <c r="C102" s="1182"/>
      <c r="D102" s="1171"/>
      <c r="E102" s="1172"/>
    </row>
    <row r="103" spans="1:5" x14ac:dyDescent="0.2">
      <c r="A103" s="1181"/>
      <c r="B103" s="1182"/>
      <c r="C103" s="1182"/>
      <c r="D103" s="1171"/>
      <c r="E103" s="1172"/>
    </row>
    <row r="104" spans="1:5" x14ac:dyDescent="0.2">
      <c r="A104" s="1181"/>
      <c r="B104" s="1182"/>
      <c r="C104" s="1182"/>
      <c r="D104" s="1171"/>
      <c r="E104" s="1172"/>
    </row>
    <row r="105" spans="1:5" x14ac:dyDescent="0.2">
      <c r="A105" s="1181"/>
      <c r="B105" s="1182"/>
      <c r="C105" s="1182"/>
      <c r="D105" s="1171"/>
      <c r="E105" s="1172"/>
    </row>
    <row r="106" spans="1:5" x14ac:dyDescent="0.2">
      <c r="A106" s="1181"/>
      <c r="B106" s="1182"/>
      <c r="C106" s="1182"/>
      <c r="D106" s="1171"/>
      <c r="E106" s="1172"/>
    </row>
    <row r="107" spans="1:5" x14ac:dyDescent="0.2">
      <c r="A107" s="1181"/>
      <c r="B107" s="1182"/>
      <c r="C107" s="1182"/>
      <c r="D107" s="1171"/>
      <c r="E107" s="1172"/>
    </row>
    <row r="108" spans="1:5" x14ac:dyDescent="0.2">
      <c r="A108" s="1181"/>
      <c r="B108" s="1182"/>
      <c r="C108" s="1182"/>
      <c r="D108" s="1171"/>
      <c r="E108" s="1172"/>
    </row>
    <row r="109" spans="1:5" x14ac:dyDescent="0.2">
      <c r="A109" s="1181"/>
      <c r="B109" s="1182"/>
      <c r="C109" s="1182"/>
      <c r="D109" s="1171"/>
      <c r="E109" s="1172"/>
    </row>
    <row r="110" spans="1:5" x14ac:dyDescent="0.2">
      <c r="A110" s="1181"/>
      <c r="B110" s="1182"/>
      <c r="C110" s="1182"/>
      <c r="D110" s="1171"/>
      <c r="E110" s="1172"/>
    </row>
    <row r="111" spans="1:5" x14ac:dyDescent="0.2">
      <c r="A111" s="1181"/>
      <c r="B111" s="1182"/>
      <c r="C111" s="1182"/>
      <c r="D111" s="1171"/>
      <c r="E111" s="1172"/>
    </row>
    <row r="112" spans="1:5" x14ac:dyDescent="0.2">
      <c r="A112" s="1181"/>
      <c r="B112" s="1182"/>
      <c r="C112" s="1182"/>
      <c r="D112" s="1171"/>
      <c r="E112" s="1172"/>
    </row>
    <row r="113" spans="1:5" x14ac:dyDescent="0.2">
      <c r="A113" s="1181"/>
      <c r="B113" s="1182"/>
      <c r="C113" s="1182"/>
      <c r="D113" s="1171"/>
      <c r="E113" s="1172"/>
    </row>
    <row r="114" spans="1:5" x14ac:dyDescent="0.2">
      <c r="A114" s="1181"/>
      <c r="B114" s="1182"/>
      <c r="C114" s="1182"/>
      <c r="D114" s="1171"/>
      <c r="E114" s="1172"/>
    </row>
    <row r="115" spans="1:5" x14ac:dyDescent="0.2">
      <c r="A115" s="1181"/>
      <c r="B115" s="1182"/>
      <c r="C115" s="1182"/>
      <c r="D115" s="1171"/>
      <c r="E115" s="1172"/>
    </row>
    <row r="116" spans="1:5" x14ac:dyDescent="0.2">
      <c r="A116" s="1181"/>
      <c r="B116" s="1182"/>
      <c r="C116" s="1182"/>
      <c r="D116" s="1171"/>
      <c r="E116" s="1172"/>
    </row>
    <row r="117" spans="1:5" x14ac:dyDescent="0.2">
      <c r="A117" s="1181"/>
      <c r="B117" s="1182"/>
      <c r="C117" s="1182"/>
      <c r="D117" s="1171"/>
      <c r="E117" s="1172"/>
    </row>
    <row r="118" spans="1:5" x14ac:dyDescent="0.2">
      <c r="A118" s="1181"/>
      <c r="B118" s="1182"/>
      <c r="C118" s="1182"/>
      <c r="D118" s="1171"/>
      <c r="E118" s="1172"/>
    </row>
    <row r="119" spans="1:5" x14ac:dyDescent="0.2">
      <c r="A119" s="1181"/>
      <c r="B119" s="1182"/>
      <c r="C119" s="1182"/>
      <c r="D119" s="1171"/>
      <c r="E119" s="1172"/>
    </row>
    <row r="120" spans="1:5" x14ac:dyDescent="0.2">
      <c r="A120" s="1181"/>
      <c r="B120" s="1182"/>
      <c r="C120" s="1182"/>
      <c r="D120" s="1171"/>
      <c r="E120" s="1172"/>
    </row>
    <row r="121" spans="1:5" x14ac:dyDescent="0.2">
      <c r="A121" s="1181"/>
      <c r="B121" s="1182"/>
      <c r="C121" s="1182"/>
      <c r="D121" s="1171"/>
      <c r="E121" s="1172"/>
    </row>
    <row r="122" spans="1:5" x14ac:dyDescent="0.2">
      <c r="A122" s="1181"/>
      <c r="B122" s="1182"/>
      <c r="C122" s="1182"/>
      <c r="D122" s="1171"/>
      <c r="E122" s="1172"/>
    </row>
    <row r="123" spans="1:5" x14ac:dyDescent="0.2">
      <c r="A123" s="1181"/>
      <c r="B123" s="1182"/>
      <c r="C123" s="1182"/>
      <c r="D123" s="1171"/>
      <c r="E123" s="1172"/>
    </row>
    <row r="124" spans="1:5" x14ac:dyDescent="0.2">
      <c r="A124" s="1181"/>
      <c r="B124" s="1183"/>
      <c r="C124" s="1183"/>
      <c r="D124" s="1171"/>
      <c r="E124" s="1172"/>
    </row>
    <row r="125" spans="1:5" x14ac:dyDescent="0.2">
      <c r="A125" s="1181"/>
      <c r="B125" s="1184"/>
      <c r="C125" s="1185"/>
      <c r="D125" s="1171"/>
      <c r="E125" s="1172"/>
    </row>
    <row r="126" spans="1:5" x14ac:dyDescent="0.2">
      <c r="A126" s="1181"/>
      <c r="B126" s="1185"/>
      <c r="C126" s="1185"/>
      <c r="D126" s="1171"/>
      <c r="E126" s="1172"/>
    </row>
    <row r="127" spans="1:5" x14ac:dyDescent="0.2">
      <c r="D127" s="1171"/>
      <c r="E127" s="1172"/>
    </row>
    <row r="128" spans="1:5" x14ac:dyDescent="0.2">
      <c r="D128" s="1171"/>
      <c r="E128" s="1172"/>
    </row>
    <row r="129" spans="4:5" x14ac:dyDescent="0.2">
      <c r="D129" s="1171"/>
      <c r="E129" s="1172"/>
    </row>
    <row r="130" spans="4:5" x14ac:dyDescent="0.2">
      <c r="D130" s="1171"/>
      <c r="E130" s="1172"/>
    </row>
    <row r="131" spans="4:5" x14ac:dyDescent="0.2">
      <c r="D131" s="1171"/>
      <c r="E131" s="1172"/>
    </row>
    <row r="132" spans="4:5" x14ac:dyDescent="0.2">
      <c r="D132" s="1171"/>
      <c r="E132" s="1172"/>
    </row>
    <row r="133" spans="4:5" x14ac:dyDescent="0.2">
      <c r="D133" s="1171"/>
      <c r="E133" s="1172"/>
    </row>
    <row r="134" spans="4:5" x14ac:dyDescent="0.2">
      <c r="D134" s="1171"/>
      <c r="E134" s="1172"/>
    </row>
    <row r="135" spans="4:5" x14ac:dyDescent="0.2">
      <c r="D135" s="1171"/>
      <c r="E135" s="1172"/>
    </row>
    <row r="136" spans="4:5" x14ac:dyDescent="0.2">
      <c r="D136" s="1171"/>
      <c r="E136" s="1172"/>
    </row>
    <row r="137" spans="4:5" x14ac:dyDescent="0.2">
      <c r="D137" s="1171"/>
      <c r="E137" s="1172"/>
    </row>
  </sheetData>
  <sheetProtection selectLockedCells="1" selectUnlockedCells="1"/>
  <pageMargins left="0.78749999999999998" right="0.78749999999999998" top="0.98402777777777772" bottom="0.98402777777777772" header="0.51180555555555551" footer="0.51180555555555551"/>
  <pageSetup paperSize="9" firstPageNumber="0"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1"/>
  <sheetViews>
    <sheetView zoomScale="70" zoomScaleNormal="70" workbookViewId="0">
      <pane xSplit="1" ySplit="9" topLeftCell="B10" activePane="bottomRight" state="frozen"/>
      <selection pane="topRight" activeCell="B1" sqref="B1"/>
      <selection pane="bottomLeft" activeCell="A10" sqref="A10"/>
      <selection pane="bottomRight" activeCell="J26" sqref="J26"/>
    </sheetView>
  </sheetViews>
  <sheetFormatPr baseColWidth="10" defaultRowHeight="15" customHeight="1" x14ac:dyDescent="0.2"/>
  <cols>
    <col min="1" max="1" width="47.28515625" style="1038" customWidth="1"/>
    <col min="2" max="2" width="4.7109375" style="1186" customWidth="1"/>
    <col min="3" max="3" width="12.5703125" style="1187" customWidth="1"/>
    <col min="4" max="4" width="12" style="1187" customWidth="1"/>
    <col min="5" max="5" width="12.5703125" style="1187" customWidth="1"/>
    <col min="6" max="6" width="14.42578125" style="1187" customWidth="1"/>
    <col min="7" max="7" width="12.85546875" style="1187" customWidth="1"/>
    <col min="8" max="8" width="12.28515625" style="1187" customWidth="1"/>
    <col min="9" max="9" width="13" style="1187" customWidth="1"/>
    <col min="10" max="10" width="12.5703125" style="1187" customWidth="1"/>
    <col min="11" max="12" width="13" style="1187" customWidth="1"/>
    <col min="13" max="13" width="11.140625" style="1187" customWidth="1"/>
    <col min="14" max="14" width="14.7109375" style="1187" customWidth="1"/>
    <col min="15" max="15" width="11.5703125" style="1187" customWidth="1"/>
    <col min="16" max="19" width="14.7109375" style="1187" customWidth="1"/>
    <col min="20" max="20" width="12" style="1187" customWidth="1"/>
    <col min="21" max="21" width="13.7109375" style="1187" customWidth="1"/>
    <col min="22" max="31" width="14.7109375" style="1187" customWidth="1"/>
    <col min="32" max="39" width="13.7109375" style="1188" customWidth="1"/>
    <col min="40" max="16384" width="11.42578125" style="1188"/>
  </cols>
  <sheetData>
    <row r="1" spans="1:255" ht="30" customHeight="1" x14ac:dyDescent="0.2">
      <c r="A1" s="1189"/>
      <c r="B1" s="1190"/>
    </row>
    <row r="2" spans="1:255" ht="45.75" customHeight="1" x14ac:dyDescent="0.25">
      <c r="A2" s="1191" t="s">
        <v>82</v>
      </c>
      <c r="B2" s="1192"/>
      <c r="J2" s="1193"/>
      <c r="P2" s="1193"/>
      <c r="U2" s="1193"/>
      <c r="Z2" s="1193"/>
      <c r="AE2" s="1193"/>
    </row>
    <row r="3" spans="1:255" ht="12" x14ac:dyDescent="0.2">
      <c r="J3" s="1194"/>
      <c r="P3" s="1194"/>
      <c r="U3" s="1194"/>
      <c r="Z3" s="1193"/>
      <c r="AE3" s="1193"/>
    </row>
    <row r="4" spans="1:255" ht="12" x14ac:dyDescent="0.2">
      <c r="A4" s="1195" t="s">
        <v>945</v>
      </c>
      <c r="Z4" s="1193"/>
      <c r="AE4" s="1193"/>
    </row>
    <row r="5" spans="1:255" ht="12" x14ac:dyDescent="0.2">
      <c r="A5" s="1195" t="s">
        <v>946</v>
      </c>
    </row>
    <row r="6" spans="1:255" ht="12" x14ac:dyDescent="0.2"/>
    <row r="7" spans="1:255" s="1200" customFormat="1" ht="29.25" customHeight="1" x14ac:dyDescent="0.2">
      <c r="A7" s="1196" t="s">
        <v>947</v>
      </c>
      <c r="B7" s="1190">
        <v>1</v>
      </c>
      <c r="C7" s="1197" t="s">
        <v>948</v>
      </c>
      <c r="D7" s="1197" t="s">
        <v>949</v>
      </c>
      <c r="E7" s="1197" t="s">
        <v>950</v>
      </c>
      <c r="F7" s="1197" t="s">
        <v>951</v>
      </c>
      <c r="G7" s="1197" t="s">
        <v>657</v>
      </c>
      <c r="H7" s="1197" t="s">
        <v>952</v>
      </c>
      <c r="I7" s="1197" t="s">
        <v>953</v>
      </c>
      <c r="J7" s="1198"/>
      <c r="K7" s="1198"/>
      <c r="L7" s="1199"/>
      <c r="M7" s="1199"/>
      <c r="N7" s="1199"/>
      <c r="O7" s="1199"/>
      <c r="P7" s="1197"/>
      <c r="Q7" s="1197"/>
      <c r="R7" s="1197"/>
      <c r="S7" s="1197"/>
      <c r="T7" s="1199"/>
      <c r="U7" s="1198"/>
      <c r="V7" s="1198"/>
      <c r="W7" s="1198"/>
      <c r="X7" s="1198"/>
      <c r="Y7" s="1198"/>
      <c r="Z7" s="1198"/>
      <c r="AA7" s="1198"/>
      <c r="AB7" s="1198"/>
      <c r="AC7" s="1197"/>
      <c r="AD7" s="1197"/>
      <c r="AE7" s="1197"/>
    </row>
    <row r="8" spans="1:255" s="1202" customFormat="1" ht="12.75" x14ac:dyDescent="0.2">
      <c r="A8" s="927" t="s">
        <v>113</v>
      </c>
      <c r="B8" s="1186">
        <v>2</v>
      </c>
      <c r="C8" s="1201">
        <v>2012</v>
      </c>
      <c r="D8" s="1201">
        <v>2013</v>
      </c>
      <c r="E8" s="1201">
        <v>2013</v>
      </c>
      <c r="F8" s="1201">
        <v>2013</v>
      </c>
      <c r="G8" s="1201">
        <v>2013</v>
      </c>
      <c r="H8" s="1201">
        <v>2013</v>
      </c>
      <c r="I8" s="1201">
        <v>2013</v>
      </c>
      <c r="J8" s="1201"/>
      <c r="K8" s="1201"/>
      <c r="L8" s="1201"/>
      <c r="M8" s="1201"/>
      <c r="N8" s="1201"/>
      <c r="O8" s="1201"/>
      <c r="P8" s="1201"/>
      <c r="Q8" s="1201"/>
      <c r="R8" s="1201"/>
      <c r="S8" s="1201"/>
      <c r="T8" s="1201"/>
      <c r="U8" s="1201"/>
      <c r="V8" s="1201"/>
      <c r="W8" s="1201"/>
      <c r="X8" s="1201"/>
      <c r="Y8" s="1201"/>
      <c r="Z8" s="1201"/>
      <c r="AA8" s="1201"/>
      <c r="AB8" s="1201"/>
      <c r="AC8" s="1201"/>
      <c r="AD8" s="1201"/>
      <c r="AE8" s="1201"/>
    </row>
    <row r="9" spans="1:255" s="1200" customFormat="1" ht="12.75" x14ac:dyDescent="0.2">
      <c r="A9" s="831" t="s">
        <v>954</v>
      </c>
      <c r="B9" s="1186">
        <v>3</v>
      </c>
      <c r="C9" s="1203"/>
      <c r="D9" s="1203"/>
      <c r="E9" s="1203"/>
      <c r="F9" s="1203"/>
      <c r="G9" s="1203"/>
      <c r="H9" s="1203"/>
      <c r="I9" s="1203"/>
      <c r="J9" s="1203"/>
      <c r="K9" s="1203"/>
      <c r="L9" s="1203"/>
      <c r="M9" s="1203"/>
      <c r="N9" s="1203"/>
      <c r="O9" s="1203"/>
      <c r="P9" s="1203"/>
      <c r="Q9" s="1203"/>
      <c r="R9" s="1203"/>
      <c r="S9" s="1203"/>
      <c r="T9" s="1203"/>
      <c r="U9" s="1203"/>
      <c r="V9" s="1203"/>
      <c r="W9" s="1203"/>
      <c r="X9" s="1203"/>
      <c r="Y9" s="1203"/>
      <c r="Z9" s="1203"/>
      <c r="AA9" s="1203"/>
      <c r="AB9" s="1203"/>
      <c r="AC9" s="1203"/>
      <c r="AD9" s="1203"/>
      <c r="AE9" s="1203"/>
    </row>
    <row r="10" spans="1:255" s="1207" customFormat="1" ht="12.75" x14ac:dyDescent="0.2">
      <c r="A10" s="1204" t="s">
        <v>955</v>
      </c>
      <c r="B10" s="1205">
        <v>4</v>
      </c>
      <c r="C10" s="1206">
        <v>447.39119989390798</v>
      </c>
      <c r="D10" s="1206">
        <v>402.637741771013</v>
      </c>
      <c r="E10" s="1206">
        <v>403.41910934301899</v>
      </c>
      <c r="F10" s="1206">
        <v>458.64366200997603</v>
      </c>
      <c r="G10" s="1206">
        <v>419.55203266504299</v>
      </c>
      <c r="H10" s="1206">
        <v>437.45003980106702</v>
      </c>
      <c r="I10" s="1206">
        <v>478.53638009617799</v>
      </c>
      <c r="J10" s="1206"/>
      <c r="K10" s="1206"/>
      <c r="L10" s="1206"/>
      <c r="M10" s="1206"/>
      <c r="N10" s="1206"/>
      <c r="O10" s="1206"/>
      <c r="P10" s="1206"/>
      <c r="Q10" s="1206"/>
      <c r="R10" s="1206"/>
      <c r="S10" s="1206"/>
      <c r="T10" s="1206"/>
      <c r="U10" s="1206"/>
      <c r="V10" s="1206"/>
      <c r="W10" s="1206"/>
      <c r="X10" s="1206"/>
      <c r="Y10" s="1206"/>
      <c r="Z10" s="1206"/>
      <c r="AA10" s="1206"/>
      <c r="AB10" s="1206"/>
      <c r="AC10" s="1206"/>
      <c r="AD10" s="1206"/>
      <c r="AE10" s="1206"/>
      <c r="AG10" s="1208"/>
      <c r="AJ10" s="1208"/>
      <c r="AM10" s="1208"/>
      <c r="AP10" s="1208"/>
      <c r="AS10" s="1208"/>
      <c r="AV10" s="1208"/>
      <c r="AY10" s="1208"/>
      <c r="BB10" s="1208"/>
      <c r="BE10" s="1208"/>
      <c r="BH10" s="1208"/>
      <c r="BK10" s="1208"/>
      <c r="BN10" s="1208"/>
      <c r="BQ10" s="1208"/>
      <c r="BT10" s="1208"/>
      <c r="BW10" s="1208"/>
      <c r="BZ10" s="1208"/>
      <c r="CC10" s="1208"/>
      <c r="CF10" s="1208"/>
      <c r="CI10" s="1208"/>
      <c r="CL10" s="1208"/>
      <c r="CO10" s="1208"/>
      <c r="CR10" s="1208"/>
      <c r="CU10" s="1208"/>
      <c r="CX10" s="1208"/>
      <c r="DA10" s="1208"/>
      <c r="DD10" s="1208"/>
      <c r="DG10" s="1208"/>
      <c r="DJ10" s="1208"/>
      <c r="DM10" s="1208"/>
      <c r="DP10" s="1208"/>
      <c r="DS10" s="1208"/>
      <c r="DV10" s="1208"/>
      <c r="DY10" s="1208"/>
      <c r="EB10" s="1208"/>
      <c r="EE10" s="1208"/>
      <c r="EH10" s="1208"/>
      <c r="EK10" s="1208"/>
      <c r="EN10" s="1208"/>
      <c r="EQ10" s="1208"/>
      <c r="ET10" s="1208"/>
      <c r="EW10" s="1208"/>
      <c r="EZ10" s="1208"/>
      <c r="FC10" s="1208"/>
      <c r="FF10" s="1208"/>
      <c r="FI10" s="1208"/>
      <c r="FL10" s="1208"/>
      <c r="FO10" s="1208"/>
      <c r="FR10" s="1208"/>
      <c r="FU10" s="1208"/>
      <c r="FX10" s="1208"/>
      <c r="GA10" s="1208"/>
      <c r="GD10" s="1208"/>
      <c r="GG10" s="1208"/>
      <c r="GJ10" s="1208"/>
      <c r="GM10" s="1208"/>
      <c r="GP10" s="1208"/>
      <c r="GS10" s="1208"/>
      <c r="GV10" s="1208"/>
      <c r="GY10" s="1208"/>
      <c r="HB10" s="1208"/>
      <c r="HE10" s="1208"/>
      <c r="HH10" s="1208"/>
      <c r="HK10" s="1208"/>
      <c r="HN10" s="1208"/>
      <c r="HQ10" s="1208"/>
      <c r="HT10" s="1208"/>
      <c r="HW10" s="1208"/>
      <c r="HZ10" s="1208"/>
      <c r="IC10" s="1208"/>
      <c r="IF10" s="1208"/>
      <c r="II10" s="1208"/>
      <c r="IL10" s="1208"/>
      <c r="IO10" s="1208"/>
      <c r="IR10" s="1208"/>
      <c r="IU10" s="1208"/>
    </row>
    <row r="11" spans="1:255" s="1202" customFormat="1" ht="12.75" x14ac:dyDescent="0.2">
      <c r="A11" s="1209" t="s">
        <v>956</v>
      </c>
      <c r="B11" s="1186">
        <v>5</v>
      </c>
      <c r="C11" s="1210">
        <v>260.29541136612602</v>
      </c>
      <c r="D11" s="1210">
        <v>282.29082675755899</v>
      </c>
      <c r="E11" s="1210">
        <v>285.26214551023998</v>
      </c>
      <c r="F11" s="1210">
        <v>300.02671293072098</v>
      </c>
      <c r="G11" s="1210">
        <v>290.02492124450202</v>
      </c>
      <c r="H11" s="1210">
        <v>244.15722028107899</v>
      </c>
      <c r="I11" s="1210">
        <v>254.322285838901</v>
      </c>
      <c r="J11" s="1210"/>
      <c r="K11" s="1210"/>
      <c r="L11" s="1210"/>
      <c r="M11" s="1210"/>
      <c r="N11" s="1210"/>
      <c r="O11" s="1210"/>
      <c r="P11" s="1210"/>
      <c r="Q11" s="1210"/>
      <c r="R11" s="1210"/>
      <c r="S11" s="1210"/>
      <c r="T11" s="1210"/>
      <c r="U11" s="1210"/>
      <c r="V11" s="1210"/>
      <c r="W11" s="1210"/>
      <c r="X11" s="1210"/>
      <c r="Y11" s="1210"/>
      <c r="Z11" s="1210"/>
      <c r="AA11" s="1210"/>
      <c r="AB11" s="1210"/>
      <c r="AC11" s="1210"/>
      <c r="AD11" s="1210"/>
      <c r="AE11" s="1210"/>
    </row>
    <row r="12" spans="1:255" s="1213" customFormat="1" ht="12.75" x14ac:dyDescent="0.2">
      <c r="A12" s="1211" t="s">
        <v>762</v>
      </c>
      <c r="B12" s="1186">
        <v>6</v>
      </c>
      <c r="C12" s="1212">
        <v>52.306559180242097</v>
      </c>
      <c r="D12" s="1212">
        <v>70.953597414393002</v>
      </c>
      <c r="E12" s="1212">
        <v>77.467883128678594</v>
      </c>
      <c r="F12" s="1212">
        <v>72.168515674276307</v>
      </c>
      <c r="G12" s="1212">
        <v>71.6612121502978</v>
      </c>
      <c r="H12" s="1212">
        <v>61.285027597384897</v>
      </c>
      <c r="I12" s="1212">
        <v>55.996892732909799</v>
      </c>
      <c r="J12" s="1212"/>
      <c r="K12" s="1212"/>
      <c r="L12" s="1212"/>
      <c r="M12" s="1212"/>
      <c r="N12" s="1212"/>
      <c r="O12" s="1212"/>
      <c r="P12" s="1212"/>
      <c r="Q12" s="1212"/>
      <c r="R12" s="1212"/>
      <c r="S12" s="1212"/>
      <c r="T12" s="1212"/>
      <c r="U12" s="1212"/>
      <c r="V12" s="1212"/>
      <c r="W12" s="1212"/>
      <c r="X12" s="1212"/>
      <c r="Y12" s="1212"/>
      <c r="Z12" s="1212"/>
      <c r="AA12" s="1212"/>
      <c r="AB12" s="1212"/>
      <c r="AC12" s="1212"/>
      <c r="AD12" s="1212"/>
      <c r="AE12" s="1212"/>
    </row>
    <row r="13" spans="1:255" s="1202" customFormat="1" ht="12.75" x14ac:dyDescent="0.2">
      <c r="A13" s="927" t="s">
        <v>764</v>
      </c>
      <c r="B13" s="1186">
        <v>7</v>
      </c>
      <c r="C13" s="1214">
        <v>52.306559180242097</v>
      </c>
      <c r="D13" s="1214">
        <v>70.953597414393002</v>
      </c>
      <c r="E13" s="1214">
        <v>77.467883128678594</v>
      </c>
      <c r="F13" s="1214">
        <v>72.168515674276307</v>
      </c>
      <c r="G13" s="1214">
        <v>71.6612121502978</v>
      </c>
      <c r="H13" s="1214">
        <v>61.285027597384897</v>
      </c>
      <c r="I13" s="1214">
        <v>55.996892732909799</v>
      </c>
      <c r="J13" s="1214"/>
      <c r="K13" s="1214"/>
      <c r="L13" s="1214"/>
      <c r="M13" s="1214"/>
      <c r="N13" s="1214"/>
      <c r="O13" s="1214"/>
      <c r="P13" s="1214"/>
      <c r="Q13" s="1214"/>
      <c r="R13" s="1214"/>
      <c r="S13" s="1214"/>
      <c r="T13" s="1214"/>
      <c r="U13" s="1214"/>
      <c r="V13" s="1214"/>
      <c r="W13" s="1214"/>
      <c r="X13" s="1214"/>
      <c r="Y13" s="1214"/>
      <c r="Z13" s="1214"/>
      <c r="AA13" s="1214"/>
      <c r="AB13" s="1214"/>
      <c r="AC13" s="1215"/>
      <c r="AD13" s="1215"/>
      <c r="AE13" s="1215"/>
    </row>
    <row r="14" spans="1:255" s="1202" customFormat="1" ht="12.75" x14ac:dyDescent="0.2">
      <c r="A14" s="927" t="s">
        <v>183</v>
      </c>
      <c r="B14" s="1186">
        <v>8</v>
      </c>
      <c r="C14" s="1214">
        <v>0</v>
      </c>
      <c r="D14" s="1214">
        <v>0</v>
      </c>
      <c r="E14" s="1214">
        <v>0</v>
      </c>
      <c r="F14" s="1214">
        <v>0</v>
      </c>
      <c r="G14" s="1214">
        <v>0</v>
      </c>
      <c r="H14" s="1214">
        <v>0</v>
      </c>
      <c r="I14" s="1214">
        <v>0</v>
      </c>
      <c r="J14" s="1214"/>
      <c r="K14" s="1214"/>
      <c r="L14" s="1214"/>
      <c r="M14" s="1214"/>
      <c r="N14" s="1214"/>
      <c r="O14" s="1214"/>
      <c r="P14" s="1214"/>
      <c r="Q14" s="1214"/>
      <c r="R14" s="1214"/>
      <c r="S14" s="1214"/>
      <c r="T14" s="1214"/>
      <c r="U14" s="1214"/>
      <c r="V14" s="1214"/>
      <c r="W14" s="1214"/>
      <c r="X14" s="1214"/>
      <c r="Y14" s="1214"/>
      <c r="Z14" s="1214"/>
      <c r="AA14" s="1214"/>
      <c r="AB14" s="1214"/>
      <c r="AC14" s="1215"/>
      <c r="AD14" s="1215"/>
      <c r="AE14" s="1215"/>
    </row>
    <row r="15" spans="1:255" s="1216" customFormat="1" ht="12.75" x14ac:dyDescent="0.2">
      <c r="A15" s="1211" t="s">
        <v>666</v>
      </c>
      <c r="B15" s="1186">
        <v>9</v>
      </c>
      <c r="C15" s="1212">
        <v>41.049342215868101</v>
      </c>
      <c r="D15" s="1212">
        <v>30.0275978328729</v>
      </c>
      <c r="E15" s="1212">
        <v>33.524743229017503</v>
      </c>
      <c r="F15" s="1212">
        <v>36.978869427562799</v>
      </c>
      <c r="G15" s="1212">
        <v>33.962630566524403</v>
      </c>
      <c r="H15" s="1212">
        <v>34.144091017439202</v>
      </c>
      <c r="I15" s="1212">
        <v>35.768340910434198</v>
      </c>
      <c r="J15" s="1212"/>
      <c r="K15" s="1212"/>
      <c r="L15" s="1212"/>
      <c r="M15" s="1212"/>
      <c r="N15" s="1212"/>
      <c r="O15" s="1212"/>
      <c r="P15" s="1212"/>
      <c r="Q15" s="1212"/>
      <c r="R15" s="1212"/>
      <c r="S15" s="1212"/>
      <c r="T15" s="1212"/>
      <c r="U15" s="1212"/>
      <c r="V15" s="1212"/>
      <c r="W15" s="1212"/>
      <c r="X15" s="1212"/>
      <c r="Y15" s="1212"/>
      <c r="Z15" s="1212"/>
      <c r="AA15" s="1212"/>
      <c r="AB15" s="1212"/>
      <c r="AC15" s="1212"/>
      <c r="AD15" s="1212"/>
      <c r="AE15" s="1212"/>
    </row>
    <row r="16" spans="1:255" s="1202" customFormat="1" ht="12.75" x14ac:dyDescent="0.2">
      <c r="A16" s="927" t="s">
        <v>187</v>
      </c>
      <c r="B16" s="1186">
        <v>10</v>
      </c>
      <c r="C16" s="1214">
        <v>21.749429112555202</v>
      </c>
      <c r="D16" s="1214">
        <v>15.031120032429</v>
      </c>
      <c r="E16" s="1214">
        <v>17.409628533422602</v>
      </c>
      <c r="F16" s="1214">
        <v>17.072116360014501</v>
      </c>
      <c r="G16" s="1214">
        <v>14.4543622548626</v>
      </c>
      <c r="H16" s="1214">
        <v>16.994541260315099</v>
      </c>
      <c r="I16" s="1214">
        <v>16.667352979614002</v>
      </c>
      <c r="J16" s="1214"/>
      <c r="K16" s="1214"/>
      <c r="L16" s="1214"/>
      <c r="M16" s="1214"/>
      <c r="N16" s="1214"/>
      <c r="O16" s="1214"/>
      <c r="P16" s="1214"/>
      <c r="Q16" s="1214"/>
      <c r="R16" s="1214"/>
      <c r="S16" s="1214"/>
      <c r="T16" s="1214"/>
      <c r="U16" s="1214"/>
      <c r="V16" s="1214"/>
      <c r="W16" s="1214"/>
      <c r="X16" s="1214"/>
      <c r="Y16" s="1214"/>
      <c r="Z16" s="1214"/>
      <c r="AA16" s="1214"/>
      <c r="AB16" s="1214"/>
      <c r="AC16" s="1215"/>
      <c r="AD16" s="1215"/>
      <c r="AE16" s="1215"/>
    </row>
    <row r="17" spans="1:31" s="1202" customFormat="1" ht="12.75" x14ac:dyDescent="0.2">
      <c r="A17" s="927" t="s">
        <v>191</v>
      </c>
      <c r="B17" s="1186">
        <v>11</v>
      </c>
      <c r="C17" s="1214">
        <v>7.9909016666925998</v>
      </c>
      <c r="D17" s="1214">
        <v>8.4852291312350001</v>
      </c>
      <c r="E17" s="1214">
        <v>8.6344597324529708</v>
      </c>
      <c r="F17" s="1214">
        <v>12.4519385377533</v>
      </c>
      <c r="G17" s="1214">
        <v>9.6480359154863002</v>
      </c>
      <c r="H17" s="1214">
        <v>9.1132593517642704</v>
      </c>
      <c r="I17" s="1214">
        <v>8.3175482440577895</v>
      </c>
      <c r="J17" s="1214"/>
      <c r="K17" s="1214"/>
      <c r="L17" s="1214"/>
      <c r="M17" s="1214"/>
      <c r="N17" s="1214"/>
      <c r="O17" s="1214"/>
      <c r="P17" s="1214"/>
      <c r="Q17" s="1214"/>
      <c r="R17" s="1214"/>
      <c r="S17" s="1214"/>
      <c r="T17" s="1214"/>
      <c r="U17" s="1214"/>
      <c r="V17" s="1214"/>
      <c r="W17" s="1214"/>
      <c r="X17" s="1214"/>
      <c r="Y17" s="1214"/>
      <c r="Z17" s="1214"/>
      <c r="AA17" s="1214"/>
      <c r="AB17" s="1214"/>
      <c r="AC17" s="1215"/>
      <c r="AD17" s="1215"/>
      <c r="AE17" s="1215"/>
    </row>
    <row r="18" spans="1:31" s="1202" customFormat="1" ht="12.75" x14ac:dyDescent="0.2">
      <c r="A18" s="927" t="s">
        <v>193</v>
      </c>
      <c r="B18" s="1186">
        <v>12</v>
      </c>
      <c r="C18" s="1214">
        <v>11.309011436620199</v>
      </c>
      <c r="D18" s="1214">
        <v>6.5112486692088805</v>
      </c>
      <c r="E18" s="1214">
        <v>7.4806549631418902</v>
      </c>
      <c r="F18" s="1214">
        <v>7.45481452979495</v>
      </c>
      <c r="G18" s="1214">
        <v>9.8602323961755101</v>
      </c>
      <c r="H18" s="1214">
        <v>8.0362904053598498</v>
      </c>
      <c r="I18" s="1214">
        <v>10.783439686762399</v>
      </c>
      <c r="J18" s="1214"/>
      <c r="K18" s="1214"/>
      <c r="L18" s="1214"/>
      <c r="M18" s="1214"/>
      <c r="N18" s="1214"/>
      <c r="O18" s="1214"/>
      <c r="P18" s="1214"/>
      <c r="Q18" s="1214"/>
      <c r="R18" s="1214"/>
      <c r="S18" s="1214"/>
      <c r="T18" s="1214"/>
      <c r="U18" s="1214"/>
      <c r="V18" s="1214"/>
      <c r="W18" s="1214"/>
      <c r="X18" s="1214"/>
      <c r="Y18" s="1214"/>
      <c r="Z18" s="1214"/>
      <c r="AA18" s="1214"/>
      <c r="AB18" s="1214"/>
      <c r="AC18" s="1215"/>
      <c r="AD18" s="1215"/>
      <c r="AE18" s="1215"/>
    </row>
    <row r="19" spans="1:31" s="1216" customFormat="1" ht="12.75" x14ac:dyDescent="0.2">
      <c r="A19" s="1211" t="s">
        <v>609</v>
      </c>
      <c r="B19" s="1186">
        <v>13</v>
      </c>
      <c r="C19" s="1212">
        <v>43.471935312050199</v>
      </c>
      <c r="D19" s="1212">
        <v>45.792482960813899</v>
      </c>
      <c r="E19" s="1212">
        <v>45.792482960813899</v>
      </c>
      <c r="F19" s="1212">
        <v>47.652685329890602</v>
      </c>
      <c r="G19" s="1212">
        <v>46.3686894925305</v>
      </c>
      <c r="H19" s="1212">
        <v>44.424678518531401</v>
      </c>
      <c r="I19" s="1212">
        <v>46.963205627394302</v>
      </c>
      <c r="J19" s="1212"/>
      <c r="K19" s="1212"/>
      <c r="L19" s="1212"/>
      <c r="M19" s="1212"/>
      <c r="N19" s="1212"/>
      <c r="O19" s="1212"/>
      <c r="P19" s="1212"/>
      <c r="Q19" s="1212"/>
      <c r="R19" s="1212"/>
      <c r="S19" s="1212"/>
      <c r="T19" s="1212"/>
      <c r="U19" s="1212"/>
      <c r="V19" s="1212"/>
      <c r="W19" s="1212"/>
      <c r="X19" s="1212"/>
      <c r="Y19" s="1212"/>
      <c r="Z19" s="1212"/>
      <c r="AA19" s="1212"/>
      <c r="AB19" s="1212"/>
      <c r="AC19" s="1212"/>
      <c r="AD19" s="1212"/>
      <c r="AE19" s="1212"/>
    </row>
    <row r="20" spans="1:31" s="1202" customFormat="1" ht="12.75" x14ac:dyDescent="0.2">
      <c r="A20" s="927" t="s">
        <v>196</v>
      </c>
      <c r="B20" s="1186">
        <v>14</v>
      </c>
      <c r="C20" s="1214">
        <v>13.1055638834787</v>
      </c>
      <c r="D20" s="1214">
        <v>12.989148903671</v>
      </c>
      <c r="E20" s="1214">
        <v>12.989148903671</v>
      </c>
      <c r="F20" s="1214">
        <v>13.9802549298906</v>
      </c>
      <c r="G20" s="1214">
        <v>13.0084395534001</v>
      </c>
      <c r="H20" s="1214">
        <v>13.627927634810501</v>
      </c>
      <c r="I20" s="1214">
        <v>14.549209711604799</v>
      </c>
      <c r="J20" s="1214"/>
      <c r="K20" s="1214"/>
      <c r="L20" s="1214"/>
      <c r="M20" s="1214"/>
      <c r="N20" s="1214"/>
      <c r="O20" s="1214"/>
      <c r="P20" s="1214"/>
      <c r="Q20" s="1214"/>
      <c r="R20" s="1214"/>
      <c r="S20" s="1214"/>
      <c r="T20" s="1214"/>
      <c r="U20" s="1214"/>
      <c r="V20" s="1214"/>
      <c r="W20" s="1214"/>
      <c r="X20" s="1214"/>
      <c r="Y20" s="1214"/>
      <c r="Z20" s="1214"/>
      <c r="AA20" s="1214"/>
      <c r="AB20" s="1214"/>
      <c r="AC20" s="1214"/>
      <c r="AD20" s="1214"/>
      <c r="AE20" s="1214"/>
    </row>
    <row r="21" spans="1:31" s="1202" customFormat="1" ht="12.75" x14ac:dyDescent="0.2">
      <c r="A21" s="927" t="s">
        <v>200</v>
      </c>
      <c r="B21" s="1186">
        <v>15</v>
      </c>
      <c r="C21" s="1214">
        <v>30.366371428571401</v>
      </c>
      <c r="D21" s="1214">
        <v>32.803334057142898</v>
      </c>
      <c r="E21" s="1214">
        <v>32.803334057142898</v>
      </c>
      <c r="F21" s="1214">
        <v>33.672430400000003</v>
      </c>
      <c r="G21" s="1214">
        <v>33.360249939130398</v>
      </c>
      <c r="H21" s="1214">
        <v>30.7967508837209</v>
      </c>
      <c r="I21" s="1214">
        <v>32.413995915789499</v>
      </c>
      <c r="J21" s="1214"/>
      <c r="K21" s="1214"/>
      <c r="L21" s="1214"/>
      <c r="M21" s="1214"/>
      <c r="N21" s="1214"/>
      <c r="O21" s="1214"/>
      <c r="P21" s="1214"/>
      <c r="Q21" s="1214"/>
      <c r="R21" s="1214"/>
      <c r="S21" s="1214"/>
      <c r="T21" s="1214"/>
      <c r="U21" s="1214"/>
      <c r="V21" s="1214"/>
      <c r="W21" s="1214"/>
      <c r="X21" s="1214"/>
      <c r="Y21" s="1214"/>
      <c r="Z21" s="1214"/>
      <c r="AA21" s="1214"/>
      <c r="AB21" s="1214"/>
      <c r="AC21" s="1214"/>
      <c r="AD21" s="1214"/>
      <c r="AE21" s="1214"/>
    </row>
    <row r="22" spans="1:31" s="1216" customFormat="1" ht="12.75" x14ac:dyDescent="0.2">
      <c r="A22" s="1211"/>
      <c r="B22" s="1186">
        <v>16</v>
      </c>
      <c r="C22" s="1212"/>
      <c r="D22" s="1212"/>
      <c r="E22" s="1212"/>
      <c r="F22" s="1212"/>
      <c r="G22" s="1212"/>
      <c r="H22" s="1212"/>
      <c r="I22" s="1212"/>
      <c r="J22" s="1212"/>
      <c r="K22" s="1212"/>
      <c r="L22" s="1212"/>
      <c r="M22" s="1212"/>
      <c r="N22" s="1212"/>
      <c r="O22" s="1212"/>
      <c r="P22" s="1212"/>
      <c r="Q22" s="1212"/>
      <c r="R22" s="1212"/>
      <c r="S22" s="1212"/>
      <c r="T22" s="1212"/>
      <c r="U22" s="1212"/>
      <c r="V22" s="1212"/>
      <c r="W22" s="1212"/>
      <c r="X22" s="1212"/>
      <c r="Y22" s="1212"/>
      <c r="Z22" s="1212"/>
      <c r="AA22" s="1212"/>
      <c r="AB22" s="1212"/>
      <c r="AC22" s="1212"/>
      <c r="AD22" s="1212"/>
      <c r="AE22" s="1212"/>
    </row>
    <row r="23" spans="1:31" s="1216" customFormat="1" ht="12.75" x14ac:dyDescent="0.2">
      <c r="A23" s="1211" t="s">
        <v>957</v>
      </c>
      <c r="B23" s="1186">
        <v>17</v>
      </c>
      <c r="C23" s="1212">
        <v>61.232522535620198</v>
      </c>
      <c r="D23" s="1212">
        <v>42.737560309627497</v>
      </c>
      <c r="E23" s="1212">
        <v>40.063316664023702</v>
      </c>
      <c r="F23" s="1212">
        <v>65.155162710171894</v>
      </c>
      <c r="G23" s="1212">
        <v>51.518126197998598</v>
      </c>
      <c r="H23" s="1212">
        <v>47.619350832135702</v>
      </c>
      <c r="I23" s="1212">
        <v>51.478322197475997</v>
      </c>
      <c r="J23" s="1212"/>
      <c r="K23" s="1212"/>
      <c r="L23" s="1212"/>
      <c r="M23" s="1212"/>
      <c r="N23" s="1212"/>
      <c r="O23" s="1212"/>
      <c r="P23" s="1212"/>
      <c r="Q23" s="1212"/>
      <c r="R23" s="1212"/>
      <c r="S23" s="1212"/>
      <c r="T23" s="1212"/>
      <c r="U23" s="1212"/>
      <c r="V23" s="1212"/>
      <c r="W23" s="1212"/>
      <c r="X23" s="1212"/>
      <c r="Y23" s="1212"/>
      <c r="Z23" s="1212"/>
      <c r="AA23" s="1212"/>
      <c r="AB23" s="1212"/>
      <c r="AC23" s="1212"/>
      <c r="AD23" s="1212"/>
      <c r="AE23" s="1212"/>
    </row>
    <row r="24" spans="1:31" s="1202" customFormat="1" ht="12.75" x14ac:dyDescent="0.2">
      <c r="A24" s="927" t="s">
        <v>261</v>
      </c>
      <c r="B24" s="1186">
        <v>18</v>
      </c>
      <c r="C24" s="1214">
        <v>12.174089391450901</v>
      </c>
      <c r="D24" s="1214">
        <v>3.5316526819325897</v>
      </c>
      <c r="E24" s="1214">
        <v>3.31066440663766</v>
      </c>
      <c r="F24" s="1214">
        <v>24.442489169282499</v>
      </c>
      <c r="G24" s="1214">
        <v>14.194614043448301</v>
      </c>
      <c r="H24" s="1214">
        <v>13.1834297773019</v>
      </c>
      <c r="I24" s="1214">
        <v>12.7584162389344</v>
      </c>
      <c r="J24" s="1214"/>
      <c r="K24" s="1214"/>
      <c r="L24" s="1214"/>
      <c r="M24" s="1214"/>
      <c r="N24" s="1214"/>
      <c r="O24" s="1214"/>
      <c r="P24" s="1214"/>
      <c r="Q24" s="1214"/>
      <c r="R24" s="1214"/>
      <c r="S24" s="1214"/>
      <c r="T24" s="1214"/>
      <c r="U24" s="1214"/>
      <c r="V24" s="1214"/>
      <c r="W24" s="1214"/>
      <c r="X24" s="1214"/>
      <c r="Y24" s="1214"/>
      <c r="Z24" s="1214"/>
      <c r="AA24" s="1214"/>
      <c r="AB24" s="1214"/>
      <c r="AC24" s="1214"/>
      <c r="AD24" s="1214"/>
      <c r="AE24" s="1214"/>
    </row>
    <row r="25" spans="1:31" s="1202" customFormat="1" ht="12.75" x14ac:dyDescent="0.2">
      <c r="A25" s="927" t="s">
        <v>216</v>
      </c>
      <c r="B25" s="1186">
        <v>19</v>
      </c>
      <c r="C25" s="1214">
        <v>26.3317750615861</v>
      </c>
      <c r="D25" s="1214">
        <v>18.620558527156899</v>
      </c>
      <c r="E25" s="1214">
        <v>17.455402866466901</v>
      </c>
      <c r="F25" s="1214">
        <v>19.696583249306801</v>
      </c>
      <c r="G25" s="1214">
        <v>20.151625868839101</v>
      </c>
      <c r="H25" s="1214">
        <v>17.441733948965101</v>
      </c>
      <c r="I25" s="1214">
        <v>18.0089147871237</v>
      </c>
      <c r="J25" s="1214"/>
      <c r="K25" s="1214"/>
      <c r="L25" s="1214"/>
      <c r="M25" s="1214"/>
      <c r="N25" s="1214"/>
      <c r="O25" s="1214"/>
      <c r="P25" s="1214"/>
      <c r="Q25" s="1214"/>
      <c r="R25" s="1214"/>
      <c r="S25" s="1214"/>
      <c r="T25" s="1214"/>
      <c r="U25" s="1214"/>
      <c r="V25" s="1214"/>
      <c r="W25" s="1214"/>
      <c r="X25" s="1214"/>
      <c r="Y25" s="1214"/>
      <c r="Z25" s="1214"/>
      <c r="AA25" s="1214"/>
      <c r="AB25" s="1214"/>
      <c r="AC25" s="1214"/>
      <c r="AD25" s="1214"/>
      <c r="AE25" s="1214"/>
    </row>
    <row r="26" spans="1:31" s="1202" customFormat="1" ht="12.75" x14ac:dyDescent="0.2">
      <c r="A26" s="927" t="s">
        <v>218</v>
      </c>
      <c r="B26" s="1186">
        <v>20</v>
      </c>
      <c r="C26" s="1214">
        <v>22.726658082583199</v>
      </c>
      <c r="D26" s="1214">
        <v>20.585349100538</v>
      </c>
      <c r="E26" s="1214">
        <v>19.297249390919198</v>
      </c>
      <c r="F26" s="1214">
        <v>21.0160902915826</v>
      </c>
      <c r="G26" s="1214">
        <v>17.171886285711199</v>
      </c>
      <c r="H26" s="1214">
        <v>16.9941871058688</v>
      </c>
      <c r="I26" s="1214">
        <v>20.710991171417898</v>
      </c>
      <c r="J26" s="1214"/>
      <c r="K26" s="1214"/>
      <c r="L26" s="1214"/>
      <c r="M26" s="1214"/>
      <c r="N26" s="1214"/>
      <c r="O26" s="1214"/>
      <c r="P26" s="1214"/>
      <c r="Q26" s="1214"/>
      <c r="R26" s="1214"/>
      <c r="S26" s="1214"/>
      <c r="T26" s="1214"/>
      <c r="U26" s="1214"/>
      <c r="V26" s="1214"/>
      <c r="W26" s="1214"/>
      <c r="X26" s="1214"/>
      <c r="Y26" s="1214"/>
      <c r="Z26" s="1214"/>
      <c r="AA26" s="1214"/>
      <c r="AB26" s="1214"/>
      <c r="AC26" s="1214"/>
      <c r="AD26" s="1214"/>
      <c r="AE26" s="1214"/>
    </row>
    <row r="27" spans="1:31" s="1202" customFormat="1" ht="12.75" x14ac:dyDescent="0.2">
      <c r="A27" s="927" t="s">
        <v>770</v>
      </c>
      <c r="B27" s="1186">
        <v>21</v>
      </c>
      <c r="C27" s="1214">
        <v>0</v>
      </c>
      <c r="D27" s="1214">
        <v>0</v>
      </c>
      <c r="E27" s="1214">
        <v>0</v>
      </c>
      <c r="F27" s="1214">
        <v>0</v>
      </c>
      <c r="G27" s="1214">
        <v>0</v>
      </c>
      <c r="H27" s="1214">
        <v>0</v>
      </c>
      <c r="I27" s="1214">
        <v>0</v>
      </c>
      <c r="J27" s="1214"/>
      <c r="K27" s="1214"/>
      <c r="L27" s="1214"/>
      <c r="M27" s="1214"/>
      <c r="N27" s="1214"/>
      <c r="O27" s="1214"/>
      <c r="P27" s="1214"/>
      <c r="Q27" s="1214"/>
      <c r="R27" s="1214"/>
      <c r="S27" s="1214"/>
      <c r="T27" s="1214"/>
      <c r="U27" s="1214"/>
      <c r="V27" s="1214"/>
      <c r="W27" s="1214"/>
      <c r="X27" s="1214"/>
      <c r="Y27" s="1214"/>
      <c r="Z27" s="1214"/>
      <c r="AA27" s="1214"/>
      <c r="AB27" s="1214"/>
      <c r="AC27" s="1214"/>
      <c r="AD27" s="1214"/>
      <c r="AE27" s="1214"/>
    </row>
    <row r="28" spans="1:31" s="1216" customFormat="1" ht="12.75" x14ac:dyDescent="0.2">
      <c r="A28" s="1211" t="s">
        <v>958</v>
      </c>
      <c r="B28" s="1186">
        <v>22</v>
      </c>
      <c r="C28" s="1212">
        <v>13.6727709361453</v>
      </c>
      <c r="D28" s="1212">
        <v>18.1071227156174</v>
      </c>
      <c r="E28" s="1212">
        <v>17.838229373293199</v>
      </c>
      <c r="F28" s="1212">
        <v>20.812918047120199</v>
      </c>
      <c r="G28" s="1212">
        <v>13.3551345401691</v>
      </c>
      <c r="H28" s="1212">
        <v>14.2665874699257</v>
      </c>
      <c r="I28" s="1212">
        <v>11.287737333119599</v>
      </c>
      <c r="J28" s="1212"/>
      <c r="K28" s="1212"/>
      <c r="L28" s="1212"/>
      <c r="M28" s="1212"/>
      <c r="N28" s="1212"/>
      <c r="O28" s="1212"/>
      <c r="P28" s="1212"/>
      <c r="Q28" s="1212"/>
      <c r="R28" s="1212"/>
      <c r="S28" s="1212"/>
      <c r="T28" s="1212"/>
      <c r="U28" s="1212"/>
      <c r="V28" s="1212"/>
      <c r="W28" s="1212"/>
      <c r="X28" s="1212"/>
      <c r="Y28" s="1212"/>
      <c r="Z28" s="1212"/>
      <c r="AA28" s="1212"/>
      <c r="AB28" s="1212"/>
      <c r="AC28" s="1212"/>
      <c r="AD28" s="1212"/>
      <c r="AE28" s="1212"/>
    </row>
    <row r="29" spans="1:31" s="1202" customFormat="1" ht="12.75" x14ac:dyDescent="0.2">
      <c r="A29" s="927" t="s">
        <v>223</v>
      </c>
      <c r="B29" s="1186">
        <v>23</v>
      </c>
      <c r="C29" s="1214">
        <v>0</v>
      </c>
      <c r="D29" s="1214">
        <v>0</v>
      </c>
      <c r="E29" s="1214">
        <v>0</v>
      </c>
      <c r="F29" s="1214">
        <v>0</v>
      </c>
      <c r="G29" s="1214">
        <v>0</v>
      </c>
      <c r="H29" s="1214">
        <v>0</v>
      </c>
      <c r="I29" s="1214">
        <v>0</v>
      </c>
      <c r="J29" s="1214"/>
      <c r="K29" s="1214"/>
      <c r="L29" s="1214"/>
      <c r="M29" s="1214"/>
      <c r="N29" s="1214"/>
      <c r="O29" s="1214"/>
      <c r="P29" s="1214"/>
      <c r="Q29" s="1214"/>
      <c r="R29" s="1214"/>
      <c r="S29" s="1214"/>
      <c r="T29" s="1214"/>
      <c r="U29" s="1214"/>
      <c r="V29" s="1214"/>
      <c r="W29" s="1214"/>
      <c r="X29" s="1214"/>
      <c r="Y29" s="1214"/>
      <c r="Z29" s="1214"/>
      <c r="AA29" s="1214"/>
      <c r="AB29" s="1214"/>
      <c r="AC29" s="1214"/>
      <c r="AD29" s="1214"/>
      <c r="AE29" s="1214"/>
    </row>
    <row r="30" spans="1:31" s="1202" customFormat="1" ht="12.75" x14ac:dyDescent="0.2">
      <c r="A30" s="927" t="s">
        <v>224</v>
      </c>
      <c r="B30" s="1186">
        <v>24</v>
      </c>
      <c r="C30" s="1214">
        <v>9.9057616360477603</v>
      </c>
      <c r="D30" s="1214">
        <v>16.385013391299001</v>
      </c>
      <c r="E30" s="1214">
        <v>16.141693616864998</v>
      </c>
      <c r="F30" s="1214">
        <v>18.045552926964501</v>
      </c>
      <c r="G30" s="1214">
        <v>11.7275595049532</v>
      </c>
      <c r="H30" s="1214">
        <v>11.3870091729083</v>
      </c>
      <c r="I30" s="1214">
        <v>8.6428155000155193</v>
      </c>
      <c r="J30" s="1214"/>
      <c r="K30" s="1214"/>
      <c r="L30" s="1214"/>
      <c r="M30" s="1214"/>
      <c r="N30" s="1214"/>
      <c r="O30" s="1214"/>
      <c r="P30" s="1214"/>
      <c r="Q30" s="1214"/>
      <c r="R30" s="1214"/>
      <c r="S30" s="1214"/>
      <c r="T30" s="1214"/>
      <c r="U30" s="1214"/>
      <c r="V30" s="1214"/>
      <c r="W30" s="1214"/>
      <c r="X30" s="1214"/>
      <c r="Y30" s="1214"/>
      <c r="Z30" s="1214"/>
      <c r="AA30" s="1214"/>
      <c r="AB30" s="1214"/>
      <c r="AC30" s="1214"/>
      <c r="AD30" s="1214"/>
      <c r="AE30" s="1214"/>
    </row>
    <row r="31" spans="1:31" s="1202" customFormat="1" ht="12.75" x14ac:dyDescent="0.2">
      <c r="A31" s="927" t="s">
        <v>227</v>
      </c>
      <c r="B31" s="1186">
        <v>25</v>
      </c>
      <c r="C31" s="1214">
        <v>3.76700930009756</v>
      </c>
      <c r="D31" s="1214">
        <v>1.72210932431841</v>
      </c>
      <c r="E31" s="1214">
        <v>1.69653575642823</v>
      </c>
      <c r="F31" s="1214">
        <v>2.7673651201556901</v>
      </c>
      <c r="G31" s="1214">
        <v>1.62757503521587</v>
      </c>
      <c r="H31" s="1214">
        <v>2.87957829701736</v>
      </c>
      <c r="I31" s="1214">
        <v>2.6449218331040298</v>
      </c>
      <c r="J31" s="1214"/>
      <c r="K31" s="1214"/>
      <c r="L31" s="1214"/>
      <c r="M31" s="1214"/>
      <c r="N31" s="1214"/>
      <c r="O31" s="1214"/>
      <c r="P31" s="1214"/>
      <c r="Q31" s="1214"/>
      <c r="R31" s="1214"/>
      <c r="S31" s="1214"/>
      <c r="T31" s="1214"/>
      <c r="U31" s="1214"/>
      <c r="V31" s="1214"/>
      <c r="W31" s="1214"/>
      <c r="X31" s="1214"/>
      <c r="Y31" s="1214"/>
      <c r="Z31" s="1214"/>
      <c r="AA31" s="1214"/>
      <c r="AB31" s="1214"/>
      <c r="AC31" s="1214"/>
      <c r="AD31" s="1214"/>
      <c r="AE31" s="1214"/>
    </row>
    <row r="32" spans="1:31" s="1216" customFormat="1" ht="12.75" x14ac:dyDescent="0.2">
      <c r="A32" s="1211" t="s">
        <v>612</v>
      </c>
      <c r="B32" s="1186">
        <v>26</v>
      </c>
      <c r="C32" s="1212">
        <v>48.562281186200202</v>
      </c>
      <c r="D32" s="1212">
        <v>74.672465524234298</v>
      </c>
      <c r="E32" s="1212">
        <v>70.575490154413501</v>
      </c>
      <c r="F32" s="1212">
        <v>57.258561741699602</v>
      </c>
      <c r="G32" s="1212">
        <v>73.159128296981507</v>
      </c>
      <c r="H32" s="1212">
        <v>42.417484845661903</v>
      </c>
      <c r="I32" s="1212">
        <v>52.827787037567504</v>
      </c>
      <c r="J32" s="1212"/>
      <c r="K32" s="1212"/>
      <c r="L32" s="1212"/>
      <c r="M32" s="1212"/>
      <c r="N32" s="1212"/>
      <c r="O32" s="1212"/>
      <c r="P32" s="1212"/>
      <c r="Q32" s="1212"/>
      <c r="R32" s="1212"/>
      <c r="S32" s="1212"/>
      <c r="T32" s="1212"/>
      <c r="U32" s="1212"/>
      <c r="V32" s="1212"/>
      <c r="W32" s="1212"/>
      <c r="X32" s="1212"/>
      <c r="Y32" s="1212"/>
      <c r="Z32" s="1212"/>
      <c r="AA32" s="1212"/>
      <c r="AB32" s="1212"/>
      <c r="AC32" s="1212"/>
      <c r="AD32" s="1212"/>
      <c r="AE32" s="1212"/>
    </row>
    <row r="33" spans="1:31" s="1202" customFormat="1" ht="12.75" x14ac:dyDescent="0.2">
      <c r="A33" s="927" t="s">
        <v>230</v>
      </c>
      <c r="B33" s="1186">
        <v>27</v>
      </c>
      <c r="C33" s="1214">
        <v>22.217177078904701</v>
      </c>
      <c r="D33" s="1214">
        <v>22.862086019464499</v>
      </c>
      <c r="E33" s="1214">
        <v>21.859075247718501</v>
      </c>
      <c r="F33" s="1214">
        <v>27.963862938389301</v>
      </c>
      <c r="G33" s="1214">
        <v>18.4603812038659</v>
      </c>
      <c r="H33" s="1214">
        <v>19.941909799136699</v>
      </c>
      <c r="I33" s="1214">
        <v>25.320305314755299</v>
      </c>
      <c r="J33" s="1214"/>
      <c r="K33" s="1214"/>
      <c r="L33" s="1214"/>
      <c r="M33" s="1214"/>
      <c r="N33" s="1214"/>
      <c r="O33" s="1214"/>
      <c r="P33" s="1214"/>
      <c r="Q33" s="1214"/>
      <c r="R33" s="1214"/>
      <c r="S33" s="1214"/>
      <c r="T33" s="1214"/>
      <c r="U33" s="1214"/>
      <c r="V33" s="1214"/>
      <c r="W33" s="1214"/>
      <c r="X33" s="1214"/>
      <c r="Y33" s="1214"/>
      <c r="Z33" s="1214"/>
      <c r="AA33" s="1214"/>
      <c r="AB33" s="1214"/>
      <c r="AC33" s="1214"/>
      <c r="AD33" s="1214"/>
      <c r="AE33" s="1214"/>
    </row>
    <row r="34" spans="1:31" s="1202" customFormat="1" ht="12.75" x14ac:dyDescent="0.2">
      <c r="A34" s="927" t="s">
        <v>613</v>
      </c>
      <c r="B34" s="1186">
        <v>28</v>
      </c>
      <c r="C34" s="1214">
        <v>18.635698910150801</v>
      </c>
      <c r="D34" s="1214">
        <v>17.379810581290201</v>
      </c>
      <c r="E34" s="1214">
        <v>15.1731986029769</v>
      </c>
      <c r="F34" s="1214">
        <v>19.782284243791398</v>
      </c>
      <c r="G34" s="1214">
        <v>14.9790768262126</v>
      </c>
      <c r="H34" s="1214">
        <v>13.6494496571284</v>
      </c>
      <c r="I34" s="1214">
        <v>20.343954130278501</v>
      </c>
      <c r="J34" s="1214"/>
      <c r="K34" s="1214"/>
      <c r="L34" s="1214"/>
      <c r="M34" s="1214"/>
      <c r="N34" s="1214"/>
      <c r="O34" s="1214"/>
      <c r="P34" s="1214"/>
      <c r="Q34" s="1214"/>
      <c r="R34" s="1214"/>
      <c r="S34" s="1214"/>
      <c r="T34" s="1214"/>
      <c r="U34" s="1214"/>
      <c r="V34" s="1214"/>
      <c r="W34" s="1214"/>
      <c r="X34" s="1214"/>
      <c r="Y34" s="1214"/>
      <c r="Z34" s="1214"/>
      <c r="AA34" s="1214"/>
      <c r="AB34" s="1214"/>
      <c r="AC34" s="1214"/>
      <c r="AD34" s="1214"/>
      <c r="AE34" s="1214"/>
    </row>
    <row r="35" spans="1:31" s="1202" customFormat="1" ht="12.75" x14ac:dyDescent="0.2">
      <c r="A35" s="927" t="s">
        <v>236</v>
      </c>
      <c r="B35" s="1186">
        <v>29</v>
      </c>
      <c r="C35" s="1214">
        <v>0</v>
      </c>
      <c r="D35" s="1214">
        <v>23.3102744154879</v>
      </c>
      <c r="E35" s="1214">
        <v>22.639376064005202</v>
      </c>
      <c r="F35" s="1214">
        <v>0</v>
      </c>
      <c r="G35" s="1214">
        <v>30.210190132377299</v>
      </c>
      <c r="H35" s="1214">
        <v>0</v>
      </c>
      <c r="I35" s="1214">
        <v>0</v>
      </c>
      <c r="J35" s="1214"/>
      <c r="K35" s="1214"/>
      <c r="L35" s="1214"/>
      <c r="M35" s="1214"/>
      <c r="N35" s="1214"/>
      <c r="O35" s="1214"/>
      <c r="P35" s="1214"/>
      <c r="Q35" s="1214"/>
      <c r="R35" s="1214"/>
      <c r="S35" s="1214"/>
      <c r="T35" s="1214"/>
      <c r="U35" s="1214"/>
      <c r="V35" s="1214"/>
      <c r="W35" s="1214"/>
      <c r="X35" s="1214"/>
      <c r="Y35" s="1214"/>
      <c r="Z35" s="1214"/>
      <c r="AA35" s="1214"/>
      <c r="AB35" s="1214"/>
      <c r="AC35" s="1214"/>
      <c r="AD35" s="1214"/>
      <c r="AE35" s="1214"/>
    </row>
    <row r="36" spans="1:31" s="1202" customFormat="1" ht="12.75" x14ac:dyDescent="0.2">
      <c r="A36" s="927" t="s">
        <v>239</v>
      </c>
      <c r="B36" s="1186">
        <v>30</v>
      </c>
      <c r="C36" s="1214">
        <v>7.7094051971447701</v>
      </c>
      <c r="D36" s="1214">
        <v>11.1202945079917</v>
      </c>
      <c r="E36" s="1214">
        <v>10.9038402397128</v>
      </c>
      <c r="F36" s="1214">
        <v>9.5124145595188594</v>
      </c>
      <c r="G36" s="1214">
        <v>9.5094801345257896</v>
      </c>
      <c r="H36" s="1214">
        <v>8.8261253893968608</v>
      </c>
      <c r="I36" s="1214">
        <v>7.1635275925336597</v>
      </c>
      <c r="J36" s="1214"/>
      <c r="K36" s="1214"/>
      <c r="L36" s="1214"/>
      <c r="M36" s="1214"/>
      <c r="N36" s="1214"/>
      <c r="O36" s="1214"/>
      <c r="P36" s="1214"/>
      <c r="Q36" s="1214"/>
      <c r="R36" s="1214"/>
      <c r="S36" s="1214"/>
      <c r="T36" s="1214"/>
      <c r="U36" s="1214"/>
      <c r="V36" s="1214"/>
      <c r="W36" s="1214"/>
      <c r="X36" s="1214"/>
      <c r="Y36" s="1214"/>
      <c r="Z36" s="1214"/>
      <c r="AA36" s="1214"/>
      <c r="AB36" s="1214"/>
      <c r="AC36" s="1214"/>
      <c r="AD36" s="1214"/>
      <c r="AE36" s="1214"/>
    </row>
    <row r="37" spans="1:31" s="1202" customFormat="1" ht="12.75" x14ac:dyDescent="0.2">
      <c r="A37" s="1209" t="s">
        <v>959</v>
      </c>
      <c r="B37" s="1186">
        <v>31</v>
      </c>
      <c r="C37" s="1210">
        <v>70.386690833482405</v>
      </c>
      <c r="D37" s="1210">
        <v>54.056439680518501</v>
      </c>
      <c r="E37" s="1210">
        <v>53.719155745368397</v>
      </c>
      <c r="F37" s="1210">
        <v>61.996938459036997</v>
      </c>
      <c r="G37" s="1210">
        <v>60.606416916078601</v>
      </c>
      <c r="H37" s="1210">
        <v>57.904653410477202</v>
      </c>
      <c r="I37" s="1210">
        <v>67.4851983314676</v>
      </c>
      <c r="J37" s="1210"/>
      <c r="K37" s="1210"/>
      <c r="L37" s="1210"/>
      <c r="M37" s="1210"/>
      <c r="N37" s="1210"/>
      <c r="O37" s="1210"/>
      <c r="P37" s="1210"/>
      <c r="Q37" s="1210"/>
      <c r="R37" s="1210"/>
      <c r="S37" s="1210"/>
      <c r="T37" s="1210"/>
      <c r="U37" s="1210"/>
      <c r="V37" s="1210"/>
      <c r="W37" s="1210"/>
      <c r="X37" s="1210"/>
      <c r="Y37" s="1210"/>
      <c r="Z37" s="1210"/>
      <c r="AA37" s="1210"/>
      <c r="AB37" s="1210"/>
      <c r="AC37" s="1210"/>
      <c r="AD37" s="1210"/>
      <c r="AE37" s="1210"/>
    </row>
    <row r="38" spans="1:31" s="1202" customFormat="1" ht="12.75" x14ac:dyDescent="0.2">
      <c r="A38" s="927" t="s">
        <v>960</v>
      </c>
      <c r="B38" s="1186">
        <v>32</v>
      </c>
      <c r="C38" s="1214">
        <v>38.419058501766301</v>
      </c>
      <c r="D38" s="1214">
        <v>18.8159744342091</v>
      </c>
      <c r="E38" s="1214">
        <v>19.002016409749601</v>
      </c>
      <c r="F38" s="1214">
        <v>30.249098260970101</v>
      </c>
      <c r="G38" s="1214">
        <v>30.946763028087101</v>
      </c>
      <c r="H38" s="1214">
        <v>32.287038279328499</v>
      </c>
      <c r="I38" s="1214">
        <v>37.114901909509399</v>
      </c>
      <c r="J38" s="1214"/>
      <c r="K38" s="1214"/>
      <c r="L38" s="1214"/>
      <c r="M38" s="1214"/>
      <c r="N38" s="1214"/>
      <c r="O38" s="1214"/>
      <c r="P38" s="1214"/>
      <c r="Q38" s="1214"/>
      <c r="R38" s="1214"/>
      <c r="S38" s="1214"/>
      <c r="T38" s="1214"/>
      <c r="U38" s="1214"/>
      <c r="V38" s="1214"/>
      <c r="W38" s="1214"/>
      <c r="X38" s="1214"/>
      <c r="Y38" s="1214"/>
      <c r="Z38" s="1214"/>
      <c r="AA38" s="1214"/>
      <c r="AB38" s="1214"/>
      <c r="AC38" s="1214"/>
      <c r="AD38" s="1214"/>
      <c r="AE38" s="1214"/>
    </row>
    <row r="39" spans="1:31" s="1202" customFormat="1" ht="12.75" x14ac:dyDescent="0.2">
      <c r="A39" s="927" t="s">
        <v>961</v>
      </c>
      <c r="B39" s="1186">
        <v>33</v>
      </c>
      <c r="C39" s="1214">
        <v>31.9676323317161</v>
      </c>
      <c r="D39" s="1214">
        <v>35.240465246309398</v>
      </c>
      <c r="E39" s="1214">
        <v>34.717139335618803</v>
      </c>
      <c r="F39" s="1214">
        <v>31.7478401980669</v>
      </c>
      <c r="G39" s="1214">
        <v>29.659653887991499</v>
      </c>
      <c r="H39" s="1214">
        <v>25.6176151311487</v>
      </c>
      <c r="I39" s="1214">
        <v>30.370296421958201</v>
      </c>
      <c r="J39" s="1214"/>
      <c r="K39" s="1214"/>
      <c r="L39" s="1214"/>
      <c r="M39" s="1214"/>
      <c r="N39" s="1214"/>
      <c r="O39" s="1214"/>
      <c r="P39" s="1214"/>
      <c r="Q39" s="1214"/>
      <c r="R39" s="1214"/>
      <c r="S39" s="1214"/>
      <c r="T39" s="1214"/>
      <c r="U39" s="1214"/>
      <c r="V39" s="1214"/>
      <c r="W39" s="1214"/>
      <c r="X39" s="1214"/>
      <c r="Y39" s="1214"/>
      <c r="Z39" s="1214"/>
      <c r="AA39" s="1214"/>
      <c r="AB39" s="1214"/>
      <c r="AC39" s="1214"/>
      <c r="AD39" s="1214"/>
      <c r="AE39" s="1214"/>
    </row>
    <row r="40" spans="1:31" s="1202" customFormat="1" ht="12.75" x14ac:dyDescent="0.2">
      <c r="A40" s="1209" t="s">
        <v>962</v>
      </c>
      <c r="B40" s="1186">
        <v>34</v>
      </c>
      <c r="C40" s="1210">
        <v>116.709097694299</v>
      </c>
      <c r="D40" s="1210">
        <v>66.290475332935102</v>
      </c>
      <c r="E40" s="1210">
        <v>64.437808087410204</v>
      </c>
      <c r="F40" s="1210">
        <v>96.620010620217499</v>
      </c>
      <c r="G40" s="1210">
        <v>68.920694504462205</v>
      </c>
      <c r="H40" s="1210">
        <v>135.38816610951099</v>
      </c>
      <c r="I40" s="1210">
        <v>156.72889592580901</v>
      </c>
      <c r="J40" s="1210"/>
      <c r="K40" s="1210"/>
      <c r="L40" s="1210"/>
      <c r="M40" s="1210"/>
      <c r="N40" s="1210"/>
      <c r="O40" s="1210"/>
      <c r="P40" s="1210"/>
      <c r="Q40" s="1210"/>
      <c r="R40" s="1210"/>
      <c r="S40" s="1210"/>
      <c r="T40" s="1210"/>
      <c r="U40" s="1210"/>
      <c r="V40" s="1210"/>
      <c r="W40" s="1210"/>
      <c r="X40" s="1210"/>
      <c r="Y40" s="1210"/>
      <c r="Z40" s="1210"/>
      <c r="AA40" s="1210"/>
      <c r="AB40" s="1210"/>
      <c r="AC40" s="1210"/>
      <c r="AD40" s="1210"/>
      <c r="AE40" s="1210"/>
    </row>
    <row r="41" spans="1:31" s="1202" customFormat="1" ht="12.75" x14ac:dyDescent="0.2">
      <c r="A41" s="927" t="s">
        <v>618</v>
      </c>
      <c r="B41" s="1186">
        <v>35</v>
      </c>
      <c r="C41" s="1214">
        <v>0</v>
      </c>
      <c r="D41" s="1214">
        <v>0</v>
      </c>
      <c r="E41" s="1214">
        <v>0</v>
      </c>
      <c r="F41" s="1214">
        <v>0</v>
      </c>
      <c r="G41" s="1214">
        <v>0</v>
      </c>
      <c r="H41" s="1214">
        <v>0</v>
      </c>
      <c r="I41" s="1214">
        <v>0</v>
      </c>
      <c r="J41" s="1214"/>
      <c r="K41" s="1214"/>
      <c r="L41" s="1214"/>
      <c r="M41" s="1214"/>
      <c r="N41" s="1214"/>
      <c r="O41" s="1214"/>
      <c r="P41" s="1214"/>
      <c r="Q41" s="1214"/>
      <c r="R41" s="1214"/>
      <c r="S41" s="1214"/>
      <c r="T41" s="1214"/>
      <c r="U41" s="1214"/>
      <c r="V41" s="1214"/>
      <c r="W41" s="1214"/>
      <c r="X41" s="1214"/>
      <c r="Y41" s="1214"/>
      <c r="Z41" s="1214"/>
      <c r="AA41" s="1214"/>
      <c r="AB41" s="1214"/>
      <c r="AC41" s="1214"/>
      <c r="AD41" s="1214"/>
      <c r="AE41" s="1214"/>
    </row>
    <row r="42" spans="1:31" s="1202" customFormat="1" ht="12.75" x14ac:dyDescent="0.2">
      <c r="A42" s="927" t="s">
        <v>619</v>
      </c>
      <c r="B42" s="1186">
        <v>36</v>
      </c>
      <c r="C42" s="1214">
        <v>9.6367564964309906</v>
      </c>
      <c r="D42" s="1214">
        <v>5.9308237375955901</v>
      </c>
      <c r="E42" s="1214">
        <v>5.8153814611801602</v>
      </c>
      <c r="F42" s="1214">
        <v>6.3416097063459098</v>
      </c>
      <c r="G42" s="1214">
        <v>6.3396534230171904</v>
      </c>
      <c r="H42" s="1214">
        <v>6.72466696334999</v>
      </c>
      <c r="I42" s="1214">
        <v>7.6410960987025698</v>
      </c>
      <c r="J42" s="1214"/>
      <c r="K42" s="1214"/>
      <c r="L42" s="1214"/>
      <c r="M42" s="1214"/>
      <c r="N42" s="1214"/>
      <c r="O42" s="1214"/>
      <c r="P42" s="1214"/>
      <c r="Q42" s="1214"/>
      <c r="R42" s="1214"/>
      <c r="S42" s="1214"/>
      <c r="T42" s="1214"/>
      <c r="U42" s="1214"/>
      <c r="V42" s="1214"/>
      <c r="W42" s="1214"/>
      <c r="X42" s="1214"/>
      <c r="Y42" s="1214"/>
      <c r="Z42" s="1214"/>
      <c r="AA42" s="1214"/>
      <c r="AB42" s="1214"/>
      <c r="AC42" s="1214"/>
      <c r="AD42" s="1214"/>
      <c r="AE42" s="1214"/>
    </row>
    <row r="43" spans="1:31" s="1202" customFormat="1" ht="12.75" x14ac:dyDescent="0.2">
      <c r="A43" s="928" t="s">
        <v>711</v>
      </c>
      <c r="B43" s="1186">
        <v>37</v>
      </c>
      <c r="C43" s="1214">
        <v>107.072341197868</v>
      </c>
      <c r="D43" s="1214">
        <v>60.359651595339599</v>
      </c>
      <c r="E43" s="1214">
        <v>58.622426626230002</v>
      </c>
      <c r="F43" s="1214">
        <v>90.278400913871593</v>
      </c>
      <c r="G43" s="1214">
        <v>62.581041081445001</v>
      </c>
      <c r="H43" s="1214">
        <v>128.663499146161</v>
      </c>
      <c r="I43" s="1214">
        <v>149.08779982710701</v>
      </c>
      <c r="J43" s="1214"/>
      <c r="K43" s="1214"/>
      <c r="L43" s="1214"/>
      <c r="M43" s="1214"/>
      <c r="N43" s="1214"/>
      <c r="O43" s="1214"/>
      <c r="P43" s="1214"/>
      <c r="Q43" s="1214"/>
      <c r="R43" s="1214"/>
      <c r="S43" s="1214"/>
      <c r="T43" s="1214"/>
      <c r="U43" s="1214"/>
      <c r="V43" s="1214"/>
      <c r="W43" s="1214"/>
      <c r="X43" s="1214"/>
      <c r="Y43" s="1214"/>
      <c r="Z43" s="1214"/>
      <c r="AA43" s="1214"/>
      <c r="AB43" s="1214"/>
      <c r="AC43" s="1214"/>
      <c r="AD43" s="1214"/>
      <c r="AE43" s="1214"/>
    </row>
    <row r="44" spans="1:31" s="1216" customFormat="1" ht="12.75" x14ac:dyDescent="0.2">
      <c r="A44" s="1217" t="s">
        <v>712</v>
      </c>
      <c r="B44" s="1186">
        <v>38</v>
      </c>
      <c r="C44" s="1218">
        <v>19.955305488259999</v>
      </c>
      <c r="D44" s="1218">
        <v>28.145518746863999</v>
      </c>
      <c r="E44" s="1218">
        <v>27.3771153329741</v>
      </c>
      <c r="F44" s="1218">
        <v>28.800381679444701</v>
      </c>
      <c r="G44" s="1218">
        <v>23.893707317557599</v>
      </c>
      <c r="H44" s="1218">
        <v>35.786808198572103</v>
      </c>
      <c r="I44" s="1218">
        <v>39.637544260629902</v>
      </c>
      <c r="J44" s="1218"/>
      <c r="K44" s="1218"/>
      <c r="L44" s="1218"/>
      <c r="M44" s="1218"/>
      <c r="N44" s="1218"/>
      <c r="O44" s="1218"/>
      <c r="P44" s="1218"/>
      <c r="Q44" s="1218"/>
      <c r="R44" s="1218"/>
      <c r="S44" s="1218"/>
      <c r="T44" s="1218"/>
      <c r="U44" s="1218"/>
      <c r="V44" s="1218"/>
      <c r="W44" s="1218"/>
      <c r="X44" s="1218"/>
      <c r="Y44" s="1218"/>
      <c r="Z44" s="1218"/>
      <c r="AA44" s="1218"/>
      <c r="AB44" s="1218"/>
      <c r="AC44" s="1218"/>
      <c r="AD44" s="1218"/>
      <c r="AE44" s="1218"/>
    </row>
    <row r="45" spans="1:31" s="1202" customFormat="1" ht="12.75" x14ac:dyDescent="0.2">
      <c r="A45" s="1219" t="s">
        <v>963</v>
      </c>
      <c r="B45" s="1186">
        <v>39</v>
      </c>
      <c r="C45" s="1206">
        <v>427.61348330264599</v>
      </c>
      <c r="D45" s="1206">
        <v>444.98371284717899</v>
      </c>
      <c r="E45" s="1206">
        <v>439.75054015020902</v>
      </c>
      <c r="F45" s="1206">
        <v>451.69789831653901</v>
      </c>
      <c r="G45" s="1206">
        <v>440.50096503397799</v>
      </c>
      <c r="H45" s="1206">
        <v>437.83340235159801</v>
      </c>
      <c r="I45" s="1206">
        <v>457.56352289048999</v>
      </c>
      <c r="J45" s="1206"/>
      <c r="K45" s="1206"/>
      <c r="L45" s="1206"/>
      <c r="M45" s="1206"/>
      <c r="N45" s="1206"/>
      <c r="O45" s="1206"/>
      <c r="P45" s="1206"/>
      <c r="Q45" s="1206"/>
      <c r="R45" s="1206"/>
      <c r="S45" s="1206"/>
      <c r="T45" s="1206"/>
      <c r="U45" s="1206"/>
      <c r="V45" s="1206"/>
      <c r="W45" s="1206"/>
      <c r="X45" s="1206"/>
      <c r="Y45" s="1206"/>
      <c r="Z45" s="1206"/>
      <c r="AA45" s="1206"/>
      <c r="AB45" s="1206"/>
      <c r="AC45" s="1206"/>
      <c r="AD45" s="1206"/>
      <c r="AE45" s="1206"/>
    </row>
    <row r="46" spans="1:31" s="1202" customFormat="1" ht="12.75" x14ac:dyDescent="0.2">
      <c r="A46" s="927" t="s">
        <v>778</v>
      </c>
      <c r="B46" s="1186">
        <v>40</v>
      </c>
      <c r="C46" s="1214">
        <v>328.40641208614699</v>
      </c>
      <c r="D46" s="1214">
        <v>359.42512611637102</v>
      </c>
      <c r="E46" s="1214">
        <v>359.42512611637102</v>
      </c>
      <c r="F46" s="1214">
        <v>356.29896501455602</v>
      </c>
      <c r="G46" s="1214">
        <v>359.671099271336</v>
      </c>
      <c r="H46" s="1214">
        <v>351.41705432459099</v>
      </c>
      <c r="I46" s="1214">
        <v>347.63285061125902</v>
      </c>
      <c r="J46" s="1214"/>
      <c r="K46" s="1214"/>
      <c r="L46" s="1214"/>
      <c r="M46" s="1214"/>
      <c r="N46" s="1214"/>
      <c r="O46" s="1214"/>
      <c r="P46" s="1214"/>
      <c r="Q46" s="1214"/>
      <c r="R46" s="1214"/>
      <c r="S46" s="1214"/>
      <c r="T46" s="1214"/>
      <c r="U46" s="1214"/>
      <c r="V46" s="1214"/>
      <c r="W46" s="1214"/>
      <c r="X46" s="1214"/>
      <c r="Y46" s="1214"/>
      <c r="Z46" s="1214"/>
      <c r="AA46" s="1214"/>
      <c r="AB46" s="1214"/>
      <c r="AC46" s="1214"/>
      <c r="AD46" s="1214"/>
      <c r="AE46" s="1214"/>
    </row>
    <row r="47" spans="1:31" s="1202" customFormat="1" ht="12.75" x14ac:dyDescent="0.2">
      <c r="A47" s="927" t="s">
        <v>779</v>
      </c>
      <c r="B47" s="1186">
        <v>41</v>
      </c>
      <c r="C47" s="1214">
        <v>47.964285714285701</v>
      </c>
      <c r="D47" s="1214">
        <v>44.397142857142903</v>
      </c>
      <c r="E47" s="1214">
        <v>44.397142857142903</v>
      </c>
      <c r="F47" s="1214">
        <v>45.52</v>
      </c>
      <c r="G47" s="1214">
        <v>38.055072463768099</v>
      </c>
      <c r="H47" s="1214">
        <v>47.762790697674397</v>
      </c>
      <c r="I47" s="1214">
        <v>52.884210526315798</v>
      </c>
      <c r="J47" s="1214"/>
      <c r="K47" s="1214"/>
      <c r="L47" s="1214"/>
      <c r="M47" s="1214"/>
      <c r="N47" s="1214"/>
      <c r="O47" s="1214"/>
      <c r="P47" s="1214"/>
      <c r="Q47" s="1214"/>
      <c r="R47" s="1214"/>
      <c r="S47" s="1214"/>
      <c r="T47" s="1214"/>
      <c r="U47" s="1214"/>
      <c r="V47" s="1214"/>
      <c r="W47" s="1214"/>
      <c r="X47" s="1214"/>
      <c r="Y47" s="1214"/>
      <c r="Z47" s="1214"/>
      <c r="AA47" s="1214"/>
      <c r="AB47" s="1214"/>
      <c r="AC47" s="1214"/>
      <c r="AD47" s="1214"/>
      <c r="AE47" s="1214"/>
    </row>
    <row r="48" spans="1:31" s="1202" customFormat="1" ht="12.75" x14ac:dyDescent="0.2">
      <c r="A48" s="1220" t="s">
        <v>964</v>
      </c>
      <c r="B48" s="1186">
        <v>42</v>
      </c>
      <c r="C48" s="1214">
        <v>0</v>
      </c>
      <c r="D48" s="1214">
        <v>0</v>
      </c>
      <c r="E48" s="1214">
        <v>0</v>
      </c>
      <c r="F48" s="1214">
        <v>0</v>
      </c>
      <c r="G48" s="1214">
        <v>0</v>
      </c>
      <c r="H48" s="1214">
        <v>0</v>
      </c>
      <c r="I48" s="1214">
        <v>0</v>
      </c>
      <c r="J48" s="1214"/>
      <c r="K48" s="1214"/>
      <c r="L48" s="1214"/>
      <c r="M48" s="1214"/>
      <c r="N48" s="1214"/>
      <c r="O48" s="1214"/>
      <c r="P48" s="1214"/>
      <c r="Q48" s="1214"/>
      <c r="R48" s="1214"/>
      <c r="S48" s="1214"/>
      <c r="T48" s="1214"/>
      <c r="U48" s="1214"/>
      <c r="V48" s="1214"/>
      <c r="W48" s="1214"/>
      <c r="X48" s="1214"/>
      <c r="Y48" s="1214"/>
      <c r="Z48" s="1214"/>
      <c r="AA48" s="1214"/>
      <c r="AB48" s="1214"/>
      <c r="AC48" s="1214"/>
      <c r="AD48" s="1214"/>
      <c r="AE48" s="1214"/>
    </row>
    <row r="49" spans="1:31" s="1202" customFormat="1" ht="12.75" x14ac:dyDescent="0.2">
      <c r="A49" s="798" t="s">
        <v>717</v>
      </c>
      <c r="B49" s="1186">
        <v>43</v>
      </c>
      <c r="C49" s="1214">
        <v>0</v>
      </c>
      <c r="D49" s="1214">
        <v>0</v>
      </c>
      <c r="E49" s="1214">
        <v>0</v>
      </c>
      <c r="F49" s="1214">
        <v>0</v>
      </c>
      <c r="G49" s="1214">
        <v>0</v>
      </c>
      <c r="H49" s="1214">
        <v>0</v>
      </c>
      <c r="I49" s="1214">
        <v>0</v>
      </c>
      <c r="J49" s="1214"/>
      <c r="K49" s="1214"/>
      <c r="L49" s="1214"/>
      <c r="M49" s="1214"/>
      <c r="N49" s="1214"/>
      <c r="O49" s="1214"/>
      <c r="P49" s="1214"/>
      <c r="Q49" s="1214"/>
      <c r="R49" s="1214"/>
      <c r="S49" s="1214"/>
      <c r="T49" s="1214"/>
      <c r="U49" s="1214"/>
      <c r="V49" s="1214"/>
      <c r="W49" s="1214"/>
      <c r="X49" s="1214"/>
      <c r="Y49" s="1214"/>
      <c r="Z49" s="1214"/>
      <c r="AA49" s="1214"/>
      <c r="AB49" s="1214"/>
      <c r="AC49" s="1214"/>
      <c r="AD49" s="1214"/>
      <c r="AE49" s="1214"/>
    </row>
    <row r="50" spans="1:31" s="1202" customFormat="1" ht="12.75" x14ac:dyDescent="0.2">
      <c r="A50" s="927" t="s">
        <v>816</v>
      </c>
      <c r="B50" s="1186">
        <v>44</v>
      </c>
      <c r="C50" s="1214">
        <v>0</v>
      </c>
      <c r="D50" s="1214">
        <v>0</v>
      </c>
      <c r="E50" s="1214">
        <v>0</v>
      </c>
      <c r="F50" s="1214">
        <v>0</v>
      </c>
      <c r="G50" s="1214">
        <v>0</v>
      </c>
      <c r="H50" s="1214">
        <v>0</v>
      </c>
      <c r="I50" s="1214">
        <v>0</v>
      </c>
      <c r="J50" s="1214"/>
      <c r="K50" s="1214"/>
      <c r="L50" s="1214"/>
      <c r="M50" s="1214"/>
      <c r="N50" s="1214"/>
      <c r="O50" s="1214"/>
      <c r="P50" s="1214"/>
      <c r="Q50" s="1214"/>
      <c r="R50" s="1214"/>
      <c r="S50" s="1214"/>
      <c r="T50" s="1214"/>
      <c r="U50" s="1214"/>
      <c r="V50" s="1214"/>
      <c r="W50" s="1214"/>
      <c r="X50" s="1214"/>
      <c r="Y50" s="1214"/>
      <c r="Z50" s="1214"/>
      <c r="AA50" s="1214"/>
      <c r="AB50" s="1214"/>
      <c r="AC50" s="1214"/>
      <c r="AD50" s="1214"/>
      <c r="AE50" s="1214"/>
    </row>
    <row r="51" spans="1:31" s="1202" customFormat="1" ht="12.75" x14ac:dyDescent="0.2">
      <c r="A51" s="927" t="s">
        <v>818</v>
      </c>
      <c r="B51" s="1186">
        <v>45</v>
      </c>
      <c r="C51" s="1214">
        <v>7.3217162741661399</v>
      </c>
      <c r="D51" s="1214">
        <v>0</v>
      </c>
      <c r="E51" s="1214">
        <v>0</v>
      </c>
      <c r="F51" s="1214">
        <v>0</v>
      </c>
      <c r="G51" s="1214">
        <v>0</v>
      </c>
      <c r="H51" s="1214">
        <v>0</v>
      </c>
      <c r="I51" s="1214">
        <v>0</v>
      </c>
      <c r="J51" s="1214"/>
      <c r="K51" s="1214"/>
      <c r="L51" s="1214"/>
      <c r="M51" s="1214"/>
      <c r="N51" s="1214"/>
      <c r="O51" s="1214"/>
      <c r="P51" s="1214"/>
      <c r="Q51" s="1214"/>
      <c r="R51" s="1214"/>
      <c r="S51" s="1214"/>
      <c r="T51" s="1214"/>
      <c r="U51" s="1214"/>
      <c r="V51" s="1214"/>
      <c r="W51" s="1214"/>
      <c r="X51" s="1214"/>
      <c r="Y51" s="1214"/>
      <c r="Z51" s="1214"/>
      <c r="AA51" s="1214"/>
      <c r="AB51" s="1214"/>
      <c r="AC51" s="1214"/>
      <c r="AD51" s="1214"/>
      <c r="AE51" s="1214"/>
    </row>
    <row r="52" spans="1:31" s="1202" customFormat="1" ht="12.75" x14ac:dyDescent="0.2">
      <c r="A52" s="927" t="s">
        <v>820</v>
      </c>
      <c r="B52" s="1186">
        <v>46</v>
      </c>
      <c r="C52" s="1214">
        <v>43.921069228047102</v>
      </c>
      <c r="D52" s="1214">
        <v>41.161443873665498</v>
      </c>
      <c r="E52" s="1214">
        <v>35.928271176694899</v>
      </c>
      <c r="F52" s="1214">
        <v>49.878933301982997</v>
      </c>
      <c r="G52" s="1214">
        <v>42.7747932988743</v>
      </c>
      <c r="H52" s="1214">
        <v>38.653557329332301</v>
      </c>
      <c r="I52" s="1214">
        <v>57.046461752915498</v>
      </c>
      <c r="J52" s="1214"/>
      <c r="K52" s="1214"/>
      <c r="L52" s="1214"/>
      <c r="M52" s="1214"/>
      <c r="N52" s="1214"/>
      <c r="O52" s="1214"/>
      <c r="P52" s="1214"/>
      <c r="Q52" s="1214"/>
      <c r="R52" s="1214"/>
      <c r="S52" s="1214"/>
      <c r="T52" s="1214"/>
      <c r="U52" s="1214"/>
      <c r="V52" s="1214"/>
      <c r="W52" s="1214"/>
      <c r="X52" s="1214"/>
      <c r="Y52" s="1214"/>
      <c r="Z52" s="1214"/>
      <c r="AA52" s="1214"/>
      <c r="AB52" s="1214"/>
      <c r="AC52" s="1214"/>
      <c r="AD52" s="1214"/>
      <c r="AE52" s="1214"/>
    </row>
    <row r="53" spans="1:31" s="1202" customFormat="1" ht="12.75" x14ac:dyDescent="0.2">
      <c r="A53" s="1219"/>
      <c r="B53" s="1186">
        <v>47</v>
      </c>
      <c r="C53" s="1221"/>
      <c r="D53" s="1221"/>
      <c r="E53" s="1221"/>
      <c r="F53" s="1221"/>
      <c r="G53" s="1221"/>
      <c r="H53" s="1221"/>
      <c r="I53" s="1221"/>
      <c r="J53" s="1221"/>
      <c r="K53" s="1221"/>
      <c r="L53" s="1221"/>
      <c r="M53" s="1221"/>
      <c r="N53" s="1221"/>
      <c r="O53" s="1221"/>
      <c r="P53" s="1221"/>
      <c r="Q53" s="1221"/>
      <c r="R53" s="1221"/>
      <c r="S53" s="1221"/>
      <c r="T53" s="1221"/>
      <c r="U53" s="1221"/>
      <c r="V53" s="1221"/>
      <c r="W53" s="1221"/>
      <c r="X53" s="1221"/>
      <c r="Y53" s="1221"/>
      <c r="Z53" s="1221"/>
      <c r="AA53" s="1221"/>
      <c r="AB53" s="1221"/>
      <c r="AC53" s="1221"/>
      <c r="AD53" s="1221"/>
      <c r="AE53" s="1221"/>
    </row>
    <row r="54" spans="1:31" s="1202" customFormat="1" ht="12.75" x14ac:dyDescent="0.2">
      <c r="A54" s="928" t="s">
        <v>965</v>
      </c>
      <c r="B54" s="1186">
        <v>48</v>
      </c>
      <c r="C54" s="1222">
        <v>1.73526975374215</v>
      </c>
      <c r="D54" s="1222">
        <v>2.2553601587430299</v>
      </c>
      <c r="E54" s="1222">
        <v>2.1904481210067801</v>
      </c>
      <c r="F54" s="1222">
        <v>1.2907978397751201</v>
      </c>
      <c r="G54" s="1222">
        <v>2.46959784650827</v>
      </c>
      <c r="H54" s="1222">
        <v>2.1094387430311401</v>
      </c>
      <c r="I54" s="1222">
        <v>1.6200561605462001</v>
      </c>
      <c r="J54" s="1222"/>
      <c r="K54" s="1222"/>
      <c r="L54" s="1222"/>
      <c r="M54" s="1222"/>
      <c r="N54" s="1222"/>
      <c r="O54" s="1222"/>
      <c r="P54" s="1222"/>
      <c r="Q54" s="1222"/>
      <c r="R54" s="1222"/>
      <c r="S54" s="1222"/>
      <c r="T54" s="1222"/>
      <c r="U54" s="1222"/>
      <c r="V54" s="1222"/>
      <c r="W54" s="1222"/>
      <c r="X54" s="1222"/>
      <c r="Y54" s="1222"/>
      <c r="Z54" s="1222"/>
      <c r="AA54" s="1222"/>
      <c r="AB54" s="1222"/>
      <c r="AC54" s="1222"/>
      <c r="AD54" s="1222"/>
      <c r="AE54" s="1222"/>
    </row>
    <row r="55" spans="1:31" s="1226" customFormat="1" ht="12.75" x14ac:dyDescent="0.2">
      <c r="A55" s="1223" t="s">
        <v>966</v>
      </c>
      <c r="B55" s="1224">
        <v>49</v>
      </c>
      <c r="C55" s="1225">
        <v>242.03729656110201</v>
      </c>
      <c r="D55" s="1225">
        <v>310.37171481743701</v>
      </c>
      <c r="E55" s="1225">
        <v>319.569312455692</v>
      </c>
      <c r="F55" s="1225">
        <v>290.51799471970998</v>
      </c>
      <c r="G55" s="1225">
        <v>279.39771690989397</v>
      </c>
      <c r="H55" s="1225">
        <v>203.84569185551001</v>
      </c>
      <c r="I55" s="1225">
        <v>175.91982731260001</v>
      </c>
      <c r="J55" s="1225"/>
      <c r="K55" s="1225"/>
      <c r="L55" s="1225"/>
      <c r="M55" s="1225"/>
      <c r="N55" s="1225"/>
      <c r="O55" s="1225"/>
      <c r="P55" s="1225"/>
      <c r="Q55" s="1225"/>
      <c r="R55" s="1225"/>
      <c r="S55" s="1222"/>
      <c r="T55" s="1225"/>
      <c r="U55" s="1225"/>
      <c r="V55" s="1225"/>
      <c r="W55" s="1225"/>
      <c r="X55" s="1225"/>
      <c r="Y55" s="1225"/>
      <c r="Z55" s="1225"/>
      <c r="AA55" s="1225"/>
      <c r="AB55" s="1225"/>
      <c r="AC55" s="1225"/>
      <c r="AD55" s="1225"/>
      <c r="AE55" s="1225"/>
    </row>
    <row r="56" spans="1:31" s="1202" customFormat="1" ht="12.75" x14ac:dyDescent="0.2">
      <c r="A56" s="1209" t="s">
        <v>967</v>
      </c>
      <c r="B56" s="1186">
        <v>50</v>
      </c>
      <c r="C56" s="1227"/>
      <c r="D56" s="1227"/>
      <c r="E56" s="1227"/>
      <c r="F56" s="1227"/>
      <c r="G56" s="1227"/>
      <c r="H56" s="1227"/>
      <c r="I56" s="1227"/>
      <c r="J56" s="1227"/>
      <c r="K56" s="1227"/>
      <c r="L56" s="1227"/>
      <c r="M56" s="1227"/>
      <c r="N56" s="1227"/>
      <c r="O56" s="1227"/>
      <c r="P56" s="1227"/>
      <c r="Q56" s="1227"/>
      <c r="R56" s="1227"/>
      <c r="S56" s="1227"/>
      <c r="T56" s="1227"/>
      <c r="U56" s="1227"/>
      <c r="V56" s="1227"/>
      <c r="W56" s="1227"/>
      <c r="X56" s="1227"/>
      <c r="Y56" s="1227"/>
      <c r="Z56" s="1227"/>
      <c r="AA56" s="1227"/>
      <c r="AB56" s="1227"/>
      <c r="AC56" s="1227"/>
      <c r="AD56" s="1227"/>
      <c r="AE56" s="1227"/>
    </row>
    <row r="57" spans="1:31" s="1202" customFormat="1" ht="12.75" x14ac:dyDescent="0.2">
      <c r="A57" s="928" t="s">
        <v>968</v>
      </c>
      <c r="B57" s="1186">
        <v>51</v>
      </c>
      <c r="C57" s="1228">
        <v>427.61348330264599</v>
      </c>
      <c r="D57" s="1228">
        <v>444.98371284717899</v>
      </c>
      <c r="E57" s="1228">
        <v>439.75054015020902</v>
      </c>
      <c r="F57" s="1228">
        <v>451.69789831653901</v>
      </c>
      <c r="G57" s="1228">
        <v>440.50096503397799</v>
      </c>
      <c r="H57" s="1228">
        <v>437.83340235159801</v>
      </c>
      <c r="I57" s="1228">
        <v>457.56352289048999</v>
      </c>
      <c r="J57" s="1228"/>
      <c r="K57" s="1228"/>
      <c r="L57" s="1228"/>
      <c r="M57" s="1228"/>
      <c r="N57" s="1228"/>
      <c r="O57" s="1228"/>
      <c r="P57" s="1228"/>
      <c r="Q57" s="1228"/>
      <c r="R57" s="1228"/>
      <c r="S57" s="1228"/>
      <c r="T57" s="1228"/>
      <c r="U57" s="1228"/>
      <c r="V57" s="1228"/>
      <c r="W57" s="1228"/>
      <c r="X57" s="1228"/>
      <c r="Y57" s="1228"/>
      <c r="Z57" s="1228"/>
      <c r="AA57" s="1228"/>
      <c r="AB57" s="1228"/>
      <c r="AC57" s="1228"/>
      <c r="AD57" s="1228"/>
      <c r="AE57" s="1228"/>
    </row>
    <row r="58" spans="1:31" s="1202" customFormat="1" ht="12.75" x14ac:dyDescent="0.2">
      <c r="A58" s="928" t="s">
        <v>969</v>
      </c>
      <c r="B58" s="1186">
        <v>52</v>
      </c>
      <c r="C58" s="1214">
        <v>136.82783670815999</v>
      </c>
      <c r="D58" s="1214">
        <v>146.77367820808001</v>
      </c>
      <c r="E58" s="1214">
        <v>156.78510931851</v>
      </c>
      <c r="F58" s="1214">
        <v>156.80007043173001</v>
      </c>
      <c r="G58" s="1214">
        <v>151.99253220935299</v>
      </c>
      <c r="H58" s="1214">
        <v>139.85379713335601</v>
      </c>
      <c r="I58" s="1214">
        <v>138.72843927073799</v>
      </c>
      <c r="J58" s="1214"/>
      <c r="K58" s="1214"/>
      <c r="L58" s="1214"/>
      <c r="M58" s="1214"/>
      <c r="N58" s="1214"/>
      <c r="O58" s="1214"/>
      <c r="P58" s="1214"/>
      <c r="Q58" s="1214"/>
      <c r="R58" s="1214"/>
      <c r="S58" s="1214"/>
      <c r="T58" s="1214"/>
      <c r="U58" s="1214"/>
      <c r="V58" s="1214"/>
      <c r="W58" s="1214"/>
      <c r="X58" s="1214"/>
      <c r="Y58" s="1214"/>
      <c r="Z58" s="1214"/>
      <c r="AA58" s="1214"/>
      <c r="AB58" s="1214"/>
      <c r="AC58" s="1214"/>
      <c r="AD58" s="1214"/>
      <c r="AE58" s="1214"/>
    </row>
    <row r="59" spans="1:31" s="1202" customFormat="1" ht="12.75" x14ac:dyDescent="0.2">
      <c r="A59" s="928" t="s">
        <v>970</v>
      </c>
      <c r="B59" s="1186">
        <v>53</v>
      </c>
      <c r="C59" s="1214">
        <v>135.71347494908099</v>
      </c>
      <c r="D59" s="1214">
        <v>152.542372788351</v>
      </c>
      <c r="E59" s="1214">
        <v>144.95031128499201</v>
      </c>
      <c r="F59" s="1214">
        <v>162.514609618918</v>
      </c>
      <c r="G59" s="1214">
        <v>152.41661621818099</v>
      </c>
      <c r="H59" s="1214">
        <v>131.26410595689899</v>
      </c>
      <c r="I59" s="1214">
        <v>148.067863236259</v>
      </c>
      <c r="J59" s="1214"/>
      <c r="K59" s="1214"/>
      <c r="L59" s="1214"/>
      <c r="M59" s="1214"/>
      <c r="N59" s="1214"/>
      <c r="O59" s="1214"/>
      <c r="P59" s="1214"/>
      <c r="Q59" s="1214"/>
      <c r="R59" s="1214"/>
      <c r="S59" s="1214"/>
      <c r="T59" s="1214"/>
      <c r="U59" s="1214"/>
      <c r="V59" s="1214"/>
      <c r="W59" s="1214"/>
      <c r="X59" s="1214"/>
      <c r="Y59" s="1214"/>
      <c r="Z59" s="1214"/>
      <c r="AA59" s="1214"/>
      <c r="AB59" s="1214"/>
      <c r="AC59" s="1214"/>
      <c r="AD59" s="1214"/>
      <c r="AE59" s="1214"/>
    </row>
    <row r="60" spans="1:31" s="1202" customFormat="1" ht="12.75" x14ac:dyDescent="0.2">
      <c r="A60" s="928" t="s">
        <v>971</v>
      </c>
      <c r="B60" s="1186">
        <v>54</v>
      </c>
      <c r="C60" s="1228">
        <v>155.07217164540501</v>
      </c>
      <c r="D60" s="1228">
        <v>145.667661850748</v>
      </c>
      <c r="E60" s="1228">
        <v>138.01511954670701</v>
      </c>
      <c r="F60" s="1228">
        <v>132.383218265892</v>
      </c>
      <c r="G60" s="1228">
        <v>136.09181660644501</v>
      </c>
      <c r="H60" s="1228">
        <v>166.71549926134401</v>
      </c>
      <c r="I60" s="1228">
        <v>170.767220383493</v>
      </c>
      <c r="J60" s="1228"/>
      <c r="K60" s="1228"/>
      <c r="L60" s="1228"/>
      <c r="M60" s="1228"/>
      <c r="N60" s="1228"/>
      <c r="O60" s="1228"/>
      <c r="P60" s="1228"/>
      <c r="Q60" s="1228"/>
      <c r="R60" s="1228"/>
      <c r="S60" s="1228"/>
      <c r="T60" s="1228"/>
      <c r="U60" s="1228"/>
      <c r="V60" s="1228"/>
      <c r="W60" s="1228"/>
      <c r="X60" s="1228"/>
      <c r="Y60" s="1228"/>
      <c r="Z60" s="1228"/>
      <c r="AA60" s="1228"/>
      <c r="AB60" s="1228"/>
      <c r="AC60" s="1228"/>
      <c r="AD60" s="1228"/>
      <c r="AE60" s="1228"/>
    </row>
    <row r="61" spans="1:31" s="1202" customFormat="1" ht="12.75" x14ac:dyDescent="0.2">
      <c r="A61" s="928" t="s">
        <v>972</v>
      </c>
      <c r="B61" s="1186">
        <v>55</v>
      </c>
      <c r="C61" s="1214">
        <v>7.7094051971447701</v>
      </c>
      <c r="D61" s="1214">
        <v>74.135296719945003</v>
      </c>
      <c r="E61" s="1214">
        <v>72.692268264752101</v>
      </c>
      <c r="F61" s="1214">
        <v>63.416097063459098</v>
      </c>
      <c r="G61" s="1214">
        <v>63.396534230171902</v>
      </c>
      <c r="H61" s="1214">
        <v>58.840835929312298</v>
      </c>
      <c r="I61" s="1214">
        <v>47.756850616891199</v>
      </c>
      <c r="J61" s="1214"/>
      <c r="K61" s="1214"/>
      <c r="L61" s="1214"/>
      <c r="M61" s="1214"/>
      <c r="N61" s="1214"/>
      <c r="O61" s="1214"/>
      <c r="P61" s="1214"/>
      <c r="Q61" s="1214"/>
      <c r="R61" s="1214"/>
      <c r="S61" s="1214"/>
      <c r="T61" s="1214"/>
      <c r="U61" s="1214"/>
      <c r="V61" s="1214"/>
      <c r="W61" s="1214"/>
      <c r="X61" s="1214"/>
      <c r="Y61" s="1214"/>
      <c r="Z61" s="1214"/>
      <c r="AA61" s="1214"/>
      <c r="AB61" s="1214"/>
      <c r="AC61" s="1214"/>
      <c r="AD61" s="1214"/>
      <c r="AE61" s="1214"/>
    </row>
    <row r="62" spans="1:31" s="1202" customFormat="1" ht="12.75" x14ac:dyDescent="0.2">
      <c r="A62" s="928" t="s">
        <v>973</v>
      </c>
      <c r="B62" s="1186">
        <v>56</v>
      </c>
      <c r="C62" s="1228">
        <v>147.36276644826</v>
      </c>
      <c r="D62" s="1228">
        <v>71.5323651308032</v>
      </c>
      <c r="E62" s="1228">
        <v>65.322851281954897</v>
      </c>
      <c r="F62" s="1228">
        <v>68.967121202432693</v>
      </c>
      <c r="G62" s="1228">
        <v>72.695282376272701</v>
      </c>
      <c r="H62" s="1228">
        <v>107.87466333203101</v>
      </c>
      <c r="I62" s="1228">
        <v>123.010369766601</v>
      </c>
      <c r="J62" s="1228"/>
      <c r="K62" s="1228"/>
      <c r="L62" s="1228"/>
      <c r="M62" s="1228"/>
      <c r="N62" s="1228"/>
      <c r="O62" s="1228"/>
      <c r="P62" s="1228"/>
      <c r="Q62" s="1228"/>
      <c r="R62" s="1228"/>
      <c r="S62" s="1228"/>
      <c r="T62" s="1228"/>
      <c r="U62" s="1228"/>
      <c r="V62" s="1228"/>
      <c r="W62" s="1228"/>
      <c r="X62" s="1228"/>
      <c r="Y62" s="1228"/>
      <c r="Z62" s="1228"/>
      <c r="AA62" s="1228"/>
      <c r="AB62" s="1228"/>
      <c r="AC62" s="1228"/>
      <c r="AD62" s="1228"/>
      <c r="AE62" s="1228"/>
    </row>
    <row r="63" spans="1:31" s="1202" customFormat="1" ht="12.75" x14ac:dyDescent="0.2">
      <c r="A63" s="1209" t="s">
        <v>974</v>
      </c>
      <c r="B63" s="1186">
        <v>57</v>
      </c>
      <c r="C63" s="1227"/>
      <c r="D63" s="1227"/>
      <c r="E63" s="1227"/>
      <c r="F63" s="1227"/>
      <c r="G63" s="1227"/>
      <c r="H63" s="1227"/>
      <c r="I63" s="1227"/>
      <c r="J63" s="1227"/>
      <c r="K63" s="1227"/>
      <c r="L63" s="1227"/>
      <c r="M63" s="1227"/>
      <c r="N63" s="1227"/>
      <c r="O63" s="1227"/>
      <c r="P63" s="1227"/>
      <c r="Q63" s="1227"/>
      <c r="R63" s="1227"/>
      <c r="S63" s="1227"/>
      <c r="T63" s="1227"/>
      <c r="U63" s="1227"/>
      <c r="V63" s="1227"/>
      <c r="W63" s="1227"/>
      <c r="X63" s="1227"/>
      <c r="Y63" s="1227"/>
      <c r="Z63" s="1227"/>
      <c r="AA63" s="1227"/>
      <c r="AB63" s="1227"/>
      <c r="AC63" s="1227"/>
      <c r="AD63" s="1227"/>
      <c r="AE63" s="1227"/>
    </row>
    <row r="64" spans="1:31" s="1202" customFormat="1" ht="12.75" x14ac:dyDescent="0.2">
      <c r="A64" s="1229" t="s">
        <v>975</v>
      </c>
      <c r="B64" s="1186">
        <v>58</v>
      </c>
      <c r="C64" s="1230">
        <v>100078.403505286</v>
      </c>
      <c r="D64" s="1230">
        <v>153183.12593755999</v>
      </c>
      <c r="E64" s="1230">
        <v>155704.95891741701</v>
      </c>
      <c r="F64" s="1230">
        <v>148748.183641229</v>
      </c>
      <c r="G64" s="1230">
        <v>128754.700899074</v>
      </c>
      <c r="H64" s="1230">
        <v>93567.453343829606</v>
      </c>
      <c r="I64" s="1230">
        <v>81889.7984489464</v>
      </c>
      <c r="J64" s="1230"/>
      <c r="K64" s="1230"/>
      <c r="L64" s="1230"/>
      <c r="M64" s="1230"/>
      <c r="N64" s="1230"/>
      <c r="O64" s="1230"/>
      <c r="P64" s="1230"/>
      <c r="Q64" s="1230"/>
      <c r="R64" s="1230"/>
      <c r="S64" s="1230"/>
      <c r="T64" s="1230"/>
      <c r="U64" s="1230"/>
      <c r="V64" s="1230"/>
      <c r="W64" s="1230"/>
      <c r="X64" s="1230"/>
      <c r="Y64" s="1230"/>
      <c r="Z64" s="1230"/>
      <c r="AA64" s="1230"/>
      <c r="AB64" s="1230"/>
      <c r="AC64" s="1230"/>
      <c r="AD64" s="1230"/>
      <c r="AE64" s="1230"/>
    </row>
    <row r="65" spans="1:31" s="1202" customFormat="1" ht="12.75" x14ac:dyDescent="0.2">
      <c r="A65" s="1229" t="s">
        <v>976</v>
      </c>
      <c r="B65" s="1186">
        <v>59</v>
      </c>
      <c r="C65" s="1231">
        <v>0.32021134951182401</v>
      </c>
      <c r="D65" s="1231">
        <v>0.32737760016232104</v>
      </c>
      <c r="E65" s="1231">
        <v>0.31788401679926903</v>
      </c>
      <c r="F65" s="1231">
        <v>0.30382935617909901</v>
      </c>
      <c r="G65" s="1231">
        <v>0.30510037970075998</v>
      </c>
      <c r="H65" s="1231">
        <v>0.37251582551703505</v>
      </c>
      <c r="I65" s="1231">
        <v>0.36550532827764998</v>
      </c>
      <c r="J65" s="1231"/>
      <c r="K65" s="1231"/>
      <c r="L65" s="1231"/>
      <c r="M65" s="1231"/>
      <c r="N65" s="1231"/>
      <c r="O65" s="1231"/>
      <c r="P65" s="1231"/>
      <c r="Q65" s="1231"/>
      <c r="R65" s="1231"/>
      <c r="S65" s="1231"/>
      <c r="T65" s="1231"/>
      <c r="U65" s="1231"/>
      <c r="V65" s="1231"/>
      <c r="W65" s="1231"/>
      <c r="X65" s="1231"/>
      <c r="Y65" s="1231"/>
      <c r="Z65" s="1231"/>
      <c r="AA65" s="1231"/>
      <c r="AB65" s="1231"/>
      <c r="AC65" s="1231"/>
      <c r="AD65" s="1231"/>
      <c r="AE65" s="1231"/>
    </row>
    <row r="66" spans="1:31" s="1202" customFormat="1" ht="12.75" x14ac:dyDescent="0.2">
      <c r="A66" s="1229" t="s">
        <v>977</v>
      </c>
      <c r="B66" s="1186">
        <v>60</v>
      </c>
      <c r="C66" s="1230">
        <v>32046.240643416601</v>
      </c>
      <c r="D66" s="1230">
        <v>70208.213816721196</v>
      </c>
      <c r="E66" s="1230">
        <v>69294.564886727094</v>
      </c>
      <c r="F66" s="1230">
        <v>45194.0648685251</v>
      </c>
      <c r="G66" s="1230">
        <v>58924.6621988478</v>
      </c>
      <c r="H66" s="1230">
        <v>34855.357123903399</v>
      </c>
      <c r="I66" s="1230">
        <v>29931.157664672701</v>
      </c>
      <c r="J66" s="1230"/>
      <c r="K66" s="1230"/>
      <c r="L66" s="1230"/>
      <c r="M66" s="1230"/>
      <c r="N66" s="1230"/>
      <c r="O66" s="1230"/>
      <c r="P66" s="1230"/>
      <c r="Q66" s="1230"/>
      <c r="R66" s="1230"/>
      <c r="S66" s="1230"/>
      <c r="T66" s="1230"/>
      <c r="U66" s="1230"/>
      <c r="V66" s="1230"/>
      <c r="W66" s="1230"/>
      <c r="X66" s="1230"/>
      <c r="Y66" s="1230"/>
      <c r="Z66" s="1230"/>
      <c r="AA66" s="1230"/>
      <c r="AB66" s="1230"/>
      <c r="AC66" s="1230"/>
      <c r="AD66" s="1230"/>
      <c r="AE66" s="1230"/>
    </row>
    <row r="67" spans="1:31" s="1202" customFormat="1" ht="12.75" x14ac:dyDescent="0.2">
      <c r="A67" s="1229" t="s">
        <v>978</v>
      </c>
      <c r="B67" s="1186">
        <v>61</v>
      </c>
      <c r="C67" s="1231">
        <v>2.20615855574481E-2</v>
      </c>
      <c r="D67" s="1231">
        <v>0.16215000362736301</v>
      </c>
      <c r="E67" s="1231">
        <v>0.16186254763114202</v>
      </c>
      <c r="F67" s="1231">
        <v>0.133579849220368</v>
      </c>
      <c r="G67" s="1231">
        <v>0.14305851387089102</v>
      </c>
      <c r="H67" s="1231">
        <v>0.132624202588143</v>
      </c>
      <c r="I67" s="1231">
        <v>0.103645087031956</v>
      </c>
      <c r="J67" s="1231"/>
      <c r="K67" s="1231"/>
      <c r="L67" s="1231"/>
      <c r="M67" s="1231"/>
      <c r="N67" s="1231"/>
      <c r="O67" s="1231"/>
      <c r="P67" s="1231"/>
      <c r="Q67" s="1231"/>
      <c r="R67" s="1231"/>
      <c r="S67" s="1231"/>
      <c r="T67" s="1231"/>
      <c r="U67" s="1231"/>
      <c r="V67" s="1231"/>
      <c r="W67" s="1231"/>
      <c r="X67" s="1231"/>
      <c r="Y67" s="1231"/>
      <c r="Z67" s="1231"/>
      <c r="AA67" s="1231"/>
      <c r="AB67" s="1231"/>
      <c r="AC67" s="1231"/>
      <c r="AD67" s="1231"/>
      <c r="AE67" s="1231"/>
    </row>
    <row r="68" spans="1:31" s="1202" customFormat="1" ht="25.5" x14ac:dyDescent="0.2">
      <c r="A68" s="928" t="s">
        <v>979</v>
      </c>
      <c r="B68" s="1186">
        <v>62</v>
      </c>
      <c r="C68" s="1230">
        <v>29838.352382031899</v>
      </c>
      <c r="D68" s="1230">
        <v>35434.111619724601</v>
      </c>
      <c r="E68" s="1230">
        <v>34010.643025881502</v>
      </c>
      <c r="F68" s="1230">
        <v>25324.304925926001</v>
      </c>
      <c r="G68" s="1230">
        <v>31295.477952078902</v>
      </c>
      <c r="H68" s="1230">
        <v>22446.0482359747</v>
      </c>
      <c r="I68" s="1230">
        <v>21443.6823774023</v>
      </c>
      <c r="J68" s="1230"/>
      <c r="K68" s="1230"/>
      <c r="L68" s="1230"/>
      <c r="M68" s="1230"/>
      <c r="N68" s="1230"/>
      <c r="O68" s="1230"/>
      <c r="P68" s="1230"/>
      <c r="Q68" s="1230"/>
      <c r="R68" s="1230"/>
      <c r="S68" s="1230"/>
      <c r="T68" s="1230"/>
      <c r="U68" s="1230"/>
      <c r="V68" s="1230"/>
      <c r="W68" s="1230"/>
      <c r="X68" s="1230"/>
      <c r="Y68" s="1230"/>
      <c r="Z68" s="1230"/>
      <c r="AA68" s="1230"/>
      <c r="AB68" s="1230"/>
      <c r="AC68" s="1230"/>
      <c r="AD68" s="1230"/>
      <c r="AE68" s="1230"/>
    </row>
    <row r="69" spans="1:31" s="1202" customFormat="1" ht="25.5" x14ac:dyDescent="0.2">
      <c r="A69" s="928" t="s">
        <v>980</v>
      </c>
      <c r="B69" s="1186">
        <v>63</v>
      </c>
      <c r="C69" s="1230">
        <v>13289.513235472799</v>
      </c>
      <c r="D69" s="1230">
        <v>3084.9706197246401</v>
      </c>
      <c r="E69" s="1230">
        <v>1667.9358540815299</v>
      </c>
      <c r="F69" s="1230">
        <v>907.17722492603195</v>
      </c>
      <c r="G69" s="1230">
        <v>6464.05585207893</v>
      </c>
      <c r="H69" s="1230">
        <v>11813.5282359747</v>
      </c>
      <c r="I69" s="1230">
        <v>10537.097119167</v>
      </c>
      <c r="J69" s="1230"/>
      <c r="K69" s="1230"/>
      <c r="L69" s="1230"/>
      <c r="M69" s="1230"/>
      <c r="N69" s="1230"/>
      <c r="O69" s="1230"/>
      <c r="P69" s="1230"/>
      <c r="Q69" s="1230"/>
      <c r="R69" s="1230"/>
      <c r="S69" s="1230"/>
      <c r="T69" s="1230"/>
      <c r="U69" s="1230"/>
      <c r="V69" s="1230"/>
      <c r="W69" s="1230"/>
      <c r="X69" s="1230"/>
      <c r="Y69" s="1230"/>
      <c r="Z69" s="1230"/>
      <c r="AA69" s="1230"/>
      <c r="AB69" s="1230"/>
      <c r="AC69" s="1230"/>
      <c r="AD69" s="1230"/>
      <c r="AE69" s="1230"/>
    </row>
    <row r="70" spans="1:31" s="1202" customFormat="1" ht="25.5" x14ac:dyDescent="0.2">
      <c r="A70" s="928" t="s">
        <v>981</v>
      </c>
      <c r="B70" s="1186">
        <v>64</v>
      </c>
      <c r="C70" s="1230">
        <v>68.373095310876394</v>
      </c>
      <c r="D70" s="1230">
        <v>74.447922225469995</v>
      </c>
      <c r="E70" s="1230">
        <v>72.290838931369294</v>
      </c>
      <c r="F70" s="1230">
        <v>84.046868506570505</v>
      </c>
      <c r="G70" s="1230">
        <v>59.249880718741899</v>
      </c>
      <c r="H70" s="1230">
        <v>52.159650288496302</v>
      </c>
      <c r="I70" s="1230">
        <v>61.997475923250597</v>
      </c>
      <c r="J70" s="1230"/>
      <c r="K70" s="1230"/>
      <c r="L70" s="1230"/>
      <c r="M70" s="1230"/>
      <c r="N70" s="1230"/>
      <c r="O70" s="1230"/>
      <c r="P70" s="1230"/>
      <c r="Q70" s="1230"/>
      <c r="R70" s="1230"/>
      <c r="S70" s="1230"/>
      <c r="T70" s="1230"/>
      <c r="U70" s="1230"/>
      <c r="V70" s="1230"/>
      <c r="W70" s="1230"/>
      <c r="X70" s="1230"/>
      <c r="Y70" s="1230"/>
      <c r="Z70" s="1230"/>
      <c r="AA70" s="1230"/>
      <c r="AB70" s="1230"/>
      <c r="AC70" s="1230"/>
      <c r="AD70" s="1230"/>
      <c r="AE70" s="1230"/>
    </row>
    <row r="71" spans="1:31" s="1202" customFormat="1" ht="12.75" x14ac:dyDescent="0.2">
      <c r="A71" s="928" t="s">
        <v>982</v>
      </c>
      <c r="B71" s="1186">
        <v>65</v>
      </c>
      <c r="C71" s="1232">
        <v>3</v>
      </c>
      <c r="D71" s="1232">
        <v>2.5</v>
      </c>
      <c r="E71" s="1232">
        <v>2.5</v>
      </c>
      <c r="F71" s="1232">
        <v>2</v>
      </c>
      <c r="G71" s="1232">
        <v>2</v>
      </c>
      <c r="H71" s="1232">
        <v>2.5</v>
      </c>
      <c r="I71" s="1232">
        <v>1.7000000000000002</v>
      </c>
      <c r="J71" s="1232"/>
      <c r="K71" s="1232"/>
      <c r="L71" s="1232"/>
      <c r="M71" s="1232"/>
      <c r="N71" s="1232"/>
      <c r="O71" s="1232"/>
      <c r="P71" s="1232"/>
      <c r="Q71" s="1232"/>
      <c r="R71" s="1232"/>
      <c r="S71" s="1232"/>
      <c r="T71" s="1232"/>
      <c r="U71" s="1232"/>
      <c r="V71" s="1232"/>
      <c r="W71" s="1232"/>
      <c r="X71" s="1232"/>
      <c r="Y71" s="1232"/>
      <c r="Z71" s="1232"/>
      <c r="AA71" s="1232"/>
      <c r="AB71" s="1232"/>
      <c r="AC71" s="1232"/>
      <c r="AD71" s="1232"/>
      <c r="AE71" s="1232"/>
    </row>
    <row r="72" spans="1:31" s="1202" customFormat="1" ht="12.75" x14ac:dyDescent="0.2">
      <c r="A72" s="928" t="s">
        <v>983</v>
      </c>
      <c r="B72" s="1186">
        <v>66</v>
      </c>
      <c r="C72" s="1232">
        <v>0</v>
      </c>
      <c r="D72" s="1232">
        <v>1</v>
      </c>
      <c r="E72" s="1232">
        <v>1</v>
      </c>
      <c r="F72" s="1232">
        <v>0</v>
      </c>
      <c r="G72" s="1232">
        <v>1</v>
      </c>
      <c r="H72" s="1232">
        <v>0</v>
      </c>
      <c r="I72" s="1232">
        <v>0</v>
      </c>
      <c r="J72" s="1232"/>
      <c r="K72" s="1232"/>
      <c r="L72" s="1232"/>
      <c r="M72" s="1232"/>
      <c r="N72" s="1232"/>
      <c r="O72" s="1232"/>
      <c r="P72" s="1232"/>
      <c r="Q72" s="1232"/>
      <c r="R72" s="1232"/>
      <c r="S72" s="1232"/>
      <c r="T72" s="1232"/>
      <c r="U72" s="1232"/>
      <c r="V72" s="1232"/>
      <c r="W72" s="1232"/>
      <c r="X72" s="1232"/>
      <c r="Y72" s="1232"/>
      <c r="Z72" s="1232"/>
      <c r="AA72" s="1232"/>
      <c r="AB72" s="1232"/>
      <c r="AC72" s="1232"/>
      <c r="AD72" s="1232"/>
      <c r="AE72" s="1232"/>
    </row>
    <row r="73" spans="1:31" s="1202" customFormat="1" ht="12.75" x14ac:dyDescent="0.2">
      <c r="A73" s="928" t="s">
        <v>984</v>
      </c>
      <c r="B73" s="1186">
        <v>67</v>
      </c>
      <c r="C73" s="1232">
        <v>1.73526975374215</v>
      </c>
      <c r="D73" s="1232">
        <v>1.61097154195931</v>
      </c>
      <c r="E73" s="1232">
        <v>1.5646058007191299</v>
      </c>
      <c r="F73" s="1232">
        <v>1.2907978397751201</v>
      </c>
      <c r="G73" s="1232">
        <v>1.6463985643388499</v>
      </c>
      <c r="H73" s="1232">
        <v>2.1094387430311401</v>
      </c>
      <c r="I73" s="1232">
        <v>1.6200561605462001</v>
      </c>
      <c r="J73" s="1232"/>
      <c r="K73" s="1232"/>
      <c r="L73" s="1232"/>
      <c r="M73" s="1232"/>
      <c r="N73" s="1232"/>
      <c r="O73" s="1232"/>
      <c r="P73" s="1232"/>
      <c r="Q73" s="1232"/>
      <c r="R73" s="1232"/>
      <c r="S73" s="1232"/>
      <c r="T73" s="1232"/>
      <c r="U73" s="1232"/>
      <c r="V73" s="1232"/>
      <c r="W73" s="1232"/>
      <c r="X73" s="1232"/>
      <c r="Y73" s="1232"/>
      <c r="Z73" s="1232"/>
      <c r="AA73" s="1232"/>
      <c r="AB73" s="1232"/>
      <c r="AC73" s="1232"/>
      <c r="AD73" s="1232"/>
      <c r="AE73" s="1232"/>
    </row>
    <row r="74" spans="1:31" s="1202" customFormat="1" ht="12.75" x14ac:dyDescent="0.2">
      <c r="A74" s="928" t="s">
        <v>985</v>
      </c>
      <c r="B74" s="1186">
        <v>68</v>
      </c>
      <c r="C74" s="1232">
        <v>0</v>
      </c>
      <c r="D74" s="1232">
        <v>0.64438861678372206</v>
      </c>
      <c r="E74" s="1232">
        <v>0.62584232028765208</v>
      </c>
      <c r="F74" s="1232">
        <v>0</v>
      </c>
      <c r="G74" s="1232">
        <v>0.82319928216942306</v>
      </c>
      <c r="H74" s="1232">
        <v>0</v>
      </c>
      <c r="I74" s="1232">
        <v>0</v>
      </c>
      <c r="J74" s="1232"/>
      <c r="K74" s="1232"/>
      <c r="L74" s="1232"/>
      <c r="M74" s="1232"/>
      <c r="N74" s="1232"/>
      <c r="O74" s="1232"/>
      <c r="P74" s="1232"/>
      <c r="Q74" s="1232"/>
      <c r="R74" s="1232"/>
      <c r="S74" s="1232"/>
      <c r="T74" s="1232"/>
      <c r="U74" s="1232"/>
      <c r="V74" s="1232"/>
      <c r="W74" s="1232"/>
      <c r="X74" s="1232"/>
      <c r="Y74" s="1232"/>
      <c r="Z74" s="1232"/>
      <c r="AA74" s="1232"/>
      <c r="AB74" s="1232"/>
      <c r="AC74" s="1232"/>
      <c r="AD74" s="1232"/>
      <c r="AE74" s="1232"/>
    </row>
    <row r="75" spans="1:31" s="1202" customFormat="1" ht="12.75" x14ac:dyDescent="0.2">
      <c r="A75" s="1223" t="s">
        <v>986</v>
      </c>
      <c r="B75" s="1186">
        <v>69</v>
      </c>
      <c r="C75" s="1233">
        <v>242.03729656110201</v>
      </c>
      <c r="D75" s="1233">
        <v>434.52040074441197</v>
      </c>
      <c r="E75" s="1233">
        <v>447.397037437969</v>
      </c>
      <c r="F75" s="1233">
        <v>290.51799471970998</v>
      </c>
      <c r="G75" s="1233">
        <v>419.09657536484002</v>
      </c>
      <c r="H75" s="1233">
        <v>203.84569185551001</v>
      </c>
      <c r="I75" s="1233">
        <v>175.91982731260001</v>
      </c>
      <c r="J75" s="1232"/>
      <c r="K75" s="1232"/>
      <c r="L75" s="1232"/>
      <c r="M75" s="1233"/>
      <c r="N75" s="1233"/>
      <c r="O75" s="1233"/>
      <c r="P75" s="1233"/>
      <c r="Q75" s="1233"/>
      <c r="R75" s="1233"/>
      <c r="S75" s="1232"/>
      <c r="T75" s="1232"/>
      <c r="U75" s="1232"/>
      <c r="V75" s="1232"/>
      <c r="W75" s="1232"/>
      <c r="X75" s="1232"/>
      <c r="Y75" s="1232"/>
      <c r="Z75" s="1232"/>
      <c r="AA75" s="1232"/>
      <c r="AB75" s="1232"/>
      <c r="AC75" s="1232"/>
      <c r="AD75" s="1232"/>
      <c r="AE75" s="1232"/>
    </row>
    <row r="76" spans="1:31" s="1226" customFormat="1" ht="12.75" x14ac:dyDescent="0.2">
      <c r="A76" s="1234" t="s">
        <v>987</v>
      </c>
      <c r="B76" s="1224">
        <v>70</v>
      </c>
      <c r="C76" s="1227"/>
      <c r="D76" s="1227"/>
      <c r="E76" s="1227"/>
      <c r="F76" s="1227"/>
      <c r="G76" s="1227"/>
      <c r="H76" s="1227"/>
      <c r="I76" s="1227"/>
      <c r="J76" s="1227"/>
      <c r="K76" s="1227"/>
      <c r="L76" s="1227"/>
      <c r="M76" s="1227"/>
      <c r="N76" s="1227"/>
      <c r="O76" s="1227"/>
      <c r="P76" s="1227"/>
      <c r="Q76" s="1227"/>
      <c r="R76" s="1227"/>
      <c r="S76" s="1227"/>
      <c r="T76" s="1227"/>
      <c r="U76" s="1227"/>
      <c r="V76" s="1227"/>
      <c r="W76" s="1227"/>
      <c r="X76" s="1227"/>
      <c r="Y76" s="1227"/>
      <c r="Z76" s="1227"/>
      <c r="AA76" s="1227"/>
      <c r="AB76" s="1227"/>
      <c r="AC76" s="1227"/>
      <c r="AD76" s="1227"/>
      <c r="AE76" s="1227"/>
    </row>
    <row r="77" spans="1:31" s="1202" customFormat="1" ht="12.75" x14ac:dyDescent="0.2">
      <c r="A77" s="1235" t="s">
        <v>988</v>
      </c>
      <c r="B77" s="1186">
        <v>71</v>
      </c>
      <c r="C77" s="1236"/>
      <c r="D77" s="1236">
        <v>359.42512611637102</v>
      </c>
      <c r="E77" s="1236">
        <v>359.42512611637102</v>
      </c>
      <c r="F77" s="1236">
        <v>356.29896501455602</v>
      </c>
      <c r="G77" s="1236">
        <v>359.671099271336</v>
      </c>
      <c r="H77" s="1236">
        <v>351.41705432459099</v>
      </c>
      <c r="I77" s="1236">
        <v>347.63285061125902</v>
      </c>
      <c r="J77" s="1236"/>
      <c r="K77" s="1236"/>
      <c r="L77" s="1236"/>
      <c r="M77" s="1201"/>
      <c r="N77" s="1201"/>
      <c r="O77" s="1236"/>
      <c r="P77" s="1201"/>
      <c r="Q77" s="1201"/>
      <c r="R77" s="1201"/>
      <c r="S77" s="1236"/>
      <c r="T77" s="1236"/>
      <c r="U77" s="1236"/>
      <c r="V77" s="1236"/>
      <c r="W77" s="1236"/>
      <c r="X77" s="1236"/>
      <c r="Y77" s="1236"/>
      <c r="Z77" s="1236"/>
      <c r="AA77" s="1236"/>
      <c r="AB77" s="1236"/>
      <c r="AC77" s="1236"/>
      <c r="AD77" s="1236"/>
      <c r="AE77" s="1236"/>
    </row>
    <row r="78" spans="1:31" s="1202" customFormat="1" ht="12.75" x14ac:dyDescent="0.2">
      <c r="A78" s="1235" t="s">
        <v>989</v>
      </c>
      <c r="B78" s="1186">
        <v>72</v>
      </c>
      <c r="C78" s="1201"/>
      <c r="D78" s="1201">
        <v>0</v>
      </c>
      <c r="E78" s="1201">
        <v>0</v>
      </c>
      <c r="F78" s="1201">
        <v>0</v>
      </c>
      <c r="G78" s="1201">
        <v>0</v>
      </c>
      <c r="H78" s="1201">
        <v>0</v>
      </c>
      <c r="I78" s="1201">
        <v>0</v>
      </c>
      <c r="J78" s="1236"/>
      <c r="K78" s="1236"/>
      <c r="L78" s="1236"/>
      <c r="M78" s="1201"/>
      <c r="N78" s="1201"/>
      <c r="O78" s="1236"/>
      <c r="P78" s="1201"/>
      <c r="Q78" s="1201"/>
      <c r="R78" s="1201"/>
      <c r="S78" s="1236"/>
      <c r="T78" s="1236"/>
      <c r="U78" s="1236"/>
      <c r="V78" s="1236"/>
      <c r="W78" s="1236"/>
      <c r="X78" s="1236"/>
      <c r="Y78" s="1236"/>
      <c r="Z78" s="1236"/>
      <c r="AA78" s="1236"/>
      <c r="AB78" s="1236"/>
      <c r="AC78" s="1236"/>
      <c r="AD78" s="1236"/>
      <c r="AE78" s="1236"/>
    </row>
    <row r="79" spans="1:31" s="1202" customFormat="1" ht="12.75" x14ac:dyDescent="0.2">
      <c r="A79" s="1235" t="s">
        <v>990</v>
      </c>
      <c r="B79" s="1186">
        <v>73</v>
      </c>
      <c r="C79" s="1201"/>
      <c r="D79" s="1201" t="e">
        <f>#N/A</f>
        <v>#N/A</v>
      </c>
      <c r="E79" s="1201" t="e">
        <f>#N/A</f>
        <v>#N/A</v>
      </c>
      <c r="F79" s="1201" t="e">
        <f>#N/A</f>
        <v>#N/A</v>
      </c>
      <c r="G79" s="1201" t="e">
        <f>#N/A</f>
        <v>#N/A</v>
      </c>
      <c r="H79" s="1201" t="e">
        <f>#N/A</f>
        <v>#N/A</v>
      </c>
      <c r="I79" s="1201" t="e">
        <f>#N/A</f>
        <v>#N/A</v>
      </c>
      <c r="J79" s="1236"/>
      <c r="K79" s="1236"/>
      <c r="L79" s="1236"/>
      <c r="M79" s="1201"/>
      <c r="N79" s="1201"/>
      <c r="O79" s="1236"/>
      <c r="P79" s="1201"/>
      <c r="Q79" s="1201"/>
      <c r="R79" s="1201"/>
      <c r="S79" s="1236"/>
      <c r="T79" s="1236"/>
      <c r="U79" s="1236"/>
      <c r="V79" s="1236"/>
      <c r="W79" s="1236"/>
      <c r="X79" s="1236"/>
      <c r="Y79" s="1236"/>
      <c r="Z79" s="1236"/>
      <c r="AA79" s="1236"/>
      <c r="AB79" s="1236"/>
      <c r="AC79" s="1236"/>
      <c r="AD79" s="1236"/>
      <c r="AE79" s="1236"/>
    </row>
    <row r="80" spans="1:31" s="1202" customFormat="1" ht="12.75" x14ac:dyDescent="0.2">
      <c r="A80" s="1235" t="s">
        <v>746</v>
      </c>
      <c r="B80" s="1186">
        <v>74</v>
      </c>
      <c r="C80" s="1201"/>
      <c r="D80" s="1201">
        <v>0</v>
      </c>
      <c r="E80" s="1201">
        <v>0</v>
      </c>
      <c r="F80" s="1201">
        <v>0</v>
      </c>
      <c r="G80" s="1201">
        <v>0</v>
      </c>
      <c r="H80" s="1201">
        <v>0</v>
      </c>
      <c r="I80" s="1201">
        <v>0</v>
      </c>
      <c r="J80" s="1236"/>
      <c r="K80" s="1236"/>
      <c r="L80" s="1236"/>
      <c r="M80" s="1201"/>
      <c r="N80" s="1201"/>
      <c r="O80" s="1236"/>
      <c r="P80" s="1201"/>
      <c r="Q80" s="1201"/>
      <c r="R80" s="1201"/>
      <c r="S80" s="1236"/>
      <c r="T80" s="1236"/>
      <c r="U80" s="1236"/>
      <c r="V80" s="1236"/>
      <c r="W80" s="1236"/>
      <c r="X80" s="1236"/>
      <c r="Y80" s="1236"/>
      <c r="Z80" s="1236"/>
      <c r="AA80" s="1236"/>
      <c r="AB80" s="1236"/>
      <c r="AC80" s="1236"/>
      <c r="AD80" s="1236"/>
      <c r="AE80" s="1236"/>
    </row>
    <row r="81" spans="1:31" s="1202" customFormat="1" ht="12.75" x14ac:dyDescent="0.2">
      <c r="A81" s="1235" t="s">
        <v>747</v>
      </c>
      <c r="B81" s="1186">
        <v>75</v>
      </c>
      <c r="C81" s="1201"/>
      <c r="D81" s="1201">
        <v>0</v>
      </c>
      <c r="E81" s="1201">
        <v>0</v>
      </c>
      <c r="F81" s="1201">
        <v>0</v>
      </c>
      <c r="G81" s="1201">
        <v>0</v>
      </c>
      <c r="H81" s="1201">
        <v>0</v>
      </c>
      <c r="I81" s="1201">
        <v>0</v>
      </c>
      <c r="J81" s="1236"/>
      <c r="K81" s="1236"/>
      <c r="L81" s="1236"/>
      <c r="M81" s="1201"/>
      <c r="N81" s="1201"/>
      <c r="O81" s="1236"/>
      <c r="P81" s="1201"/>
      <c r="Q81" s="1201"/>
      <c r="R81" s="1201"/>
      <c r="S81" s="1236"/>
      <c r="T81" s="1236"/>
      <c r="U81" s="1236"/>
      <c r="V81" s="1236"/>
      <c r="W81" s="1236"/>
      <c r="X81" s="1236"/>
      <c r="Y81" s="1236"/>
      <c r="Z81" s="1236"/>
      <c r="AA81" s="1236"/>
      <c r="AB81" s="1236"/>
      <c r="AC81" s="1236"/>
      <c r="AD81" s="1236"/>
      <c r="AE81" s="1236"/>
    </row>
    <row r="82" spans="1:31" s="1202" customFormat="1" ht="12.75" x14ac:dyDescent="0.2">
      <c r="A82" s="1235" t="s">
        <v>991</v>
      </c>
      <c r="B82" s="1186">
        <v>76</v>
      </c>
      <c r="C82" s="1201"/>
      <c r="D82" s="1201">
        <v>265.57487388362898</v>
      </c>
      <c r="E82" s="1201">
        <v>265.57487388362898</v>
      </c>
      <c r="F82" s="1201">
        <v>268.70103498544398</v>
      </c>
      <c r="G82" s="1201">
        <v>265.328900728664</v>
      </c>
      <c r="H82" s="1201">
        <v>273.58294567540901</v>
      </c>
      <c r="I82" s="1201">
        <v>277.36714938874098</v>
      </c>
      <c r="J82" s="1236"/>
      <c r="K82" s="1236"/>
      <c r="L82" s="1236"/>
      <c r="M82" s="1201"/>
      <c r="N82" s="1201"/>
      <c r="O82" s="1236"/>
      <c r="P82" s="1201"/>
      <c r="Q82" s="1201"/>
      <c r="R82" s="1201"/>
      <c r="S82" s="1236"/>
      <c r="T82" s="1236"/>
      <c r="U82" s="1236"/>
      <c r="V82" s="1236"/>
      <c r="W82" s="1236"/>
      <c r="X82" s="1236"/>
      <c r="Y82" s="1236"/>
      <c r="Z82" s="1236"/>
      <c r="AA82" s="1236"/>
      <c r="AB82" s="1236"/>
      <c r="AC82" s="1236"/>
      <c r="AD82" s="1236"/>
      <c r="AE82" s="1236"/>
    </row>
    <row r="83" spans="1:31" s="1202" customFormat="1" ht="12.75" x14ac:dyDescent="0.2">
      <c r="A83" s="1235" t="s">
        <v>992</v>
      </c>
      <c r="B83" s="1186">
        <v>77</v>
      </c>
      <c r="C83" s="1201"/>
      <c r="D83" s="1201">
        <v>0</v>
      </c>
      <c r="E83" s="1201">
        <v>0</v>
      </c>
      <c r="F83" s="1201">
        <v>0</v>
      </c>
      <c r="G83" s="1201">
        <v>0</v>
      </c>
      <c r="H83" s="1201">
        <v>0</v>
      </c>
      <c r="I83" s="1201">
        <v>0</v>
      </c>
      <c r="J83" s="1236"/>
      <c r="K83" s="1236"/>
      <c r="L83" s="1236"/>
      <c r="M83" s="1201"/>
      <c r="N83" s="1201"/>
      <c r="O83" s="1236"/>
      <c r="P83" s="1201"/>
      <c r="Q83" s="1201"/>
      <c r="R83" s="1201"/>
      <c r="S83" s="1236"/>
      <c r="T83" s="1236"/>
      <c r="U83" s="1236"/>
      <c r="V83" s="1236"/>
      <c r="W83" s="1236"/>
      <c r="X83" s="1236"/>
      <c r="Y83" s="1236"/>
      <c r="Z83" s="1236"/>
      <c r="AA83" s="1236"/>
      <c r="AB83" s="1236"/>
      <c r="AC83" s="1236"/>
      <c r="AD83" s="1236"/>
      <c r="AE83" s="1236"/>
    </row>
    <row r="84" spans="1:31" s="1202" customFormat="1" ht="12.75" x14ac:dyDescent="0.2">
      <c r="A84" s="1235" t="s">
        <v>993</v>
      </c>
      <c r="B84" s="1186">
        <v>78</v>
      </c>
      <c r="C84" s="1201"/>
      <c r="D84" s="1201">
        <v>0</v>
      </c>
      <c r="E84" s="1201">
        <v>0</v>
      </c>
      <c r="F84" s="1201">
        <v>0</v>
      </c>
      <c r="G84" s="1201">
        <v>0</v>
      </c>
      <c r="H84" s="1201">
        <v>0</v>
      </c>
      <c r="I84" s="1201">
        <v>0</v>
      </c>
      <c r="J84" s="1236"/>
      <c r="K84" s="1236"/>
      <c r="L84" s="1236"/>
      <c r="M84" s="1201"/>
      <c r="N84" s="1201"/>
      <c r="O84" s="1236"/>
      <c r="P84" s="1201"/>
      <c r="Q84" s="1201"/>
      <c r="R84" s="1201"/>
      <c r="S84" s="1236"/>
      <c r="T84" s="1236"/>
      <c r="U84" s="1236"/>
      <c r="V84" s="1236"/>
      <c r="W84" s="1236"/>
      <c r="X84" s="1236"/>
      <c r="Y84" s="1236"/>
      <c r="Z84" s="1236"/>
      <c r="AA84" s="1236"/>
      <c r="AB84" s="1236"/>
      <c r="AC84" s="1236"/>
      <c r="AD84" s="1236"/>
      <c r="AE84" s="1236"/>
    </row>
    <row r="85" spans="1:31" s="1202" customFormat="1" ht="12.75" x14ac:dyDescent="0.2">
      <c r="A85" s="1235" t="s">
        <v>994</v>
      </c>
      <c r="B85" s="1186">
        <v>79</v>
      </c>
      <c r="C85" s="1201"/>
      <c r="D85" s="1201"/>
      <c r="E85" s="1201"/>
      <c r="F85" s="1201"/>
      <c r="G85" s="1201"/>
      <c r="H85" s="1201"/>
      <c r="I85" s="1201"/>
      <c r="J85" s="1236"/>
      <c r="K85" s="1236"/>
      <c r="L85" s="1236"/>
      <c r="M85" s="1201"/>
      <c r="N85" s="1201"/>
      <c r="O85" s="1236"/>
      <c r="P85" s="1201"/>
      <c r="Q85" s="1201"/>
      <c r="R85" s="1201"/>
      <c r="S85" s="1236"/>
      <c r="T85" s="1236"/>
      <c r="U85" s="1236"/>
      <c r="V85" s="1236"/>
      <c r="W85" s="1236"/>
      <c r="X85" s="1236"/>
      <c r="Y85" s="1236"/>
      <c r="Z85" s="1236"/>
      <c r="AA85" s="1236"/>
      <c r="AB85" s="1236"/>
      <c r="AC85" s="1236"/>
      <c r="AD85" s="1236"/>
      <c r="AE85" s="1236"/>
    </row>
    <row r="86" spans="1:31" s="1202" customFormat="1" ht="12.75" x14ac:dyDescent="0.2">
      <c r="A86" s="1235" t="s">
        <v>995</v>
      </c>
      <c r="B86" s="1186">
        <v>80</v>
      </c>
      <c r="C86" s="1201"/>
      <c r="D86" s="1201" t="e">
        <f>#N/A</f>
        <v>#N/A</v>
      </c>
      <c r="E86" s="1201" t="e">
        <f>#N/A</f>
        <v>#N/A</v>
      </c>
      <c r="F86" s="1201" t="e">
        <f>#N/A</f>
        <v>#N/A</v>
      </c>
      <c r="G86" s="1201" t="e">
        <f>#N/A</f>
        <v>#N/A</v>
      </c>
      <c r="H86" s="1201" t="e">
        <f>#N/A</f>
        <v>#N/A</v>
      </c>
      <c r="I86" s="1201" t="e">
        <f>#N/A</f>
        <v>#N/A</v>
      </c>
      <c r="J86" s="1236"/>
      <c r="K86" s="1236"/>
      <c r="L86" s="1236"/>
      <c r="M86" s="1201"/>
      <c r="N86" s="1201"/>
      <c r="O86" s="1236"/>
      <c r="P86" s="1201"/>
      <c r="Q86" s="1201"/>
      <c r="R86" s="1201"/>
      <c r="S86" s="1236"/>
      <c r="T86" s="1236"/>
      <c r="U86" s="1236"/>
      <c r="V86" s="1236"/>
      <c r="W86" s="1236"/>
      <c r="X86" s="1236"/>
      <c r="Y86" s="1236"/>
      <c r="Z86" s="1236"/>
      <c r="AA86" s="1236"/>
      <c r="AB86" s="1236"/>
      <c r="AC86" s="1236"/>
      <c r="AD86" s="1236"/>
      <c r="AE86" s="1236"/>
    </row>
    <row r="87" spans="1:31" s="1202" customFormat="1" ht="12.75" x14ac:dyDescent="0.2">
      <c r="B87" s="1186">
        <v>81</v>
      </c>
      <c r="C87" s="1236"/>
      <c r="D87" s="1236"/>
      <c r="E87" s="1236"/>
      <c r="F87" s="1236"/>
      <c r="G87" s="1236"/>
      <c r="H87" s="1236"/>
      <c r="I87" s="1236">
        <v>0.36550532827764998</v>
      </c>
      <c r="J87" s="1236"/>
      <c r="K87" s="1236"/>
      <c r="L87" s="1236"/>
      <c r="M87" s="1236"/>
      <c r="N87" s="1236"/>
      <c r="O87" s="1236"/>
      <c r="P87" s="1236"/>
      <c r="Q87" s="1236"/>
      <c r="R87" s="1236"/>
      <c r="S87" s="1236"/>
      <c r="T87" s="1236"/>
      <c r="U87" s="1236"/>
      <c r="V87" s="1236"/>
      <c r="W87" s="1236"/>
      <c r="X87" s="1236"/>
      <c r="Y87" s="1236"/>
      <c r="Z87" s="1236"/>
      <c r="AA87" s="1236"/>
      <c r="AB87" s="1236"/>
      <c r="AC87" s="1236"/>
      <c r="AD87" s="1236"/>
      <c r="AE87" s="1236"/>
    </row>
    <row r="88" spans="1:31" s="1202" customFormat="1" ht="12.75" x14ac:dyDescent="0.2">
      <c r="A88" s="480"/>
      <c r="B88" s="1186"/>
      <c r="C88" s="1237"/>
      <c r="D88" s="1237"/>
      <c r="E88" s="1237"/>
      <c r="F88" s="1237"/>
      <c r="G88" s="1237"/>
      <c r="H88" s="1237"/>
      <c r="I88" s="1237"/>
      <c r="J88" s="1237"/>
      <c r="K88" s="1237"/>
      <c r="L88" s="1237"/>
      <c r="M88" s="1237"/>
      <c r="N88" s="1237"/>
      <c r="O88" s="1237"/>
      <c r="P88" s="1237"/>
      <c r="Q88" s="1237"/>
      <c r="R88" s="1237"/>
      <c r="S88" s="1237"/>
      <c r="T88" s="1237"/>
      <c r="U88" s="1237"/>
      <c r="V88" s="1237"/>
      <c r="W88" s="1237"/>
      <c r="X88" s="1237"/>
      <c r="Y88" s="1237"/>
      <c r="Z88" s="1237"/>
      <c r="AA88" s="1237"/>
      <c r="AB88" s="1237"/>
      <c r="AC88" s="1237"/>
      <c r="AD88" s="1237"/>
      <c r="AE88" s="1237"/>
    </row>
    <row r="89" spans="1:31" s="1202" customFormat="1" ht="12.75" x14ac:dyDescent="0.2">
      <c r="A89" s="480"/>
      <c r="B89" s="1186"/>
      <c r="C89" s="1237"/>
      <c r="D89" s="1237"/>
      <c r="E89" s="1237"/>
      <c r="F89" s="1237"/>
      <c r="G89" s="1237"/>
      <c r="H89" s="1237"/>
      <c r="I89" s="1237"/>
      <c r="J89" s="1237"/>
      <c r="K89" s="1237"/>
      <c r="L89" s="1237"/>
      <c r="M89" s="1237"/>
      <c r="N89" s="1237"/>
      <c r="O89" s="1237"/>
      <c r="P89" s="1237"/>
      <c r="Q89" s="1237"/>
      <c r="R89" s="1237"/>
      <c r="S89" s="1237"/>
      <c r="T89" s="1237"/>
      <c r="U89" s="1237"/>
      <c r="V89" s="1237"/>
      <c r="W89" s="1237"/>
      <c r="X89" s="1237"/>
      <c r="Y89" s="1237"/>
      <c r="Z89" s="1237"/>
      <c r="AA89" s="1237"/>
      <c r="AB89" s="1237"/>
      <c r="AC89" s="1237"/>
      <c r="AD89" s="1237"/>
      <c r="AE89" s="1237"/>
    </row>
    <row r="90" spans="1:31" s="1202" customFormat="1" ht="15" customHeight="1" x14ac:dyDescent="0.2">
      <c r="B90" s="1186"/>
      <c r="C90" s="1237"/>
      <c r="D90" s="1237"/>
      <c r="E90" s="1237"/>
      <c r="F90" s="1237"/>
      <c r="G90" s="1237"/>
      <c r="H90" s="1237"/>
      <c r="I90" s="1237"/>
      <c r="J90" s="1237"/>
      <c r="K90" s="1237"/>
      <c r="L90" s="1237"/>
      <c r="M90" s="1237"/>
      <c r="N90" s="1237"/>
      <c r="O90" s="1237"/>
      <c r="P90" s="1237"/>
      <c r="Q90" s="1237"/>
      <c r="R90" s="1237"/>
      <c r="S90" s="1237"/>
      <c r="T90" s="1237"/>
      <c r="U90" s="1237"/>
      <c r="V90" s="1237"/>
      <c r="W90" s="1237"/>
      <c r="X90" s="1237"/>
      <c r="Y90" s="1237"/>
      <c r="Z90" s="1237"/>
      <c r="AA90" s="1237"/>
      <c r="AB90" s="1237"/>
      <c r="AC90" s="1237"/>
      <c r="AD90" s="1237"/>
      <c r="AE90" s="1237"/>
    </row>
    <row r="91" spans="1:31" s="1202" customFormat="1" ht="15" customHeight="1" x14ac:dyDescent="0.2">
      <c r="A91" s="480"/>
      <c r="B91" s="1186"/>
      <c r="C91" s="1237"/>
      <c r="D91" s="1237"/>
      <c r="E91" s="1237"/>
      <c r="F91" s="1237"/>
      <c r="G91" s="1237"/>
      <c r="H91" s="1237"/>
      <c r="I91" s="1237"/>
      <c r="J91" s="1237"/>
      <c r="K91" s="1237"/>
      <c r="L91" s="1237"/>
      <c r="M91" s="1237"/>
      <c r="N91" s="1237"/>
      <c r="O91" s="1237"/>
      <c r="P91" s="1237"/>
      <c r="Q91" s="1237"/>
      <c r="R91" s="1237"/>
      <c r="S91" s="1237"/>
      <c r="T91" s="1237"/>
      <c r="U91" s="1237"/>
      <c r="V91" s="1237"/>
      <c r="W91" s="1237"/>
      <c r="X91" s="1237"/>
      <c r="Y91" s="1237"/>
      <c r="Z91" s="1237"/>
      <c r="AA91" s="1237"/>
      <c r="AB91" s="1237"/>
      <c r="AC91" s="1237"/>
      <c r="AD91" s="1237"/>
      <c r="AE91" s="1237"/>
    </row>
  </sheetData>
  <sheetProtection selectLockedCells="1" selectUnlockedCells="1"/>
  <pageMargins left="0.39374999999999999" right="0.39374999999999999" top="0.39374999999999999" bottom="0.78749999999999998" header="0.51180555555555551" footer="0.39374999999999999"/>
  <pageSetup paperSize="9" scale="86" firstPageNumber="0" orientation="portrait" horizontalDpi="300" verticalDpi="300"/>
  <headerFooter alignWithMargins="0">
    <oddFooter>&amp;C&amp;8&amp;F - Feuille &amp;A - page &amp;P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0"/>
  <sheetViews>
    <sheetView workbookViewId="0">
      <selection activeCell="B9" sqref="B9"/>
    </sheetView>
  </sheetViews>
  <sheetFormatPr baseColWidth="10" defaultRowHeight="15" customHeight="1" x14ac:dyDescent="0.2"/>
  <cols>
    <col min="1" max="1" width="31.28515625" style="1238" customWidth="1"/>
    <col min="2" max="2" width="12.5703125" style="1239" customWidth="1"/>
    <col min="3" max="10" width="11.7109375" style="1240" customWidth="1"/>
    <col min="11" max="11" width="12.42578125" style="1238" customWidth="1"/>
    <col min="12" max="16384" width="11.42578125" style="1238"/>
  </cols>
  <sheetData>
    <row r="1" spans="1:11" s="5" customFormat="1" ht="30" customHeight="1" x14ac:dyDescent="0.2">
      <c r="A1" s="6"/>
      <c r="B1" s="8"/>
      <c r="C1" s="840"/>
      <c r="D1" s="840"/>
      <c r="E1" s="840"/>
      <c r="F1" s="1241"/>
      <c r="G1" s="1241"/>
      <c r="H1" s="1241"/>
      <c r="I1" s="1241"/>
      <c r="J1" s="1241"/>
    </row>
    <row r="2" spans="1:11" s="14" customFormat="1" ht="42.75" customHeight="1" x14ac:dyDescent="0.25">
      <c r="A2" s="10" t="s">
        <v>96</v>
      </c>
      <c r="B2" s="12"/>
      <c r="C2" s="1242"/>
      <c r="D2" s="1242"/>
      <c r="E2" s="1242"/>
      <c r="F2" s="13" t="s">
        <v>1</v>
      </c>
      <c r="G2" s="13"/>
      <c r="H2" s="13"/>
      <c r="I2" s="13"/>
      <c r="J2" s="13"/>
    </row>
    <row r="3" spans="1:11" s="49" customFormat="1" ht="12.75" x14ac:dyDescent="0.2">
      <c r="A3" s="302"/>
      <c r="B3" s="47"/>
      <c r="C3" s="980"/>
      <c r="D3" s="980"/>
      <c r="E3" s="980"/>
      <c r="F3" s="18">
        <f>DATEVER</f>
        <v>41760</v>
      </c>
      <c r="G3" s="18"/>
      <c r="H3" s="18"/>
      <c r="I3" s="18"/>
      <c r="J3" s="18"/>
    </row>
    <row r="4" spans="1:11" s="14" customFormat="1" ht="20.25" customHeight="1" x14ac:dyDescent="0.2">
      <c r="A4" s="1243" t="s">
        <v>996</v>
      </c>
      <c r="B4" s="1244"/>
      <c r="C4" s="1245"/>
      <c r="D4" s="1245"/>
      <c r="E4" s="1245"/>
      <c r="F4" s="1245"/>
      <c r="G4" s="1245"/>
      <c r="H4" s="1245"/>
      <c r="I4" s="1245"/>
      <c r="J4" s="1245"/>
    </row>
    <row r="5" spans="1:11" s="20" customFormat="1" ht="33" customHeight="1" x14ac:dyDescent="0.2">
      <c r="A5" s="1515" t="s">
        <v>997</v>
      </c>
      <c r="B5" s="1515"/>
      <c r="C5" s="1515"/>
      <c r="D5" s="1515"/>
      <c r="E5" s="1515"/>
      <c r="F5" s="1515"/>
      <c r="G5" s="19"/>
      <c r="H5" s="19"/>
      <c r="I5" s="19"/>
      <c r="J5" s="19"/>
    </row>
    <row r="6" spans="1:11" s="5" customFormat="1" ht="12.75" x14ac:dyDescent="0.2">
      <c r="A6" s="1246"/>
      <c r="B6" s="1247"/>
      <c r="C6" s="1241"/>
      <c r="D6" s="1241"/>
      <c r="E6" s="1241"/>
      <c r="F6" s="1241"/>
      <c r="G6" s="1241"/>
      <c r="H6" s="1241"/>
      <c r="I6" s="1241"/>
      <c r="J6" s="1241"/>
    </row>
    <row r="7" spans="1:11" s="1253" customFormat="1" ht="15" customHeight="1" x14ac:dyDescent="0.2">
      <c r="A7" s="1248" t="s">
        <v>106</v>
      </c>
      <c r="B7" s="1249" t="s">
        <v>333</v>
      </c>
      <c r="C7" s="1250">
        <v>2007</v>
      </c>
      <c r="D7" s="1250">
        <v>2008</v>
      </c>
      <c r="E7" s="1250">
        <v>2009</v>
      </c>
      <c r="F7" s="1251">
        <v>2010</v>
      </c>
      <c r="G7" s="1251">
        <v>2011</v>
      </c>
      <c r="H7" s="1252">
        <v>2012</v>
      </c>
      <c r="I7" s="1252">
        <v>2013</v>
      </c>
      <c r="J7" s="1252">
        <v>2014</v>
      </c>
      <c r="K7" s="1252">
        <v>2015</v>
      </c>
    </row>
    <row r="8" spans="1:11" s="459" customFormat="1" ht="15" customHeight="1" x14ac:dyDescent="0.2">
      <c r="A8" s="1254" t="s">
        <v>998</v>
      </c>
      <c r="B8" s="1255" t="s">
        <v>999</v>
      </c>
      <c r="C8" s="1256"/>
      <c r="D8" s="1256"/>
      <c r="E8" s="1256"/>
      <c r="F8" s="1257"/>
      <c r="G8" s="1257"/>
      <c r="H8" s="1257"/>
      <c r="I8" s="1257"/>
      <c r="J8" s="1257"/>
      <c r="K8" s="1257"/>
    </row>
    <row r="9" spans="1:11" s="459" customFormat="1" ht="15" customHeight="1" x14ac:dyDescent="0.2">
      <c r="A9" s="1258" t="s">
        <v>1000</v>
      </c>
      <c r="B9" s="1259">
        <v>41760</v>
      </c>
      <c r="C9" s="1260"/>
      <c r="D9" s="1260"/>
      <c r="E9" s="1260"/>
      <c r="F9" s="1261"/>
      <c r="G9" s="1261"/>
      <c r="H9" s="1261"/>
      <c r="I9" s="1261"/>
      <c r="J9" s="1261"/>
      <c r="K9" s="1261"/>
    </row>
    <row r="10" spans="1:11" s="459" customFormat="1" ht="15" customHeight="1" x14ac:dyDescent="0.2">
      <c r="A10" s="1258" t="s">
        <v>931</v>
      </c>
      <c r="B10" s="1262"/>
      <c r="C10" s="1263">
        <v>2007</v>
      </c>
      <c r="D10" s="1263">
        <v>2008</v>
      </c>
      <c r="E10" s="1263">
        <v>2009</v>
      </c>
      <c r="F10" s="1263">
        <v>2010</v>
      </c>
      <c r="G10" s="1263">
        <v>2011</v>
      </c>
      <c r="H10" s="1263">
        <v>2012</v>
      </c>
      <c r="I10" s="1263">
        <v>2013</v>
      </c>
      <c r="J10" s="1263">
        <v>2014</v>
      </c>
      <c r="K10" s="1263">
        <v>2015</v>
      </c>
    </row>
    <row r="11" spans="1:11" s="459" customFormat="1" ht="15" customHeight="1" x14ac:dyDescent="0.2">
      <c r="A11" s="1258" t="s">
        <v>932</v>
      </c>
      <c r="B11" s="1262" t="s">
        <v>1001</v>
      </c>
      <c r="C11" s="1264">
        <v>0.03</v>
      </c>
      <c r="D11" s="1264">
        <v>0.02</v>
      </c>
      <c r="E11" s="1264">
        <v>1.4999999999999999E-2</v>
      </c>
      <c r="F11" s="1264">
        <v>1.4999999999999999E-2</v>
      </c>
      <c r="G11" s="1264">
        <v>2.1000000000000001E-2</v>
      </c>
      <c r="H11" s="1264">
        <v>2.2500000000000003E-2</v>
      </c>
      <c r="I11" s="1264">
        <v>1.6E-2</v>
      </c>
      <c r="J11" s="1265"/>
      <c r="K11" s="1265"/>
    </row>
    <row r="12" spans="1:11" s="459" customFormat="1" ht="15" customHeight="1" x14ac:dyDescent="0.2">
      <c r="A12" s="1258" t="s">
        <v>933</v>
      </c>
      <c r="B12" s="1262" t="s">
        <v>1002</v>
      </c>
      <c r="C12" s="1266">
        <v>11940</v>
      </c>
      <c r="D12" s="1266">
        <v>12300</v>
      </c>
      <c r="E12" s="1266">
        <v>12510</v>
      </c>
      <c r="F12" s="1266">
        <v>12670</v>
      </c>
      <c r="G12" s="1266">
        <v>12870</v>
      </c>
      <c r="H12" s="1266">
        <v>13290</v>
      </c>
      <c r="I12" s="1266">
        <v>13450</v>
      </c>
      <c r="J12" s="1267"/>
      <c r="K12" s="1267"/>
    </row>
    <row r="13" spans="1:11" s="459" customFormat="1" ht="15" customHeight="1" x14ac:dyDescent="0.2">
      <c r="A13" s="1258" t="s">
        <v>934</v>
      </c>
      <c r="B13" s="1268" t="s">
        <v>1003</v>
      </c>
      <c r="C13" s="1269">
        <v>1.3</v>
      </c>
      <c r="D13" s="1269">
        <v>1.3</v>
      </c>
      <c r="E13" s="1269">
        <v>1.3</v>
      </c>
      <c r="F13" s="1269">
        <v>1.3</v>
      </c>
      <c r="G13" s="1269">
        <v>1.3</v>
      </c>
      <c r="H13" s="1269">
        <v>1.3</v>
      </c>
      <c r="I13" s="1269">
        <v>1.3</v>
      </c>
      <c r="J13" s="1270"/>
      <c r="K13" s="1270"/>
    </row>
    <row r="14" spans="1:11" s="459" customFormat="1" ht="15" customHeight="1" x14ac:dyDescent="0.2">
      <c r="A14" s="1258" t="s">
        <v>935</v>
      </c>
      <c r="B14" s="1262" t="s">
        <v>1004</v>
      </c>
      <c r="C14" s="1266">
        <v>150</v>
      </c>
      <c r="D14" s="1266">
        <v>150</v>
      </c>
      <c r="E14" s="1266">
        <v>150</v>
      </c>
      <c r="F14" s="1266">
        <v>150</v>
      </c>
      <c r="G14" s="1266">
        <v>150</v>
      </c>
      <c r="H14" s="1266">
        <v>150</v>
      </c>
      <c r="I14" s="1266">
        <v>150</v>
      </c>
      <c r="J14" s="1267"/>
      <c r="K14" s="1267"/>
    </row>
    <row r="15" spans="1:11" s="459" customFormat="1" ht="15" customHeight="1" x14ac:dyDescent="0.2">
      <c r="A15" s="1258"/>
      <c r="B15" s="1262"/>
      <c r="C15" s="1271"/>
      <c r="D15" s="1271"/>
      <c r="E15" s="1271"/>
      <c r="F15" s="1272"/>
      <c r="G15" s="1272"/>
      <c r="H15" s="1272"/>
      <c r="I15" s="1272"/>
      <c r="J15" s="1272"/>
      <c r="K15" s="1272"/>
    </row>
    <row r="16" spans="1:11" s="459" customFormat="1" ht="15" customHeight="1" x14ac:dyDescent="0.2">
      <c r="A16" s="1258"/>
      <c r="B16" s="1262"/>
      <c r="C16" s="1271"/>
      <c r="D16" s="1271"/>
      <c r="E16" s="1271"/>
      <c r="F16" s="1272"/>
      <c r="G16" s="1272"/>
      <c r="H16" s="1272"/>
      <c r="I16" s="1272"/>
      <c r="J16" s="1272"/>
      <c r="K16" s="1272"/>
    </row>
    <row r="17" spans="1:11" s="459" customFormat="1" ht="15" customHeight="1" x14ac:dyDescent="0.2">
      <c r="A17" s="1258"/>
      <c r="B17" s="1262"/>
      <c r="C17" s="1271"/>
      <c r="D17" s="1271"/>
      <c r="E17" s="1271"/>
      <c r="F17" s="1272"/>
      <c r="G17" s="1272"/>
      <c r="H17" s="1272"/>
      <c r="I17" s="1272"/>
      <c r="J17" s="1272"/>
      <c r="K17" s="1272"/>
    </row>
    <row r="18" spans="1:11" s="459" customFormat="1" ht="15" customHeight="1" x14ac:dyDescent="0.2">
      <c r="A18" s="1258"/>
      <c r="B18" s="1262"/>
      <c r="C18" s="1271"/>
      <c r="D18" s="1273"/>
      <c r="E18" s="1273"/>
      <c r="F18" s="1273"/>
      <c r="G18" s="1273"/>
      <c r="H18" s="1273"/>
      <c r="I18" s="1273"/>
      <c r="J18" s="1273"/>
      <c r="K18" s="1273"/>
    </row>
    <row r="19" spans="1:11" s="5" customFormat="1" ht="15" customHeight="1" x14ac:dyDescent="0.2">
      <c r="A19" s="1258"/>
      <c r="B19" s="1262"/>
      <c r="C19" s="1271"/>
      <c r="D19" s="1271"/>
      <c r="E19" s="1271"/>
      <c r="F19" s="1272"/>
      <c r="G19" s="1272"/>
      <c r="H19" s="1272"/>
      <c r="I19" s="1272"/>
      <c r="J19" s="1272"/>
      <c r="K19" s="1272"/>
    </row>
    <row r="20" spans="1:11" s="5" customFormat="1" ht="15" customHeight="1" x14ac:dyDescent="0.2">
      <c r="A20" s="1258"/>
      <c r="B20" s="1262"/>
      <c r="C20" s="1271"/>
      <c r="D20" s="1271"/>
      <c r="E20" s="1271"/>
      <c r="F20" s="1272"/>
      <c r="G20" s="1272"/>
      <c r="H20" s="1272"/>
      <c r="I20" s="1272"/>
      <c r="J20" s="1272"/>
      <c r="K20" s="1272"/>
    </row>
    <row r="21" spans="1:11" s="5" customFormat="1" ht="15" customHeight="1" x14ac:dyDescent="0.2">
      <c r="A21" s="1258"/>
      <c r="B21" s="1262"/>
      <c r="C21" s="1271"/>
      <c r="D21" s="1271"/>
      <c r="E21" s="1271"/>
      <c r="F21" s="1272"/>
      <c r="G21" s="1272"/>
      <c r="H21" s="1272"/>
      <c r="I21" s="1272"/>
      <c r="J21" s="1272"/>
      <c r="K21" s="1272"/>
    </row>
    <row r="22" spans="1:11" s="5" customFormat="1" ht="15" customHeight="1" x14ac:dyDescent="0.2">
      <c r="A22" s="1258"/>
      <c r="B22" s="1262"/>
      <c r="C22" s="1271"/>
      <c r="D22" s="1271"/>
      <c r="E22" s="1271"/>
      <c r="F22" s="1272"/>
      <c r="G22" s="1272"/>
      <c r="H22" s="1272"/>
      <c r="I22" s="1272"/>
      <c r="J22" s="1272"/>
      <c r="K22" s="1272"/>
    </row>
    <row r="23" spans="1:11" ht="15" customHeight="1" x14ac:dyDescent="0.2">
      <c r="A23" s="1258"/>
      <c r="B23" s="1262"/>
      <c r="C23" s="1271"/>
      <c r="D23" s="1271"/>
      <c r="E23" s="1271"/>
      <c r="F23" s="1272"/>
      <c r="G23" s="1272"/>
      <c r="H23" s="1272"/>
      <c r="I23" s="1272"/>
      <c r="J23" s="1272"/>
      <c r="K23" s="1272"/>
    </row>
    <row r="24" spans="1:11" ht="15" customHeight="1" x14ac:dyDescent="0.2">
      <c r="A24" s="1258"/>
      <c r="B24" s="1262"/>
      <c r="C24" s="1271"/>
      <c r="D24" s="1271"/>
      <c r="E24" s="1271"/>
      <c r="F24" s="1272"/>
      <c r="G24" s="1272"/>
      <c r="H24" s="1272"/>
      <c r="I24" s="1272"/>
      <c r="J24" s="1272"/>
      <c r="K24" s="1272"/>
    </row>
    <row r="25" spans="1:11" ht="15" customHeight="1" x14ac:dyDescent="0.2">
      <c r="A25" s="1258"/>
      <c r="B25" s="1262"/>
      <c r="C25" s="1271"/>
      <c r="D25" s="1271"/>
      <c r="E25" s="1271"/>
      <c r="F25" s="1272"/>
      <c r="G25" s="1272"/>
      <c r="H25" s="1272"/>
      <c r="I25" s="1272"/>
      <c r="J25" s="1272"/>
      <c r="K25" s="1272"/>
    </row>
    <row r="26" spans="1:11" ht="15" customHeight="1" x14ac:dyDescent="0.2">
      <c r="A26" s="1258"/>
      <c r="B26" s="1262"/>
      <c r="C26" s="1271"/>
      <c r="D26" s="1271"/>
      <c r="E26" s="1271"/>
      <c r="F26" s="1272"/>
      <c r="G26" s="1272"/>
      <c r="H26" s="1272"/>
      <c r="I26" s="1272"/>
      <c r="J26" s="1272"/>
      <c r="K26" s="1272"/>
    </row>
    <row r="27" spans="1:11" ht="15" customHeight="1" x14ac:dyDescent="0.2">
      <c r="A27" s="1258"/>
      <c r="B27" s="1262"/>
      <c r="C27" s="1271"/>
      <c r="D27" s="1271"/>
      <c r="E27" s="1271"/>
      <c r="F27" s="1272"/>
      <c r="G27" s="1272"/>
      <c r="H27" s="1272"/>
      <c r="I27" s="1272"/>
      <c r="J27" s="1272"/>
      <c r="K27" s="1272"/>
    </row>
    <row r="28" spans="1:11" ht="15" customHeight="1" x14ac:dyDescent="0.2">
      <c r="A28" s="1258"/>
      <c r="B28" s="1262"/>
      <c r="C28" s="1271"/>
      <c r="D28" s="1271"/>
      <c r="E28" s="1271"/>
      <c r="F28" s="1272"/>
      <c r="G28" s="1272"/>
      <c r="H28" s="1272"/>
      <c r="I28" s="1272"/>
      <c r="J28" s="1272"/>
      <c r="K28" s="1272"/>
    </row>
    <row r="29" spans="1:11" ht="15" customHeight="1" x14ac:dyDescent="0.2">
      <c r="A29" s="1258"/>
      <c r="B29" s="1262"/>
      <c r="C29" s="1271"/>
      <c r="D29" s="1271"/>
      <c r="E29" s="1271"/>
      <c r="F29" s="1272"/>
      <c r="G29" s="1272"/>
      <c r="H29" s="1272"/>
      <c r="I29" s="1272"/>
      <c r="J29" s="1272"/>
      <c r="K29" s="1272"/>
    </row>
    <row r="30" spans="1:11" ht="15" customHeight="1" x14ac:dyDescent="0.2">
      <c r="A30" s="1258"/>
      <c r="B30" s="1262"/>
      <c r="C30" s="1271"/>
      <c r="D30" s="1271"/>
      <c r="E30" s="1271"/>
      <c r="F30" s="1272"/>
      <c r="G30" s="1272"/>
      <c r="H30" s="1272"/>
      <c r="I30" s="1272"/>
      <c r="J30" s="1272"/>
      <c r="K30" s="1272"/>
    </row>
    <row r="31" spans="1:11" ht="15" customHeight="1" x14ac:dyDescent="0.2">
      <c r="A31" s="1258"/>
      <c r="B31" s="1262"/>
      <c r="C31" s="1271"/>
      <c r="D31" s="1271"/>
      <c r="E31" s="1271"/>
      <c r="F31" s="1272"/>
      <c r="G31" s="1272"/>
      <c r="H31" s="1272"/>
      <c r="I31" s="1272"/>
      <c r="J31" s="1272"/>
      <c r="K31" s="1272"/>
    </row>
    <row r="32" spans="1:11" ht="15" customHeight="1" x14ac:dyDescent="0.2">
      <c r="A32" s="1258"/>
      <c r="B32" s="1262"/>
      <c r="C32" s="1271"/>
      <c r="D32" s="1271"/>
      <c r="E32" s="1271"/>
      <c r="F32" s="1272"/>
      <c r="G32" s="1272"/>
      <c r="H32" s="1272"/>
      <c r="I32" s="1272"/>
      <c r="J32" s="1272"/>
      <c r="K32" s="1272"/>
    </row>
    <row r="33" spans="1:11" ht="15" customHeight="1" x14ac:dyDescent="0.2">
      <c r="A33" s="1258"/>
      <c r="B33" s="1262"/>
      <c r="C33" s="1271"/>
      <c r="D33" s="1271"/>
      <c r="E33" s="1271"/>
      <c r="F33" s="1272"/>
      <c r="G33" s="1272"/>
      <c r="H33" s="1272"/>
      <c r="I33" s="1272"/>
      <c r="J33" s="1272"/>
      <c r="K33" s="1272"/>
    </row>
    <row r="34" spans="1:11" ht="15" customHeight="1" x14ac:dyDescent="0.2">
      <c r="A34" s="1258"/>
      <c r="B34" s="1262"/>
      <c r="C34" s="1271"/>
      <c r="D34" s="1271"/>
      <c r="E34" s="1271"/>
      <c r="F34" s="1272"/>
      <c r="G34" s="1272"/>
      <c r="H34" s="1272"/>
      <c r="I34" s="1272"/>
      <c r="J34" s="1272"/>
      <c r="K34" s="1272"/>
    </row>
    <row r="35" spans="1:11" ht="15" customHeight="1" x14ac:dyDescent="0.2">
      <c r="A35" s="1258"/>
      <c r="B35" s="1262"/>
      <c r="C35" s="1271"/>
      <c r="D35" s="1271"/>
      <c r="E35" s="1271"/>
      <c r="F35" s="1272"/>
      <c r="G35" s="1272"/>
      <c r="H35" s="1272"/>
      <c r="I35" s="1272"/>
      <c r="J35" s="1272"/>
      <c r="K35" s="1272"/>
    </row>
    <row r="36" spans="1:11" ht="15" customHeight="1" x14ac:dyDescent="0.2">
      <c r="A36" s="1258"/>
      <c r="B36" s="1262"/>
      <c r="C36" s="1271"/>
      <c r="D36" s="1271"/>
      <c r="E36" s="1271"/>
      <c r="F36" s="1272"/>
      <c r="G36" s="1272"/>
      <c r="H36" s="1272"/>
      <c r="I36" s="1272"/>
      <c r="J36" s="1272"/>
      <c r="K36" s="1272"/>
    </row>
    <row r="37" spans="1:11" ht="15" customHeight="1" x14ac:dyDescent="0.2">
      <c r="A37" s="1258"/>
      <c r="B37" s="1262"/>
      <c r="C37" s="1271"/>
      <c r="D37" s="1271"/>
      <c r="E37" s="1271"/>
      <c r="F37" s="1272"/>
      <c r="G37" s="1272"/>
      <c r="H37" s="1272"/>
      <c r="I37" s="1272"/>
      <c r="J37" s="1272"/>
      <c r="K37" s="1272"/>
    </row>
    <row r="38" spans="1:11" ht="15" customHeight="1" x14ac:dyDescent="0.2">
      <c r="A38" s="1258"/>
      <c r="B38" s="1262"/>
      <c r="C38" s="1271"/>
      <c r="D38" s="1271"/>
      <c r="E38" s="1271"/>
      <c r="F38" s="1272"/>
      <c r="G38" s="1272"/>
      <c r="H38" s="1272"/>
      <c r="I38" s="1272"/>
      <c r="J38" s="1272"/>
      <c r="K38" s="1272"/>
    </row>
    <row r="39" spans="1:11" ht="15" customHeight="1" x14ac:dyDescent="0.2">
      <c r="A39" s="1258"/>
      <c r="B39" s="1262"/>
      <c r="C39" s="1271"/>
      <c r="D39" s="1271"/>
      <c r="E39" s="1271"/>
      <c r="F39" s="1272"/>
      <c r="G39" s="1272"/>
      <c r="H39" s="1272"/>
      <c r="I39" s="1272"/>
      <c r="J39" s="1272"/>
      <c r="K39" s="1272"/>
    </row>
    <row r="40" spans="1:11" ht="15" customHeight="1" x14ac:dyDescent="0.2">
      <c r="A40" s="1258"/>
      <c r="B40" s="1262"/>
      <c r="C40" s="1271"/>
      <c r="D40" s="1271"/>
      <c r="E40" s="1271"/>
      <c r="F40" s="1272"/>
      <c r="G40" s="1272"/>
      <c r="H40" s="1272"/>
      <c r="I40" s="1272"/>
      <c r="J40" s="1272"/>
      <c r="K40" s="1272"/>
    </row>
  </sheetData>
  <sheetProtection sheet="1"/>
  <mergeCells count="1">
    <mergeCell ref="A5:F5"/>
  </mergeCells>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
  <sheetViews>
    <sheetView zoomScale="115" zoomScaleNormal="115" workbookViewId="0">
      <pane ySplit="1530" topLeftCell="A25" activePane="bottomLeft"/>
      <selection pane="bottomLeft" activeCell="J39" sqref="J39"/>
    </sheetView>
  </sheetViews>
  <sheetFormatPr baseColWidth="10" defaultColWidth="10.7109375" defaultRowHeight="12.75" x14ac:dyDescent="0.2"/>
  <cols>
    <col min="1" max="1" width="31.42578125" style="1093" customWidth="1"/>
    <col min="2" max="2" width="7.140625" customWidth="1"/>
    <col min="3" max="3" width="5.7109375" customWidth="1"/>
    <col min="4" max="4" width="7.140625" customWidth="1"/>
    <col min="5" max="5" width="9.140625" customWidth="1"/>
    <col min="6" max="7" width="9.140625" style="1182" customWidth="1"/>
    <col min="8" max="8" width="9.140625" customWidth="1"/>
    <col min="9" max="9" width="9.140625" style="1182" customWidth="1"/>
    <col min="13" max="13" width="7.140625" customWidth="1"/>
  </cols>
  <sheetData>
    <row r="1" spans="1:15" s="5" customFormat="1" ht="30" customHeight="1" x14ac:dyDescent="0.2">
      <c r="A1" s="6"/>
      <c r="B1" s="1274"/>
      <c r="C1" s="8"/>
      <c r="D1" s="9"/>
    </row>
    <row r="2" spans="1:15" s="14" customFormat="1" ht="42.75" customHeight="1" x14ac:dyDescent="0.25">
      <c r="A2" s="1275" t="s">
        <v>1005</v>
      </c>
      <c r="B2" s="1276"/>
      <c r="C2" s="12"/>
    </row>
    <row r="3" spans="1:15" s="14" customFormat="1" x14ac:dyDescent="0.2">
      <c r="A3" s="15"/>
      <c r="B3" s="1277"/>
      <c r="C3" s="17"/>
    </row>
    <row r="4" spans="1:15" s="20" customFormat="1" ht="12.75" customHeight="1" x14ac:dyDescent="0.2">
      <c r="A4" s="1515" t="s">
        <v>1006</v>
      </c>
      <c r="B4" s="1515"/>
      <c r="C4" s="1515"/>
      <c r="D4" s="1515"/>
      <c r="E4" s="1515"/>
      <c r="F4" s="1515"/>
      <c r="G4" s="1515"/>
      <c r="H4" s="1515"/>
      <c r="I4" s="1278" t="s">
        <v>1</v>
      </c>
    </row>
    <row r="5" spans="1:15" s="20" customFormat="1" ht="12.75" customHeight="1" x14ac:dyDescent="0.2">
      <c r="A5" s="1515" t="s">
        <v>1007</v>
      </c>
      <c r="B5" s="1515"/>
      <c r="C5" s="1515"/>
      <c r="D5" s="1515"/>
      <c r="E5" s="1515"/>
      <c r="F5" s="1515"/>
      <c r="G5" s="1515"/>
      <c r="H5" s="1515"/>
      <c r="I5" s="1279">
        <f>DATEVER</f>
        <v>41760</v>
      </c>
    </row>
    <row r="6" spans="1:15" s="20" customFormat="1" ht="12.75" customHeight="1" x14ac:dyDescent="0.2">
      <c r="A6" s="1515" t="s">
        <v>1008</v>
      </c>
      <c r="B6" s="1515"/>
      <c r="C6" s="1515"/>
      <c r="D6" s="1515"/>
      <c r="E6" s="1515"/>
      <c r="F6" s="1515"/>
      <c r="G6" s="1515"/>
      <c r="H6" s="1515"/>
      <c r="I6" s="18"/>
    </row>
    <row r="7" spans="1:15" s="20" customFormat="1" ht="28.5" customHeight="1" x14ac:dyDescent="0.2">
      <c r="A7" s="1515" t="s">
        <v>1009</v>
      </c>
      <c r="B7" s="1515"/>
      <c r="C7" s="1515"/>
      <c r="D7" s="1515"/>
      <c r="E7" s="1515"/>
      <c r="F7" s="1515"/>
      <c r="G7" s="1515"/>
      <c r="H7" s="1515"/>
      <c r="I7" s="18"/>
    </row>
    <row r="8" spans="1:15" s="20" customFormat="1" ht="12.75" customHeight="1" x14ac:dyDescent="0.2">
      <c r="A8" s="1515"/>
      <c r="B8" s="1515"/>
      <c r="C8" s="1515"/>
      <c r="D8" s="1515"/>
    </row>
    <row r="9" spans="1:15" s="1283" customFormat="1" x14ac:dyDescent="0.2">
      <c r="A9" s="1280" t="s">
        <v>1010</v>
      </c>
      <c r="B9" s="1281" t="s">
        <v>1011</v>
      </c>
      <c r="C9" s="1282" t="s">
        <v>1012</v>
      </c>
      <c r="D9" s="1282" t="s">
        <v>1013</v>
      </c>
      <c r="E9" s="1282" t="s">
        <v>1014</v>
      </c>
      <c r="F9" s="1282" t="s">
        <v>1015</v>
      </c>
      <c r="G9" s="1282" t="s">
        <v>1016</v>
      </c>
      <c r="H9" s="1282" t="s">
        <v>413</v>
      </c>
      <c r="I9" s="1282" t="s">
        <v>1017</v>
      </c>
      <c r="K9" s="1282" t="s">
        <v>1014</v>
      </c>
      <c r="L9" s="1282" t="s">
        <v>1015</v>
      </c>
      <c r="M9" s="1282" t="s">
        <v>1016</v>
      </c>
      <c r="N9" s="1282" t="s">
        <v>1018</v>
      </c>
      <c r="O9" s="1282" t="s">
        <v>1017</v>
      </c>
    </row>
    <row r="10" spans="1:15" s="1287" customFormat="1" ht="25.5" customHeight="1" x14ac:dyDescent="0.2">
      <c r="A10" s="1284"/>
      <c r="B10" s="1285"/>
      <c r="C10" s="1285"/>
      <c r="D10" s="1285"/>
      <c r="E10" s="1286"/>
      <c r="F10" s="1286"/>
      <c r="G10" s="1286"/>
      <c r="H10" s="1286"/>
      <c r="I10" s="1286"/>
      <c r="K10" s="1286" t="s">
        <v>1019</v>
      </c>
      <c r="L10" s="1286" t="s">
        <v>1019</v>
      </c>
      <c r="M10" s="1286" t="s">
        <v>1019</v>
      </c>
      <c r="N10" s="1286" t="s">
        <v>1019</v>
      </c>
      <c r="O10" s="1286" t="s">
        <v>1020</v>
      </c>
    </row>
    <row r="11" spans="1:15" s="1289" customFormat="1" hidden="1" x14ac:dyDescent="0.2">
      <c r="A11" s="1284"/>
      <c r="B11" s="1288"/>
      <c r="C11" s="1288"/>
      <c r="D11" s="1288"/>
      <c r="E11" s="1288"/>
      <c r="F11" s="1288"/>
      <c r="G11" s="1288"/>
      <c r="H11" s="1288"/>
      <c r="I11" s="1288"/>
    </row>
    <row r="12" spans="1:15" s="1283" customFormat="1" x14ac:dyDescent="0.2">
      <c r="A12" s="1290" t="s">
        <v>324</v>
      </c>
      <c r="B12" s="1291">
        <v>1</v>
      </c>
      <c r="C12" s="1291"/>
      <c r="D12" s="1291">
        <v>1</v>
      </c>
      <c r="E12" s="1292">
        <f t="shared" ref="E12:I15" si="0">K12/K$12</f>
        <v>1</v>
      </c>
      <c r="F12" s="1292">
        <f t="shared" si="0"/>
        <v>1</v>
      </c>
      <c r="G12" s="1293">
        <f t="shared" si="0"/>
        <v>1</v>
      </c>
      <c r="H12" s="1292">
        <f t="shared" si="0"/>
        <v>1</v>
      </c>
      <c r="I12" s="1292">
        <f t="shared" si="0"/>
        <v>1</v>
      </c>
      <c r="K12" s="1291">
        <v>315</v>
      </c>
      <c r="L12" s="1291">
        <v>187.9</v>
      </c>
      <c r="M12" s="1294">
        <v>104.5799189</v>
      </c>
      <c r="N12" s="1291">
        <v>3887</v>
      </c>
      <c r="O12" s="1291">
        <v>1.85</v>
      </c>
    </row>
    <row r="13" spans="1:15" s="1283" customFormat="1" x14ac:dyDescent="0.2">
      <c r="A13" s="1290" t="s">
        <v>1021</v>
      </c>
      <c r="B13" s="1291">
        <v>1</v>
      </c>
      <c r="C13" s="1291"/>
      <c r="D13" s="1291">
        <v>1</v>
      </c>
      <c r="E13" s="1292">
        <f t="shared" si="0"/>
        <v>1.3396825396825396</v>
      </c>
      <c r="F13" s="1292">
        <f t="shared" si="0"/>
        <v>1.1580627993613624</v>
      </c>
      <c r="G13" s="1293">
        <f t="shared" si="0"/>
        <v>1.1230574190089566</v>
      </c>
      <c r="H13" s="1292">
        <f t="shared" si="0"/>
        <v>1.1389246205299717</v>
      </c>
      <c r="I13" s="1292">
        <f t="shared" si="0"/>
        <v>1.4540540540540539</v>
      </c>
      <c r="K13" s="1291">
        <v>422</v>
      </c>
      <c r="L13" s="1291">
        <v>217.6</v>
      </c>
      <c r="M13" s="1294">
        <v>117.44925379999999</v>
      </c>
      <c r="N13" s="1291">
        <v>4427</v>
      </c>
      <c r="O13" s="1291">
        <v>2.69</v>
      </c>
    </row>
    <row r="14" spans="1:15" s="1283" customFormat="1" x14ac:dyDescent="0.2">
      <c r="A14" s="1290" t="s">
        <v>1022</v>
      </c>
      <c r="B14" s="1291">
        <v>1</v>
      </c>
      <c r="C14" s="1291"/>
      <c r="D14" s="1291">
        <v>1</v>
      </c>
      <c r="E14" s="1292">
        <f t="shared" si="0"/>
        <v>1.6126984126984127</v>
      </c>
      <c r="F14" s="1292">
        <f t="shared" si="0"/>
        <v>1.6748270356572643</v>
      </c>
      <c r="G14" s="1293">
        <f t="shared" si="0"/>
        <v>1.3835469134218272</v>
      </c>
      <c r="H14" s="1292">
        <f t="shared" si="0"/>
        <v>1.0874710573707229</v>
      </c>
      <c r="I14" s="1292">
        <f t="shared" si="0"/>
        <v>1.6324324324324324</v>
      </c>
      <c r="K14" s="1291">
        <v>508</v>
      </c>
      <c r="L14" s="1291">
        <v>314.7</v>
      </c>
      <c r="M14" s="1294">
        <v>144.69122400000001</v>
      </c>
      <c r="N14" s="1291">
        <v>4227</v>
      </c>
      <c r="O14" s="1291">
        <v>3.02</v>
      </c>
    </row>
    <row r="15" spans="1:15" s="1283" customFormat="1" x14ac:dyDescent="0.2">
      <c r="A15" s="1290" t="s">
        <v>1023</v>
      </c>
      <c r="B15" s="1291">
        <v>1</v>
      </c>
      <c r="C15" s="1291"/>
      <c r="D15" s="1291">
        <v>1</v>
      </c>
      <c r="E15" s="1292">
        <f t="shared" si="0"/>
        <v>1</v>
      </c>
      <c r="F15" s="1292">
        <f t="shared" si="0"/>
        <v>1</v>
      </c>
      <c r="G15" s="1293">
        <f t="shared" si="0"/>
        <v>1</v>
      </c>
      <c r="H15" s="1292">
        <f t="shared" si="0"/>
        <v>1</v>
      </c>
      <c r="I15" s="1292">
        <f t="shared" si="0"/>
        <v>0.71351351351351355</v>
      </c>
      <c r="K15" s="1291">
        <f>K12</f>
        <v>315</v>
      </c>
      <c r="L15" s="1291">
        <f>L12</f>
        <v>187.9</v>
      </c>
      <c r="M15" s="1291">
        <f>M12</f>
        <v>104.5799189</v>
      </c>
      <c r="N15" s="1291">
        <f>N12</f>
        <v>3887</v>
      </c>
      <c r="O15" s="1291">
        <v>1.32</v>
      </c>
    </row>
    <row r="16" spans="1:15" s="1283" customFormat="1" x14ac:dyDescent="0.2">
      <c r="A16" s="1290"/>
      <c r="B16" s="1291"/>
      <c r="C16" s="1291"/>
      <c r="D16" s="1291"/>
      <c r="E16" s="1292"/>
      <c r="F16" s="1292"/>
      <c r="G16" s="1293"/>
      <c r="H16" s="1292"/>
      <c r="I16" s="1292"/>
      <c r="K16" s="1291"/>
      <c r="L16" s="1291"/>
      <c r="M16" s="1291"/>
      <c r="N16" s="1291"/>
      <c r="O16" s="1291"/>
    </row>
    <row r="17" spans="1:15" s="1283" customFormat="1" x14ac:dyDescent="0.2">
      <c r="A17" s="1290"/>
      <c r="B17" s="1291"/>
      <c r="C17" s="1291"/>
      <c r="D17" s="1291"/>
      <c r="E17" s="1293"/>
      <c r="F17" s="1293"/>
      <c r="G17" s="1293"/>
      <c r="H17" s="1292"/>
      <c r="I17" s="1292"/>
      <c r="K17" s="1291"/>
      <c r="L17" s="1291"/>
      <c r="M17" s="1291"/>
      <c r="N17" s="1291"/>
      <c r="O17" s="1291"/>
    </row>
    <row r="18" spans="1:15" s="1283" customFormat="1" x14ac:dyDescent="0.2">
      <c r="A18" s="1295" t="s">
        <v>1024</v>
      </c>
      <c r="B18" s="1296">
        <v>0.5</v>
      </c>
      <c r="C18" s="1296"/>
      <c r="D18" s="1296">
        <v>0.5</v>
      </c>
      <c r="E18" s="1297">
        <f t="shared" ref="E18:E33" si="1">K18/K$12</f>
        <v>0.61904761904761907</v>
      </c>
      <c r="F18" s="1297">
        <f t="shared" ref="F18:F33" si="2">L18/L$12</f>
        <v>0.37945715806279934</v>
      </c>
      <c r="G18" s="1297">
        <f t="shared" ref="G18:G33" si="3">M18/M$12</f>
        <v>0.6432031885999101</v>
      </c>
      <c r="H18" s="1297">
        <f t="shared" ref="H18:H33" si="4">N18/N$12</f>
        <v>0.73758682788783125</v>
      </c>
      <c r="I18" s="1297">
        <f t="shared" ref="I18:I33" si="5">O18/O$12</f>
        <v>0.49729729729729727</v>
      </c>
      <c r="K18" s="1296">
        <v>195</v>
      </c>
      <c r="L18" s="1296">
        <v>71.3</v>
      </c>
      <c r="M18" s="1298">
        <v>67.266137299999997</v>
      </c>
      <c r="N18" s="1296">
        <v>2867</v>
      </c>
      <c r="O18" s="1296">
        <v>0.92</v>
      </c>
    </row>
    <row r="19" spans="1:15" s="1283" customFormat="1" x14ac:dyDescent="0.2">
      <c r="A19" s="1295" t="s">
        <v>1025</v>
      </c>
      <c r="B19" s="1296">
        <v>0.5</v>
      </c>
      <c r="C19" s="1296"/>
      <c r="D19" s="1296">
        <v>0.5</v>
      </c>
      <c r="E19" s="1297">
        <f t="shared" si="1"/>
        <v>0.85079365079365077</v>
      </c>
      <c r="F19" s="1297">
        <f t="shared" si="2"/>
        <v>0.42682277807344332</v>
      </c>
      <c r="G19" s="1297">
        <f t="shared" si="3"/>
        <v>0.71058504808230449</v>
      </c>
      <c r="H19" s="1297">
        <f t="shared" si="4"/>
        <v>0.88783123231283767</v>
      </c>
      <c r="I19" s="1297">
        <f t="shared" si="5"/>
        <v>0.78918918918918912</v>
      </c>
      <c r="K19" s="1296">
        <v>268</v>
      </c>
      <c r="L19" s="1296">
        <v>80.2</v>
      </c>
      <c r="M19" s="1298">
        <v>74.312926700000006</v>
      </c>
      <c r="N19" s="1296">
        <v>3451</v>
      </c>
      <c r="O19" s="1296">
        <v>1.46</v>
      </c>
    </row>
    <row r="20" spans="1:15" s="1283" customFormat="1" x14ac:dyDescent="0.2">
      <c r="A20" s="1295" t="s">
        <v>1026</v>
      </c>
      <c r="B20" s="1296">
        <v>1</v>
      </c>
      <c r="C20" s="1296"/>
      <c r="D20" s="1296">
        <v>0.5</v>
      </c>
      <c r="E20" s="1297">
        <f t="shared" si="1"/>
        <v>0.64761904761904765</v>
      </c>
      <c r="F20" s="1297">
        <f t="shared" si="2"/>
        <v>0.39222990952634379</v>
      </c>
      <c r="G20" s="1297">
        <f t="shared" si="3"/>
        <v>0.58830124699972397</v>
      </c>
      <c r="H20" s="1297">
        <f t="shared" si="4"/>
        <v>0.77977874967841521</v>
      </c>
      <c r="I20" s="1297">
        <f t="shared" si="5"/>
        <v>0.50270270270270268</v>
      </c>
      <c r="K20" s="1296">
        <v>204</v>
      </c>
      <c r="L20" s="1296">
        <v>73.7</v>
      </c>
      <c r="M20" s="1298">
        <v>61.5244967</v>
      </c>
      <c r="N20" s="1296">
        <v>3031</v>
      </c>
      <c r="O20" s="1296">
        <v>0.93</v>
      </c>
    </row>
    <row r="21" spans="1:15" s="1283" customFormat="1" x14ac:dyDescent="0.2">
      <c r="A21" s="1295" t="s">
        <v>1027</v>
      </c>
      <c r="B21" s="1296">
        <v>1</v>
      </c>
      <c r="C21" s="1296"/>
      <c r="D21" s="1296">
        <v>0.5</v>
      </c>
      <c r="E21" s="1297">
        <f t="shared" si="1"/>
        <v>0.93650793650793651</v>
      </c>
      <c r="F21" s="1297">
        <f t="shared" si="2"/>
        <v>0.46780202235231505</v>
      </c>
      <c r="G21" s="1297">
        <f t="shared" si="3"/>
        <v>0.72257376172052101</v>
      </c>
      <c r="H21" s="1297">
        <f t="shared" si="4"/>
        <v>0.88320041162850527</v>
      </c>
      <c r="I21" s="1297">
        <f t="shared" si="5"/>
        <v>0.70810810810810809</v>
      </c>
      <c r="K21" s="1296">
        <v>295</v>
      </c>
      <c r="L21" s="1296">
        <v>87.9</v>
      </c>
      <c r="M21" s="1298">
        <v>75.566705400000004</v>
      </c>
      <c r="N21" s="1296">
        <v>3433</v>
      </c>
      <c r="O21" s="1296">
        <v>1.31</v>
      </c>
    </row>
    <row r="22" spans="1:15" s="1283" customFormat="1" x14ac:dyDescent="0.2">
      <c r="A22" s="1295" t="s">
        <v>1028</v>
      </c>
      <c r="B22" s="1296">
        <v>1.5</v>
      </c>
      <c r="C22" s="1296"/>
      <c r="D22" s="1296">
        <v>0.5</v>
      </c>
      <c r="E22" s="1297">
        <f t="shared" si="1"/>
        <v>0.84126984126984128</v>
      </c>
      <c r="F22" s="1297">
        <f t="shared" si="2"/>
        <v>0.34858967535923363</v>
      </c>
      <c r="G22" s="1297">
        <f t="shared" si="3"/>
        <v>0.85589527264397225</v>
      </c>
      <c r="H22" s="1297">
        <f t="shared" si="4"/>
        <v>0.50990481090815543</v>
      </c>
      <c r="I22" s="1297">
        <f t="shared" si="5"/>
        <v>0.23243243243243242</v>
      </c>
      <c r="K22" s="1296">
        <v>265</v>
      </c>
      <c r="L22" s="1296">
        <v>65.5</v>
      </c>
      <c r="M22" s="1298">
        <v>89.509458199999997</v>
      </c>
      <c r="N22" s="1296">
        <v>1982</v>
      </c>
      <c r="O22" s="1296">
        <v>0.43</v>
      </c>
    </row>
    <row r="23" spans="1:15" s="1283" customFormat="1" x14ac:dyDescent="0.2">
      <c r="A23" s="1295" t="s">
        <v>1029</v>
      </c>
      <c r="B23" s="1296">
        <v>1.5</v>
      </c>
      <c r="C23" s="1296"/>
      <c r="D23" s="1296">
        <v>0.5</v>
      </c>
      <c r="E23" s="1297">
        <f t="shared" si="1"/>
        <v>0.46666666666666667</v>
      </c>
      <c r="F23" s="1297">
        <f t="shared" si="2"/>
        <v>0.43799893560404468</v>
      </c>
      <c r="G23" s="1297">
        <f t="shared" si="3"/>
        <v>0.5798302450203946</v>
      </c>
      <c r="H23" s="1297">
        <f t="shared" si="4"/>
        <v>0.8263442243375354</v>
      </c>
      <c r="I23" s="1297">
        <f t="shared" si="5"/>
        <v>0.20540540540540539</v>
      </c>
      <c r="K23" s="1296">
        <v>147</v>
      </c>
      <c r="L23" s="1296">
        <v>82.3</v>
      </c>
      <c r="M23" s="1298">
        <v>60.638599999999997</v>
      </c>
      <c r="N23" s="1296">
        <v>3212</v>
      </c>
      <c r="O23" s="1296">
        <v>0.38</v>
      </c>
    </row>
    <row r="24" spans="1:15" s="1283" customFormat="1" x14ac:dyDescent="0.2">
      <c r="A24" s="1295" t="s">
        <v>1030</v>
      </c>
      <c r="B24" s="1296">
        <v>0.5</v>
      </c>
      <c r="C24" s="1296"/>
      <c r="D24" s="1296">
        <v>0.5</v>
      </c>
      <c r="E24" s="1297">
        <f t="shared" si="1"/>
        <v>0.2253968253968254</v>
      </c>
      <c r="F24" s="1297">
        <f t="shared" si="2"/>
        <v>0.21341138903672166</v>
      </c>
      <c r="G24" s="1297">
        <f t="shared" si="3"/>
        <v>0.67246462169516941</v>
      </c>
      <c r="H24" s="1297">
        <f t="shared" si="4"/>
        <v>0.53846153846153844</v>
      </c>
      <c r="I24" s="1297">
        <f t="shared" si="5"/>
        <v>0.2864864864864865</v>
      </c>
      <c r="K24" s="1296">
        <v>71</v>
      </c>
      <c r="L24" s="1296">
        <v>40.1</v>
      </c>
      <c r="M24" s="1298">
        <v>70.326295599999995</v>
      </c>
      <c r="N24" s="1296">
        <v>2093</v>
      </c>
      <c r="O24" s="1296">
        <v>0.53</v>
      </c>
    </row>
    <row r="25" spans="1:15" s="1283" customFormat="1" x14ac:dyDescent="0.2">
      <c r="A25" s="1295" t="s">
        <v>1031</v>
      </c>
      <c r="B25" s="1296" t="s">
        <v>1032</v>
      </c>
      <c r="C25" s="1296"/>
      <c r="D25" s="1296" t="s">
        <v>1032</v>
      </c>
      <c r="E25" s="1297">
        <f t="shared" si="1"/>
        <v>0.53397149841269842</v>
      </c>
      <c r="F25" s="1297">
        <f t="shared" si="2"/>
        <v>0.29719550133049494</v>
      </c>
      <c r="G25" s="1297">
        <f t="shared" si="3"/>
        <v>0.6814686839463594</v>
      </c>
      <c r="H25" s="1297">
        <f t="shared" si="4"/>
        <v>0.44627470697195781</v>
      </c>
      <c r="I25" s="1297">
        <f t="shared" si="5"/>
        <v>0.6522211837837838</v>
      </c>
      <c r="K25" s="1298">
        <v>168.20102199999999</v>
      </c>
      <c r="L25" s="1298">
        <v>55.843034699999997</v>
      </c>
      <c r="M25" s="1298">
        <v>71.267939699999999</v>
      </c>
      <c r="N25" s="1298">
        <v>1734.6697859999999</v>
      </c>
      <c r="O25" s="1299">
        <v>1.20660919</v>
      </c>
    </row>
    <row r="26" spans="1:15" s="1283" customFormat="1" x14ac:dyDescent="0.2">
      <c r="A26" s="1295" t="s">
        <v>1033</v>
      </c>
      <c r="B26" s="1296" t="s">
        <v>1032</v>
      </c>
      <c r="C26" s="1296"/>
      <c r="D26" s="1296" t="s">
        <v>1032</v>
      </c>
      <c r="E26" s="1297">
        <f t="shared" si="1"/>
        <v>0.5244956984126985</v>
      </c>
      <c r="F26" s="1297">
        <f t="shared" si="2"/>
        <v>0.27328889781798832</v>
      </c>
      <c r="G26" s="1297">
        <f t="shared" si="3"/>
        <v>0.65006129298117099</v>
      </c>
      <c r="H26" s="1297">
        <f t="shared" si="4"/>
        <v>0.4097660751222022</v>
      </c>
      <c r="I26" s="1297">
        <f t="shared" si="5"/>
        <v>0.69356419999999996</v>
      </c>
      <c r="K26" s="1298">
        <v>165.21614500000001</v>
      </c>
      <c r="L26" s="1298">
        <v>51.350983900000003</v>
      </c>
      <c r="M26" s="1298">
        <v>67.983357299999994</v>
      </c>
      <c r="N26" s="1298">
        <v>1592.760734</v>
      </c>
      <c r="O26" s="1299">
        <v>1.28309377</v>
      </c>
    </row>
    <row r="27" spans="1:15" s="1283" customFormat="1" x14ac:dyDescent="0.2">
      <c r="A27" s="1295" t="s">
        <v>1034</v>
      </c>
      <c r="B27" s="1296" t="s">
        <v>1032</v>
      </c>
      <c r="C27" s="1296"/>
      <c r="D27" s="1296" t="s">
        <v>1032</v>
      </c>
      <c r="E27" s="1297">
        <f t="shared" si="1"/>
        <v>0.63005107936507943</v>
      </c>
      <c r="F27" s="1297">
        <f t="shared" si="2"/>
        <v>0.37556266844065994</v>
      </c>
      <c r="G27" s="1297">
        <f t="shared" si="3"/>
        <v>0.76663087085258774</v>
      </c>
      <c r="H27" s="1297">
        <f t="shared" si="4"/>
        <v>0.63600710084898371</v>
      </c>
      <c r="I27" s="1297">
        <f t="shared" si="5"/>
        <v>0.9971886432432433</v>
      </c>
      <c r="K27" s="1298">
        <v>198.46609000000001</v>
      </c>
      <c r="L27" s="1298">
        <v>70.568225400000003</v>
      </c>
      <c r="M27" s="1298">
        <v>80.174194299999996</v>
      </c>
      <c r="N27" s="1298">
        <v>2472.1596009999998</v>
      </c>
      <c r="O27" s="1299">
        <v>1.8447989900000001</v>
      </c>
    </row>
    <row r="28" spans="1:15" s="1283" customFormat="1" x14ac:dyDescent="0.2">
      <c r="A28" s="1295" t="s">
        <v>1035</v>
      </c>
      <c r="B28" s="1296" t="s">
        <v>1032</v>
      </c>
      <c r="C28" s="1296"/>
      <c r="D28" s="1296" t="s">
        <v>1032</v>
      </c>
      <c r="E28" s="1297">
        <f t="shared" si="1"/>
        <v>0.27267884761904765</v>
      </c>
      <c r="F28" s="1297">
        <f t="shared" si="2"/>
        <v>0.21199806971793506</v>
      </c>
      <c r="G28" s="1297">
        <f t="shared" si="3"/>
        <v>0.64125589219595391</v>
      </c>
      <c r="H28" s="1297">
        <f t="shared" si="4"/>
        <v>0.32384246231026498</v>
      </c>
      <c r="I28" s="1297">
        <f t="shared" si="5"/>
        <v>0.58239038378378372</v>
      </c>
      <c r="K28" s="1298">
        <v>85.893837000000005</v>
      </c>
      <c r="L28" s="1298">
        <v>39.834437299999998</v>
      </c>
      <c r="M28" s="1298">
        <v>67.062489200000002</v>
      </c>
      <c r="N28" s="1298">
        <v>1258.7756509999999</v>
      </c>
      <c r="O28" s="1299">
        <v>1.0774222099999999</v>
      </c>
    </row>
    <row r="29" spans="1:15" s="1283" customFormat="1" x14ac:dyDescent="0.2">
      <c r="A29" s="1295" t="s">
        <v>1036</v>
      </c>
      <c r="B29" s="1296" t="s">
        <v>1032</v>
      </c>
      <c r="C29" s="1296"/>
      <c r="D29" s="1296" t="s">
        <v>1032</v>
      </c>
      <c r="E29" s="1297">
        <f t="shared" si="1"/>
        <v>1.0093689809523809</v>
      </c>
      <c r="F29" s="1297">
        <f t="shared" si="2"/>
        <v>0.8596554417243214</v>
      </c>
      <c r="G29" s="1297">
        <f t="shared" si="3"/>
        <v>1.1548016767490532</v>
      </c>
      <c r="H29" s="1297">
        <f t="shared" si="4"/>
        <v>0.84571330151788016</v>
      </c>
      <c r="I29" s="1297">
        <f t="shared" si="5"/>
        <v>1.6331914270270269</v>
      </c>
      <c r="K29" s="1298">
        <v>317.95122900000001</v>
      </c>
      <c r="L29" s="1298">
        <v>161.5292575</v>
      </c>
      <c r="M29" s="1298">
        <v>120.7690657</v>
      </c>
      <c r="N29" s="1298">
        <v>3287.2876030000002</v>
      </c>
      <c r="O29" s="1299">
        <v>3.02140414</v>
      </c>
    </row>
    <row r="30" spans="1:15" s="1283" customFormat="1" x14ac:dyDescent="0.2">
      <c r="A30" s="1295" t="s">
        <v>1037</v>
      </c>
      <c r="B30" s="1296" t="s">
        <v>1032</v>
      </c>
      <c r="C30" s="1296"/>
      <c r="D30" s="1296" t="s">
        <v>1032</v>
      </c>
      <c r="E30" s="1297">
        <f t="shared" si="1"/>
        <v>1.3653366222222221</v>
      </c>
      <c r="F30" s="1297">
        <f t="shared" si="2"/>
        <v>1.4855533650878125</v>
      </c>
      <c r="G30" s="1297">
        <f t="shared" si="3"/>
        <v>1.3360258419554005</v>
      </c>
      <c r="H30" s="1297">
        <f t="shared" si="4"/>
        <v>1.4504262181631078</v>
      </c>
      <c r="I30" s="1297">
        <f t="shared" si="5"/>
        <v>2.0203237513513512</v>
      </c>
      <c r="K30" s="1298">
        <v>430.08103599999998</v>
      </c>
      <c r="L30" s="1298">
        <v>279.13547729999999</v>
      </c>
      <c r="M30" s="1298">
        <v>139.72147419999999</v>
      </c>
      <c r="N30" s="1298">
        <v>5637.8067099999998</v>
      </c>
      <c r="O30" s="1299">
        <v>3.7375989399999998</v>
      </c>
    </row>
    <row r="31" spans="1:15" s="1283" customFormat="1" x14ac:dyDescent="0.2">
      <c r="A31" s="1295" t="s">
        <v>1038</v>
      </c>
      <c r="B31" s="1296" t="s">
        <v>1032</v>
      </c>
      <c r="C31" s="1296"/>
      <c r="D31" s="1296" t="s">
        <v>1032</v>
      </c>
      <c r="E31" s="1297">
        <f t="shared" si="1"/>
        <v>1.931883253968254</v>
      </c>
      <c r="F31" s="1297">
        <f t="shared" si="2"/>
        <v>1.8095135566790845</v>
      </c>
      <c r="G31" s="1297">
        <f t="shared" si="3"/>
        <v>3.0597571021830277</v>
      </c>
      <c r="H31" s="1297">
        <f t="shared" si="4"/>
        <v>1.3517799760740932</v>
      </c>
      <c r="I31" s="1297">
        <f t="shared" si="5"/>
        <v>4.7881657405405411</v>
      </c>
      <c r="K31" s="1298">
        <v>608.54322500000001</v>
      </c>
      <c r="L31" s="1298">
        <v>340.00759729999999</v>
      </c>
      <c r="M31" s="1298">
        <v>319.98914960000002</v>
      </c>
      <c r="N31" s="1298">
        <v>5254.3687669999999</v>
      </c>
      <c r="O31" s="1299">
        <v>8.8581066200000009</v>
      </c>
    </row>
    <row r="32" spans="1:15" s="1283" customFormat="1" x14ac:dyDescent="0.2">
      <c r="A32" s="1295" t="s">
        <v>1039</v>
      </c>
      <c r="B32" s="1296" t="s">
        <v>1032</v>
      </c>
      <c r="C32" s="1296"/>
      <c r="D32" s="1296" t="s">
        <v>1032</v>
      </c>
      <c r="E32" s="1297">
        <f t="shared" si="1"/>
        <v>0.61701512063492059</v>
      </c>
      <c r="F32" s="1297">
        <f t="shared" si="2"/>
        <v>0.35238227674294836</v>
      </c>
      <c r="G32" s="1297">
        <f t="shared" si="3"/>
        <v>1.5966583322718566</v>
      </c>
      <c r="H32" s="1297">
        <f t="shared" si="4"/>
        <v>1.1116278672498072</v>
      </c>
      <c r="I32" s="1297">
        <f t="shared" si="5"/>
        <v>1.8892442756756755</v>
      </c>
      <c r="K32" s="1298">
        <v>194.35976299999999</v>
      </c>
      <c r="L32" s="1298">
        <v>66.212629800000002</v>
      </c>
      <c r="M32" s="1298">
        <v>166.9783989</v>
      </c>
      <c r="N32" s="1298">
        <v>4320.8975200000004</v>
      </c>
      <c r="O32" s="1299">
        <v>3.4951019099999998</v>
      </c>
    </row>
    <row r="33" spans="1:15" s="1283" customFormat="1" x14ac:dyDescent="0.2">
      <c r="A33" s="1295" t="s">
        <v>1040</v>
      </c>
      <c r="B33" s="1296" t="s">
        <v>1032</v>
      </c>
      <c r="C33" s="1296"/>
      <c r="D33" s="1296" t="s">
        <v>1032</v>
      </c>
      <c r="E33" s="1297">
        <f t="shared" si="1"/>
        <v>1.4138922571428572</v>
      </c>
      <c r="F33" s="1297">
        <f t="shared" si="2"/>
        <v>1.1935698914316124</v>
      </c>
      <c r="G33" s="1297">
        <f t="shared" si="3"/>
        <v>2.4571575078932288</v>
      </c>
      <c r="H33" s="1297">
        <f t="shared" si="4"/>
        <v>1.6739318047337279</v>
      </c>
      <c r="I33" s="1297">
        <f t="shared" si="5"/>
        <v>2.5160693135135133</v>
      </c>
      <c r="K33" s="1298">
        <v>445.37606099999999</v>
      </c>
      <c r="L33" s="1298">
        <v>224.27178259999999</v>
      </c>
      <c r="M33" s="1298">
        <v>256.96933289999998</v>
      </c>
      <c r="N33" s="1298">
        <v>6506.5729250000004</v>
      </c>
      <c r="O33" s="1299">
        <v>4.6547282299999999</v>
      </c>
    </row>
    <row r="34" spans="1:15" s="1283" customFormat="1" x14ac:dyDescent="0.2">
      <c r="A34" s="1295"/>
      <c r="B34" s="1296"/>
      <c r="C34" s="1296"/>
      <c r="D34" s="1296"/>
      <c r="E34" s="1300"/>
      <c r="F34" s="1300"/>
      <c r="G34" s="1300"/>
      <c r="H34" s="1300"/>
      <c r="I34" s="1300"/>
      <c r="K34" s="1296"/>
      <c r="L34" s="1296"/>
      <c r="M34" s="1296"/>
      <c r="N34" s="1296"/>
      <c r="O34" s="1296"/>
    </row>
    <row r="35" spans="1:15" s="1283" customFormat="1" x14ac:dyDescent="0.2">
      <c r="A35" s="1301" t="s">
        <v>1041</v>
      </c>
      <c r="B35" s="1302"/>
      <c r="C35" s="1302">
        <v>4</v>
      </c>
      <c r="D35" s="1302"/>
      <c r="E35" s="1303">
        <f t="shared" ref="E35:I36" si="6">K35/K$12</f>
        <v>0.99365079365079367</v>
      </c>
      <c r="F35" s="1304">
        <f t="shared" si="6"/>
        <v>0.17935071846726983</v>
      </c>
      <c r="G35" s="1304">
        <f t="shared" si="6"/>
        <v>0.72195087827707238</v>
      </c>
      <c r="H35" s="1303">
        <f t="shared" si="6"/>
        <v>0.4988422948289169</v>
      </c>
      <c r="I35" s="1303">
        <f t="shared" si="6"/>
        <v>0.40540540540540537</v>
      </c>
      <c r="K35" s="1302">
        <v>313</v>
      </c>
      <c r="L35" s="1302">
        <v>33.700000000000003</v>
      </c>
      <c r="M35" s="1305">
        <v>75.501564299999998</v>
      </c>
      <c r="N35" s="1302">
        <v>1939</v>
      </c>
      <c r="O35" s="1302">
        <v>0.75</v>
      </c>
    </row>
    <row r="36" spans="1:15" s="1283" customFormat="1" x14ac:dyDescent="0.2">
      <c r="A36" s="1301" t="s">
        <v>1042</v>
      </c>
      <c r="B36" s="1302"/>
      <c r="C36" s="1302">
        <v>2</v>
      </c>
      <c r="D36" s="1302"/>
      <c r="E36" s="1303">
        <f t="shared" si="6"/>
        <v>1.307936507936508</v>
      </c>
      <c r="F36" s="1303">
        <f t="shared" si="6"/>
        <v>0.12879191059073974</v>
      </c>
      <c r="G36" s="1304">
        <f t="shared" si="6"/>
        <v>0.24576727224828629</v>
      </c>
      <c r="H36" s="1303">
        <f t="shared" si="6"/>
        <v>0.37252379727296114</v>
      </c>
      <c r="I36" s="1303">
        <f t="shared" si="6"/>
        <v>0.23783783783783782</v>
      </c>
      <c r="K36" s="1302">
        <v>412</v>
      </c>
      <c r="L36" s="1302">
        <v>24.2</v>
      </c>
      <c r="M36" s="1305">
        <v>25.702321399999999</v>
      </c>
      <c r="N36" s="1302">
        <v>1448</v>
      </c>
      <c r="O36" s="1302">
        <v>0.44</v>
      </c>
    </row>
    <row r="37" spans="1:15" s="1283" customFormat="1" x14ac:dyDescent="0.2">
      <c r="A37" s="1301"/>
      <c r="B37" s="1302"/>
      <c r="C37" s="1302"/>
      <c r="D37" s="1302"/>
      <c r="E37" s="1303"/>
      <c r="F37" s="1303"/>
      <c r="G37" s="1303"/>
      <c r="H37" s="1303"/>
      <c r="I37" s="1303"/>
      <c r="K37" s="1302"/>
      <c r="L37" s="1302"/>
      <c r="M37" s="1302"/>
      <c r="N37" s="1302"/>
      <c r="O37" s="1302"/>
    </row>
    <row r="38" spans="1:15" s="1283" customFormat="1" x14ac:dyDescent="0.2">
      <c r="A38" s="1306" t="s">
        <v>1043</v>
      </c>
      <c r="B38" s="1307"/>
      <c r="C38" s="1307">
        <v>3.5</v>
      </c>
      <c r="D38" s="1307"/>
      <c r="E38" s="1308">
        <f>K38/K$12</f>
        <v>1.0253968253968253</v>
      </c>
      <c r="F38" s="1308"/>
      <c r="G38" s="1308"/>
      <c r="H38" s="1308"/>
      <c r="I38" s="1308"/>
      <c r="K38" s="1307">
        <v>323</v>
      </c>
      <c r="L38" s="1307"/>
      <c r="M38" s="1307"/>
      <c r="N38" s="1307"/>
      <c r="O38" s="1307"/>
    </row>
    <row r="39" spans="1:15" s="1283" customFormat="1" x14ac:dyDescent="0.2">
      <c r="A39" s="1306" t="s">
        <v>1044</v>
      </c>
      <c r="B39" s="1307"/>
      <c r="C39" s="1307">
        <v>3.5</v>
      </c>
      <c r="D39" s="1307"/>
      <c r="E39" s="1308">
        <f>K39/K$12</f>
        <v>0.52063492063492067</v>
      </c>
      <c r="F39" s="1308"/>
      <c r="G39" s="1308"/>
      <c r="H39" s="1308"/>
      <c r="I39" s="1308"/>
      <c r="K39" s="1307">
        <v>164</v>
      </c>
      <c r="L39" s="1307"/>
      <c r="M39" s="1307"/>
      <c r="N39" s="1307"/>
      <c r="O39" s="1307"/>
    </row>
    <row r="40" spans="1:15" s="1283" customFormat="1" x14ac:dyDescent="0.2">
      <c r="A40" s="1309"/>
      <c r="B40" s="1307"/>
      <c r="C40" s="1307"/>
      <c r="D40" s="1307"/>
      <c r="E40" s="1307"/>
      <c r="F40" s="1307"/>
      <c r="G40" s="1307"/>
      <c r="H40" s="1307"/>
      <c r="I40" s="1307"/>
    </row>
    <row r="41" spans="1:15" s="1283" customFormat="1" x14ac:dyDescent="0.2">
      <c r="A41" s="1309"/>
      <c r="B41" s="1307"/>
      <c r="C41" s="1307"/>
      <c r="D41" s="1307"/>
      <c r="E41" s="1307"/>
      <c r="F41" s="1307"/>
      <c r="G41" s="1307"/>
      <c r="H41" s="1307"/>
      <c r="I41" s="1307"/>
    </row>
    <row r="42" spans="1:15" s="1283" customFormat="1" x14ac:dyDescent="0.2">
      <c r="A42" s="1310"/>
      <c r="F42" s="1311"/>
      <c r="G42" s="1311"/>
      <c r="I42" s="1311"/>
    </row>
    <row r="43" spans="1:15" s="1314" customFormat="1" x14ac:dyDescent="0.2">
      <c r="A43" s="1312" t="s">
        <v>1045</v>
      </c>
      <c r="B43" s="1313"/>
      <c r="F43" s="1315"/>
      <c r="G43" s="1315"/>
      <c r="I43" s="1315"/>
      <c r="K43" s="1316"/>
    </row>
    <row r="44" spans="1:15" s="1314" customFormat="1" x14ac:dyDescent="0.2">
      <c r="A44" s="1312" t="s">
        <v>1046</v>
      </c>
      <c r="B44" s="1313"/>
      <c r="F44" s="1315"/>
      <c r="G44" s="1315"/>
      <c r="I44" s="1315"/>
      <c r="K44" s="1316"/>
    </row>
    <row r="45" spans="1:15" s="1314" customFormat="1" x14ac:dyDescent="0.2">
      <c r="A45" s="1312" t="s">
        <v>1047</v>
      </c>
      <c r="B45" s="1313"/>
      <c r="F45" s="1315"/>
      <c r="G45" s="1315"/>
      <c r="I45" s="1315"/>
      <c r="K45" s="1316"/>
    </row>
    <row r="46" spans="1:15" s="1314" customFormat="1" x14ac:dyDescent="0.2">
      <c r="A46" s="1312" t="s">
        <v>1048</v>
      </c>
      <c r="B46" s="1313"/>
      <c r="F46" s="1315"/>
      <c r="G46" s="1315"/>
      <c r="I46" s="1315"/>
      <c r="K46" s="1316"/>
    </row>
    <row r="47" spans="1:15" s="1314" customFormat="1" x14ac:dyDescent="0.2">
      <c r="A47" s="1312" t="s">
        <v>1049</v>
      </c>
      <c r="B47" s="1313"/>
      <c r="F47" s="1315"/>
      <c r="G47" s="1315"/>
      <c r="I47" s="1315"/>
      <c r="K47" s="1316"/>
    </row>
    <row r="48" spans="1:15" s="1317" customFormat="1" x14ac:dyDescent="0.2">
      <c r="A48" s="1312" t="s">
        <v>1050</v>
      </c>
      <c r="B48" s="1313"/>
      <c r="F48" s="1318"/>
      <c r="G48" s="1318"/>
      <c r="I48" s="1318"/>
      <c r="K48" s="1316"/>
    </row>
    <row r="49" spans="1:11" s="1317" customFormat="1" x14ac:dyDescent="0.2">
      <c r="A49" s="1312" t="s">
        <v>1051</v>
      </c>
      <c r="B49" s="1313"/>
      <c r="F49" s="1318"/>
      <c r="G49" s="1318"/>
      <c r="I49" s="1318"/>
      <c r="K49" s="1316"/>
    </row>
    <row r="50" spans="1:11" s="1317" customFormat="1" x14ac:dyDescent="0.2">
      <c r="A50" s="1312" t="s">
        <v>1052</v>
      </c>
      <c r="B50" s="1313"/>
      <c r="F50" s="1318"/>
      <c r="G50" s="1318"/>
      <c r="I50" s="1318"/>
      <c r="K50" s="1316"/>
    </row>
  </sheetData>
  <sheetProtection sheet="1"/>
  <mergeCells count="5">
    <mergeCell ref="A4:H4"/>
    <mergeCell ref="A5:H5"/>
    <mergeCell ref="A6:H6"/>
    <mergeCell ref="A7:H7"/>
    <mergeCell ref="A8:D8"/>
  </mergeCells>
  <pageMargins left="0.39374999999999999" right="0.39374999999999999" top="0.39374999999999999" bottom="0.39374999999999999" header="0.51180555555555551" footer="0.39374999999999999"/>
  <pageSetup paperSize="9" firstPageNumber="0" orientation="portrait" horizontalDpi="300" verticalDpi="300"/>
  <headerFooter alignWithMargins="0">
    <oddFooter>&amp;C&amp;8&amp;F - Feuille &amp;A - page &amp;P / &amp;N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6"/>
  <sheetViews>
    <sheetView topLeftCell="A16" zoomScale="80" zoomScaleNormal="80" workbookViewId="0">
      <selection activeCell="D25" sqref="D25"/>
    </sheetView>
  </sheetViews>
  <sheetFormatPr baseColWidth="10" defaultColWidth="16.85546875" defaultRowHeight="12.75" x14ac:dyDescent="0.2"/>
  <cols>
    <col min="1" max="1" width="14" style="954" customWidth="1"/>
    <col min="2" max="2" width="69.42578125" style="954" customWidth="1"/>
    <col min="3" max="3" width="12" style="1319" customWidth="1"/>
    <col min="4" max="4" width="21.7109375" style="1320" customWidth="1"/>
    <col min="5" max="15" width="16.85546875" style="1237"/>
    <col min="16" max="16" width="4.5703125" style="1237" customWidth="1"/>
    <col min="17" max="16384" width="16.85546875" style="1237"/>
  </cols>
  <sheetData>
    <row r="1" spans="1:26" ht="44.25" customHeight="1" x14ac:dyDescent="0.2"/>
    <row r="2" spans="1:26" s="1324" customFormat="1" ht="22.5" customHeight="1" x14ac:dyDescent="0.25">
      <c r="A2" s="1321" t="s">
        <v>1053</v>
      </c>
      <c r="B2" s="1322"/>
      <c r="C2" s="1323"/>
    </row>
    <row r="3" spans="1:26" s="1194" customFormat="1" ht="19.5" customHeight="1" x14ac:dyDescent="0.2"/>
    <row r="4" spans="1:26" ht="52.5" customHeight="1" x14ac:dyDescent="0.2">
      <c r="A4" s="1578" t="s">
        <v>1054</v>
      </c>
      <c r="B4" s="1578"/>
      <c r="C4" s="1578"/>
    </row>
    <row r="5" spans="1:26" ht="12.75" customHeight="1" x14ac:dyDescent="0.2">
      <c r="A5" s="1579" t="s">
        <v>1055</v>
      </c>
      <c r="B5" s="1579"/>
      <c r="C5" s="1579"/>
      <c r="D5" s="1193" t="s">
        <v>1</v>
      </c>
      <c r="E5" s="1324" t="s">
        <v>1</v>
      </c>
      <c r="F5" s="1324" t="s">
        <v>1</v>
      </c>
      <c r="G5" s="1324" t="s">
        <v>1</v>
      </c>
      <c r="H5" s="1324" t="s">
        <v>1</v>
      </c>
      <c r="I5" s="1324" t="s">
        <v>1</v>
      </c>
      <c r="J5" s="1324" t="s">
        <v>1</v>
      </c>
      <c r="K5" s="1324" t="s">
        <v>1</v>
      </c>
      <c r="L5" s="1324" t="s">
        <v>1</v>
      </c>
      <c r="M5" s="1324" t="s">
        <v>1</v>
      </c>
      <c r="N5" s="1324" t="s">
        <v>1</v>
      </c>
      <c r="O5" s="1324" t="s">
        <v>1</v>
      </c>
      <c r="P5" s="1324"/>
      <c r="Q5" s="1324" t="s">
        <v>1</v>
      </c>
      <c r="R5" s="1324" t="s">
        <v>1</v>
      </c>
      <c r="S5" s="1324" t="s">
        <v>1</v>
      </c>
      <c r="T5" s="1324" t="s">
        <v>1</v>
      </c>
      <c r="U5" s="1324" t="s">
        <v>1</v>
      </c>
      <c r="V5" s="1324"/>
      <c r="W5" s="1324" t="s">
        <v>1</v>
      </c>
      <c r="X5" s="1324" t="s">
        <v>1</v>
      </c>
    </row>
    <row r="6" spans="1:26" ht="27.75" customHeight="1" x14ac:dyDescent="0.2">
      <c r="A6" s="1580" t="s">
        <v>1056</v>
      </c>
      <c r="B6" s="1580"/>
      <c r="C6" s="1580"/>
      <c r="D6" s="1194">
        <f>DATEVER</f>
        <v>41760</v>
      </c>
      <c r="E6" s="1194">
        <v>40724</v>
      </c>
      <c r="F6" s="1194">
        <v>40724</v>
      </c>
      <c r="G6" s="1194">
        <v>40724</v>
      </c>
      <c r="H6" s="1194">
        <v>40724</v>
      </c>
      <c r="I6" s="1194">
        <v>40724</v>
      </c>
      <c r="J6" s="1194">
        <v>40724</v>
      </c>
      <c r="K6" s="1194">
        <v>40724</v>
      </c>
      <c r="L6" s="1194">
        <v>40724</v>
      </c>
      <c r="M6" s="1194">
        <v>40724</v>
      </c>
      <c r="N6" s="1194">
        <v>40724</v>
      </c>
      <c r="O6" s="1194">
        <v>40724</v>
      </c>
      <c r="P6" s="1194"/>
      <c r="Q6" s="1194">
        <v>40724</v>
      </c>
      <c r="R6" s="1194">
        <v>40724</v>
      </c>
      <c r="S6" s="1194">
        <v>40724</v>
      </c>
      <c r="T6" s="1194">
        <v>40724</v>
      </c>
      <c r="U6" s="1194">
        <v>40724</v>
      </c>
      <c r="V6" s="1194"/>
      <c r="W6" s="1194">
        <v>40918</v>
      </c>
      <c r="X6" s="1194">
        <v>40918</v>
      </c>
    </row>
    <row r="7" spans="1:26" x14ac:dyDescent="0.2">
      <c r="A7" s="1325"/>
      <c r="B7" s="1326"/>
    </row>
    <row r="8" spans="1:26" s="1330" customFormat="1" ht="15" x14ac:dyDescent="0.2">
      <c r="A8" s="1327" t="s">
        <v>1057</v>
      </c>
      <c r="B8" s="1328" t="s">
        <v>1058</v>
      </c>
      <c r="C8" s="1328" t="s">
        <v>107</v>
      </c>
      <c r="D8" s="1329"/>
    </row>
    <row r="9" spans="1:26" x14ac:dyDescent="0.2">
      <c r="A9" s="1331" t="s">
        <v>1059</v>
      </c>
      <c r="B9" s="1332" t="s">
        <v>1060</v>
      </c>
      <c r="C9" s="1333"/>
      <c r="D9" s="1334" t="str">
        <f>D15</f>
        <v>EARL BEL EPI</v>
      </c>
      <c r="E9" s="1335" t="s">
        <v>1061</v>
      </c>
      <c r="F9" s="1335" t="s">
        <v>1062</v>
      </c>
      <c r="G9" s="1335" t="s">
        <v>1063</v>
      </c>
      <c r="H9" s="1335" t="s">
        <v>1064</v>
      </c>
      <c r="I9" s="1335" t="s">
        <v>1065</v>
      </c>
      <c r="J9" s="1335" t="s">
        <v>1066</v>
      </c>
      <c r="K9" s="1335" t="s">
        <v>1067</v>
      </c>
      <c r="L9" s="1335" t="s">
        <v>1068</v>
      </c>
      <c r="M9" s="1335" t="s">
        <v>1069</v>
      </c>
      <c r="N9" s="1335" t="s">
        <v>1070</v>
      </c>
      <c r="O9" s="1335" t="s">
        <v>1071</v>
      </c>
      <c r="P9" s="1335"/>
      <c r="Q9" s="1335" t="s">
        <v>1072</v>
      </c>
      <c r="R9" s="1335" t="s">
        <v>1073</v>
      </c>
      <c r="S9" s="1335" t="s">
        <v>1074</v>
      </c>
      <c r="T9" s="1335" t="s">
        <v>1075</v>
      </c>
      <c r="U9" s="1335" t="s">
        <v>1076</v>
      </c>
      <c r="V9" s="1335"/>
      <c r="W9" s="1335" t="s">
        <v>1077</v>
      </c>
      <c r="X9" s="1335" t="s">
        <v>1078</v>
      </c>
      <c r="Y9" s="1335"/>
      <c r="Z9" s="1335"/>
    </row>
    <row r="10" spans="1:26" s="873" customFormat="1" x14ac:dyDescent="0.2">
      <c r="A10" s="1336" t="s">
        <v>1079</v>
      </c>
      <c r="B10" s="801" t="s">
        <v>1080</v>
      </c>
      <c r="C10" s="1337"/>
      <c r="D10" s="1338"/>
      <c r="E10" s="1339"/>
      <c r="F10" s="1339"/>
      <c r="G10" s="1339"/>
      <c r="H10" s="1339"/>
      <c r="I10" s="1339"/>
      <c r="J10" s="1339"/>
      <c r="K10" s="1339"/>
      <c r="L10" s="1339"/>
      <c r="M10" s="1339"/>
      <c r="N10" s="1339"/>
      <c r="O10" s="1339"/>
      <c r="P10" s="1339"/>
      <c r="Q10" s="1339"/>
      <c r="R10" s="1339"/>
      <c r="S10" s="1339"/>
      <c r="T10" s="1339"/>
      <c r="U10" s="1339"/>
      <c r="V10" s="1339"/>
      <c r="W10" s="1339"/>
      <c r="X10" s="1339"/>
      <c r="Y10" s="1339"/>
      <c r="Z10" s="1339"/>
    </row>
    <row r="11" spans="1:26" s="1343" customFormat="1" ht="15" x14ac:dyDescent="0.2">
      <c r="A11" s="1340" t="s">
        <v>1081</v>
      </c>
      <c r="B11" s="1340"/>
      <c r="C11" s="1341"/>
      <c r="D11" s="1342"/>
    </row>
    <row r="12" spans="1:26" s="873" customFormat="1" x14ac:dyDescent="0.2">
      <c r="A12" s="1331" t="s">
        <v>1082</v>
      </c>
      <c r="B12" s="1332" t="s">
        <v>1083</v>
      </c>
      <c r="C12" s="1333"/>
      <c r="D12" s="1344" t="str">
        <f>IF(BLsys&lt;&gt;"",BLsys,"")</f>
        <v>BL plaine</v>
      </c>
      <c r="E12" s="873" t="s">
        <v>1021</v>
      </c>
      <c r="F12" s="873" t="s">
        <v>1021</v>
      </c>
      <c r="G12" s="873" t="s">
        <v>1021</v>
      </c>
      <c r="H12" s="873" t="s">
        <v>1021</v>
      </c>
      <c r="I12" s="873" t="s">
        <v>1021</v>
      </c>
      <c r="J12" s="873" t="s">
        <v>1021</v>
      </c>
      <c r="K12" s="873" t="s">
        <v>1021</v>
      </c>
      <c r="L12" s="873" t="s">
        <v>1021</v>
      </c>
      <c r="M12" s="873" t="s">
        <v>1021</v>
      </c>
      <c r="N12" s="873" t="s">
        <v>1021</v>
      </c>
      <c r="O12" s="873" t="s">
        <v>1021</v>
      </c>
      <c r="Q12" s="873" t="s">
        <v>1021</v>
      </c>
      <c r="R12" s="873" t="s">
        <v>1021</v>
      </c>
      <c r="S12" s="873" t="s">
        <v>1021</v>
      </c>
      <c r="T12" s="873" t="s">
        <v>1021</v>
      </c>
      <c r="U12" s="873" t="s">
        <v>1021</v>
      </c>
      <c r="W12" s="873" t="s">
        <v>324</v>
      </c>
      <c r="X12" s="873" t="s">
        <v>324</v>
      </c>
    </row>
    <row r="13" spans="1:26" s="873" customFormat="1" ht="25.5" x14ac:dyDescent="0.2">
      <c r="A13" s="1345" t="s">
        <v>1084</v>
      </c>
      <c r="B13" s="1332" t="s">
        <v>326</v>
      </c>
      <c r="C13" s="1346"/>
      <c r="D13" s="1347" t="str">
        <f>IF(AHsys&lt;&gt;"",AHsys,"")</f>
        <v/>
      </c>
      <c r="E13" s="873" t="s">
        <v>1025</v>
      </c>
      <c r="F13" s="873" t="s">
        <v>1025</v>
      </c>
      <c r="G13" s="873" t="s">
        <v>1025</v>
      </c>
      <c r="H13" s="873" t="s">
        <v>1025</v>
      </c>
      <c r="I13" s="873" t="s">
        <v>1025</v>
      </c>
      <c r="J13" s="873" t="s">
        <v>1025</v>
      </c>
      <c r="K13" s="873" t="s">
        <v>1025</v>
      </c>
      <c r="L13" s="873" t="s">
        <v>1025</v>
      </c>
      <c r="M13" s="873" t="s">
        <v>1025</v>
      </c>
      <c r="N13" s="873" t="s">
        <v>1025</v>
      </c>
      <c r="O13" s="873" t="s">
        <v>1025</v>
      </c>
      <c r="Q13" s="873" t="s">
        <v>1025</v>
      </c>
      <c r="R13" s="873" t="s">
        <v>1025</v>
      </c>
      <c r="S13" s="873" t="s">
        <v>1025</v>
      </c>
      <c r="T13" s="873" t="s">
        <v>1025</v>
      </c>
      <c r="U13" s="873" t="s">
        <v>1025</v>
      </c>
    </row>
    <row r="14" spans="1:26" s="873" customFormat="1" x14ac:dyDescent="0.2">
      <c r="A14" s="1345" t="s">
        <v>1085</v>
      </c>
      <c r="B14" s="1332" t="s">
        <v>1086</v>
      </c>
      <c r="C14" s="1346"/>
      <c r="D14" s="1347" t="str">
        <f>IF(GCUsys&lt;&gt;"",GCUsys,"")</f>
        <v>Plaine</v>
      </c>
      <c r="E14" s="873" t="s">
        <v>929</v>
      </c>
      <c r="F14" s="873" t="s">
        <v>929</v>
      </c>
      <c r="G14" s="873" t="s">
        <v>929</v>
      </c>
      <c r="H14" s="873" t="s">
        <v>929</v>
      </c>
      <c r="I14" s="873" t="s">
        <v>929</v>
      </c>
      <c r="J14" s="873" t="s">
        <v>929</v>
      </c>
      <c r="K14" s="873" t="s">
        <v>929</v>
      </c>
      <c r="L14" s="873" t="s">
        <v>929</v>
      </c>
      <c r="M14" s="873" t="s">
        <v>929</v>
      </c>
      <c r="N14" s="873" t="s">
        <v>929</v>
      </c>
      <c r="O14" s="873" t="s">
        <v>929</v>
      </c>
      <c r="Q14" s="873" t="s">
        <v>929</v>
      </c>
      <c r="R14" s="873" t="s">
        <v>929</v>
      </c>
      <c r="S14" s="873" t="s">
        <v>929</v>
      </c>
      <c r="T14" s="873" t="s">
        <v>929</v>
      </c>
      <c r="U14" s="873" t="s">
        <v>929</v>
      </c>
      <c r="W14" s="873" t="s">
        <v>331</v>
      </c>
      <c r="X14" s="873" t="s">
        <v>331</v>
      </c>
    </row>
    <row r="15" spans="1:26" s="1352" customFormat="1" ht="15" customHeight="1" x14ac:dyDescent="0.2">
      <c r="A15" s="1348" t="s">
        <v>334</v>
      </c>
      <c r="B15" s="1349" t="s">
        <v>109</v>
      </c>
      <c r="C15" s="1350"/>
      <c r="D15" s="1351" t="str">
        <f>IF(Saisie!C13="","",Saisie!C13)</f>
        <v>EARL BEL EPI</v>
      </c>
      <c r="E15" s="1352" t="s">
        <v>1087</v>
      </c>
      <c r="F15" s="1352" t="s">
        <v>1062</v>
      </c>
      <c r="G15" s="1352" t="s">
        <v>1063</v>
      </c>
      <c r="H15" s="1352" t="s">
        <v>1064</v>
      </c>
      <c r="I15" s="1352" t="s">
        <v>1065</v>
      </c>
      <c r="J15" s="1352" t="s">
        <v>1066</v>
      </c>
      <c r="K15" s="1352" t="s">
        <v>1067</v>
      </c>
      <c r="L15" s="1352" t="s">
        <v>1068</v>
      </c>
      <c r="M15" s="1352" t="s">
        <v>1069</v>
      </c>
      <c r="N15" s="1352" t="s">
        <v>1070</v>
      </c>
      <c r="O15" s="1352" t="s">
        <v>1071</v>
      </c>
      <c r="Q15" s="1352" t="s">
        <v>1072</v>
      </c>
      <c r="R15" s="1352" t="s">
        <v>1073</v>
      </c>
      <c r="S15" s="1352" t="s">
        <v>1074</v>
      </c>
      <c r="T15" s="1352" t="s">
        <v>1075</v>
      </c>
      <c r="U15" s="1352" t="s">
        <v>1076</v>
      </c>
      <c r="W15" s="1352" t="s">
        <v>1077</v>
      </c>
      <c r="X15" s="1352" t="s">
        <v>1078</v>
      </c>
    </row>
    <row r="16" spans="1:26" s="1354" customFormat="1" x14ac:dyDescent="0.2">
      <c r="A16" s="1348" t="s">
        <v>1088</v>
      </c>
      <c r="B16" s="1349" t="s">
        <v>112</v>
      </c>
      <c r="C16" s="1350"/>
      <c r="D16" s="1353" t="str">
        <f>IF(Saisie!C14="","",Saisie!C14)</f>
        <v/>
      </c>
      <c r="E16" s="1354">
        <v>0</v>
      </c>
      <c r="F16" s="1354">
        <v>0</v>
      </c>
      <c r="G16" s="1354">
        <v>0</v>
      </c>
      <c r="H16" s="1354">
        <v>0</v>
      </c>
      <c r="I16" s="1354">
        <v>0</v>
      </c>
      <c r="K16" s="1354">
        <v>0</v>
      </c>
      <c r="L16" s="1354">
        <v>0</v>
      </c>
      <c r="M16" s="1354">
        <v>0</v>
      </c>
      <c r="N16" s="1354">
        <v>0</v>
      </c>
      <c r="O16" s="1354">
        <v>0</v>
      </c>
      <c r="Q16" s="1354">
        <v>0</v>
      </c>
      <c r="R16" s="1354">
        <v>0</v>
      </c>
      <c r="S16" s="1354">
        <v>0</v>
      </c>
      <c r="T16" s="1354">
        <v>0</v>
      </c>
      <c r="U16" s="1354">
        <v>0</v>
      </c>
    </row>
    <row r="17" spans="1:24" s="1354" customFormat="1" x14ac:dyDescent="0.2">
      <c r="A17" s="1348" t="s">
        <v>336</v>
      </c>
      <c r="B17" s="1349" t="s">
        <v>113</v>
      </c>
      <c r="C17" s="1350" t="s">
        <v>337</v>
      </c>
      <c r="D17" s="1355">
        <f>IF(Saisie!C15="","",Saisie!C15)</f>
        <v>2013</v>
      </c>
      <c r="E17" s="1354">
        <v>2010</v>
      </c>
      <c r="F17" s="1354">
        <v>2010</v>
      </c>
      <c r="G17" s="1354">
        <v>2010</v>
      </c>
      <c r="H17" s="1354">
        <v>2010</v>
      </c>
      <c r="I17" s="1354">
        <v>2010</v>
      </c>
      <c r="J17" s="1354">
        <v>2010</v>
      </c>
      <c r="K17" s="1354">
        <v>2010</v>
      </c>
      <c r="L17" s="1354">
        <v>2010</v>
      </c>
      <c r="M17" s="1354">
        <v>2010</v>
      </c>
      <c r="N17" s="1354">
        <v>2010</v>
      </c>
      <c r="O17" s="1354">
        <v>2010</v>
      </c>
      <c r="Q17" s="1354">
        <v>2010</v>
      </c>
      <c r="R17" s="1354">
        <v>2010</v>
      </c>
      <c r="S17" s="1354">
        <v>2010</v>
      </c>
      <c r="T17" s="1354">
        <v>2010</v>
      </c>
      <c r="U17" s="1354">
        <v>2010</v>
      </c>
      <c r="W17" s="1354">
        <v>2010</v>
      </c>
      <c r="X17" s="1354">
        <v>2010</v>
      </c>
    </row>
    <row r="18" spans="1:24" s="1354" customFormat="1" x14ac:dyDescent="0.2">
      <c r="A18" s="1348"/>
      <c r="B18" s="1349" t="s">
        <v>339</v>
      </c>
      <c r="C18" s="1350" t="s">
        <v>470</v>
      </c>
      <c r="D18" s="1356">
        <f>IF(Saisie!C16="","",Saisie!C16)</f>
        <v>41639</v>
      </c>
    </row>
    <row r="19" spans="1:24" s="1361" customFormat="1" x14ac:dyDescent="0.2">
      <c r="A19" s="1357" t="s">
        <v>1089</v>
      </c>
      <c r="B19" s="1358" t="s">
        <v>640</v>
      </c>
      <c r="C19" s="1359" t="s">
        <v>119</v>
      </c>
      <c r="D19" s="1360">
        <f>IF(Saisie!C17="","",Saisie!C17)</f>
        <v>735.22799999999995</v>
      </c>
      <c r="E19" s="1361">
        <v>300</v>
      </c>
      <c r="F19" s="1361">
        <v>167.285</v>
      </c>
      <c r="G19" s="1361">
        <v>300</v>
      </c>
      <c r="H19" s="1361">
        <v>125.62</v>
      </c>
      <c r="I19" s="1361">
        <v>200</v>
      </c>
      <c r="J19" s="1361">
        <v>150</v>
      </c>
      <c r="K19" s="1361">
        <v>165</v>
      </c>
      <c r="L19" s="1361">
        <v>256.43400000000003</v>
      </c>
      <c r="M19" s="1361">
        <v>256</v>
      </c>
      <c r="N19" s="1361">
        <v>420.30599999999998</v>
      </c>
      <c r="O19" s="1361">
        <v>300</v>
      </c>
      <c r="Q19" s="1361">
        <v>280</v>
      </c>
      <c r="R19" s="1361">
        <v>137</v>
      </c>
      <c r="S19" s="1361">
        <v>137</v>
      </c>
      <c r="T19" s="1361">
        <v>196</v>
      </c>
      <c r="U19" s="1361">
        <v>196</v>
      </c>
      <c r="W19" s="1361">
        <v>252.46600000000001</v>
      </c>
      <c r="X19" s="1361">
        <v>100</v>
      </c>
    </row>
    <row r="20" spans="1:24" s="1361" customFormat="1" x14ac:dyDescent="0.2">
      <c r="A20" s="1357" t="s">
        <v>340</v>
      </c>
      <c r="B20" s="1358" t="s">
        <v>121</v>
      </c>
      <c r="C20" s="1359" t="s">
        <v>122</v>
      </c>
      <c r="D20" s="1360">
        <f>IF(Saisie!C18="","",Saisie!C18)</f>
        <v>358.92</v>
      </c>
      <c r="E20" s="1361">
        <v>317.90390959637</v>
      </c>
      <c r="F20" s="1361">
        <v>319.94939109627398</v>
      </c>
      <c r="G20" s="1361">
        <v>315.051447757625</v>
      </c>
      <c r="H20" s="1361">
        <v>321.34809449732597</v>
      </c>
      <c r="I20" s="1361">
        <v>315.03994127459299</v>
      </c>
      <c r="J20" s="1361">
        <v>320.33592903893299</v>
      </c>
      <c r="K20" s="1361">
        <v>317.74621236783503</v>
      </c>
      <c r="L20" s="1361">
        <v>316.421108129348</v>
      </c>
      <c r="M20" s="1361">
        <v>316.55501729873799</v>
      </c>
      <c r="N20" s="1361">
        <v>322.54499257668499</v>
      </c>
      <c r="O20" s="1361">
        <v>320.52926331362403</v>
      </c>
      <c r="Q20" s="1361">
        <v>407.52105590449702</v>
      </c>
      <c r="R20" s="1361">
        <v>407.67603465798499</v>
      </c>
      <c r="S20" s="1361">
        <v>407.67603465798499</v>
      </c>
      <c r="T20" s="1361">
        <v>417.71741407821401</v>
      </c>
      <c r="U20" s="1361">
        <v>416.31680932890401</v>
      </c>
      <c r="W20" s="1361">
        <v>329.55</v>
      </c>
      <c r="X20" s="1361">
        <v>330.75302233908201</v>
      </c>
    </row>
    <row r="21" spans="1:24" s="1361" customFormat="1" x14ac:dyDescent="0.2">
      <c r="A21" s="1357"/>
      <c r="B21" s="1358"/>
      <c r="C21" s="1359"/>
      <c r="D21" s="1360"/>
    </row>
    <row r="22" spans="1:24" s="1361" customFormat="1" x14ac:dyDescent="0.2">
      <c r="A22" s="1357" t="s">
        <v>341</v>
      </c>
      <c r="B22" s="1358" t="s">
        <v>125</v>
      </c>
      <c r="C22" s="1359" t="s">
        <v>1090</v>
      </c>
      <c r="D22" s="1360">
        <f>IF(Saisie!C20="","",Saisie!C20)</f>
        <v>2.5</v>
      </c>
      <c r="E22" s="1361">
        <v>2</v>
      </c>
      <c r="F22" s="1361">
        <v>1.5</v>
      </c>
      <c r="G22" s="1361">
        <v>2</v>
      </c>
      <c r="H22" s="1361">
        <v>1.5</v>
      </c>
      <c r="I22" s="1361">
        <v>2.5</v>
      </c>
      <c r="J22" s="1361">
        <v>1</v>
      </c>
      <c r="K22" s="1361">
        <v>1.3</v>
      </c>
      <c r="L22" s="1361">
        <v>1.8</v>
      </c>
      <c r="M22" s="1361">
        <v>1.7000000000000002</v>
      </c>
      <c r="N22" s="1361">
        <v>2.5</v>
      </c>
      <c r="O22" s="1361">
        <v>2</v>
      </c>
      <c r="Q22" s="1361">
        <v>2</v>
      </c>
      <c r="R22" s="1361">
        <v>1.3</v>
      </c>
      <c r="S22" s="1361">
        <v>1.3</v>
      </c>
      <c r="T22" s="1361">
        <v>1.5</v>
      </c>
      <c r="U22" s="1361">
        <v>1.5</v>
      </c>
      <c r="W22" s="1361">
        <v>1</v>
      </c>
      <c r="X22" s="1361">
        <v>2</v>
      </c>
    </row>
    <row r="23" spans="1:24" s="1361" customFormat="1" x14ac:dyDescent="0.2">
      <c r="A23" s="1357" t="s">
        <v>342</v>
      </c>
      <c r="B23" s="1358" t="s">
        <v>127</v>
      </c>
      <c r="C23" s="1359" t="s">
        <v>1090</v>
      </c>
      <c r="D23" s="1360">
        <f>IF(Saisie!C21="","",Saisie!C21)</f>
        <v>0.5</v>
      </c>
      <c r="E23" s="1361">
        <v>0</v>
      </c>
      <c r="F23" s="1361">
        <v>0</v>
      </c>
      <c r="G23" s="1361">
        <v>0</v>
      </c>
      <c r="H23" s="1361">
        <v>0</v>
      </c>
      <c r="I23" s="1361">
        <v>0</v>
      </c>
      <c r="J23" s="1361">
        <v>0</v>
      </c>
      <c r="K23" s="1361">
        <v>0</v>
      </c>
      <c r="L23" s="1361">
        <v>0</v>
      </c>
      <c r="M23" s="1361">
        <v>0</v>
      </c>
      <c r="N23" s="1361">
        <v>0</v>
      </c>
      <c r="O23" s="1361">
        <v>0</v>
      </c>
      <c r="Q23" s="1361">
        <v>0</v>
      </c>
      <c r="R23" s="1361">
        <v>0</v>
      </c>
      <c r="S23" s="1361">
        <v>0</v>
      </c>
      <c r="T23" s="1361">
        <v>0</v>
      </c>
      <c r="U23" s="1361">
        <v>0</v>
      </c>
      <c r="W23" s="1361">
        <v>0</v>
      </c>
      <c r="X23" s="1361">
        <v>1</v>
      </c>
    </row>
    <row r="24" spans="1:24" s="1361" customFormat="1" x14ac:dyDescent="0.2">
      <c r="A24" s="1357" t="s">
        <v>343</v>
      </c>
      <c r="B24" s="1358" t="s">
        <v>128</v>
      </c>
      <c r="C24" s="1359" t="s">
        <v>129</v>
      </c>
      <c r="D24" s="1360">
        <f>IF(Saisie!C22="","",Saisie!C22)</f>
        <v>110.8</v>
      </c>
      <c r="E24" s="1361">
        <v>70.933333333333294</v>
      </c>
      <c r="F24" s="1361">
        <v>50.183333333333302</v>
      </c>
      <c r="G24" s="1361">
        <v>82.1</v>
      </c>
      <c r="H24" s="1361">
        <v>31.816666666666698</v>
      </c>
      <c r="I24" s="1361">
        <v>46.4166666666667</v>
      </c>
      <c r="J24" s="1361">
        <v>46.266666666666701</v>
      </c>
      <c r="K24" s="1361">
        <v>43.616666666666703</v>
      </c>
      <c r="L24" s="1361">
        <v>51.4</v>
      </c>
      <c r="M24" s="1361">
        <v>53.75</v>
      </c>
      <c r="N24" s="1361">
        <v>85.933333333333294</v>
      </c>
      <c r="O24" s="1361">
        <v>58.3</v>
      </c>
      <c r="Q24" s="1361">
        <v>76.266666666666694</v>
      </c>
      <c r="R24" s="1361">
        <v>44.6</v>
      </c>
      <c r="S24" s="1361">
        <v>44.6</v>
      </c>
      <c r="T24" s="1361">
        <v>54.933333333333302</v>
      </c>
      <c r="U24" s="1361">
        <v>50.3</v>
      </c>
      <c r="W24" s="1361">
        <v>51.05</v>
      </c>
      <c r="X24" s="1361">
        <v>77.266666666666694</v>
      </c>
    </row>
    <row r="25" spans="1:24" s="1361" customFormat="1" x14ac:dyDescent="0.2">
      <c r="A25" s="1357" t="s">
        <v>1091</v>
      </c>
      <c r="B25" s="1358" t="s">
        <v>130</v>
      </c>
      <c r="C25" s="1359" t="s">
        <v>129</v>
      </c>
      <c r="D25" s="1360">
        <f>IF(Saisie!C23="",0,Saisie!C23)</f>
        <v>0</v>
      </c>
      <c r="E25" s="1361">
        <v>0</v>
      </c>
      <c r="F25" s="1361">
        <v>0</v>
      </c>
      <c r="G25" s="1361">
        <v>0</v>
      </c>
      <c r="H25" s="1361">
        <v>36.704999999999998</v>
      </c>
      <c r="I25" s="1361">
        <v>55.13</v>
      </c>
      <c r="J25" s="1361">
        <v>0</v>
      </c>
      <c r="K25" s="1361">
        <v>0</v>
      </c>
      <c r="L25" s="1361">
        <v>0</v>
      </c>
      <c r="M25" s="1361">
        <v>0</v>
      </c>
      <c r="N25" s="1361">
        <v>0</v>
      </c>
      <c r="O25" s="1361">
        <v>0</v>
      </c>
      <c r="Q25" s="1361">
        <v>0</v>
      </c>
      <c r="R25" s="1361">
        <v>0</v>
      </c>
      <c r="S25" s="1361">
        <v>0</v>
      </c>
      <c r="T25" s="1361">
        <v>0</v>
      </c>
      <c r="U25" s="1361">
        <v>0</v>
      </c>
      <c r="W25" s="1361">
        <v>0</v>
      </c>
      <c r="X25" s="1361">
        <v>0</v>
      </c>
    </row>
    <row r="26" spans="1:24" s="1361" customFormat="1" x14ac:dyDescent="0.2">
      <c r="A26" s="1357" t="s">
        <v>344</v>
      </c>
      <c r="B26" s="1358"/>
      <c r="C26" s="1359" t="s">
        <v>132</v>
      </c>
      <c r="D26" s="1360" t="str">
        <f>IF(Saisie!C24="","",Saisie!C24)</f>
        <v/>
      </c>
      <c r="E26" s="1361">
        <v>0</v>
      </c>
      <c r="F26" s="1361">
        <v>0</v>
      </c>
      <c r="G26" s="1361">
        <v>0</v>
      </c>
      <c r="H26" s="1361">
        <v>0</v>
      </c>
      <c r="I26" s="1361">
        <v>0</v>
      </c>
      <c r="K26" s="1361">
        <v>0</v>
      </c>
      <c r="L26" s="1361">
        <v>0</v>
      </c>
      <c r="M26" s="1361">
        <v>0</v>
      </c>
      <c r="N26" s="1361">
        <v>0</v>
      </c>
      <c r="O26" s="1361">
        <v>0</v>
      </c>
      <c r="Q26" s="1361">
        <v>0</v>
      </c>
      <c r="R26" s="1361">
        <v>0</v>
      </c>
      <c r="S26" s="1361">
        <v>0</v>
      </c>
      <c r="T26" s="1361">
        <v>0</v>
      </c>
      <c r="U26" s="1361">
        <v>0</v>
      </c>
    </row>
    <row r="27" spans="1:24" s="1361" customFormat="1" x14ac:dyDescent="0.2">
      <c r="A27" s="1357" t="s">
        <v>345</v>
      </c>
      <c r="B27" s="1358" t="s">
        <v>131</v>
      </c>
      <c r="C27" s="1359" t="s">
        <v>132</v>
      </c>
      <c r="D27" s="1360">
        <f>IF(Saisie!C25="","",Saisie!C25)</f>
        <v>145.5</v>
      </c>
      <c r="E27" s="1361">
        <v>71.95</v>
      </c>
      <c r="F27" s="1361">
        <v>49.99785</v>
      </c>
      <c r="G27" s="1361">
        <v>89.95</v>
      </c>
      <c r="H27" s="1361">
        <v>41.998420000000003</v>
      </c>
      <c r="I27" s="1361">
        <v>100</v>
      </c>
      <c r="J27" s="1361">
        <v>78.975200000000001</v>
      </c>
      <c r="K27" s="1361">
        <v>52.968000000000004</v>
      </c>
      <c r="L27" s="1361">
        <v>67.998000000000005</v>
      </c>
      <c r="M27" s="1361">
        <v>56</v>
      </c>
      <c r="N27" s="1361">
        <v>100</v>
      </c>
      <c r="O27" s="1361">
        <v>44.85</v>
      </c>
      <c r="Q27" s="1361">
        <v>95.045000000000002</v>
      </c>
      <c r="R27" s="1361">
        <v>60.1</v>
      </c>
      <c r="S27" s="1361">
        <v>67.099999999999994</v>
      </c>
      <c r="T27" s="1361">
        <v>66.8</v>
      </c>
      <c r="U27" s="1361">
        <v>55.405000000000001</v>
      </c>
      <c r="W27" s="1361">
        <v>58.7</v>
      </c>
      <c r="X27" s="1361">
        <v>64.999319999999997</v>
      </c>
    </row>
    <row r="28" spans="1:24" s="1361" customFormat="1" x14ac:dyDescent="0.2">
      <c r="A28" s="1357" t="s">
        <v>346</v>
      </c>
      <c r="B28" s="1358" t="s">
        <v>134</v>
      </c>
      <c r="C28" s="1359" t="s">
        <v>132</v>
      </c>
      <c r="D28" s="1360" t="str">
        <f>IF(Saisie!C26="","",Saisie!C26)</f>
        <v/>
      </c>
      <c r="E28" s="1361">
        <v>24</v>
      </c>
      <c r="F28" s="1361">
        <v>16.665949999999999</v>
      </c>
      <c r="G28" s="1361">
        <v>29.983333333333299</v>
      </c>
      <c r="H28" s="1361">
        <v>13.999473333333301</v>
      </c>
      <c r="I28" s="1361">
        <v>33.3333333333333</v>
      </c>
      <c r="J28" s="1361">
        <v>26.3</v>
      </c>
      <c r="K28" s="1361">
        <v>17.655999999999999</v>
      </c>
      <c r="L28" s="1361">
        <v>22.666</v>
      </c>
      <c r="M28" s="1361">
        <v>18.6666666666667</v>
      </c>
      <c r="N28" s="1361">
        <v>33.3333333333333</v>
      </c>
      <c r="O28" s="1361">
        <v>14.95</v>
      </c>
      <c r="Q28" s="1361">
        <v>31.6816666666667</v>
      </c>
      <c r="R28" s="1361">
        <v>20.033333333333299</v>
      </c>
      <c r="S28" s="1361">
        <v>22.366666666666699</v>
      </c>
      <c r="T28" s="1361">
        <v>22.266666666666701</v>
      </c>
      <c r="U28" s="1361">
        <v>18.468333333333302</v>
      </c>
      <c r="W28" s="1361">
        <v>0</v>
      </c>
    </row>
    <row r="29" spans="1:24" s="1361" customFormat="1" x14ac:dyDescent="0.2">
      <c r="A29" s="1357" t="s">
        <v>347</v>
      </c>
      <c r="B29" s="1358" t="s">
        <v>135</v>
      </c>
      <c r="C29" s="1359" t="s">
        <v>132</v>
      </c>
      <c r="D29" s="1360">
        <f>IF(Saisie!C27="","",Saisie!C27)</f>
        <v>25.5</v>
      </c>
      <c r="E29" s="1361">
        <v>72</v>
      </c>
      <c r="F29" s="1361">
        <v>48</v>
      </c>
      <c r="G29" s="1361">
        <v>90</v>
      </c>
      <c r="H29" s="1361">
        <v>42</v>
      </c>
      <c r="I29" s="1361">
        <v>95</v>
      </c>
      <c r="J29" s="1361">
        <v>74</v>
      </c>
      <c r="K29" s="1361">
        <v>45</v>
      </c>
      <c r="L29" s="1361">
        <v>60</v>
      </c>
      <c r="M29" s="1361">
        <v>41.9</v>
      </c>
      <c r="N29" s="1361">
        <v>72.400000000000006</v>
      </c>
      <c r="O29" s="1361">
        <v>31.9</v>
      </c>
      <c r="Q29" s="1361">
        <v>85.8</v>
      </c>
      <c r="R29" s="1361">
        <v>60.1</v>
      </c>
      <c r="S29" s="1361">
        <v>60.1</v>
      </c>
      <c r="T29" s="1361">
        <v>58.8</v>
      </c>
      <c r="U29" s="1361">
        <v>48.4</v>
      </c>
      <c r="W29" s="1361">
        <v>22.2</v>
      </c>
      <c r="X29" s="1361">
        <v>65</v>
      </c>
    </row>
    <row r="30" spans="1:24" s="1361" customFormat="1" x14ac:dyDescent="0.2">
      <c r="A30" s="1357" t="s">
        <v>348</v>
      </c>
      <c r="B30" s="1358" t="s">
        <v>136</v>
      </c>
      <c r="C30" s="1359" t="s">
        <v>132</v>
      </c>
      <c r="D30" s="1360">
        <f>IF(Saisie!C28="","",Saisie!C28)</f>
        <v>25.5</v>
      </c>
      <c r="E30" s="1361">
        <v>72</v>
      </c>
      <c r="F30" s="1361">
        <v>48</v>
      </c>
      <c r="G30" s="1361">
        <v>90</v>
      </c>
      <c r="H30" s="1361">
        <v>19.501860725318</v>
      </c>
      <c r="I30" s="1361">
        <v>43.424205619747902</v>
      </c>
      <c r="J30" s="1361">
        <v>74</v>
      </c>
      <c r="K30" s="1361">
        <v>45</v>
      </c>
      <c r="L30" s="1361">
        <v>60</v>
      </c>
      <c r="M30" s="1361">
        <v>41.9</v>
      </c>
      <c r="N30" s="1361">
        <v>72.400000000000006</v>
      </c>
      <c r="O30" s="1361">
        <v>31.9</v>
      </c>
      <c r="Q30" s="1361">
        <v>85.8</v>
      </c>
      <c r="R30" s="1361">
        <v>60.1</v>
      </c>
      <c r="S30" s="1361">
        <v>60.1</v>
      </c>
      <c r="T30" s="1361">
        <v>58.8</v>
      </c>
      <c r="U30" s="1361">
        <v>48.4</v>
      </c>
      <c r="W30" s="1361">
        <v>22.2</v>
      </c>
      <c r="X30" s="1361">
        <v>65</v>
      </c>
    </row>
    <row r="31" spans="1:24" s="1361" customFormat="1" x14ac:dyDescent="0.2">
      <c r="A31" s="1357" t="s">
        <v>349</v>
      </c>
      <c r="B31" s="1358" t="s">
        <v>138</v>
      </c>
      <c r="C31" s="1359" t="s">
        <v>132</v>
      </c>
      <c r="D31" s="1360" t="str">
        <f>IF(Saisie!C29="","",Saisie!C29)</f>
        <v/>
      </c>
      <c r="E31" s="1361">
        <v>0</v>
      </c>
      <c r="F31" s="1361">
        <v>0</v>
      </c>
      <c r="G31" s="1361">
        <v>0</v>
      </c>
      <c r="H31" s="1361">
        <v>22.498139274682</v>
      </c>
      <c r="I31" s="1361">
        <v>51.575794380252098</v>
      </c>
      <c r="J31" s="1361">
        <v>0</v>
      </c>
      <c r="K31" s="1361">
        <v>0</v>
      </c>
      <c r="L31" s="1361">
        <v>0</v>
      </c>
      <c r="M31" s="1361">
        <v>0</v>
      </c>
      <c r="N31" s="1361">
        <v>0</v>
      </c>
      <c r="O31" s="1361">
        <v>0</v>
      </c>
      <c r="Q31" s="1361">
        <v>0</v>
      </c>
      <c r="R31" s="1361">
        <v>0</v>
      </c>
      <c r="S31" s="1361">
        <v>0</v>
      </c>
      <c r="T31" s="1361">
        <v>0</v>
      </c>
      <c r="U31" s="1361">
        <v>0</v>
      </c>
      <c r="W31" s="1361">
        <v>0</v>
      </c>
      <c r="X31" s="1361">
        <v>0</v>
      </c>
    </row>
    <row r="32" spans="1:24" s="1361" customFormat="1" x14ac:dyDescent="0.2">
      <c r="A32" s="1357" t="s">
        <v>350</v>
      </c>
      <c r="B32" s="1358" t="s">
        <v>140</v>
      </c>
      <c r="C32" s="1359" t="s">
        <v>132</v>
      </c>
      <c r="D32" s="1360">
        <f>IF(Saisie!C30="","",Saisie!C30)</f>
        <v>34</v>
      </c>
      <c r="E32" s="1361">
        <v>0</v>
      </c>
      <c r="F32" s="1361">
        <v>0</v>
      </c>
      <c r="G32" s="1361">
        <v>0</v>
      </c>
      <c r="H32" s="1361">
        <v>0</v>
      </c>
      <c r="I32" s="1361">
        <v>0</v>
      </c>
      <c r="J32" s="1361">
        <v>0</v>
      </c>
      <c r="K32" s="1361">
        <v>0</v>
      </c>
      <c r="L32" s="1361">
        <v>0</v>
      </c>
      <c r="M32" s="1361">
        <v>7</v>
      </c>
      <c r="N32" s="1361">
        <v>12</v>
      </c>
      <c r="O32" s="1361">
        <v>7</v>
      </c>
      <c r="Q32" s="1361">
        <v>0</v>
      </c>
      <c r="R32" s="1361">
        <v>0</v>
      </c>
      <c r="S32" s="1361">
        <v>0</v>
      </c>
      <c r="T32" s="1361">
        <v>0</v>
      </c>
      <c r="U32" s="1361">
        <v>0</v>
      </c>
      <c r="W32" s="1361">
        <v>14.4</v>
      </c>
      <c r="X32" s="1361">
        <v>0</v>
      </c>
    </row>
    <row r="33" spans="1:24" s="1361" customFormat="1" x14ac:dyDescent="0.2">
      <c r="A33" s="1357" t="s">
        <v>351</v>
      </c>
      <c r="B33" s="1358" t="s">
        <v>141</v>
      </c>
      <c r="C33" s="1359" t="s">
        <v>132</v>
      </c>
      <c r="D33" s="1360">
        <f>IF(Saisie!C31="","",Saisie!C31)</f>
        <v>34</v>
      </c>
      <c r="E33" s="1361">
        <v>0</v>
      </c>
      <c r="F33" s="1361">
        <v>0</v>
      </c>
      <c r="G33" s="1361">
        <v>0</v>
      </c>
      <c r="H33" s="1361">
        <v>0</v>
      </c>
      <c r="I33" s="1361">
        <v>0</v>
      </c>
      <c r="J33" s="1361">
        <v>0</v>
      </c>
      <c r="K33" s="1361">
        <v>0</v>
      </c>
      <c r="L33" s="1361">
        <v>0</v>
      </c>
      <c r="M33" s="1361">
        <v>7</v>
      </c>
      <c r="N33" s="1361">
        <v>12</v>
      </c>
      <c r="O33" s="1361">
        <v>7</v>
      </c>
      <c r="Q33" s="1361">
        <v>0</v>
      </c>
      <c r="R33" s="1361">
        <v>0</v>
      </c>
      <c r="S33" s="1361">
        <v>0</v>
      </c>
      <c r="T33" s="1361">
        <v>0</v>
      </c>
      <c r="U33" s="1361">
        <v>0</v>
      </c>
      <c r="W33" s="1361">
        <v>14.4</v>
      </c>
      <c r="X33" s="1361">
        <v>0</v>
      </c>
    </row>
    <row r="34" spans="1:24" s="1361" customFormat="1" x14ac:dyDescent="0.2">
      <c r="A34" s="1357" t="s">
        <v>352</v>
      </c>
      <c r="B34" s="1358" t="s">
        <v>142</v>
      </c>
      <c r="C34" s="1359" t="s">
        <v>132</v>
      </c>
      <c r="D34" s="1360" t="str">
        <f>IF(Saisie!C32="","",Saisie!C32)</f>
        <v/>
      </c>
      <c r="E34" s="1361">
        <v>0</v>
      </c>
      <c r="F34" s="1361">
        <v>0</v>
      </c>
      <c r="G34" s="1361">
        <v>0</v>
      </c>
      <c r="H34" s="1361">
        <v>0</v>
      </c>
      <c r="I34" s="1361">
        <v>0</v>
      </c>
      <c r="J34" s="1361">
        <v>0</v>
      </c>
      <c r="K34" s="1361">
        <v>0</v>
      </c>
      <c r="L34" s="1361">
        <v>0</v>
      </c>
      <c r="M34" s="1361">
        <v>0</v>
      </c>
      <c r="N34" s="1361">
        <v>0</v>
      </c>
      <c r="O34" s="1361">
        <v>0</v>
      </c>
      <c r="Q34" s="1361">
        <v>0</v>
      </c>
      <c r="R34" s="1361">
        <v>0</v>
      </c>
      <c r="S34" s="1361">
        <v>0</v>
      </c>
      <c r="T34" s="1361">
        <v>0</v>
      </c>
      <c r="U34" s="1361">
        <v>0</v>
      </c>
      <c r="W34" s="1361">
        <v>0</v>
      </c>
      <c r="X34" s="1361">
        <v>0</v>
      </c>
    </row>
    <row r="35" spans="1:24" s="1361" customFormat="1" x14ac:dyDescent="0.2">
      <c r="A35" s="1357" t="s">
        <v>353</v>
      </c>
      <c r="B35" s="1358" t="s">
        <v>144</v>
      </c>
      <c r="C35" s="1359" t="s">
        <v>132</v>
      </c>
      <c r="D35" s="1360">
        <f>IF(Saisie!C33="","",Saisie!C33)</f>
        <v>86.3</v>
      </c>
      <c r="E35" s="1361">
        <v>0</v>
      </c>
      <c r="F35" s="1361">
        <v>2</v>
      </c>
      <c r="G35" s="1361">
        <v>0</v>
      </c>
      <c r="H35" s="1361">
        <v>0</v>
      </c>
      <c r="I35" s="1361">
        <v>5</v>
      </c>
      <c r="J35" s="1361">
        <v>5</v>
      </c>
      <c r="K35" s="1361">
        <v>8</v>
      </c>
      <c r="L35" s="1361">
        <v>8</v>
      </c>
      <c r="M35" s="1361">
        <v>7.08</v>
      </c>
      <c r="N35" s="1361">
        <v>15.6</v>
      </c>
      <c r="O35" s="1361">
        <v>6</v>
      </c>
      <c r="Q35" s="1361">
        <v>9.1999999999999993</v>
      </c>
      <c r="R35" s="1361">
        <v>0</v>
      </c>
      <c r="S35" s="1361">
        <v>7</v>
      </c>
      <c r="T35" s="1361">
        <v>8</v>
      </c>
      <c r="U35" s="1361">
        <v>7</v>
      </c>
      <c r="W35" s="1361">
        <v>22.1</v>
      </c>
      <c r="X35" s="1361">
        <v>0</v>
      </c>
    </row>
    <row r="36" spans="1:24" s="1361" customFormat="1" x14ac:dyDescent="0.2">
      <c r="A36" s="1357" t="s">
        <v>354</v>
      </c>
      <c r="B36" s="1358" t="s">
        <v>146</v>
      </c>
      <c r="C36" s="1359" t="s">
        <v>132</v>
      </c>
      <c r="D36" s="1360">
        <f>IF(Saisie!C34="","",Saisie!C34)</f>
        <v>0.7</v>
      </c>
      <c r="E36" s="1361">
        <v>0</v>
      </c>
      <c r="F36" s="1361">
        <v>2</v>
      </c>
      <c r="G36" s="1361">
        <v>0</v>
      </c>
      <c r="H36" s="1361">
        <v>0</v>
      </c>
      <c r="I36" s="1361">
        <v>4.3401694159607702</v>
      </c>
      <c r="J36" s="1361">
        <v>5</v>
      </c>
      <c r="K36" s="1361">
        <v>7.7241379310344804</v>
      </c>
      <c r="L36" s="1361">
        <v>7.98</v>
      </c>
      <c r="M36" s="1361">
        <v>7</v>
      </c>
      <c r="N36" s="1361">
        <v>15.44</v>
      </c>
      <c r="O36" s="1361">
        <v>6</v>
      </c>
      <c r="Q36" s="1361">
        <v>9.1999999999999993</v>
      </c>
      <c r="R36" s="1361">
        <v>0</v>
      </c>
      <c r="S36" s="1361">
        <v>7</v>
      </c>
      <c r="T36" s="1361">
        <v>7.5384615384615401</v>
      </c>
      <c r="U36" s="1361">
        <v>7</v>
      </c>
      <c r="W36" s="1361">
        <v>8</v>
      </c>
      <c r="X36" s="1361">
        <v>0</v>
      </c>
    </row>
    <row r="37" spans="1:24" s="1361" customFormat="1" x14ac:dyDescent="0.2">
      <c r="A37" s="1357">
        <v>0</v>
      </c>
      <c r="B37" s="1358" t="s">
        <v>147</v>
      </c>
      <c r="C37" s="1359" t="s">
        <v>132</v>
      </c>
      <c r="D37" s="1360">
        <f>IF(Saisie!C35="",0,Saisie!C35)</f>
        <v>0</v>
      </c>
      <c r="E37" s="1361">
        <v>0</v>
      </c>
      <c r="F37" s="1361">
        <v>0</v>
      </c>
      <c r="G37" s="1361">
        <v>0</v>
      </c>
      <c r="H37" s="1361">
        <v>0</v>
      </c>
      <c r="I37" s="1361">
        <v>0</v>
      </c>
      <c r="J37" s="1361">
        <v>0</v>
      </c>
      <c r="K37" s="1361">
        <v>0</v>
      </c>
      <c r="L37" s="1361">
        <v>0</v>
      </c>
      <c r="M37" s="1361">
        <v>0</v>
      </c>
      <c r="N37" s="1361">
        <v>0</v>
      </c>
      <c r="O37" s="1361">
        <v>0</v>
      </c>
      <c r="Q37" s="1361">
        <v>0</v>
      </c>
      <c r="R37" s="1361">
        <v>0</v>
      </c>
      <c r="S37" s="1361">
        <v>0</v>
      </c>
      <c r="T37" s="1361">
        <v>0</v>
      </c>
      <c r="U37" s="1361">
        <v>0</v>
      </c>
      <c r="W37" s="1361">
        <v>0</v>
      </c>
      <c r="X37" s="1361">
        <v>0</v>
      </c>
    </row>
    <row r="38" spans="1:24" s="1361" customFormat="1" x14ac:dyDescent="0.2">
      <c r="A38" s="1357" t="s">
        <v>355</v>
      </c>
      <c r="B38" s="1358" t="s">
        <v>148</v>
      </c>
      <c r="C38" s="1359" t="s">
        <v>149</v>
      </c>
      <c r="D38" s="1360">
        <f>IF(Saisie!C36="","",Saisie!C36)</f>
        <v>33000</v>
      </c>
      <c r="E38" s="1361">
        <v>12399.5</v>
      </c>
      <c r="F38" s="1361">
        <v>8360</v>
      </c>
      <c r="G38" s="1361">
        <v>20475.25</v>
      </c>
      <c r="H38" s="1361">
        <v>5880</v>
      </c>
      <c r="I38" s="1361">
        <v>11246</v>
      </c>
      <c r="J38" s="1361">
        <v>11904</v>
      </c>
      <c r="K38" s="1361">
        <v>11071.5</v>
      </c>
      <c r="L38" s="1361">
        <v>10380</v>
      </c>
      <c r="M38" s="1361">
        <v>10581.5</v>
      </c>
      <c r="N38" s="1361">
        <v>21507.5</v>
      </c>
      <c r="O38" s="1361">
        <v>11754.5</v>
      </c>
      <c r="Q38" s="1361">
        <v>19445</v>
      </c>
      <c r="R38" s="1361">
        <v>11690</v>
      </c>
      <c r="S38" s="1361">
        <v>11690</v>
      </c>
      <c r="T38" s="1361">
        <v>13675</v>
      </c>
      <c r="U38" s="1361">
        <v>13305</v>
      </c>
      <c r="W38" s="1361">
        <v>10235</v>
      </c>
      <c r="X38" s="1361">
        <v>16700.25</v>
      </c>
    </row>
    <row r="39" spans="1:24" s="1361" customFormat="1" x14ac:dyDescent="0.2">
      <c r="A39" s="1357" t="s">
        <v>356</v>
      </c>
      <c r="B39" s="1358" t="s">
        <v>152</v>
      </c>
      <c r="C39" s="1359" t="s">
        <v>149</v>
      </c>
      <c r="D39" s="1360">
        <f>IF(Saisie!C37="","",Saisie!C37)</f>
        <v>0</v>
      </c>
      <c r="E39" s="1361">
        <v>0</v>
      </c>
      <c r="F39" s="1361">
        <v>0</v>
      </c>
      <c r="G39" s="1361">
        <v>0</v>
      </c>
      <c r="H39" s="1361">
        <v>22605</v>
      </c>
      <c r="I39" s="1361">
        <v>37348.5</v>
      </c>
      <c r="J39" s="1361">
        <v>0</v>
      </c>
      <c r="K39" s="1361">
        <v>0</v>
      </c>
      <c r="L39" s="1361">
        <v>0</v>
      </c>
      <c r="M39" s="1361">
        <v>0</v>
      </c>
      <c r="N39" s="1361">
        <v>0</v>
      </c>
      <c r="O39" s="1361">
        <v>0</v>
      </c>
      <c r="Q39" s="1361">
        <v>0</v>
      </c>
      <c r="R39" s="1361">
        <v>0</v>
      </c>
      <c r="S39" s="1361">
        <v>0</v>
      </c>
      <c r="T39" s="1361">
        <v>0</v>
      </c>
      <c r="U39" s="1361">
        <v>0</v>
      </c>
      <c r="W39" s="1361">
        <v>0</v>
      </c>
      <c r="X39" s="1361">
        <v>0</v>
      </c>
    </row>
    <row r="40" spans="1:24" s="1361" customFormat="1" x14ac:dyDescent="0.2">
      <c r="A40" s="1357" t="s">
        <v>358</v>
      </c>
      <c r="B40" s="1358" t="s">
        <v>155</v>
      </c>
      <c r="C40" s="1359" t="s">
        <v>149</v>
      </c>
      <c r="D40" s="1360">
        <f>IF(Saisie!C38="","",Saisie!C38)</f>
        <v>7689</v>
      </c>
      <c r="E40" s="1361">
        <v>0</v>
      </c>
      <c r="F40" s="1361">
        <v>0</v>
      </c>
      <c r="G40" s="1361">
        <v>0</v>
      </c>
      <c r="H40" s="1361">
        <v>0</v>
      </c>
      <c r="I40" s="1361">
        <v>0</v>
      </c>
      <c r="K40" s="1361">
        <v>0</v>
      </c>
      <c r="L40" s="1361">
        <v>0</v>
      </c>
      <c r="M40" s="1361">
        <v>0</v>
      </c>
      <c r="N40" s="1361">
        <v>0</v>
      </c>
      <c r="O40" s="1361">
        <v>0</v>
      </c>
      <c r="Q40" s="1361">
        <v>0</v>
      </c>
      <c r="R40" s="1361">
        <v>0</v>
      </c>
      <c r="S40" s="1361">
        <v>0</v>
      </c>
      <c r="T40" s="1361">
        <v>0</v>
      </c>
      <c r="U40" s="1361">
        <v>0</v>
      </c>
      <c r="W40" s="1361">
        <v>0</v>
      </c>
    </row>
    <row r="41" spans="1:24" s="1361" customFormat="1" x14ac:dyDescent="0.2">
      <c r="A41" s="1357" t="s">
        <v>359</v>
      </c>
      <c r="B41" s="1358" t="s">
        <v>158</v>
      </c>
      <c r="C41" s="1359" t="s">
        <v>149</v>
      </c>
      <c r="D41" s="1360">
        <f>IF(Saisie!C39="","",Saisie!C39)</f>
        <v>107507</v>
      </c>
      <c r="E41" s="1361">
        <v>0</v>
      </c>
      <c r="F41" s="1361">
        <v>0</v>
      </c>
      <c r="G41" s="1361">
        <v>0</v>
      </c>
      <c r="H41" s="1361">
        <v>0</v>
      </c>
      <c r="I41" s="1361">
        <v>0</v>
      </c>
      <c r="J41" s="1361">
        <v>0</v>
      </c>
      <c r="K41" s="1361">
        <v>192</v>
      </c>
      <c r="L41" s="1361">
        <v>16</v>
      </c>
      <c r="M41" s="1361">
        <v>64</v>
      </c>
      <c r="N41" s="1361">
        <v>128</v>
      </c>
      <c r="O41" s="1361">
        <v>0</v>
      </c>
      <c r="Q41" s="1361">
        <v>0</v>
      </c>
      <c r="R41" s="1361">
        <v>0</v>
      </c>
      <c r="S41" s="1361">
        <v>0</v>
      </c>
      <c r="T41" s="1361">
        <v>600</v>
      </c>
      <c r="U41" s="1361">
        <v>0</v>
      </c>
      <c r="W41" s="1361">
        <v>16671</v>
      </c>
      <c r="X41" s="1361">
        <v>0</v>
      </c>
    </row>
    <row r="42" spans="1:24" s="1361" customFormat="1" x14ac:dyDescent="0.2">
      <c r="A42" s="1357" t="s">
        <v>361</v>
      </c>
      <c r="B42" s="1358" t="s">
        <v>161</v>
      </c>
      <c r="C42" s="1359" t="s">
        <v>149</v>
      </c>
      <c r="D42" s="1360">
        <f>IF(Saisie!C40="","",Saisie!C40)</f>
        <v>0</v>
      </c>
      <c r="E42" s="1361">
        <v>0</v>
      </c>
      <c r="F42" s="1361">
        <v>0</v>
      </c>
      <c r="G42" s="1361">
        <v>0</v>
      </c>
      <c r="H42" s="1361">
        <v>0</v>
      </c>
      <c r="I42" s="1361">
        <v>0</v>
      </c>
      <c r="K42" s="1361">
        <v>0</v>
      </c>
      <c r="L42" s="1361">
        <v>0</v>
      </c>
      <c r="M42" s="1361">
        <v>0</v>
      </c>
      <c r="N42" s="1361">
        <v>0</v>
      </c>
      <c r="O42" s="1361">
        <v>0</v>
      </c>
      <c r="Q42" s="1361">
        <v>0</v>
      </c>
      <c r="R42" s="1361">
        <v>0</v>
      </c>
      <c r="S42" s="1361">
        <v>0</v>
      </c>
      <c r="T42" s="1361">
        <v>0</v>
      </c>
      <c r="U42" s="1361">
        <v>0</v>
      </c>
      <c r="W42" s="1361">
        <v>0</v>
      </c>
    </row>
    <row r="43" spans="1:24" s="1361" customFormat="1" x14ac:dyDescent="0.2">
      <c r="A43" s="1357" t="s">
        <v>362</v>
      </c>
      <c r="B43" s="1358" t="s">
        <v>164</v>
      </c>
      <c r="C43" s="1359" t="s">
        <v>149</v>
      </c>
      <c r="D43" s="1360">
        <f>IF(Saisie!C41="","",Saisie!C41)</f>
        <v>1890</v>
      </c>
      <c r="E43" s="1361">
        <v>0</v>
      </c>
      <c r="F43" s="1361">
        <v>0</v>
      </c>
      <c r="G43" s="1361">
        <v>0</v>
      </c>
      <c r="H43" s="1361">
        <v>0</v>
      </c>
      <c r="I43" s="1361">
        <v>0</v>
      </c>
      <c r="K43" s="1361">
        <v>0</v>
      </c>
      <c r="L43" s="1361">
        <v>0</v>
      </c>
      <c r="M43" s="1361">
        <v>0</v>
      </c>
      <c r="N43" s="1361">
        <v>0</v>
      </c>
      <c r="O43" s="1361">
        <v>0</v>
      </c>
      <c r="Q43" s="1361">
        <v>0</v>
      </c>
      <c r="R43" s="1361">
        <v>0</v>
      </c>
      <c r="S43" s="1361">
        <v>0</v>
      </c>
      <c r="T43" s="1361">
        <v>0</v>
      </c>
      <c r="U43" s="1361">
        <v>0</v>
      </c>
      <c r="W43" s="1361">
        <v>307</v>
      </c>
    </row>
    <row r="44" spans="1:24" s="1361" customFormat="1" x14ac:dyDescent="0.2">
      <c r="A44" s="1357" t="s">
        <v>363</v>
      </c>
      <c r="B44" s="1358" t="s">
        <v>167</v>
      </c>
      <c r="C44" s="1359" t="s">
        <v>149</v>
      </c>
      <c r="D44" s="1360">
        <f>IF(Saisie!C42="","",Saisie!C42)</f>
        <v>0</v>
      </c>
      <c r="E44" s="1361">
        <v>0</v>
      </c>
      <c r="F44" s="1361">
        <v>0</v>
      </c>
      <c r="G44" s="1361">
        <v>0</v>
      </c>
      <c r="H44" s="1361">
        <v>0</v>
      </c>
      <c r="I44" s="1361">
        <v>0</v>
      </c>
      <c r="J44" s="1361">
        <v>0</v>
      </c>
      <c r="K44" s="1361">
        <v>0</v>
      </c>
      <c r="L44" s="1361">
        <v>0</v>
      </c>
      <c r="M44" s="1361">
        <v>0</v>
      </c>
      <c r="N44" s="1361">
        <v>0</v>
      </c>
      <c r="O44" s="1361">
        <v>0</v>
      </c>
      <c r="Q44" s="1361">
        <v>0</v>
      </c>
      <c r="R44" s="1361">
        <v>0</v>
      </c>
      <c r="S44" s="1361">
        <v>0</v>
      </c>
      <c r="T44" s="1361">
        <v>0</v>
      </c>
      <c r="U44" s="1361">
        <v>0</v>
      </c>
      <c r="W44" s="1361">
        <v>686</v>
      </c>
      <c r="X44" s="1361">
        <v>0</v>
      </c>
    </row>
    <row r="45" spans="1:24" s="1361" customFormat="1" x14ac:dyDescent="0.2">
      <c r="A45" s="1357" t="s">
        <v>364</v>
      </c>
      <c r="B45" s="1358" t="s">
        <v>169</v>
      </c>
      <c r="C45" s="1359" t="s">
        <v>149</v>
      </c>
      <c r="D45" s="1360">
        <f>IF(Saisie!C43="","",Saisie!C43)</f>
        <v>0</v>
      </c>
      <c r="E45" s="1361">
        <v>0</v>
      </c>
      <c r="F45" s="1361">
        <v>0</v>
      </c>
      <c r="G45" s="1361">
        <v>0</v>
      </c>
      <c r="H45" s="1361">
        <v>0</v>
      </c>
      <c r="I45" s="1361">
        <v>0</v>
      </c>
      <c r="J45" s="1361">
        <v>0</v>
      </c>
      <c r="K45" s="1361">
        <v>0</v>
      </c>
      <c r="L45" s="1361">
        <v>0</v>
      </c>
      <c r="M45" s="1361">
        <v>0</v>
      </c>
      <c r="N45" s="1361">
        <v>0</v>
      </c>
      <c r="O45" s="1361">
        <v>0</v>
      </c>
      <c r="Q45" s="1361">
        <v>0</v>
      </c>
      <c r="R45" s="1361">
        <v>0</v>
      </c>
      <c r="S45" s="1361">
        <v>0</v>
      </c>
      <c r="T45" s="1361">
        <v>0</v>
      </c>
      <c r="U45" s="1361">
        <v>0</v>
      </c>
      <c r="W45" s="1361">
        <v>0</v>
      </c>
      <c r="X45" s="1361">
        <v>0</v>
      </c>
    </row>
    <row r="46" spans="1:24" s="1361" customFormat="1" x14ac:dyDescent="0.2">
      <c r="A46" s="1357" t="s">
        <v>365</v>
      </c>
      <c r="B46" s="1358" t="s">
        <v>170</v>
      </c>
      <c r="C46" s="1359" t="s">
        <v>149</v>
      </c>
      <c r="D46" s="1360">
        <f>IF(Saisie!C44="","",Saisie!C44)</f>
        <v>0</v>
      </c>
      <c r="E46" s="1361">
        <v>3606.4</v>
      </c>
      <c r="F46" s="1361">
        <v>1803.2</v>
      </c>
      <c r="G46" s="1361">
        <v>3606.4</v>
      </c>
      <c r="H46" s="1361">
        <v>1803.2</v>
      </c>
      <c r="I46" s="1361">
        <v>3606.4</v>
      </c>
      <c r="J46" s="1361">
        <v>1803.2</v>
      </c>
      <c r="K46" s="1361">
        <v>1803.2</v>
      </c>
      <c r="L46" s="1361">
        <v>1803.2</v>
      </c>
      <c r="M46" s="1361">
        <v>1803.2</v>
      </c>
      <c r="N46" s="1361">
        <v>1803.2</v>
      </c>
      <c r="O46" s="1361">
        <v>1803.2</v>
      </c>
      <c r="Q46" s="1361">
        <v>3606.4</v>
      </c>
      <c r="R46" s="1361">
        <v>1803.2</v>
      </c>
      <c r="S46" s="1361">
        <v>1803.2</v>
      </c>
      <c r="T46" s="1361">
        <v>1803.2</v>
      </c>
      <c r="U46" s="1361">
        <v>1803.2</v>
      </c>
      <c r="W46" s="1361">
        <v>0</v>
      </c>
      <c r="X46" s="1361">
        <v>1803.2</v>
      </c>
    </row>
    <row r="47" spans="1:24" s="1361" customFormat="1" x14ac:dyDescent="0.2">
      <c r="A47" s="1357" t="s">
        <v>366</v>
      </c>
      <c r="B47" s="1358" t="s">
        <v>172</v>
      </c>
      <c r="C47" s="1359" t="s">
        <v>149</v>
      </c>
      <c r="D47" s="1360">
        <f>IF(Saisie!C45="","",Saisie!C45)</f>
        <v>0</v>
      </c>
      <c r="E47" s="1361">
        <v>0</v>
      </c>
      <c r="F47" s="1361">
        <v>0</v>
      </c>
      <c r="G47" s="1361">
        <v>0</v>
      </c>
      <c r="H47" s="1361">
        <v>3535.7440000000001</v>
      </c>
      <c r="I47" s="1361">
        <v>7955.424</v>
      </c>
      <c r="J47" s="1361">
        <v>0</v>
      </c>
      <c r="K47" s="1361">
        <v>0</v>
      </c>
      <c r="L47" s="1361">
        <v>0</v>
      </c>
      <c r="M47" s="1361">
        <v>0</v>
      </c>
      <c r="N47" s="1361">
        <v>0</v>
      </c>
      <c r="O47" s="1361">
        <v>0</v>
      </c>
      <c r="Q47" s="1361">
        <v>0</v>
      </c>
      <c r="R47" s="1361">
        <v>0</v>
      </c>
      <c r="S47" s="1361">
        <v>0</v>
      </c>
      <c r="T47" s="1361">
        <v>0</v>
      </c>
      <c r="U47" s="1361">
        <v>0</v>
      </c>
      <c r="W47" s="1361">
        <v>0</v>
      </c>
      <c r="X47" s="1361">
        <v>0</v>
      </c>
    </row>
    <row r="48" spans="1:24" s="1361" customFormat="1" x14ac:dyDescent="0.2">
      <c r="A48" s="1357" t="s">
        <v>367</v>
      </c>
      <c r="B48" s="1358" t="s">
        <v>173</v>
      </c>
      <c r="C48" s="1359" t="s">
        <v>149</v>
      </c>
      <c r="D48" s="1360">
        <f>IF(Saisie!C46="","",Saisie!C46)</f>
        <v>46381</v>
      </c>
      <c r="E48" s="1361">
        <v>15982.551915136</v>
      </c>
      <c r="F48" s="1361">
        <v>10354.85244606</v>
      </c>
      <c r="G48" s="1361">
        <v>17248.348267136</v>
      </c>
      <c r="H48" s="1361">
        <v>14394.442311548801</v>
      </c>
      <c r="I48" s="1361">
        <v>24816.667791431901</v>
      </c>
      <c r="J48" s="1361">
        <v>10877.527228209199</v>
      </c>
      <c r="K48" s="1361">
        <v>11413.5345082863</v>
      </c>
      <c r="L48" s="1361">
        <v>15266.618603774299</v>
      </c>
      <c r="M48" s="1361">
        <v>15204.4382098106</v>
      </c>
      <c r="N48" s="1361">
        <v>25580.853111255001</v>
      </c>
      <c r="O48" s="1361">
        <v>15855.622719041499</v>
      </c>
      <c r="Q48" s="1361">
        <v>18997.939920242301</v>
      </c>
      <c r="R48" s="1361">
        <v>9218.4054131840003</v>
      </c>
      <c r="S48" s="1361">
        <v>10804.8099712943</v>
      </c>
      <c r="T48" s="1361">
        <v>13192.5292395455</v>
      </c>
      <c r="U48" s="1361">
        <v>12546.0304169583</v>
      </c>
      <c r="W48" s="1361">
        <v>19578</v>
      </c>
      <c r="X48" s="1361">
        <v>13038.332848328</v>
      </c>
    </row>
    <row r="49" spans="1:24" s="1361" customFormat="1" x14ac:dyDescent="0.2">
      <c r="A49" s="1357" t="s">
        <v>175</v>
      </c>
      <c r="B49" s="1358" t="s">
        <v>175</v>
      </c>
      <c r="C49" s="1359" t="s">
        <v>149</v>
      </c>
      <c r="D49" s="1360">
        <f>IF(Saisie!C47="","",Saisie!C47)</f>
        <v>0</v>
      </c>
      <c r="E49" s="1361">
        <v>3895</v>
      </c>
      <c r="F49" s="1361">
        <v>3077.8366000000001</v>
      </c>
      <c r="G49" s="1361">
        <v>6836.2</v>
      </c>
      <c r="H49" s="1361">
        <v>5015.8799200000003</v>
      </c>
      <c r="I49" s="1361">
        <v>4954.3</v>
      </c>
      <c r="J49" s="1361">
        <v>5178</v>
      </c>
      <c r="K49" s="1361">
        <v>2337.51496</v>
      </c>
      <c r="L49" s="1361">
        <v>2934.31756</v>
      </c>
      <c r="M49" s="1361">
        <v>2128.0623999999998</v>
      </c>
      <c r="N49" s="1361">
        <v>3033.556</v>
      </c>
      <c r="O49" s="1361">
        <v>0</v>
      </c>
      <c r="Q49" s="1361">
        <v>6543.1058999999996</v>
      </c>
      <c r="R49" s="1361">
        <v>4580.8220000000001</v>
      </c>
      <c r="S49" s="1361">
        <v>4580.8220000000001</v>
      </c>
      <c r="T49" s="1361">
        <v>4481.7359999999999</v>
      </c>
      <c r="U49" s="1361">
        <v>3689.4290999999998</v>
      </c>
      <c r="W49" s="1361">
        <v>0</v>
      </c>
      <c r="X49" s="1361">
        <v>3772.8381703999999</v>
      </c>
    </row>
    <row r="50" spans="1:24" s="1361" customFormat="1" x14ac:dyDescent="0.2">
      <c r="A50" s="1357" t="s">
        <v>368</v>
      </c>
      <c r="B50" s="1358" t="s">
        <v>176</v>
      </c>
      <c r="C50" s="1359" t="s">
        <v>149</v>
      </c>
      <c r="D50" s="1360">
        <f>IF(Saisie!C48="","",Saisie!C48)</f>
        <v>0</v>
      </c>
      <c r="E50" s="1361">
        <v>13030.26</v>
      </c>
      <c r="F50" s="1361">
        <v>8395.75</v>
      </c>
      <c r="G50" s="1361">
        <v>15448.2</v>
      </c>
      <c r="H50" s="1361">
        <v>8395.75</v>
      </c>
      <c r="I50" s="1361">
        <v>16631.5</v>
      </c>
      <c r="J50" s="1361">
        <v>8500</v>
      </c>
      <c r="K50" s="1361">
        <v>8095</v>
      </c>
      <c r="L50" s="1361">
        <v>8143.8774999999996</v>
      </c>
      <c r="M50" s="1361">
        <v>8143.8774999999996</v>
      </c>
      <c r="N50" s="1361">
        <v>16190</v>
      </c>
      <c r="O50" s="1361">
        <v>7724.1</v>
      </c>
      <c r="Q50" s="1361">
        <v>15530.5</v>
      </c>
      <c r="R50" s="1361">
        <v>7450</v>
      </c>
      <c r="S50" s="1361">
        <v>7450</v>
      </c>
      <c r="T50" s="1361">
        <v>8612.75</v>
      </c>
      <c r="U50" s="1361">
        <v>8612.75</v>
      </c>
      <c r="W50" s="1361">
        <v>0</v>
      </c>
      <c r="X50" s="1361">
        <v>8303.5</v>
      </c>
    </row>
    <row r="51" spans="1:24" s="1361" customFormat="1" x14ac:dyDescent="0.2">
      <c r="A51" s="1357" t="s">
        <v>369</v>
      </c>
      <c r="B51" s="1358" t="s">
        <v>1092</v>
      </c>
      <c r="C51" s="1359" t="s">
        <v>149</v>
      </c>
      <c r="D51" s="1360">
        <f>IF(Saisie!C49="","",Saisie!C49)</f>
        <v>0</v>
      </c>
      <c r="E51" s="1361">
        <v>0</v>
      </c>
      <c r="F51" s="1361">
        <v>0</v>
      </c>
      <c r="G51" s="1361">
        <v>0</v>
      </c>
      <c r="H51" s="1361">
        <v>0</v>
      </c>
      <c r="I51" s="1361">
        <v>0</v>
      </c>
      <c r="J51" s="1361">
        <v>0</v>
      </c>
      <c r="K51" s="1361">
        <v>0</v>
      </c>
      <c r="L51" s="1361">
        <v>0</v>
      </c>
      <c r="M51" s="1361">
        <v>0</v>
      </c>
      <c r="N51" s="1361">
        <v>0</v>
      </c>
      <c r="O51" s="1361">
        <v>0</v>
      </c>
      <c r="Q51" s="1361">
        <v>0</v>
      </c>
      <c r="R51" s="1361">
        <v>0</v>
      </c>
      <c r="S51" s="1361">
        <v>0</v>
      </c>
      <c r="T51" s="1361">
        <v>0</v>
      </c>
      <c r="U51" s="1361">
        <v>0</v>
      </c>
      <c r="W51" s="1361">
        <v>0</v>
      </c>
      <c r="X51" s="1361">
        <v>0</v>
      </c>
    </row>
    <row r="52" spans="1:24" s="1361" customFormat="1" x14ac:dyDescent="0.2">
      <c r="A52" s="1357" t="s">
        <v>370</v>
      </c>
      <c r="B52" s="1358" t="s">
        <v>179</v>
      </c>
      <c r="C52" s="1359" t="s">
        <v>149</v>
      </c>
      <c r="D52" s="1360">
        <f>IF(Saisie!C50="","",Saisie!C50)</f>
        <v>84637.85</v>
      </c>
      <c r="E52" s="1361">
        <v>21248.1625640364</v>
      </c>
      <c r="F52" s="1361">
        <v>10784.273626586</v>
      </c>
      <c r="G52" s="1361">
        <v>27004.398565376199</v>
      </c>
      <c r="H52" s="1361">
        <v>12821.300918763</v>
      </c>
      <c r="I52" s="1361">
        <v>16917.680095202501</v>
      </c>
      <c r="J52" s="1361">
        <v>6123.1660231305796</v>
      </c>
      <c r="K52" s="1361">
        <v>5553.7556302801304</v>
      </c>
      <c r="L52" s="1361">
        <v>11591.785860768199</v>
      </c>
      <c r="M52" s="1361">
        <v>11382.038144784199</v>
      </c>
      <c r="N52" s="1361">
        <v>20702.5833445471</v>
      </c>
      <c r="O52" s="1361">
        <v>17937.4682532841</v>
      </c>
      <c r="Q52" s="1361">
        <v>15767.825799476101</v>
      </c>
      <c r="R52" s="1361">
        <v>16248.102543310601</v>
      </c>
      <c r="S52" s="1361">
        <v>6018.1025433105797</v>
      </c>
      <c r="T52" s="1361">
        <v>10270.0745584631</v>
      </c>
      <c r="U52" s="1361">
        <v>10207.1242980036</v>
      </c>
      <c r="W52" s="1361">
        <v>11966</v>
      </c>
      <c r="X52" s="1361">
        <v>25078.613577235101</v>
      </c>
    </row>
    <row r="53" spans="1:24" s="1361" customFormat="1" x14ac:dyDescent="0.2">
      <c r="A53" s="1357" t="s">
        <v>371</v>
      </c>
      <c r="B53" s="1358" t="s">
        <v>182</v>
      </c>
      <c r="C53" s="1359" t="s">
        <v>149</v>
      </c>
      <c r="D53" s="1360">
        <f>IF(Saisie!C51="","",Saisie!C51)</f>
        <v>86198</v>
      </c>
      <c r="E53" s="1361">
        <v>21248.1625640364</v>
      </c>
      <c r="F53" s="1361">
        <v>10784.273626586</v>
      </c>
      <c r="G53" s="1361">
        <v>27004.398565376199</v>
      </c>
      <c r="H53" s="1361">
        <v>9763.2190339245608</v>
      </c>
      <c r="I53" s="1361">
        <v>11679.4134264901</v>
      </c>
      <c r="J53" s="1361">
        <v>6123.1660231305796</v>
      </c>
      <c r="K53" s="1361">
        <v>5553.7556302801304</v>
      </c>
      <c r="L53" s="1361">
        <v>11591.785860768199</v>
      </c>
      <c r="M53" s="1361">
        <v>11382.038144784199</v>
      </c>
      <c r="N53" s="1361">
        <v>20702.5833445471</v>
      </c>
      <c r="O53" s="1361">
        <v>17937.4682532841</v>
      </c>
      <c r="Q53" s="1361">
        <v>15767.825799476101</v>
      </c>
      <c r="R53" s="1361">
        <v>16248.102543310601</v>
      </c>
      <c r="S53" s="1361">
        <v>6018.1025433105797</v>
      </c>
      <c r="T53" s="1361">
        <v>10270.0745584631</v>
      </c>
      <c r="U53" s="1361">
        <v>10207.1242980036</v>
      </c>
      <c r="W53" s="1361">
        <v>11966</v>
      </c>
      <c r="X53" s="1361">
        <v>25078.613577235101</v>
      </c>
    </row>
    <row r="54" spans="1:24" s="1361" customFormat="1" x14ac:dyDescent="0.2">
      <c r="A54" s="1357" t="s">
        <v>372</v>
      </c>
      <c r="B54" s="1358" t="s">
        <v>183</v>
      </c>
      <c r="C54" s="1359" t="s">
        <v>149</v>
      </c>
      <c r="D54" s="1360">
        <f>IF(Saisie!C52="","",Saisie!C52)</f>
        <v>6958</v>
      </c>
      <c r="E54" s="1361">
        <v>0</v>
      </c>
      <c r="F54" s="1361">
        <v>0</v>
      </c>
      <c r="G54" s="1361">
        <v>2140</v>
      </c>
      <c r="H54" s="1361">
        <v>6345</v>
      </c>
      <c r="I54" s="1361">
        <v>0</v>
      </c>
      <c r="J54" s="1361">
        <v>1498</v>
      </c>
      <c r="K54" s="1361">
        <v>0</v>
      </c>
      <c r="L54" s="1361">
        <v>0</v>
      </c>
      <c r="M54" s="1361">
        <v>0</v>
      </c>
      <c r="N54" s="1361">
        <v>3424</v>
      </c>
      <c r="O54" s="1361">
        <v>0</v>
      </c>
      <c r="Q54" s="1361">
        <v>428</v>
      </c>
      <c r="R54" s="1361">
        <v>0</v>
      </c>
      <c r="S54" s="1361">
        <v>0</v>
      </c>
      <c r="T54" s="1361">
        <v>0</v>
      </c>
      <c r="U54" s="1361">
        <v>6100</v>
      </c>
      <c r="W54" s="1361">
        <v>1477</v>
      </c>
      <c r="X54" s="1361">
        <v>0</v>
      </c>
    </row>
    <row r="55" spans="1:24" s="1361" customFormat="1" x14ac:dyDescent="0.2">
      <c r="A55" s="1357" t="s">
        <v>373</v>
      </c>
      <c r="B55" s="1358" t="s">
        <v>182</v>
      </c>
      <c r="C55" s="1359" t="s">
        <v>149</v>
      </c>
      <c r="D55" s="1360">
        <f>IF(Saisie!C53="","",Saisie!C53)</f>
        <v>6958</v>
      </c>
      <c r="E55" s="1361">
        <v>0</v>
      </c>
      <c r="W55" s="1361">
        <v>1477</v>
      </c>
    </row>
    <row r="56" spans="1:24" s="1361" customFormat="1" x14ac:dyDescent="0.2">
      <c r="A56" s="1357"/>
      <c r="B56" s="1358"/>
      <c r="C56" s="1359"/>
      <c r="D56" s="1360"/>
    </row>
    <row r="57" spans="1:24" s="1361" customFormat="1" x14ac:dyDescent="0.2">
      <c r="A57" s="1357" t="s">
        <v>374</v>
      </c>
      <c r="B57" s="1358" t="s">
        <v>187</v>
      </c>
      <c r="C57" s="1359" t="s">
        <v>149</v>
      </c>
      <c r="D57" s="1360">
        <f>IF(Saisie!C55="","",Saisie!C55)</f>
        <v>26738</v>
      </c>
      <c r="E57" s="1361">
        <v>3485.5473722525398</v>
      </c>
      <c r="F57" s="1361">
        <v>2705.4019128787299</v>
      </c>
      <c r="G57" s="1361">
        <v>3876.7198785401301</v>
      </c>
      <c r="H57" s="1361">
        <v>2842.18928213254</v>
      </c>
      <c r="I57" s="1361">
        <v>9448.4310828320995</v>
      </c>
      <c r="J57" s="1361">
        <v>3527.1316513401298</v>
      </c>
      <c r="K57" s="1361">
        <v>2830.9193531240799</v>
      </c>
      <c r="L57" s="1361">
        <v>5503.7925754963098</v>
      </c>
      <c r="M57" s="1361">
        <v>4280.1969470802596</v>
      </c>
      <c r="N57" s="1361">
        <v>6813.1405356203904</v>
      </c>
      <c r="O57" s="1361">
        <v>5527.7469156642101</v>
      </c>
      <c r="Q57" s="1361">
        <v>1760.47994635033</v>
      </c>
      <c r="R57" s="1361">
        <v>1126.7071656642099</v>
      </c>
      <c r="S57" s="1361">
        <v>2112.5759356203898</v>
      </c>
      <c r="T57" s="1361">
        <v>2112.5759356203898</v>
      </c>
      <c r="U57" s="1361">
        <v>563.35358283210405</v>
      </c>
      <c r="W57" s="1361">
        <v>9851</v>
      </c>
      <c r="X57" s="1361">
        <v>5095.3217352878301</v>
      </c>
    </row>
    <row r="58" spans="1:24" s="1361" customFormat="1" x14ac:dyDescent="0.2">
      <c r="A58" s="1357" t="s">
        <v>375</v>
      </c>
      <c r="B58" s="1358" t="s">
        <v>189</v>
      </c>
      <c r="C58" s="1359" t="s">
        <v>149</v>
      </c>
      <c r="D58" s="1360" t="str">
        <f>IF(Saisie!C56="","",Saisie!C56)</f>
        <v/>
      </c>
      <c r="J58" s="1361">
        <v>2640.8146728000002</v>
      </c>
      <c r="X58" s="1361">
        <v>4178.7454560200003</v>
      </c>
    </row>
    <row r="59" spans="1:24" s="1361" customFormat="1" x14ac:dyDescent="0.2">
      <c r="A59" s="1357" t="s">
        <v>376</v>
      </c>
      <c r="B59" s="1358" t="s">
        <v>190</v>
      </c>
      <c r="C59" s="1359" t="s">
        <v>149</v>
      </c>
      <c r="D59" s="1360" t="str">
        <f>IF(Saisie!C57="","",Saisie!C57)</f>
        <v/>
      </c>
      <c r="J59" s="1361">
        <v>0</v>
      </c>
      <c r="X59" s="1361">
        <v>0</v>
      </c>
    </row>
    <row r="60" spans="1:24" s="1361" customFormat="1" x14ac:dyDescent="0.2">
      <c r="A60" s="1357" t="s">
        <v>377</v>
      </c>
      <c r="B60" s="1358" t="s">
        <v>191</v>
      </c>
      <c r="C60" s="1359" t="s">
        <v>149</v>
      </c>
      <c r="D60" s="1360">
        <f>IF(Saisie!C58="","",Saisie!C58)</f>
        <v>11142</v>
      </c>
      <c r="E60" s="1361">
        <v>0</v>
      </c>
      <c r="F60" s="1361">
        <v>399</v>
      </c>
      <c r="G60" s="1361">
        <v>408</v>
      </c>
      <c r="H60" s="1361">
        <v>0</v>
      </c>
      <c r="I60" s="1361">
        <v>1380</v>
      </c>
      <c r="J60" s="1361">
        <v>786</v>
      </c>
      <c r="K60" s="1361">
        <v>982.2</v>
      </c>
      <c r="L60" s="1361">
        <v>1307</v>
      </c>
      <c r="M60" s="1361">
        <v>2035.76</v>
      </c>
      <c r="N60" s="1361">
        <v>3793.6</v>
      </c>
      <c r="O60" s="1361">
        <v>1979</v>
      </c>
      <c r="Q60" s="1361">
        <v>4092</v>
      </c>
      <c r="R60" s="1361">
        <v>278</v>
      </c>
      <c r="S60" s="1361">
        <v>2440</v>
      </c>
      <c r="T60" s="1361">
        <v>2819.8</v>
      </c>
      <c r="U60" s="1361">
        <v>2208</v>
      </c>
      <c r="W60" s="1361">
        <v>3906</v>
      </c>
      <c r="X60" s="1361">
        <v>0</v>
      </c>
    </row>
    <row r="61" spans="1:24" s="1361" customFormat="1" x14ac:dyDescent="0.2">
      <c r="A61" s="1357" t="s">
        <v>378</v>
      </c>
      <c r="B61" s="1358" t="s">
        <v>189</v>
      </c>
      <c r="C61" s="1359" t="s">
        <v>149</v>
      </c>
      <c r="D61" s="1360" t="str">
        <f>IF(Saisie!C59="","",Saisie!C59)</f>
        <v/>
      </c>
      <c r="J61" s="1361">
        <v>476</v>
      </c>
      <c r="X61" s="1361">
        <v>0</v>
      </c>
    </row>
    <row r="62" spans="1:24" s="1361" customFormat="1" x14ac:dyDescent="0.2">
      <c r="A62" s="1357" t="s">
        <v>379</v>
      </c>
      <c r="B62" s="1358" t="s">
        <v>190</v>
      </c>
      <c r="C62" s="1359" t="s">
        <v>149</v>
      </c>
      <c r="D62" s="1360" t="str">
        <f>IF(Saisie!C60="","",Saisie!C60)</f>
        <v/>
      </c>
      <c r="J62" s="1361">
        <v>0</v>
      </c>
      <c r="X62" s="1361">
        <v>0</v>
      </c>
    </row>
    <row r="63" spans="1:24" s="1361" customFormat="1" x14ac:dyDescent="0.2">
      <c r="A63" s="1357" t="s">
        <v>380</v>
      </c>
      <c r="B63" s="1358" t="s">
        <v>193</v>
      </c>
      <c r="C63" s="1359" t="s">
        <v>149</v>
      </c>
      <c r="D63" s="1360">
        <f>IF(Saisie!C61="","",Saisie!C61)</f>
        <v>16049.4</v>
      </c>
      <c r="E63" s="1361">
        <v>1625.78</v>
      </c>
      <c r="F63" s="1361">
        <v>691.55</v>
      </c>
      <c r="G63" s="1361">
        <v>427.4</v>
      </c>
      <c r="H63" s="1361">
        <v>973.8</v>
      </c>
      <c r="I63" s="1361">
        <v>3543.2</v>
      </c>
      <c r="J63" s="1361">
        <v>611.4</v>
      </c>
      <c r="K63" s="1361">
        <v>891.34</v>
      </c>
      <c r="L63" s="1361">
        <v>1858.85</v>
      </c>
      <c r="M63" s="1361">
        <v>2350.8000000000002</v>
      </c>
      <c r="N63" s="1361">
        <v>4250.3999999999996</v>
      </c>
      <c r="O63" s="1361">
        <v>2574.1999999999998</v>
      </c>
      <c r="Q63" s="1361">
        <v>493</v>
      </c>
      <c r="R63" s="1361">
        <v>208.8</v>
      </c>
      <c r="S63" s="1361">
        <v>208.8</v>
      </c>
      <c r="T63" s="1361">
        <v>192.9</v>
      </c>
      <c r="U63" s="1361">
        <v>123.4</v>
      </c>
      <c r="W63" s="1361">
        <v>2777</v>
      </c>
      <c r="X63" s="1361">
        <v>917.05</v>
      </c>
    </row>
    <row r="64" spans="1:24" s="1361" customFormat="1" x14ac:dyDescent="0.2">
      <c r="A64" s="1357" t="s">
        <v>381</v>
      </c>
      <c r="B64" s="1358" t="s">
        <v>189</v>
      </c>
      <c r="C64" s="1359" t="s">
        <v>149</v>
      </c>
      <c r="D64" s="1360" t="str">
        <f>IF(Saisie!C62="","",Saisie!C62)</f>
        <v/>
      </c>
    </row>
    <row r="65" spans="1:24" s="1361" customFormat="1" x14ac:dyDescent="0.2">
      <c r="A65" s="1357" t="s">
        <v>382</v>
      </c>
      <c r="B65" s="1358" t="s">
        <v>190</v>
      </c>
      <c r="C65" s="1359" t="s">
        <v>149</v>
      </c>
      <c r="D65" s="1360" t="str">
        <f>IF(Saisie!C63="","",Saisie!C63)</f>
        <v/>
      </c>
    </row>
    <row r="66" spans="1:24" s="1361" customFormat="1" x14ac:dyDescent="0.2">
      <c r="A66" s="1357"/>
      <c r="B66" s="1358"/>
      <c r="C66" s="1359"/>
      <c r="D66" s="1360"/>
    </row>
    <row r="67" spans="1:24" s="1361" customFormat="1" x14ac:dyDescent="0.2">
      <c r="A67" s="1357" t="s">
        <v>383</v>
      </c>
      <c r="B67" s="1358" t="s">
        <v>196</v>
      </c>
      <c r="C67" s="1359" t="s">
        <v>149</v>
      </c>
      <c r="D67" s="1360">
        <f>IF(Saisie!C65="","",Saisie!C65)</f>
        <v>5996</v>
      </c>
      <c r="E67" s="1361">
        <v>4066.8645451624102</v>
      </c>
      <c r="F67" s="1361">
        <v>2640.52803431743</v>
      </c>
      <c r="G67" s="1361">
        <v>4480.1926208638597</v>
      </c>
      <c r="H67" s="1361">
        <v>3691.4236289791602</v>
      </c>
      <c r="I67" s="1361">
        <v>5687.7274237636202</v>
      </c>
      <c r="J67" s="1361">
        <v>2603.4610858706601</v>
      </c>
      <c r="K67" s="1361">
        <v>2584.4289039180098</v>
      </c>
      <c r="L67" s="1361">
        <v>3422.6917719552898</v>
      </c>
      <c r="M67" s="1361">
        <v>3270.5148205269902</v>
      </c>
      <c r="N67" s="1361">
        <v>5586.6996066730699</v>
      </c>
      <c r="O67" s="1361">
        <v>3941.1251149568102</v>
      </c>
      <c r="Q67" s="1361">
        <v>2961.45374925755</v>
      </c>
      <c r="R67" s="1361">
        <v>1719.72851465802</v>
      </c>
      <c r="S67" s="1361">
        <v>1719.72851465802</v>
      </c>
      <c r="T67" s="1361">
        <v>2115.1306613352999</v>
      </c>
      <c r="U67" s="1361">
        <v>1940.4495759881399</v>
      </c>
      <c r="W67" s="1361">
        <v>2214</v>
      </c>
      <c r="X67" s="1361">
        <v>4282.8784380796997</v>
      </c>
    </row>
    <row r="68" spans="1:24" s="1361" customFormat="1" x14ac:dyDescent="0.2">
      <c r="A68" s="1357" t="s">
        <v>384</v>
      </c>
      <c r="B68" s="1358" t="s">
        <v>199</v>
      </c>
      <c r="C68" s="1359" t="s">
        <v>149</v>
      </c>
      <c r="D68" s="1360">
        <f>IF(Saisie!C66="","",Saisie!C66)</f>
        <v>5275</v>
      </c>
      <c r="W68" s="1361">
        <v>2214</v>
      </c>
    </row>
    <row r="69" spans="1:24" s="1361" customFormat="1" x14ac:dyDescent="0.2">
      <c r="A69" s="1357" t="s">
        <v>385</v>
      </c>
      <c r="B69" s="1358" t="s">
        <v>200</v>
      </c>
      <c r="C69" s="1359" t="s">
        <v>149</v>
      </c>
      <c r="D69" s="1360">
        <f>IF(Saisie!C67="","",Saisie!C67)</f>
        <v>22014.25</v>
      </c>
      <c r="E69" s="1361">
        <v>10756.165497735101</v>
      </c>
      <c r="F69" s="1361">
        <v>6684.6919695202896</v>
      </c>
      <c r="G69" s="1361">
        <v>9897.3324771842799</v>
      </c>
      <c r="H69" s="1361">
        <v>6563.4383952122498</v>
      </c>
      <c r="I69" s="1361">
        <v>9582.9298080611497</v>
      </c>
      <c r="J69" s="1361">
        <v>5013.2705997782296</v>
      </c>
      <c r="K69" s="1361">
        <v>5179.3103515816401</v>
      </c>
      <c r="L69" s="1361">
        <v>7840.7729157556796</v>
      </c>
      <c r="M69" s="1361">
        <v>6665.1293954211696</v>
      </c>
      <c r="N69" s="1361">
        <v>12524.720268528201</v>
      </c>
      <c r="O69" s="1361">
        <v>8958.3766296902195</v>
      </c>
      <c r="Q69" s="1361">
        <v>8725.0504246411692</v>
      </c>
      <c r="R69" s="1361">
        <v>7251.4354997492301</v>
      </c>
      <c r="S69" s="1361">
        <v>7251.4354997492301</v>
      </c>
      <c r="T69" s="1361">
        <v>5835.0251876074999</v>
      </c>
      <c r="U69" s="1361">
        <v>5862.7431350643901</v>
      </c>
      <c r="W69" s="1361">
        <v>13155</v>
      </c>
      <c r="X69" s="1361">
        <v>9900.2557288681292</v>
      </c>
    </row>
    <row r="70" spans="1:24" s="1361" customFormat="1" x14ac:dyDescent="0.2">
      <c r="A70" s="1357" t="s">
        <v>386</v>
      </c>
      <c r="B70" s="1358" t="s">
        <v>199</v>
      </c>
      <c r="C70" s="1359" t="s">
        <v>149</v>
      </c>
      <c r="D70" s="1360">
        <f>IF(Saisie!C68="","",Saisie!C68)</f>
        <v>22014</v>
      </c>
      <c r="W70" s="1361">
        <v>13155</v>
      </c>
    </row>
    <row r="71" spans="1:24" s="1361" customFormat="1" x14ac:dyDescent="0.2">
      <c r="A71" s="1357"/>
      <c r="B71" s="1358"/>
      <c r="C71" s="1359"/>
      <c r="D71" s="1360"/>
    </row>
    <row r="72" spans="1:24" s="1361" customFormat="1" x14ac:dyDescent="0.2">
      <c r="A72" s="1357" t="s">
        <v>388</v>
      </c>
      <c r="B72" s="1358" t="s">
        <v>205</v>
      </c>
      <c r="C72" s="1359" t="s">
        <v>149</v>
      </c>
      <c r="D72" s="1360">
        <f>IF(Saisie!C70="","",Saisie!C70)</f>
        <v>0</v>
      </c>
      <c r="E72" s="1361">
        <v>0</v>
      </c>
      <c r="F72" s="1361">
        <v>0</v>
      </c>
      <c r="G72" s="1361">
        <v>0</v>
      </c>
      <c r="H72" s="1361">
        <v>2000</v>
      </c>
      <c r="I72" s="1361">
        <v>2000</v>
      </c>
      <c r="J72" s="1361">
        <v>0</v>
      </c>
      <c r="K72" s="1361">
        <v>0</v>
      </c>
      <c r="L72" s="1361">
        <v>0</v>
      </c>
      <c r="M72" s="1361">
        <v>0</v>
      </c>
      <c r="N72" s="1361">
        <v>0</v>
      </c>
      <c r="O72" s="1361">
        <v>0</v>
      </c>
      <c r="Q72" s="1361">
        <v>0</v>
      </c>
      <c r="R72" s="1361">
        <v>0</v>
      </c>
      <c r="S72" s="1361">
        <v>0</v>
      </c>
      <c r="T72" s="1361">
        <v>0</v>
      </c>
      <c r="U72" s="1361">
        <v>0</v>
      </c>
      <c r="W72" s="1361">
        <v>0</v>
      </c>
      <c r="X72" s="1361">
        <v>0</v>
      </c>
    </row>
    <row r="73" spans="1:24" s="1361" customFormat="1" x14ac:dyDescent="0.2">
      <c r="A73" s="1357" t="s">
        <v>389</v>
      </c>
      <c r="B73" s="1358" t="s">
        <v>1093</v>
      </c>
      <c r="C73" s="1359" t="s">
        <v>149</v>
      </c>
      <c r="D73" s="1360">
        <f>IF(Saisie!C71="","",Saisie!C71)</f>
        <v>0</v>
      </c>
      <c r="E73" s="1361">
        <v>0</v>
      </c>
      <c r="F73" s="1361">
        <v>0</v>
      </c>
      <c r="G73" s="1361">
        <v>0</v>
      </c>
      <c r="H73" s="1361">
        <v>0</v>
      </c>
      <c r="I73" s="1361">
        <v>0</v>
      </c>
      <c r="J73" s="1361">
        <v>0</v>
      </c>
      <c r="K73" s="1361">
        <v>0</v>
      </c>
      <c r="L73" s="1361">
        <v>0</v>
      </c>
      <c r="M73" s="1361">
        <v>0</v>
      </c>
      <c r="N73" s="1361">
        <v>0</v>
      </c>
      <c r="O73" s="1361">
        <v>0</v>
      </c>
      <c r="Q73" s="1361">
        <v>0</v>
      </c>
      <c r="R73" s="1361">
        <v>0</v>
      </c>
      <c r="S73" s="1361">
        <v>0</v>
      </c>
      <c r="T73" s="1361">
        <v>0</v>
      </c>
      <c r="U73" s="1361">
        <v>0</v>
      </c>
      <c r="W73" s="1361">
        <v>0</v>
      </c>
      <c r="X73" s="1361">
        <v>0</v>
      </c>
    </row>
    <row r="74" spans="1:24" s="1361" customFormat="1" x14ac:dyDescent="0.2">
      <c r="A74" s="1362" t="s">
        <v>390</v>
      </c>
      <c r="B74" s="1358" t="s">
        <v>210</v>
      </c>
      <c r="C74" s="1359" t="s">
        <v>149</v>
      </c>
      <c r="D74" s="1360">
        <f>IF(Saisie!C72="",0,Saisie!C72)</f>
        <v>0</v>
      </c>
      <c r="E74" s="1361">
        <v>0</v>
      </c>
      <c r="F74" s="1361">
        <v>0</v>
      </c>
      <c r="G74" s="1361">
        <v>0</v>
      </c>
      <c r="H74" s="1361">
        <v>0</v>
      </c>
      <c r="I74" s="1361">
        <v>0</v>
      </c>
      <c r="J74" s="1361">
        <v>0</v>
      </c>
      <c r="K74" s="1361">
        <v>0</v>
      </c>
      <c r="L74" s="1361">
        <v>0</v>
      </c>
      <c r="M74" s="1361">
        <v>0</v>
      </c>
      <c r="N74" s="1361">
        <v>0</v>
      </c>
      <c r="O74" s="1361">
        <v>0</v>
      </c>
      <c r="Q74" s="1361">
        <v>0</v>
      </c>
      <c r="R74" s="1361">
        <v>0</v>
      </c>
      <c r="S74" s="1361">
        <v>0</v>
      </c>
      <c r="T74" s="1361">
        <v>0</v>
      </c>
      <c r="U74" s="1361">
        <v>0</v>
      </c>
      <c r="W74" s="1361">
        <v>0</v>
      </c>
      <c r="X74" s="1361">
        <v>0</v>
      </c>
    </row>
    <row r="75" spans="1:24" s="1361" customFormat="1" x14ac:dyDescent="0.2">
      <c r="A75" s="1362" t="s">
        <v>1094</v>
      </c>
      <c r="B75" s="1358"/>
      <c r="C75" s="1359" t="s">
        <v>149</v>
      </c>
      <c r="D75" s="1360">
        <f>IF(Saisie!C73="",0,Saisie!C73)</f>
        <v>0</v>
      </c>
      <c r="E75" s="1361">
        <v>0</v>
      </c>
      <c r="F75" s="1361">
        <v>0</v>
      </c>
      <c r="G75" s="1361">
        <v>0</v>
      </c>
      <c r="H75" s="1361">
        <v>0</v>
      </c>
      <c r="I75" s="1361">
        <v>0</v>
      </c>
      <c r="J75" s="1361">
        <v>0</v>
      </c>
      <c r="K75" s="1361">
        <v>0</v>
      </c>
      <c r="L75" s="1361">
        <v>0</v>
      </c>
      <c r="M75" s="1361">
        <v>0</v>
      </c>
      <c r="N75" s="1361">
        <v>0</v>
      </c>
      <c r="O75" s="1361">
        <v>0</v>
      </c>
      <c r="Q75" s="1361">
        <v>0</v>
      </c>
      <c r="R75" s="1361">
        <v>0</v>
      </c>
      <c r="S75" s="1361">
        <v>0</v>
      </c>
      <c r="T75" s="1361">
        <v>0</v>
      </c>
      <c r="U75" s="1361">
        <v>0</v>
      </c>
      <c r="W75" s="1361">
        <v>0</v>
      </c>
      <c r="X75" s="1361">
        <v>0</v>
      </c>
    </row>
    <row r="76" spans="1:24" s="1361" customFormat="1" x14ac:dyDescent="0.2">
      <c r="A76" s="1362" t="s">
        <v>391</v>
      </c>
      <c r="B76" s="1358" t="s">
        <v>211</v>
      </c>
      <c r="C76" s="1359" t="s">
        <v>149</v>
      </c>
      <c r="D76" s="1360">
        <f>IF(Saisie!C74="",0,Saisie!C74)</f>
        <v>0</v>
      </c>
      <c r="E76" s="1361">
        <v>0</v>
      </c>
      <c r="F76" s="1361">
        <v>0</v>
      </c>
      <c r="G76" s="1361">
        <v>0</v>
      </c>
      <c r="H76" s="1361">
        <v>0</v>
      </c>
      <c r="I76" s="1361">
        <v>0</v>
      </c>
      <c r="J76" s="1361">
        <v>0</v>
      </c>
      <c r="K76" s="1361">
        <v>0</v>
      </c>
      <c r="L76" s="1361">
        <v>0</v>
      </c>
      <c r="M76" s="1361">
        <v>0</v>
      </c>
      <c r="N76" s="1361">
        <v>0</v>
      </c>
      <c r="O76" s="1361">
        <v>0</v>
      </c>
      <c r="Q76" s="1361">
        <v>0</v>
      </c>
      <c r="R76" s="1361">
        <v>0</v>
      </c>
      <c r="S76" s="1361">
        <v>0</v>
      </c>
      <c r="T76" s="1361">
        <v>0</v>
      </c>
      <c r="U76" s="1361">
        <v>0</v>
      </c>
      <c r="W76" s="1361">
        <v>0</v>
      </c>
      <c r="X76" s="1361">
        <v>0</v>
      </c>
    </row>
    <row r="77" spans="1:24" s="1361" customFormat="1" x14ac:dyDescent="0.2">
      <c r="A77" s="1362" t="s">
        <v>392</v>
      </c>
      <c r="B77" s="1358" t="s">
        <v>212</v>
      </c>
      <c r="C77" s="1359" t="s">
        <v>149</v>
      </c>
      <c r="D77" s="1360">
        <f>IF(Saisie!C75="",0,Saisie!C75)</f>
        <v>0</v>
      </c>
      <c r="E77" s="1361">
        <v>0</v>
      </c>
      <c r="F77" s="1361">
        <v>0</v>
      </c>
      <c r="G77" s="1361">
        <v>0</v>
      </c>
      <c r="H77" s="1361">
        <v>0</v>
      </c>
      <c r="I77" s="1361">
        <v>0</v>
      </c>
      <c r="J77" s="1361">
        <v>0</v>
      </c>
      <c r="K77" s="1361">
        <v>0</v>
      </c>
      <c r="L77" s="1361">
        <v>0</v>
      </c>
      <c r="M77" s="1361">
        <v>0</v>
      </c>
      <c r="N77" s="1361">
        <v>0</v>
      </c>
      <c r="O77" s="1361">
        <v>0</v>
      </c>
      <c r="Q77" s="1361">
        <v>0</v>
      </c>
      <c r="R77" s="1361">
        <v>0</v>
      </c>
      <c r="S77" s="1361">
        <v>0</v>
      </c>
      <c r="T77" s="1361">
        <v>0</v>
      </c>
      <c r="U77" s="1361">
        <v>0</v>
      </c>
      <c r="W77" s="1361">
        <v>0</v>
      </c>
      <c r="X77" s="1361">
        <v>0</v>
      </c>
    </row>
    <row r="78" spans="1:24" s="1361" customFormat="1" x14ac:dyDescent="0.2">
      <c r="A78" s="1357" t="s">
        <v>393</v>
      </c>
      <c r="B78" s="1358" t="s">
        <v>1095</v>
      </c>
      <c r="C78" s="1359" t="s">
        <v>149</v>
      </c>
      <c r="D78" s="1360">
        <f>IF(Saisie!C76="","",Saisie!C76)</f>
        <v>30328</v>
      </c>
      <c r="E78" s="1361">
        <v>3097.71</v>
      </c>
      <c r="F78" s="1361">
        <v>580</v>
      </c>
      <c r="G78" s="1361">
        <v>900</v>
      </c>
      <c r="H78" s="1361">
        <v>0</v>
      </c>
      <c r="I78" s="1361">
        <v>4878.3</v>
      </c>
      <c r="J78" s="1361">
        <v>2965.14</v>
      </c>
      <c r="K78" s="1361">
        <v>3749.393</v>
      </c>
      <c r="L78" s="1361">
        <v>6002.8549999999996</v>
      </c>
      <c r="M78" s="1361">
        <v>6438.8819999999996</v>
      </c>
      <c r="N78" s="1361">
        <v>10676.616</v>
      </c>
      <c r="O78" s="1361">
        <v>4367.1899999999996</v>
      </c>
      <c r="Q78" s="1361">
        <v>1942.8</v>
      </c>
      <c r="R78" s="1361">
        <v>770</v>
      </c>
      <c r="S78" s="1361">
        <v>1658</v>
      </c>
      <c r="T78" s="1361">
        <v>3545</v>
      </c>
      <c r="U78" s="1361">
        <v>3230</v>
      </c>
      <c r="W78" s="1361">
        <v>3661</v>
      </c>
      <c r="X78" s="1361">
        <v>39</v>
      </c>
    </row>
    <row r="79" spans="1:24" s="1361" customFormat="1" x14ac:dyDescent="0.2">
      <c r="A79" s="1357" t="s">
        <v>394</v>
      </c>
      <c r="B79" s="1358" t="s">
        <v>216</v>
      </c>
      <c r="C79" s="1359" t="s">
        <v>149</v>
      </c>
      <c r="D79" s="1360">
        <f>IF(Saisie!C77="","",Saisie!C77)</f>
        <v>20465</v>
      </c>
      <c r="E79" s="1361">
        <v>6040.3854863039996</v>
      </c>
      <c r="F79" s="1361">
        <v>3250</v>
      </c>
      <c r="G79" s="1361">
        <v>4810</v>
      </c>
      <c r="H79" s="1361">
        <v>4199</v>
      </c>
      <c r="I79" s="1361">
        <v>6602.7</v>
      </c>
      <c r="J79" s="1361">
        <v>2860</v>
      </c>
      <c r="K79" s="1361">
        <v>3120</v>
      </c>
      <c r="L79" s="1361">
        <v>5460</v>
      </c>
      <c r="M79" s="1361">
        <v>5023.5691999999999</v>
      </c>
      <c r="N79" s="1361">
        <v>8450</v>
      </c>
      <c r="O79" s="1361">
        <v>5473.0632126094697</v>
      </c>
      <c r="Q79" s="1361">
        <v>7280</v>
      </c>
      <c r="R79" s="1361">
        <v>3003.5513237184</v>
      </c>
      <c r="S79" s="1361">
        <v>3900</v>
      </c>
      <c r="T79" s="1361">
        <v>5200</v>
      </c>
      <c r="U79" s="1361">
        <v>5200</v>
      </c>
      <c r="W79" s="1361">
        <v>4201.55</v>
      </c>
      <c r="X79" s="1361">
        <v>6598.3714289999998</v>
      </c>
    </row>
    <row r="80" spans="1:24" s="1361" customFormat="1" x14ac:dyDescent="0.2">
      <c r="A80" s="1357" t="s">
        <v>395</v>
      </c>
      <c r="B80" s="1358" t="s">
        <v>218</v>
      </c>
      <c r="C80" s="1359" t="s">
        <v>149</v>
      </c>
      <c r="D80" s="1360">
        <f>IF(Saisie!C78="","",Saisie!C78)</f>
        <v>17441</v>
      </c>
      <c r="E80" s="1361">
        <v>5957.26</v>
      </c>
      <c r="F80" s="1361">
        <v>4099.6639999999998</v>
      </c>
      <c r="G80" s="1361">
        <v>4420.3999999999996</v>
      </c>
      <c r="H80" s="1361">
        <v>4009.2</v>
      </c>
      <c r="I80" s="1361">
        <v>7960.8320000000003</v>
      </c>
      <c r="J80" s="1361">
        <v>3084</v>
      </c>
      <c r="K80" s="1361">
        <v>3598</v>
      </c>
      <c r="L80" s="1361">
        <v>6168</v>
      </c>
      <c r="M80" s="1361">
        <v>5775.1266054553498</v>
      </c>
      <c r="N80" s="1361">
        <v>6168</v>
      </c>
      <c r="O80" s="1361">
        <v>5551.2</v>
      </c>
      <c r="Q80" s="1361">
        <v>8224</v>
      </c>
      <c r="R80" s="1361">
        <v>3190.1982715610402</v>
      </c>
      <c r="S80" s="1361">
        <v>3190.1982715610402</v>
      </c>
      <c r="T80" s="1361">
        <v>5510.8991255373003</v>
      </c>
      <c r="U80" s="1361">
        <v>5510.8991255373003</v>
      </c>
      <c r="W80" s="1361">
        <v>4281.78</v>
      </c>
      <c r="X80" s="1361">
        <v>6800.0658000000003</v>
      </c>
    </row>
    <row r="81" spans="1:24" s="1361" customFormat="1" x14ac:dyDescent="0.2">
      <c r="A81" s="1357" t="s">
        <v>396</v>
      </c>
      <c r="B81" s="1358" t="s">
        <v>220</v>
      </c>
      <c r="C81" s="1359" t="s">
        <v>149</v>
      </c>
      <c r="D81" s="1360">
        <f>IF(Saisie!C79="","",Saisie!C79)</f>
        <v>2399</v>
      </c>
      <c r="E81" s="1361">
        <v>0</v>
      </c>
      <c r="F81" s="1361">
        <v>0</v>
      </c>
      <c r="G81" s="1361">
        <v>0</v>
      </c>
      <c r="H81" s="1361">
        <v>0</v>
      </c>
      <c r="I81" s="1361">
        <v>0</v>
      </c>
      <c r="K81" s="1361">
        <v>0</v>
      </c>
      <c r="L81" s="1361">
        <v>0</v>
      </c>
      <c r="M81" s="1361">
        <v>0</v>
      </c>
      <c r="N81" s="1361">
        <v>0</v>
      </c>
      <c r="O81" s="1361">
        <v>0</v>
      </c>
      <c r="Q81" s="1361">
        <v>0</v>
      </c>
      <c r="R81" s="1361">
        <v>0</v>
      </c>
      <c r="S81" s="1361">
        <v>0</v>
      </c>
      <c r="T81" s="1361">
        <v>0</v>
      </c>
      <c r="U81" s="1361">
        <v>0</v>
      </c>
      <c r="W81" s="1361">
        <v>0</v>
      </c>
    </row>
    <row r="82" spans="1:24" s="1361" customFormat="1" x14ac:dyDescent="0.2">
      <c r="A82" s="1357"/>
      <c r="B82" s="1358"/>
      <c r="C82" s="1359"/>
      <c r="D82" s="1360"/>
    </row>
    <row r="83" spans="1:24" s="1361" customFormat="1" x14ac:dyDescent="0.2">
      <c r="A83" s="1357" t="s">
        <v>398</v>
      </c>
      <c r="B83" s="1358" t="s">
        <v>223</v>
      </c>
      <c r="C83" s="1359" t="s">
        <v>149</v>
      </c>
      <c r="D83" s="1360">
        <f>IF(Saisie!C81="","",Saisie!C81)</f>
        <v>2765</v>
      </c>
      <c r="E83" s="1361">
        <v>0</v>
      </c>
      <c r="F83" s="1361">
        <v>0</v>
      </c>
      <c r="G83" s="1361">
        <v>0</v>
      </c>
      <c r="H83" s="1361">
        <v>0</v>
      </c>
      <c r="I83" s="1361">
        <v>0</v>
      </c>
      <c r="K83" s="1361">
        <v>0</v>
      </c>
      <c r="L83" s="1361">
        <v>0</v>
      </c>
      <c r="M83" s="1361">
        <v>0</v>
      </c>
      <c r="N83" s="1361">
        <v>0</v>
      </c>
      <c r="O83" s="1361">
        <v>0</v>
      </c>
      <c r="Q83" s="1361">
        <v>0</v>
      </c>
      <c r="R83" s="1361">
        <v>0</v>
      </c>
      <c r="S83" s="1361">
        <v>0</v>
      </c>
      <c r="T83" s="1361">
        <v>0</v>
      </c>
      <c r="U83" s="1361">
        <v>0</v>
      </c>
      <c r="W83" s="1361">
        <v>1654</v>
      </c>
    </row>
    <row r="84" spans="1:24" s="1361" customFormat="1" x14ac:dyDescent="0.2">
      <c r="A84" s="1357" t="s">
        <v>399</v>
      </c>
      <c r="B84" s="1358" t="s">
        <v>224</v>
      </c>
      <c r="C84" s="1359" t="s">
        <v>149</v>
      </c>
      <c r="D84" s="1360">
        <f>IF(Saisie!C82="","",Saisie!C82)</f>
        <v>6029</v>
      </c>
      <c r="E84" s="1361">
        <v>2965.5039999999999</v>
      </c>
      <c r="F84" s="1361">
        <v>1710.08</v>
      </c>
      <c r="G84" s="1361">
        <v>2560</v>
      </c>
      <c r="H84" s="1361">
        <v>1228.8</v>
      </c>
      <c r="I84" s="1361">
        <v>2916.3519999999999</v>
      </c>
      <c r="J84" s="1361">
        <v>1300.3348206551</v>
      </c>
      <c r="K84" s="1361">
        <v>1382.4</v>
      </c>
      <c r="L84" s="1361">
        <v>1794.0472998768701</v>
      </c>
      <c r="M84" s="1361">
        <v>1839.5927731245299</v>
      </c>
      <c r="N84" s="1361">
        <v>2457.6</v>
      </c>
      <c r="O84" s="1361">
        <v>3072</v>
      </c>
      <c r="Q84" s="1361">
        <v>3072</v>
      </c>
      <c r="R84" s="1361">
        <v>1313.3381688616601</v>
      </c>
      <c r="S84" s="1361">
        <v>1313.3381688616601</v>
      </c>
      <c r="T84" s="1361">
        <v>1942.80794210304</v>
      </c>
      <c r="U84" s="1361">
        <v>1942.80794210304</v>
      </c>
      <c r="W84" s="1361">
        <v>3576.2</v>
      </c>
      <c r="X84" s="1361">
        <v>1794.0472998768701</v>
      </c>
    </row>
    <row r="85" spans="1:24" s="1361" customFormat="1" x14ac:dyDescent="0.2">
      <c r="A85" s="1357" t="s">
        <v>400</v>
      </c>
      <c r="B85" s="1358" t="s">
        <v>227</v>
      </c>
      <c r="C85" s="1359" t="s">
        <v>149</v>
      </c>
      <c r="D85" s="1360" t="str">
        <f>IF(Saisie!C83="","",Saisie!C83)</f>
        <v/>
      </c>
      <c r="E85" s="1361">
        <v>872.95500000000004</v>
      </c>
      <c r="F85" s="1361">
        <v>428.82</v>
      </c>
      <c r="G85" s="1361">
        <v>918.9</v>
      </c>
      <c r="H85" s="1361">
        <v>213.38900000000001</v>
      </c>
      <c r="I85" s="1361">
        <v>1178.2339999999999</v>
      </c>
      <c r="J85" s="1361">
        <v>662.16456185140805</v>
      </c>
      <c r="K85" s="1361">
        <v>714.7</v>
      </c>
      <c r="L85" s="1361">
        <v>825.97324353225997</v>
      </c>
      <c r="M85" s="1361">
        <v>848.38771418442604</v>
      </c>
      <c r="N85" s="1361">
        <v>1531.5</v>
      </c>
      <c r="O85" s="1361">
        <v>1531.5</v>
      </c>
      <c r="Q85" s="1361">
        <v>1531.5</v>
      </c>
      <c r="R85" s="1361">
        <v>769.12399296642695</v>
      </c>
      <c r="S85" s="1361">
        <v>769.12399296642695</v>
      </c>
      <c r="T85" s="1361">
        <v>1234.98473993528</v>
      </c>
      <c r="U85" s="1361">
        <v>1234.98473993528</v>
      </c>
      <c r="W85" s="1361">
        <v>1322</v>
      </c>
      <c r="X85" s="1361">
        <v>825.97324353225997</v>
      </c>
    </row>
    <row r="86" spans="1:24" s="1361" customFormat="1" x14ac:dyDescent="0.2">
      <c r="A86" s="1357"/>
      <c r="B86" s="1358"/>
      <c r="C86" s="1359"/>
      <c r="D86" s="1360"/>
    </row>
    <row r="87" spans="1:24" s="1361" customFormat="1" x14ac:dyDescent="0.2">
      <c r="A87" s="1357" t="s">
        <v>402</v>
      </c>
      <c r="B87" s="1358" t="s">
        <v>230</v>
      </c>
      <c r="C87" s="1359" t="s">
        <v>149</v>
      </c>
      <c r="D87" s="1360">
        <f>IF(Saisie!C85="","",Saisie!C85)</f>
        <v>27123</v>
      </c>
      <c r="E87" s="1361">
        <v>8789</v>
      </c>
      <c r="F87" s="1361">
        <v>5757.91</v>
      </c>
      <c r="G87" s="1361">
        <v>7950</v>
      </c>
      <c r="H87" s="1361">
        <v>5493.0840522321796</v>
      </c>
      <c r="I87" s="1361">
        <v>8997.1949999999997</v>
      </c>
      <c r="J87" s="1361">
        <v>4656.1499999999996</v>
      </c>
      <c r="K87" s="1361">
        <v>5317</v>
      </c>
      <c r="L87" s="1361">
        <v>5682.80626305238</v>
      </c>
      <c r="M87" s="1361">
        <v>5554.9182124413001</v>
      </c>
      <c r="N87" s="1361">
        <v>7868</v>
      </c>
      <c r="O87" s="1361">
        <v>6594.8164285704597</v>
      </c>
      <c r="Q87" s="1361">
        <v>10855</v>
      </c>
      <c r="R87" s="1361">
        <v>7553.8622490671996</v>
      </c>
      <c r="S87" s="1361">
        <v>7553.8622490671996</v>
      </c>
      <c r="T87" s="1361">
        <v>8402.9281984080008</v>
      </c>
      <c r="U87" s="1361">
        <v>8402.9281984080008</v>
      </c>
      <c r="W87" s="1361">
        <v>9566</v>
      </c>
      <c r="X87" s="1361">
        <v>8483.5672730523802</v>
      </c>
    </row>
    <row r="88" spans="1:24" s="1361" customFormat="1" x14ac:dyDescent="0.2">
      <c r="A88" s="1357" t="s">
        <v>404</v>
      </c>
      <c r="B88" s="1358" t="s">
        <v>233</v>
      </c>
      <c r="C88" s="1359" t="s">
        <v>149</v>
      </c>
      <c r="D88" s="1360">
        <f>IF(Saisie!C86="","",Saisie!C86)</f>
        <v>19437</v>
      </c>
      <c r="E88" s="1361">
        <v>5647.8708092078004</v>
      </c>
      <c r="F88" s="1361">
        <v>5811.1494386354898</v>
      </c>
      <c r="G88" s="1361">
        <v>7143.0150000000003</v>
      </c>
      <c r="H88" s="1361">
        <v>6613.3747999999996</v>
      </c>
      <c r="I88" s="1361">
        <v>8277.8354999999992</v>
      </c>
      <c r="J88" s="1361">
        <v>3111.9389735328</v>
      </c>
      <c r="K88" s="1361">
        <v>3461.6</v>
      </c>
      <c r="L88" s="1361">
        <v>4494.8420186438998</v>
      </c>
      <c r="M88" s="1361">
        <v>4161.7978095496701</v>
      </c>
      <c r="N88" s="1361">
        <v>7407.59</v>
      </c>
      <c r="O88" s="1361">
        <v>3237.9308000000001</v>
      </c>
      <c r="Q88" s="1361">
        <v>6160.8325000000004</v>
      </c>
      <c r="R88" s="1361">
        <v>3813.5523744768998</v>
      </c>
      <c r="S88" s="1361">
        <v>3813.5523744768998</v>
      </c>
      <c r="T88" s="1361">
        <v>4722.8381035013399</v>
      </c>
      <c r="U88" s="1361">
        <v>4086.2427842880002</v>
      </c>
      <c r="W88" s="1361">
        <v>6136</v>
      </c>
      <c r="X88" s="1361">
        <v>5435.6514266438999</v>
      </c>
    </row>
    <row r="89" spans="1:24" s="1361" customFormat="1" x14ac:dyDescent="0.2">
      <c r="A89" s="1357" t="s">
        <v>406</v>
      </c>
      <c r="B89" s="1358" t="s">
        <v>236</v>
      </c>
      <c r="C89" s="1359" t="s">
        <v>149</v>
      </c>
      <c r="D89" s="1360">
        <f>IF(Saisie!C87="","",Saisie!C87)</f>
        <v>54204</v>
      </c>
      <c r="E89" s="1361">
        <v>0</v>
      </c>
      <c r="F89" s="1361">
        <v>0</v>
      </c>
      <c r="G89" s="1361">
        <v>0</v>
      </c>
      <c r="H89" s="1361">
        <v>0</v>
      </c>
      <c r="I89" s="1361">
        <v>0</v>
      </c>
      <c r="J89" s="1361">
        <v>0</v>
      </c>
      <c r="K89" s="1361">
        <v>507.5</v>
      </c>
      <c r="L89" s="1361">
        <v>0</v>
      </c>
      <c r="M89" s="1361">
        <v>517.65</v>
      </c>
      <c r="N89" s="1361">
        <v>1015</v>
      </c>
      <c r="O89" s="1361">
        <v>0</v>
      </c>
      <c r="Q89" s="1361">
        <v>0</v>
      </c>
      <c r="R89" s="1361">
        <v>0</v>
      </c>
      <c r="S89" s="1361">
        <v>0</v>
      </c>
      <c r="T89" s="1361">
        <v>0</v>
      </c>
      <c r="U89" s="1361">
        <v>0</v>
      </c>
      <c r="W89" s="1361">
        <v>2258</v>
      </c>
      <c r="X89" s="1361">
        <v>25668.5</v>
      </c>
    </row>
    <row r="90" spans="1:24" s="1361" customFormat="1" x14ac:dyDescent="0.2">
      <c r="A90" s="1357" t="s">
        <v>407</v>
      </c>
      <c r="B90" s="1358" t="s">
        <v>239</v>
      </c>
      <c r="C90" s="1359" t="s">
        <v>149</v>
      </c>
      <c r="D90" s="1360">
        <f>IF(Saisie!C88="","",Saisie!C88)</f>
        <v>20141</v>
      </c>
      <c r="E90" s="1361">
        <v>3282.42948696851</v>
      </c>
      <c r="F90" s="1361">
        <v>2072.9531553878201</v>
      </c>
      <c r="G90" s="1361">
        <v>3369.25289388599</v>
      </c>
      <c r="H90" s="1361">
        <v>1507.38852084716</v>
      </c>
      <c r="I90" s="1361">
        <v>4171.1179492315496</v>
      </c>
      <c r="J90" s="1361">
        <v>2523.8894241176699</v>
      </c>
      <c r="K90" s="1361">
        <v>2480.5636356042601</v>
      </c>
      <c r="L90" s="1361">
        <v>3326.3586284610301</v>
      </c>
      <c r="M90" s="1361">
        <v>3428.0740768017399</v>
      </c>
      <c r="N90" s="1361">
        <v>5474.05845536581</v>
      </c>
      <c r="O90" s="1361">
        <v>2721.9457036680901</v>
      </c>
      <c r="Q90" s="1361">
        <v>5084.0737800247698</v>
      </c>
      <c r="R90" s="1361">
        <v>2134.7117044520101</v>
      </c>
      <c r="S90" s="1361">
        <v>2712.9566243541499</v>
      </c>
      <c r="T90" s="1361">
        <v>4402.2124220251699</v>
      </c>
      <c r="U90" s="1361">
        <v>4089.7458636168399</v>
      </c>
      <c r="W90" s="1361">
        <v>1762</v>
      </c>
      <c r="X90" s="1361">
        <v>4274.5062999319998</v>
      </c>
    </row>
    <row r="91" spans="1:24" s="1361" customFormat="1" x14ac:dyDescent="0.2">
      <c r="A91" s="1357"/>
      <c r="B91" s="1358" t="s">
        <v>242</v>
      </c>
      <c r="C91" s="1359"/>
      <c r="D91" s="1360"/>
    </row>
    <row r="92" spans="1:24" s="1361" customFormat="1" x14ac:dyDescent="0.2">
      <c r="A92" s="1357" t="s">
        <v>409</v>
      </c>
      <c r="B92" s="1358" t="s">
        <v>243</v>
      </c>
      <c r="C92" s="1359" t="s">
        <v>149</v>
      </c>
      <c r="D92" s="1360">
        <f>IF(Saisie!C90="","",Saisie!C90)</f>
        <v>34382</v>
      </c>
      <c r="E92" s="1361">
        <v>19923.535631248698</v>
      </c>
      <c r="F92" s="1361">
        <v>9800.3086422311007</v>
      </c>
      <c r="G92" s="1361">
        <v>16884.720316009701</v>
      </c>
      <c r="H92" s="1361">
        <v>6163.2343691126098</v>
      </c>
      <c r="I92" s="1361">
        <v>16113.6826792722</v>
      </c>
      <c r="J92" s="1361">
        <v>8690.2990975640296</v>
      </c>
      <c r="K92" s="1361">
        <v>10289.620706281999</v>
      </c>
      <c r="L92" s="1361">
        <v>13832.779962267399</v>
      </c>
      <c r="M92" s="1361">
        <v>14532.9551723281</v>
      </c>
      <c r="N92" s="1361">
        <v>19849.352919981899</v>
      </c>
      <c r="O92" s="1361">
        <v>9829.4730288504306</v>
      </c>
      <c r="Q92" s="1361">
        <v>17986.119584483102</v>
      </c>
      <c r="R92" s="1361">
        <v>8820.8761981261596</v>
      </c>
      <c r="S92" s="1361">
        <v>12445.373571927699</v>
      </c>
      <c r="T92" s="1361">
        <v>11895.7172354578</v>
      </c>
      <c r="U92" s="1361">
        <v>11895.7172354578</v>
      </c>
      <c r="W92" s="1361">
        <v>31770</v>
      </c>
      <c r="X92" s="1361">
        <v>9220.1671839741302</v>
      </c>
    </row>
    <row r="93" spans="1:24" s="1361" customFormat="1" x14ac:dyDescent="0.2">
      <c r="A93" s="1357" t="s">
        <v>410</v>
      </c>
      <c r="B93" s="1358" t="s">
        <v>246</v>
      </c>
      <c r="C93" s="1359" t="s">
        <v>149</v>
      </c>
      <c r="D93" s="1360">
        <f>IF(Saisie!C91="","",Saisie!C91)</f>
        <v>31375</v>
      </c>
      <c r="E93" s="1361">
        <v>14549.0730036612</v>
      </c>
      <c r="F93" s="1361">
        <v>3703.4809877190401</v>
      </c>
      <c r="G93" s="1361">
        <v>15003.312522177799</v>
      </c>
      <c r="H93" s="1361">
        <v>2082.4987149136</v>
      </c>
      <c r="I93" s="1361">
        <v>11074.772992353701</v>
      </c>
      <c r="J93" s="1361">
        <v>8446.6297689802905</v>
      </c>
      <c r="K93" s="1361">
        <v>9489.4050747384699</v>
      </c>
      <c r="L93" s="1361">
        <v>14396.9202136434</v>
      </c>
      <c r="M93" s="1361">
        <v>13967.0616581062</v>
      </c>
      <c r="N93" s="1361">
        <v>23581.964498664001</v>
      </c>
      <c r="O93" s="1361">
        <v>11050.9352654702</v>
      </c>
      <c r="Q93" s="1361">
        <v>20622.144892386401</v>
      </c>
      <c r="R93" s="1361">
        <v>6378.8732324522698</v>
      </c>
      <c r="S93" s="1361">
        <v>6378.8732324522698</v>
      </c>
      <c r="T93" s="1361">
        <v>12073.548283133199</v>
      </c>
      <c r="U93" s="1361">
        <v>10948.487115274</v>
      </c>
      <c r="W93" s="1361">
        <v>3221</v>
      </c>
      <c r="X93" s="1361">
        <v>23771.627067113499</v>
      </c>
    </row>
    <row r="94" spans="1:24" s="1361" customFormat="1" x14ac:dyDescent="0.2">
      <c r="A94" s="1357"/>
      <c r="B94" s="1358"/>
      <c r="C94" s="1359"/>
      <c r="D94" s="1360"/>
    </row>
    <row r="95" spans="1:24" s="1361" customFormat="1" x14ac:dyDescent="0.2">
      <c r="A95" s="1357" t="s">
        <v>411</v>
      </c>
      <c r="B95" s="1358" t="s">
        <v>248</v>
      </c>
      <c r="C95" s="1359" t="s">
        <v>149</v>
      </c>
      <c r="D95" s="1360" t="str">
        <f>IF(Saisie!C93="","",Saisie!C93)</f>
        <v/>
      </c>
      <c r="E95" s="1361">
        <v>118</v>
      </c>
      <c r="F95" s="1361">
        <v>174.341979864199</v>
      </c>
      <c r="G95" s="1361">
        <v>119.11642579210699</v>
      </c>
      <c r="H95" s="1361">
        <v>236.20084279361001</v>
      </c>
      <c r="I95" s="1361">
        <v>124.16753249999999</v>
      </c>
      <c r="J95" s="1361">
        <v>59</v>
      </c>
      <c r="K95" s="1361">
        <v>98.028998640688698</v>
      </c>
      <c r="L95" s="1361">
        <v>99.153843171355803</v>
      </c>
      <c r="M95" s="1361">
        <v>111.47672704150899</v>
      </c>
      <c r="N95" s="1361">
        <v>111.11385</v>
      </c>
      <c r="O95" s="1361">
        <v>108.292</v>
      </c>
      <c r="Q95" s="1361">
        <v>97.230246199168803</v>
      </c>
      <c r="R95" s="1361">
        <v>95.180175735696295</v>
      </c>
      <c r="S95" s="1361">
        <v>85.250798237188505</v>
      </c>
      <c r="T95" s="1361">
        <v>106.05175382113801</v>
      </c>
      <c r="U95" s="1361">
        <v>110.628358026027</v>
      </c>
      <c r="W95" s="1361">
        <v>110</v>
      </c>
      <c r="X95" s="1361">
        <v>80.049783720814304</v>
      </c>
    </row>
    <row r="96" spans="1:24" s="1361" customFormat="1" x14ac:dyDescent="0.2">
      <c r="A96" s="1357" t="s">
        <v>412</v>
      </c>
      <c r="B96" s="1358" t="s">
        <v>251</v>
      </c>
      <c r="C96" s="1359" t="s">
        <v>149</v>
      </c>
      <c r="D96" s="1360">
        <f>IF(Saisie!C94="","",Saisie!C94)</f>
        <v>21000</v>
      </c>
      <c r="E96" s="1361">
        <v>7862.2742786404597</v>
      </c>
      <c r="F96" s="1361">
        <v>5997.4177858789899</v>
      </c>
      <c r="G96" s="1361">
        <v>10427.9636321527</v>
      </c>
      <c r="H96" s="1361">
        <v>8435.7932853088405</v>
      </c>
      <c r="I96" s="1361">
        <v>11108.2067693439</v>
      </c>
      <c r="J96" s="1361">
        <v>6700.0170084629499</v>
      </c>
      <c r="K96" s="1361">
        <v>6083.1459939103897</v>
      </c>
      <c r="L96" s="1361">
        <v>6398.6140369324003</v>
      </c>
      <c r="M96" s="1361">
        <v>6559.6509208101297</v>
      </c>
      <c r="N96" s="1361">
        <v>11918.3723961531</v>
      </c>
      <c r="O96" s="1361">
        <v>9274.9398500727202</v>
      </c>
      <c r="Q96" s="1361">
        <v>13007.5511449851</v>
      </c>
      <c r="R96" s="1361">
        <v>3005</v>
      </c>
      <c r="S96" s="1361">
        <v>3355</v>
      </c>
      <c r="T96" s="1361">
        <v>9505.0181233255898</v>
      </c>
      <c r="U96" s="1361">
        <v>8711.1657665882503</v>
      </c>
      <c r="W96" s="1361">
        <v>3066</v>
      </c>
      <c r="X96" s="1361">
        <v>10651.6306338381</v>
      </c>
    </row>
    <row r="97" spans="1:24" s="1361" customFormat="1" x14ac:dyDescent="0.2">
      <c r="A97" s="1357" t="s">
        <v>413</v>
      </c>
      <c r="B97" s="1358" t="s">
        <v>254</v>
      </c>
      <c r="C97" s="1359" t="s">
        <v>149</v>
      </c>
      <c r="D97" s="1360">
        <f>IF(Saisie!C95="","",Saisie!C95)</f>
        <v>329786</v>
      </c>
      <c r="E97" s="1361">
        <v>205151.84293553201</v>
      </c>
      <c r="F97" s="1361">
        <v>86373.048141159394</v>
      </c>
      <c r="G97" s="1361">
        <v>210578.30586787401</v>
      </c>
      <c r="H97" s="1361">
        <v>75369.426042357896</v>
      </c>
      <c r="I97" s="1361">
        <v>208555.897461577</v>
      </c>
      <c r="J97" s="1361">
        <v>121340.83769796501</v>
      </c>
      <c r="K97" s="1361">
        <v>124028.181780213</v>
      </c>
      <c r="L97" s="1361">
        <v>166317.93142305099</v>
      </c>
      <c r="M97" s="1361">
        <v>171403.70384008699</v>
      </c>
      <c r="N97" s="1361">
        <v>273702.92276828998</v>
      </c>
      <c r="O97" s="1361">
        <v>136097.28518340501</v>
      </c>
      <c r="Q97" s="1361">
        <v>254203.689001238</v>
      </c>
      <c r="R97" s="1361">
        <v>106735.5852226</v>
      </c>
      <c r="S97" s="1361">
        <v>113039.85934809</v>
      </c>
      <c r="T97" s="1361">
        <v>157221.872215184</v>
      </c>
      <c r="U97" s="1361">
        <v>146062.35227203</v>
      </c>
      <c r="W97" s="1361">
        <v>278035</v>
      </c>
      <c r="X97" s="1361">
        <v>213725.31499660001</v>
      </c>
    </row>
    <row r="98" spans="1:24" s="1361" customFormat="1" x14ac:dyDescent="0.2">
      <c r="A98" s="1357"/>
      <c r="B98" s="1358"/>
      <c r="C98" s="1359"/>
      <c r="D98" s="1360"/>
    </row>
    <row r="99" spans="1:24" s="1361" customFormat="1" x14ac:dyDescent="0.2">
      <c r="A99" s="1357" t="s">
        <v>414</v>
      </c>
      <c r="B99" s="1358" t="s">
        <v>256</v>
      </c>
      <c r="C99" s="1359" t="s">
        <v>149</v>
      </c>
      <c r="D99" s="1360">
        <f>IF(Saisie!C97="","",Saisie!C97)</f>
        <v>0</v>
      </c>
      <c r="E99" s="1361">
        <v>0</v>
      </c>
      <c r="F99" s="1361">
        <v>0</v>
      </c>
      <c r="G99" s="1361">
        <v>0</v>
      </c>
      <c r="H99" s="1361">
        <v>0</v>
      </c>
      <c r="I99" s="1361">
        <v>0</v>
      </c>
      <c r="K99" s="1361">
        <v>0</v>
      </c>
      <c r="W99" s="1361">
        <v>0</v>
      </c>
    </row>
    <row r="100" spans="1:24" s="1361" customFormat="1" x14ac:dyDescent="0.2">
      <c r="A100" s="1357"/>
      <c r="B100" s="1363" t="s">
        <v>415</v>
      </c>
      <c r="C100" s="1359" t="s">
        <v>149</v>
      </c>
      <c r="D100" s="1360" t="str">
        <f>IF(Saisie!C98="","",Saisie!C98)</f>
        <v/>
      </c>
    </row>
    <row r="101" spans="1:24" s="1361" customFormat="1" x14ac:dyDescent="0.2">
      <c r="A101" s="1357"/>
      <c r="B101" s="1364" t="s">
        <v>258</v>
      </c>
      <c r="C101" s="1359"/>
      <c r="D101" s="1360"/>
    </row>
    <row r="102" spans="1:24" s="1361" customFormat="1" x14ac:dyDescent="0.2">
      <c r="A102" s="1357" t="s">
        <v>417</v>
      </c>
      <c r="B102" s="1358" t="s">
        <v>259</v>
      </c>
      <c r="C102" s="1359" t="s">
        <v>149</v>
      </c>
      <c r="D102" s="1360" t="str">
        <f>IF(Saisie!C100="","",Saisie!C100)</f>
        <v/>
      </c>
      <c r="E102" s="1361">
        <v>0</v>
      </c>
      <c r="F102" s="1361">
        <v>0</v>
      </c>
      <c r="G102" s="1361">
        <v>0</v>
      </c>
      <c r="H102" s="1361">
        <v>0</v>
      </c>
      <c r="I102" s="1361">
        <v>0</v>
      </c>
    </row>
    <row r="103" spans="1:24" s="1361" customFormat="1" x14ac:dyDescent="0.2">
      <c r="A103" s="1357" t="s">
        <v>418</v>
      </c>
      <c r="B103" s="1358" t="s">
        <v>191</v>
      </c>
      <c r="C103" s="1359" t="s">
        <v>149</v>
      </c>
      <c r="D103" s="1360" t="str">
        <f>IF(Saisie!C101="","",Saisie!C101)</f>
        <v/>
      </c>
      <c r="E103" s="1361">
        <v>0</v>
      </c>
      <c r="F103" s="1361">
        <v>0</v>
      </c>
      <c r="G103" s="1361">
        <v>0</v>
      </c>
      <c r="H103" s="1361">
        <v>0</v>
      </c>
      <c r="I103" s="1361">
        <v>0</v>
      </c>
    </row>
    <row r="104" spans="1:24" s="1361" customFormat="1" x14ac:dyDescent="0.2">
      <c r="A104" s="1357" t="s">
        <v>419</v>
      </c>
      <c r="B104" s="1358" t="s">
        <v>193</v>
      </c>
      <c r="C104" s="1359" t="s">
        <v>149</v>
      </c>
      <c r="D104" s="1360" t="str">
        <f>IF(Saisie!C102="","",Saisie!C102)</f>
        <v/>
      </c>
      <c r="E104" s="1361">
        <v>0</v>
      </c>
      <c r="F104" s="1361">
        <v>0</v>
      </c>
      <c r="G104" s="1361">
        <v>0</v>
      </c>
      <c r="H104" s="1361">
        <v>0</v>
      </c>
      <c r="I104" s="1361">
        <v>0</v>
      </c>
    </row>
    <row r="105" spans="1:24" s="1361" customFormat="1" x14ac:dyDescent="0.2">
      <c r="A105" s="1357" t="s">
        <v>420</v>
      </c>
      <c r="B105" s="1358" t="s">
        <v>261</v>
      </c>
      <c r="C105" s="1359" t="s">
        <v>149</v>
      </c>
      <c r="D105" s="1360" t="str">
        <f>IF(Saisie!C103="","",Saisie!C103)</f>
        <v/>
      </c>
      <c r="E105" s="1361">
        <v>0</v>
      </c>
      <c r="F105" s="1361">
        <v>0</v>
      </c>
      <c r="G105" s="1361">
        <v>0</v>
      </c>
      <c r="H105" s="1361">
        <v>0</v>
      </c>
      <c r="I105" s="1361">
        <v>0</v>
      </c>
    </row>
    <row r="106" spans="1:24" s="1361" customFormat="1" x14ac:dyDescent="0.2">
      <c r="A106" s="1357"/>
      <c r="B106" s="1358" t="s">
        <v>1096</v>
      </c>
      <c r="C106" s="1359"/>
      <c r="D106" s="1360"/>
    </row>
    <row r="107" spans="1:24" s="1361" customFormat="1" x14ac:dyDescent="0.2">
      <c r="A107" s="1357" t="s">
        <v>263</v>
      </c>
      <c r="B107" s="1358" t="s">
        <v>263</v>
      </c>
      <c r="C107" s="1359" t="s">
        <v>149</v>
      </c>
      <c r="D107" s="1360">
        <f>IF(Saisie!C105="","",Saisie!C105)</f>
        <v>88325</v>
      </c>
      <c r="E107" s="1361">
        <v>61869.4052407083</v>
      </c>
      <c r="F107" s="1361">
        <v>33973.886167783297</v>
      </c>
      <c r="G107" s="1361">
        <v>69265.960420306394</v>
      </c>
      <c r="H107" s="1361">
        <v>36567.970499674899</v>
      </c>
      <c r="I107" s="1361">
        <v>69087.156367147298</v>
      </c>
      <c r="J107" s="1361">
        <v>40810.941859427301</v>
      </c>
      <c r="K107" s="1361">
        <v>41385.181276164898</v>
      </c>
      <c r="L107" s="1361">
        <v>51333.113119802299</v>
      </c>
      <c r="M107" s="1361">
        <v>52259.147994909603</v>
      </c>
      <c r="N107" s="1361">
        <v>89222.882609669497</v>
      </c>
      <c r="O107" s="1361">
        <v>53275.644508280697</v>
      </c>
      <c r="Q107" s="1361">
        <v>91927.347908791402</v>
      </c>
      <c r="R107" s="1361">
        <v>40342.644057294303</v>
      </c>
      <c r="S107" s="1361">
        <v>40342.644057294303</v>
      </c>
      <c r="T107" s="1361">
        <v>60827.845823038697</v>
      </c>
      <c r="U107" s="1361">
        <v>56230.404996675497</v>
      </c>
      <c r="W107" s="1361">
        <v>49366</v>
      </c>
      <c r="X107" s="1361">
        <v>73120.548428577502</v>
      </c>
    </row>
    <row r="108" spans="1:24" s="1361" customFormat="1" x14ac:dyDescent="0.2">
      <c r="A108" s="1357" t="s">
        <v>1097</v>
      </c>
      <c r="B108" s="1358" t="s">
        <v>265</v>
      </c>
      <c r="C108" s="1359" t="s">
        <v>149</v>
      </c>
      <c r="D108" s="1360">
        <f>IF(Saisie!C106="","",Saisie!C106)</f>
        <v>81604</v>
      </c>
      <c r="E108" s="1361">
        <v>13129.717947874</v>
      </c>
      <c r="F108" s="1361">
        <v>8291.8126215513003</v>
      </c>
      <c r="G108" s="1361">
        <v>13477.0115755439</v>
      </c>
      <c r="H108" s="1361">
        <v>6029.5540833886298</v>
      </c>
      <c r="I108" s="1361">
        <v>16684.471796926198</v>
      </c>
      <c r="J108" s="1361">
        <v>10095.5576964707</v>
      </c>
      <c r="K108" s="1361">
        <v>9922.2545424170603</v>
      </c>
      <c r="L108" s="1361">
        <v>13305.4345138441</v>
      </c>
      <c r="M108" s="1361">
        <v>13712.296307207</v>
      </c>
      <c r="N108" s="1361">
        <v>21896.2338214632</v>
      </c>
      <c r="O108" s="1361">
        <v>10887.7828146724</v>
      </c>
      <c r="Q108" s="1361">
        <v>20336.295120099101</v>
      </c>
      <c r="R108" s="1361">
        <v>8538.8468178080402</v>
      </c>
      <c r="S108" s="1361">
        <v>8538.8468178080402</v>
      </c>
      <c r="T108" s="1361">
        <v>17608.849688100701</v>
      </c>
      <c r="U108" s="1361">
        <v>16358.983454467399</v>
      </c>
      <c r="W108" s="1361">
        <v>10616</v>
      </c>
      <c r="X108" s="1361">
        <v>17098.025199727999</v>
      </c>
    </row>
    <row r="109" spans="1:24" s="1361" customFormat="1" x14ac:dyDescent="0.2">
      <c r="A109" s="1357" t="s">
        <v>1098</v>
      </c>
      <c r="B109" s="1358" t="s">
        <v>267</v>
      </c>
      <c r="C109" s="1359" t="s">
        <v>149</v>
      </c>
      <c r="D109" s="1360">
        <f>IF(Saisie!C107="",0,Saisie!C107)</f>
        <v>0</v>
      </c>
      <c r="E109" s="1361">
        <v>0</v>
      </c>
      <c r="F109" s="1361">
        <v>0</v>
      </c>
      <c r="G109" s="1361">
        <v>0</v>
      </c>
      <c r="H109" s="1361">
        <v>0</v>
      </c>
      <c r="I109" s="1361">
        <v>0</v>
      </c>
      <c r="J109" s="1361">
        <v>0</v>
      </c>
      <c r="K109" s="1361">
        <v>0</v>
      </c>
      <c r="L109" s="1361">
        <v>0</v>
      </c>
      <c r="M109" s="1361">
        <v>0</v>
      </c>
      <c r="N109" s="1361">
        <v>0</v>
      </c>
      <c r="O109" s="1361">
        <v>0</v>
      </c>
      <c r="Q109" s="1361">
        <v>0</v>
      </c>
      <c r="R109" s="1361">
        <v>0</v>
      </c>
      <c r="S109" s="1361">
        <v>0</v>
      </c>
      <c r="T109" s="1361">
        <v>0</v>
      </c>
      <c r="U109" s="1361">
        <v>0</v>
      </c>
      <c r="W109" s="1361">
        <v>877</v>
      </c>
      <c r="X109" s="1361">
        <v>0</v>
      </c>
    </row>
    <row r="110" spans="1:24" s="1361" customFormat="1" x14ac:dyDescent="0.2">
      <c r="A110" s="1357" t="s">
        <v>1099</v>
      </c>
      <c r="B110" s="1358" t="s">
        <v>268</v>
      </c>
      <c r="C110" s="1359" t="s">
        <v>149</v>
      </c>
      <c r="D110" s="1360">
        <f>IF(Saisie!C108="",0,Saisie!C108)</f>
        <v>0</v>
      </c>
      <c r="E110" s="1361">
        <v>0</v>
      </c>
      <c r="F110" s="1361">
        <v>0</v>
      </c>
      <c r="G110" s="1361">
        <v>0</v>
      </c>
      <c r="H110" s="1361">
        <v>0</v>
      </c>
      <c r="I110" s="1361">
        <v>0</v>
      </c>
      <c r="J110" s="1361">
        <v>0</v>
      </c>
      <c r="K110" s="1361">
        <v>0</v>
      </c>
      <c r="L110" s="1361">
        <v>0</v>
      </c>
      <c r="M110" s="1361">
        <v>0</v>
      </c>
      <c r="N110" s="1361">
        <v>0</v>
      </c>
      <c r="O110" s="1361">
        <v>0</v>
      </c>
      <c r="Q110" s="1361">
        <v>0</v>
      </c>
      <c r="R110" s="1361">
        <v>0</v>
      </c>
      <c r="S110" s="1361">
        <v>0</v>
      </c>
      <c r="T110" s="1361">
        <v>0</v>
      </c>
      <c r="U110" s="1361">
        <v>0</v>
      </c>
      <c r="W110" s="1361">
        <v>307</v>
      </c>
      <c r="X110" s="1361">
        <v>0</v>
      </c>
    </row>
    <row r="111" spans="1:24" s="1361" customFormat="1" x14ac:dyDescent="0.2">
      <c r="A111" s="1357"/>
      <c r="B111" s="1365" t="s">
        <v>1100</v>
      </c>
      <c r="C111" s="1359"/>
      <c r="D111" s="1360"/>
    </row>
    <row r="112" spans="1:24" s="1361" customFormat="1" x14ac:dyDescent="0.2">
      <c r="A112" s="1357"/>
      <c r="B112" s="1366" t="s">
        <v>270</v>
      </c>
      <c r="C112" s="1359" t="s">
        <v>271</v>
      </c>
      <c r="D112" s="1360">
        <f>IF(Saisie!C110="",0,Saisie!C110)</f>
        <v>0</v>
      </c>
      <c r="E112" s="1361">
        <v>0</v>
      </c>
      <c r="F112" s="1361">
        <v>0</v>
      </c>
      <c r="G112" s="1361">
        <v>0</v>
      </c>
      <c r="H112" s="1361">
        <v>0</v>
      </c>
      <c r="I112" s="1361">
        <v>0</v>
      </c>
      <c r="J112" s="1361">
        <v>0</v>
      </c>
      <c r="K112" s="1361">
        <v>0</v>
      </c>
      <c r="L112" s="1361">
        <v>0</v>
      </c>
      <c r="M112" s="1361">
        <v>0</v>
      </c>
      <c r="N112" s="1361">
        <v>0</v>
      </c>
      <c r="O112" s="1361">
        <v>0</v>
      </c>
      <c r="Q112" s="1361">
        <v>0</v>
      </c>
      <c r="R112" s="1361">
        <v>0</v>
      </c>
      <c r="S112" s="1361">
        <v>0</v>
      </c>
      <c r="T112" s="1361">
        <v>0</v>
      </c>
      <c r="U112" s="1361">
        <v>0</v>
      </c>
      <c r="W112" s="1361">
        <v>0</v>
      </c>
      <c r="X112" s="1361">
        <v>17.946506691956198</v>
      </c>
    </row>
    <row r="113" spans="1:24" s="1361" customFormat="1" x14ac:dyDescent="0.2">
      <c r="A113" s="1357"/>
      <c r="B113" s="1366" t="s">
        <v>272</v>
      </c>
      <c r="C113" s="1359" t="s">
        <v>273</v>
      </c>
      <c r="D113" s="1360">
        <f>IF(Saisie!C111="",0,Saisie!C111)</f>
        <v>0</v>
      </c>
      <c r="E113" s="1361">
        <v>0</v>
      </c>
      <c r="F113" s="1361">
        <v>0</v>
      </c>
      <c r="G113" s="1361">
        <v>0</v>
      </c>
      <c r="H113" s="1361">
        <v>0</v>
      </c>
      <c r="I113" s="1361">
        <v>0</v>
      </c>
      <c r="J113" s="1361">
        <v>0</v>
      </c>
      <c r="K113" s="1361">
        <v>0</v>
      </c>
      <c r="L113" s="1361">
        <v>0</v>
      </c>
      <c r="M113" s="1361">
        <v>0</v>
      </c>
      <c r="N113" s="1361">
        <v>0</v>
      </c>
      <c r="O113" s="1361">
        <v>0</v>
      </c>
      <c r="Q113" s="1361">
        <v>0</v>
      </c>
      <c r="R113" s="1361">
        <v>0</v>
      </c>
      <c r="S113" s="1361">
        <v>0</v>
      </c>
      <c r="T113" s="1361">
        <v>0</v>
      </c>
      <c r="U113" s="1361">
        <v>0</v>
      </c>
      <c r="W113" s="1361">
        <v>0</v>
      </c>
      <c r="X113" s="1361">
        <v>9.5</v>
      </c>
    </row>
    <row r="114" spans="1:24" s="1361" customFormat="1" x14ac:dyDescent="0.2">
      <c r="A114" s="1357"/>
      <c r="B114" s="1366" t="s">
        <v>275</v>
      </c>
      <c r="C114" s="1359" t="s">
        <v>149</v>
      </c>
      <c r="D114" s="1360">
        <f>IF(Saisie!C112="",0,Saisie!C112)</f>
        <v>0</v>
      </c>
      <c r="E114" s="1361">
        <v>0</v>
      </c>
      <c r="F114" s="1361">
        <v>0</v>
      </c>
      <c r="G114" s="1361">
        <v>0</v>
      </c>
      <c r="H114" s="1361">
        <v>0</v>
      </c>
      <c r="I114" s="1361">
        <v>0</v>
      </c>
      <c r="J114" s="1361">
        <v>0</v>
      </c>
      <c r="K114" s="1361">
        <v>0</v>
      </c>
      <c r="L114" s="1361">
        <v>0</v>
      </c>
      <c r="M114" s="1361">
        <v>0</v>
      </c>
      <c r="N114" s="1361">
        <v>0</v>
      </c>
      <c r="O114" s="1361">
        <v>0</v>
      </c>
      <c r="Q114" s="1361">
        <v>0</v>
      </c>
      <c r="R114" s="1361">
        <v>0</v>
      </c>
      <c r="S114" s="1361">
        <v>0</v>
      </c>
      <c r="T114" s="1361">
        <v>0</v>
      </c>
      <c r="U114" s="1361">
        <v>0</v>
      </c>
      <c r="W114" s="1361">
        <v>0</v>
      </c>
      <c r="X114" s="1361">
        <v>113712.428597399</v>
      </c>
    </row>
    <row r="115" spans="1:24" s="1361" customFormat="1" x14ac:dyDescent="0.2">
      <c r="A115" s="1357"/>
      <c r="B115" s="1366" t="s">
        <v>276</v>
      </c>
      <c r="C115" s="1359" t="s">
        <v>149</v>
      </c>
      <c r="D115" s="1360">
        <f>IF(Saisie!C113="",0,Saisie!C113)</f>
        <v>0</v>
      </c>
      <c r="E115" s="1361">
        <v>0</v>
      </c>
      <c r="F115" s="1361">
        <v>0</v>
      </c>
      <c r="G115" s="1361">
        <v>0</v>
      </c>
      <c r="H115" s="1361">
        <v>0</v>
      </c>
      <c r="I115" s="1361">
        <v>0</v>
      </c>
      <c r="J115" s="1361">
        <v>0</v>
      </c>
      <c r="K115" s="1361">
        <v>0</v>
      </c>
      <c r="L115" s="1361">
        <v>0</v>
      </c>
      <c r="M115" s="1361">
        <v>0</v>
      </c>
      <c r="N115" s="1361">
        <v>0</v>
      </c>
      <c r="O115" s="1361">
        <v>0</v>
      </c>
      <c r="Q115" s="1361">
        <v>0</v>
      </c>
      <c r="R115" s="1361">
        <v>0</v>
      </c>
      <c r="S115" s="1361">
        <v>0</v>
      </c>
      <c r="T115" s="1361">
        <v>0</v>
      </c>
      <c r="U115" s="1361">
        <v>0</v>
      </c>
      <c r="W115" s="1361">
        <v>0</v>
      </c>
      <c r="X115" s="1361">
        <v>2260.1508487860901</v>
      </c>
    </row>
    <row r="116" spans="1:24" s="1361" customFormat="1" ht="25.5" x14ac:dyDescent="0.2">
      <c r="A116" s="1357"/>
      <c r="B116" s="1366" t="s">
        <v>279</v>
      </c>
      <c r="C116" s="1359" t="s">
        <v>149</v>
      </c>
      <c r="D116" s="1360">
        <f>IF(Saisie!C114="",0,Saisie!C114)</f>
        <v>0</v>
      </c>
      <c r="E116" s="1361">
        <v>0</v>
      </c>
      <c r="F116" s="1361">
        <v>0</v>
      </c>
      <c r="G116" s="1361">
        <v>0</v>
      </c>
      <c r="H116" s="1361">
        <v>0</v>
      </c>
      <c r="I116" s="1361">
        <v>0</v>
      </c>
      <c r="J116" s="1361">
        <v>0</v>
      </c>
      <c r="K116" s="1361">
        <v>0</v>
      </c>
      <c r="L116" s="1361">
        <v>0</v>
      </c>
      <c r="M116" s="1361">
        <v>0</v>
      </c>
      <c r="N116" s="1361">
        <v>0</v>
      </c>
      <c r="O116" s="1361">
        <v>0</v>
      </c>
      <c r="Q116" s="1361">
        <v>0</v>
      </c>
      <c r="R116" s="1361">
        <v>0</v>
      </c>
      <c r="S116" s="1361">
        <v>0</v>
      </c>
      <c r="T116" s="1361">
        <v>0</v>
      </c>
      <c r="U116" s="1361">
        <v>0</v>
      </c>
      <c r="W116" s="1361">
        <v>0</v>
      </c>
      <c r="X116" s="1361">
        <v>3448.9956000000002</v>
      </c>
    </row>
    <row r="117" spans="1:24" s="1361" customFormat="1" x14ac:dyDescent="0.2">
      <c r="A117" s="1357"/>
      <c r="B117" s="1366" t="s">
        <v>281</v>
      </c>
      <c r="C117" s="1359" t="s">
        <v>149</v>
      </c>
      <c r="D117" s="1360">
        <f>IF(Saisie!C115="",0,Saisie!C115)</f>
        <v>0</v>
      </c>
      <c r="E117" s="1361">
        <v>0</v>
      </c>
      <c r="F117" s="1361">
        <v>0</v>
      </c>
      <c r="G117" s="1361">
        <v>0</v>
      </c>
      <c r="H117" s="1361">
        <v>0</v>
      </c>
      <c r="I117" s="1361">
        <v>0</v>
      </c>
      <c r="J117" s="1361">
        <v>0</v>
      </c>
      <c r="K117" s="1361">
        <v>0</v>
      </c>
      <c r="L117" s="1361">
        <v>0</v>
      </c>
      <c r="M117" s="1361">
        <v>0</v>
      </c>
      <c r="N117" s="1361">
        <v>0</v>
      </c>
      <c r="O117" s="1361">
        <v>0</v>
      </c>
      <c r="Q117" s="1361">
        <v>0</v>
      </c>
      <c r="R117" s="1361">
        <v>0</v>
      </c>
      <c r="S117" s="1361">
        <v>0</v>
      </c>
      <c r="T117" s="1361">
        <v>0</v>
      </c>
      <c r="U117" s="1361">
        <v>0</v>
      </c>
      <c r="W117" s="1361">
        <v>0</v>
      </c>
      <c r="X117" s="1361">
        <v>0</v>
      </c>
    </row>
    <row r="118" spans="1:24" s="1361" customFormat="1" x14ac:dyDescent="0.2">
      <c r="A118" s="1357"/>
      <c r="B118" s="1366" t="s">
        <v>283</v>
      </c>
      <c r="C118" s="1359" t="s">
        <v>149</v>
      </c>
      <c r="D118" s="1360">
        <f>IF(Saisie!C116="",0,Saisie!C116)</f>
        <v>0</v>
      </c>
      <c r="E118" s="1361">
        <v>0</v>
      </c>
      <c r="F118" s="1361">
        <v>0</v>
      </c>
      <c r="G118" s="1361">
        <v>0</v>
      </c>
      <c r="H118" s="1361">
        <v>0</v>
      </c>
      <c r="I118" s="1361">
        <v>0</v>
      </c>
      <c r="J118" s="1361">
        <v>0</v>
      </c>
      <c r="K118" s="1361">
        <v>0</v>
      </c>
      <c r="L118" s="1361">
        <v>0</v>
      </c>
      <c r="M118" s="1361">
        <v>0</v>
      </c>
      <c r="N118" s="1361">
        <v>0</v>
      </c>
      <c r="O118" s="1361">
        <v>0</v>
      </c>
      <c r="Q118" s="1361">
        <v>0</v>
      </c>
      <c r="R118" s="1361">
        <v>0</v>
      </c>
      <c r="S118" s="1361">
        <v>0</v>
      </c>
      <c r="T118" s="1361">
        <v>0</v>
      </c>
      <c r="U118" s="1361">
        <v>0</v>
      </c>
      <c r="W118" s="1361">
        <v>0</v>
      </c>
      <c r="X118" s="1361">
        <v>3560.8135798080002</v>
      </c>
    </row>
    <row r="119" spans="1:24" s="1361" customFormat="1" x14ac:dyDescent="0.2">
      <c r="A119" s="1357"/>
      <c r="B119" s="1366" t="s">
        <v>285</v>
      </c>
      <c r="C119" s="1359" t="s">
        <v>149</v>
      </c>
      <c r="D119" s="1360">
        <f>IF(Saisie!C118="",0,Saisie!C118)</f>
        <v>0</v>
      </c>
      <c r="E119" s="1361">
        <v>0</v>
      </c>
      <c r="F119" s="1361">
        <v>0</v>
      </c>
      <c r="G119" s="1361">
        <v>0</v>
      </c>
      <c r="H119" s="1361">
        <v>0</v>
      </c>
      <c r="I119" s="1361">
        <v>0</v>
      </c>
      <c r="J119" s="1361">
        <v>0</v>
      </c>
      <c r="K119" s="1361">
        <v>0</v>
      </c>
      <c r="L119" s="1361">
        <v>0</v>
      </c>
      <c r="M119" s="1361">
        <v>0</v>
      </c>
      <c r="N119" s="1361">
        <v>0</v>
      </c>
      <c r="O119" s="1361">
        <v>0</v>
      </c>
      <c r="Q119" s="1361">
        <v>0</v>
      </c>
      <c r="R119" s="1361">
        <v>0</v>
      </c>
      <c r="S119" s="1361">
        <v>0</v>
      </c>
      <c r="T119" s="1361">
        <v>0</v>
      </c>
      <c r="U119" s="1361">
        <v>0</v>
      </c>
      <c r="W119" s="1361">
        <v>0</v>
      </c>
      <c r="X119" s="1361">
        <v>7565.5929968</v>
      </c>
    </row>
    <row r="120" spans="1:24" s="1361" customFormat="1" x14ac:dyDescent="0.2">
      <c r="A120" s="1357"/>
      <c r="B120" s="1366" t="s">
        <v>287</v>
      </c>
      <c r="C120" s="1359" t="s">
        <v>149</v>
      </c>
      <c r="D120" s="1360">
        <f>IF(Saisie!C117="",0,Saisie!C117)</f>
        <v>0</v>
      </c>
      <c r="E120" s="1361">
        <v>0</v>
      </c>
      <c r="F120" s="1361">
        <v>0</v>
      </c>
      <c r="G120" s="1361">
        <v>0</v>
      </c>
      <c r="H120" s="1361">
        <v>0</v>
      </c>
      <c r="I120" s="1361">
        <v>0</v>
      </c>
      <c r="J120" s="1361">
        <v>0</v>
      </c>
      <c r="K120" s="1361">
        <v>0</v>
      </c>
      <c r="L120" s="1361">
        <v>0</v>
      </c>
      <c r="M120" s="1361">
        <v>0</v>
      </c>
      <c r="N120" s="1361">
        <v>0</v>
      </c>
      <c r="O120" s="1361">
        <v>0</v>
      </c>
      <c r="Q120" s="1361">
        <v>0</v>
      </c>
      <c r="R120" s="1361">
        <v>0</v>
      </c>
      <c r="S120" s="1361">
        <v>0</v>
      </c>
      <c r="T120" s="1361">
        <v>0</v>
      </c>
      <c r="U120" s="1361">
        <v>0</v>
      </c>
      <c r="W120" s="1361">
        <v>0</v>
      </c>
      <c r="X120" s="1361">
        <v>24385.075000000001</v>
      </c>
    </row>
    <row r="121" spans="1:24" s="1361" customFormat="1" x14ac:dyDescent="0.2">
      <c r="A121" s="1357"/>
      <c r="B121" s="1367" t="s">
        <v>289</v>
      </c>
      <c r="C121" s="1359"/>
      <c r="D121" s="1368" t="str">
        <f>PAUMO</f>
        <v>Attention affectation INCORRECTE</v>
      </c>
      <c r="E121" s="1361" t="s">
        <v>1101</v>
      </c>
      <c r="F121" s="1361" t="s">
        <v>1101</v>
      </c>
      <c r="G121" s="1361" t="s">
        <v>1101</v>
      </c>
      <c r="H121" s="1361" t="s">
        <v>1101</v>
      </c>
      <c r="I121" s="1361" t="s">
        <v>1101</v>
      </c>
      <c r="J121" s="1361" t="s">
        <v>1101</v>
      </c>
      <c r="K121" s="1361" t="s">
        <v>1101</v>
      </c>
      <c r="L121" s="1361" t="s">
        <v>1101</v>
      </c>
      <c r="M121" s="1361" t="s">
        <v>1101</v>
      </c>
      <c r="N121" s="1361" t="s">
        <v>1101</v>
      </c>
      <c r="O121" s="1361" t="s">
        <v>1101</v>
      </c>
      <c r="Q121" s="1361" t="s">
        <v>1101</v>
      </c>
      <c r="R121" s="1361" t="s">
        <v>1101</v>
      </c>
      <c r="S121" s="1361" t="s">
        <v>1101</v>
      </c>
      <c r="T121" s="1361" t="s">
        <v>1101</v>
      </c>
      <c r="U121" s="1361" t="s">
        <v>1101</v>
      </c>
    </row>
    <row r="122" spans="1:24" s="1361" customFormat="1" x14ac:dyDescent="0.2">
      <c r="A122" s="1357" t="s">
        <v>1102</v>
      </c>
      <c r="B122" s="1369" t="s">
        <v>290</v>
      </c>
      <c r="C122" s="1359" t="s">
        <v>1090</v>
      </c>
      <c r="D122" s="1360">
        <f>IF(Saisie!C120="",0,Saisie!C120)</f>
        <v>0</v>
      </c>
      <c r="E122" s="1361">
        <v>0</v>
      </c>
      <c r="F122" s="1361">
        <v>0</v>
      </c>
      <c r="G122" s="1361">
        <v>0</v>
      </c>
      <c r="H122" s="1361">
        <v>0</v>
      </c>
      <c r="I122" s="1361">
        <v>0</v>
      </c>
      <c r="J122" s="1361">
        <v>0</v>
      </c>
      <c r="K122" s="1361">
        <v>0</v>
      </c>
      <c r="L122" s="1361">
        <v>0</v>
      </c>
      <c r="M122" s="1361">
        <v>0</v>
      </c>
      <c r="N122" s="1361">
        <v>0</v>
      </c>
      <c r="O122" s="1361">
        <v>0</v>
      </c>
      <c r="Q122" s="1361">
        <v>0</v>
      </c>
      <c r="R122" s="1361">
        <v>0</v>
      </c>
      <c r="S122" s="1361">
        <v>0</v>
      </c>
      <c r="T122" s="1361">
        <v>0</v>
      </c>
      <c r="U122" s="1361">
        <v>0</v>
      </c>
      <c r="W122" s="1361">
        <v>0.9</v>
      </c>
      <c r="X122" s="1361">
        <v>2</v>
      </c>
    </row>
    <row r="123" spans="1:24" s="1361" customFormat="1" x14ac:dyDescent="0.2">
      <c r="A123" s="1357" t="s">
        <v>1103</v>
      </c>
      <c r="B123" s="1370" t="s">
        <v>292</v>
      </c>
      <c r="C123" s="1359" t="s">
        <v>1090</v>
      </c>
      <c r="D123" s="1360">
        <f>IF(Saisie!C121="",0,Saisie!C121)</f>
        <v>0</v>
      </c>
      <c r="E123" s="1361">
        <v>0</v>
      </c>
      <c r="F123" s="1361">
        <v>0</v>
      </c>
      <c r="G123" s="1361">
        <v>0</v>
      </c>
      <c r="H123" s="1361">
        <v>0</v>
      </c>
      <c r="I123" s="1361">
        <v>0</v>
      </c>
      <c r="J123" s="1361">
        <v>0</v>
      </c>
      <c r="K123" s="1361">
        <v>0</v>
      </c>
      <c r="L123" s="1361">
        <v>0</v>
      </c>
      <c r="M123" s="1361">
        <v>0</v>
      </c>
      <c r="N123" s="1361">
        <v>0</v>
      </c>
      <c r="O123" s="1361">
        <v>0</v>
      </c>
      <c r="Q123" s="1361">
        <v>0</v>
      </c>
      <c r="R123" s="1361">
        <v>0</v>
      </c>
      <c r="S123" s="1361">
        <v>0</v>
      </c>
      <c r="T123" s="1361">
        <v>0</v>
      </c>
      <c r="U123" s="1361">
        <v>0</v>
      </c>
      <c r="W123" s="1361">
        <v>0</v>
      </c>
      <c r="X123" s="1361">
        <v>1</v>
      </c>
    </row>
    <row r="124" spans="1:24" s="1361" customFormat="1" x14ac:dyDescent="0.2">
      <c r="A124" s="1357" t="s">
        <v>1104</v>
      </c>
      <c r="B124" s="1369" t="s">
        <v>293</v>
      </c>
      <c r="C124" s="1359" t="s">
        <v>1090</v>
      </c>
      <c r="D124" s="1360">
        <f>IF(Saisie!C122="",0,Saisie!C122)</f>
        <v>0</v>
      </c>
      <c r="E124" s="1361">
        <v>0</v>
      </c>
      <c r="F124" s="1361">
        <v>0</v>
      </c>
      <c r="G124" s="1361">
        <v>0</v>
      </c>
      <c r="H124" s="1361">
        <v>0</v>
      </c>
      <c r="I124" s="1361">
        <v>0</v>
      </c>
      <c r="J124" s="1361">
        <v>0</v>
      </c>
      <c r="K124" s="1361">
        <v>0</v>
      </c>
      <c r="L124" s="1361">
        <v>0</v>
      </c>
      <c r="M124" s="1361">
        <v>0</v>
      </c>
      <c r="N124" s="1361">
        <v>0</v>
      </c>
      <c r="O124" s="1361">
        <v>0</v>
      </c>
      <c r="Q124" s="1361">
        <v>0</v>
      </c>
      <c r="R124" s="1361">
        <v>0</v>
      </c>
      <c r="S124" s="1361">
        <v>0</v>
      </c>
      <c r="T124" s="1361">
        <v>0</v>
      </c>
      <c r="U124" s="1361">
        <v>0</v>
      </c>
      <c r="W124" s="1361">
        <v>0</v>
      </c>
      <c r="X124" s="1361">
        <v>0</v>
      </c>
    </row>
    <row r="125" spans="1:24" s="1361" customFormat="1" x14ac:dyDescent="0.2">
      <c r="A125" s="1357" t="s">
        <v>1105</v>
      </c>
      <c r="B125" s="1370" t="s">
        <v>295</v>
      </c>
      <c r="C125" s="1359" t="s">
        <v>1090</v>
      </c>
      <c r="D125" s="1360">
        <f>IF(Saisie!C123="",0,Saisie!C123)</f>
        <v>0</v>
      </c>
      <c r="E125" s="1361">
        <v>0</v>
      </c>
      <c r="F125" s="1361">
        <v>0</v>
      </c>
      <c r="G125" s="1361">
        <v>0</v>
      </c>
      <c r="H125" s="1361">
        <v>0</v>
      </c>
      <c r="I125" s="1361">
        <v>0</v>
      </c>
      <c r="J125" s="1361">
        <v>0</v>
      </c>
      <c r="K125" s="1361">
        <v>0</v>
      </c>
      <c r="L125" s="1361">
        <v>0</v>
      </c>
      <c r="M125" s="1361">
        <v>0</v>
      </c>
      <c r="N125" s="1361">
        <v>0</v>
      </c>
      <c r="O125" s="1361">
        <v>0</v>
      </c>
      <c r="Q125" s="1361">
        <v>0</v>
      </c>
      <c r="R125" s="1361">
        <v>0</v>
      </c>
      <c r="S125" s="1361">
        <v>0</v>
      </c>
      <c r="T125" s="1361">
        <v>0</v>
      </c>
      <c r="U125" s="1361">
        <v>0</v>
      </c>
      <c r="W125" s="1361">
        <v>0</v>
      </c>
      <c r="X125" s="1361">
        <v>0</v>
      </c>
    </row>
    <row r="126" spans="1:24" s="1361" customFormat="1" x14ac:dyDescent="0.2">
      <c r="A126" s="1357" t="s">
        <v>1106</v>
      </c>
      <c r="B126" s="1369" t="s">
        <v>1107</v>
      </c>
      <c r="C126" s="1359" t="s">
        <v>1090</v>
      </c>
      <c r="D126" s="1360">
        <f>IF(Saisie!C124="",0,Saisie!C124)</f>
        <v>0</v>
      </c>
      <c r="E126" s="1361">
        <v>0</v>
      </c>
      <c r="F126" s="1361">
        <v>0</v>
      </c>
      <c r="G126" s="1361">
        <v>0</v>
      </c>
      <c r="H126" s="1361">
        <v>0</v>
      </c>
      <c r="I126" s="1361">
        <v>0</v>
      </c>
      <c r="J126" s="1361">
        <v>0</v>
      </c>
      <c r="K126" s="1361">
        <v>0</v>
      </c>
      <c r="L126" s="1361">
        <v>0</v>
      </c>
      <c r="M126" s="1361">
        <v>0</v>
      </c>
      <c r="N126" s="1361">
        <v>0</v>
      </c>
      <c r="O126" s="1361">
        <v>0</v>
      </c>
      <c r="Q126" s="1361">
        <v>0</v>
      </c>
      <c r="R126" s="1361">
        <v>0</v>
      </c>
      <c r="S126" s="1361">
        <v>0</v>
      </c>
      <c r="T126" s="1361">
        <v>0</v>
      </c>
      <c r="U126" s="1361">
        <v>0</v>
      </c>
      <c r="W126" s="1361">
        <v>0.1</v>
      </c>
      <c r="X126" s="1361">
        <v>0</v>
      </c>
    </row>
    <row r="127" spans="1:24" s="1361" customFormat="1" x14ac:dyDescent="0.2">
      <c r="A127" s="1357" t="s">
        <v>1108</v>
      </c>
      <c r="B127" s="1371" t="s">
        <v>298</v>
      </c>
      <c r="C127" s="1359" t="s">
        <v>1090</v>
      </c>
      <c r="D127" s="1360">
        <f>IF(Saisie!C125="",0,Saisie!C125)</f>
        <v>0</v>
      </c>
      <c r="E127" s="1361">
        <v>0</v>
      </c>
      <c r="F127" s="1361">
        <v>0</v>
      </c>
      <c r="G127" s="1361">
        <v>0</v>
      </c>
      <c r="H127" s="1361">
        <v>0</v>
      </c>
      <c r="I127" s="1361">
        <v>0</v>
      </c>
      <c r="J127" s="1361">
        <v>0</v>
      </c>
      <c r="K127" s="1361">
        <v>0</v>
      </c>
      <c r="L127" s="1361">
        <v>0</v>
      </c>
      <c r="M127" s="1361">
        <v>0</v>
      </c>
      <c r="N127" s="1361">
        <v>0</v>
      </c>
      <c r="O127" s="1361">
        <v>0</v>
      </c>
      <c r="Q127" s="1361">
        <v>0</v>
      </c>
      <c r="R127" s="1361">
        <v>0</v>
      </c>
      <c r="S127" s="1361">
        <v>0</v>
      </c>
      <c r="T127" s="1361">
        <v>0</v>
      </c>
      <c r="U127" s="1361">
        <v>0</v>
      </c>
      <c r="W127" s="1361">
        <v>0</v>
      </c>
      <c r="X127" s="1361">
        <v>0</v>
      </c>
    </row>
    <row r="128" spans="1:24" s="1361" customFormat="1" x14ac:dyDescent="0.2">
      <c r="A128" s="1357"/>
      <c r="B128" s="1358"/>
      <c r="C128" s="1359"/>
    </row>
    <row r="129" spans="1:4" s="1361" customFormat="1" x14ac:dyDescent="0.2">
      <c r="A129" s="1357"/>
      <c r="B129" s="1364" t="s">
        <v>299</v>
      </c>
      <c r="C129" s="1372"/>
    </row>
    <row r="130" spans="1:4" s="1361" customFormat="1" x14ac:dyDescent="0.2">
      <c r="A130" s="1357"/>
      <c r="B130" s="1373" t="s">
        <v>300</v>
      </c>
      <c r="C130" s="1359" t="s">
        <v>1090</v>
      </c>
      <c r="D130" s="1360">
        <f>IF(Saisie!C128="",0,Saisie!C128)</f>
        <v>0</v>
      </c>
    </row>
    <row r="131" spans="1:4" s="1361" customFormat="1" x14ac:dyDescent="0.2">
      <c r="A131" s="1357"/>
      <c r="B131" s="1373" t="s">
        <v>301</v>
      </c>
      <c r="C131" s="1359" t="s">
        <v>1090</v>
      </c>
      <c r="D131" s="1360">
        <f>IF(Saisie!C129="",0,Saisie!C129)</f>
        <v>0</v>
      </c>
    </row>
    <row r="132" spans="1:4" s="1361" customFormat="1" x14ac:dyDescent="0.2">
      <c r="A132" s="1357"/>
      <c r="B132" s="1374"/>
      <c r="C132" s="1359"/>
      <c r="D132" s="1360"/>
    </row>
    <row r="133" spans="1:4" s="1361" customFormat="1" x14ac:dyDescent="0.2">
      <c r="A133" s="1357"/>
      <c r="B133" s="1364" t="s">
        <v>641</v>
      </c>
      <c r="C133" s="1359"/>
      <c r="D133" s="1360"/>
    </row>
    <row r="134" spans="1:4" s="1361" customFormat="1" x14ac:dyDescent="0.2">
      <c r="A134" s="1357"/>
      <c r="B134" s="1375" t="s">
        <v>303</v>
      </c>
      <c r="C134" s="1359" t="s">
        <v>119</v>
      </c>
      <c r="D134" s="1360">
        <f>IF(Saisie!C132="",0,Saisie!C132)</f>
        <v>0</v>
      </c>
    </row>
    <row r="135" spans="1:4" s="1361" customFormat="1" x14ac:dyDescent="0.2">
      <c r="A135" s="1357"/>
      <c r="B135" s="1375" t="s">
        <v>305</v>
      </c>
      <c r="C135" s="1359" t="s">
        <v>122</v>
      </c>
      <c r="D135" s="1360">
        <f>IF(Saisie!C133="",0,Saisie!C133)</f>
        <v>0</v>
      </c>
    </row>
    <row r="136" spans="1:4" s="1361" customFormat="1" x14ac:dyDescent="0.2">
      <c r="A136" s="1357"/>
      <c r="B136" s="1375" t="s">
        <v>307</v>
      </c>
      <c r="C136" s="1359" t="s">
        <v>119</v>
      </c>
      <c r="D136" s="1360">
        <f>IF(Saisie!C134="",0,Saisie!C134)</f>
        <v>0</v>
      </c>
    </row>
    <row r="137" spans="1:4" s="1361" customFormat="1" x14ac:dyDescent="0.2">
      <c r="A137" s="1376"/>
      <c r="B137" s="1377"/>
      <c r="C137" s="1372"/>
    </row>
    <row r="138" spans="1:4" s="1361" customFormat="1" x14ac:dyDescent="0.2">
      <c r="A138" s="1376"/>
      <c r="B138" s="1377"/>
      <c r="C138" s="1372"/>
    </row>
    <row r="139" spans="1:4" s="1361" customFormat="1" x14ac:dyDescent="0.2">
      <c r="A139" s="1376"/>
      <c r="B139" s="1377"/>
      <c r="C139" s="1372"/>
    </row>
    <row r="140" spans="1:4" s="1361" customFormat="1" x14ac:dyDescent="0.2">
      <c r="A140" s="1376"/>
      <c r="B140" s="1377"/>
      <c r="C140" s="1372"/>
    </row>
    <row r="141" spans="1:4" s="1361" customFormat="1" x14ac:dyDescent="0.2">
      <c r="A141" s="1376"/>
      <c r="B141" s="1377"/>
      <c r="C141" s="1372"/>
    </row>
    <row r="142" spans="1:4" s="1361" customFormat="1" x14ac:dyDescent="0.2">
      <c r="A142" s="1376"/>
      <c r="B142" s="1377"/>
      <c r="C142" s="1372"/>
    </row>
    <row r="143" spans="1:4" s="1361" customFormat="1" x14ac:dyDescent="0.2">
      <c r="A143" s="1376"/>
      <c r="B143" s="1377"/>
      <c r="C143" s="1372"/>
    </row>
    <row r="144" spans="1:4" s="1361" customFormat="1" x14ac:dyDescent="0.2">
      <c r="A144" s="1376"/>
      <c r="B144" s="1377"/>
      <c r="C144" s="1372"/>
    </row>
    <row r="145" spans="1:4" s="1361" customFormat="1" x14ac:dyDescent="0.2"/>
    <row r="146" spans="1:4" s="1361" customFormat="1" ht="15" x14ac:dyDescent="0.2">
      <c r="A146" s="1378" t="s">
        <v>1109</v>
      </c>
      <c r="B146" s="1378"/>
      <c r="C146" s="1378"/>
      <c r="D146" s="1378"/>
    </row>
    <row r="147" spans="1:4" s="1361" customFormat="1" x14ac:dyDescent="0.2">
      <c r="A147" s="1379"/>
      <c r="B147" s="1380" t="s">
        <v>427</v>
      </c>
      <c r="C147" s="1359" t="s">
        <v>119</v>
      </c>
      <c r="D147" s="1381" t="str">
        <f>IF('Critères Techniques'!C10="","",'Critères Techniques'!C10)</f>
        <v/>
      </c>
    </row>
    <row r="148" spans="1:4" s="1361" customFormat="1" x14ac:dyDescent="0.2">
      <c r="A148" s="1379"/>
      <c r="B148" s="1380" t="s">
        <v>429</v>
      </c>
      <c r="C148" s="1359" t="s">
        <v>119</v>
      </c>
      <c r="D148" s="1381">
        <f>IF('Critères Techniques'!C11="","",'Critères Techniques'!C11)</f>
        <v>735.22799999999995</v>
      </c>
    </row>
    <row r="149" spans="1:4" s="1361" customFormat="1" x14ac:dyDescent="0.2">
      <c r="A149" s="1379"/>
      <c r="B149" s="1380" t="s">
        <v>1110</v>
      </c>
      <c r="C149" s="1359" t="s">
        <v>119</v>
      </c>
      <c r="D149" s="1381">
        <f>IF('Critères Techniques'!C12="","",'Critères Techniques'!C12)</f>
        <v>0</v>
      </c>
    </row>
    <row r="150" spans="1:4" s="1361" customFormat="1" x14ac:dyDescent="0.2">
      <c r="A150" s="1379"/>
      <c r="B150" s="1380" t="s">
        <v>1111</v>
      </c>
      <c r="C150" s="1359" t="s">
        <v>433</v>
      </c>
      <c r="D150" s="1382" t="str">
        <f>IF('Critères Techniques'!C13="","",'Critères Techniques'!C13)</f>
        <v/>
      </c>
    </row>
    <row r="151" spans="1:4" s="1361" customFormat="1" x14ac:dyDescent="0.2">
      <c r="A151" s="1379"/>
      <c r="B151" s="1380" t="s">
        <v>435</v>
      </c>
      <c r="C151" s="1359" t="s">
        <v>1112</v>
      </c>
      <c r="D151" s="1381" t="str">
        <f>IF('Critères Techniques'!C14="","",'Critères Techniques'!C14)</f>
        <v/>
      </c>
    </row>
    <row r="152" spans="1:4" s="1361" customFormat="1" x14ac:dyDescent="0.2">
      <c r="A152" s="1379"/>
      <c r="B152" s="1380" t="s">
        <v>437</v>
      </c>
      <c r="C152" s="1359" t="s">
        <v>438</v>
      </c>
      <c r="D152" s="1381" t="str">
        <f>IF('Critères Techniques'!C15="","",'Critères Techniques'!C15)</f>
        <v/>
      </c>
    </row>
    <row r="153" spans="1:4" s="1361" customFormat="1" x14ac:dyDescent="0.2">
      <c r="A153" s="1379"/>
      <c r="B153" s="1380" t="s">
        <v>440</v>
      </c>
      <c r="C153" s="1359" t="s">
        <v>1113</v>
      </c>
      <c r="D153" s="1383">
        <f>IF('Critères Techniques'!C16="","",'Critères Techniques'!C16)</f>
        <v>1.8621848739495799</v>
      </c>
    </row>
    <row r="154" spans="1:4" s="1361" customFormat="1" x14ac:dyDescent="0.2">
      <c r="A154" s="1379"/>
      <c r="B154" s="1380" t="s">
        <v>443</v>
      </c>
      <c r="C154" s="1359" t="s">
        <v>1114</v>
      </c>
      <c r="D154" s="1384" t="str">
        <f>IF('Critères Techniques'!C17="","",'Critères Techniques'!C17)</f>
        <v/>
      </c>
    </row>
    <row r="155" spans="1:4" s="1361" customFormat="1" x14ac:dyDescent="0.2">
      <c r="A155" s="1379"/>
      <c r="B155" s="1380" t="s">
        <v>447</v>
      </c>
      <c r="C155" s="1359" t="s">
        <v>448</v>
      </c>
      <c r="D155" s="1384" t="str">
        <f>IF('Critères Techniques'!C21="","",'Critères Techniques'!C21)</f>
        <v/>
      </c>
    </row>
    <row r="156" spans="1:4" s="1361" customFormat="1" x14ac:dyDescent="0.2">
      <c r="A156" s="1379"/>
      <c r="B156" s="1380" t="s">
        <v>447</v>
      </c>
      <c r="C156" s="1359" t="s">
        <v>450</v>
      </c>
      <c r="D156" s="1384" t="str">
        <f>IF('Critères Techniques'!C22="","",'Critères Techniques'!C22)</f>
        <v/>
      </c>
    </row>
    <row r="157" spans="1:4" s="1361" customFormat="1" x14ac:dyDescent="0.2">
      <c r="A157" s="1379"/>
      <c r="B157" s="1380" t="s">
        <v>451</v>
      </c>
      <c r="C157" s="1359" t="s">
        <v>1115</v>
      </c>
      <c r="D157" s="1384" t="str">
        <f>IF('Critères Techniques'!C23="","",'Critères Techniques'!C23)</f>
        <v/>
      </c>
    </row>
    <row r="158" spans="1:4" s="1361" customFormat="1" x14ac:dyDescent="0.2">
      <c r="A158" s="1379"/>
      <c r="B158" s="1385" t="s">
        <v>1116</v>
      </c>
      <c r="C158" s="1359"/>
      <c r="D158" s="1384" t="str">
        <f>IF('Critères Techniques'!C24="","",'Critères Techniques'!C24)</f>
        <v/>
      </c>
    </row>
    <row r="159" spans="1:4" s="1361" customFormat="1" x14ac:dyDescent="0.2">
      <c r="A159" s="1379"/>
      <c r="B159" s="1385" t="s">
        <v>456</v>
      </c>
      <c r="C159" s="1359" t="s">
        <v>316</v>
      </c>
      <c r="D159" s="1384" t="str">
        <f>IF('Critères Techniques'!C25="","",'Critères Techniques'!C25)</f>
        <v/>
      </c>
    </row>
    <row r="160" spans="1:4" s="1361" customFormat="1" x14ac:dyDescent="0.2">
      <c r="A160" s="1379"/>
      <c r="B160" s="1380" t="s">
        <v>1117</v>
      </c>
      <c r="C160" s="1359" t="s">
        <v>459</v>
      </c>
      <c r="D160" s="1384" t="str">
        <f>IF('Critères Techniques'!C26="","",'Critères Techniques'!C26)</f>
        <v/>
      </c>
    </row>
    <row r="161" spans="1:4" s="1361" customFormat="1" x14ac:dyDescent="0.2">
      <c r="A161" s="1379"/>
      <c r="B161" s="1385" t="s">
        <v>1118</v>
      </c>
      <c r="C161" s="1359" t="s">
        <v>1119</v>
      </c>
      <c r="D161" s="1384" t="str">
        <f>IF('Critères Techniques'!C27="","",'Critères Techniques'!C27)</f>
        <v/>
      </c>
    </row>
    <row r="162" spans="1:4" s="1361" customFormat="1" x14ac:dyDescent="0.2">
      <c r="A162" s="1379"/>
      <c r="B162" s="1380" t="s">
        <v>1120</v>
      </c>
      <c r="C162" s="1359" t="s">
        <v>463</v>
      </c>
      <c r="D162" s="1384" t="str">
        <f>IF('Critères Techniques'!C28="","",'Critères Techniques'!C28)</f>
        <v/>
      </c>
    </row>
    <row r="163" spans="1:4" s="1361" customFormat="1" x14ac:dyDescent="0.2">
      <c r="A163" s="1379"/>
      <c r="B163" s="1380" t="s">
        <v>1121</v>
      </c>
      <c r="C163" s="1359"/>
      <c r="D163" s="1384" t="str">
        <f>IF('Critères Techniques'!C29="","",'Critères Techniques'!C29)</f>
        <v/>
      </c>
    </row>
    <row r="164" spans="1:4" s="1361" customFormat="1" x14ac:dyDescent="0.2">
      <c r="A164" s="1379"/>
      <c r="B164" s="1380" t="s">
        <v>466</v>
      </c>
      <c r="C164" s="1359" t="s">
        <v>467</v>
      </c>
      <c r="D164" s="1384" t="str">
        <f>IF('Critères Techniques'!C30="","",'Critères Techniques'!C30)</f>
        <v/>
      </c>
    </row>
    <row r="165" spans="1:4" s="1361" customFormat="1" x14ac:dyDescent="0.2">
      <c r="A165" s="1379"/>
      <c r="B165" s="1380" t="s">
        <v>469</v>
      </c>
      <c r="C165" s="1359" t="s">
        <v>470</v>
      </c>
      <c r="D165" s="1386" t="str">
        <f>IF('Critères Techniques'!C31="","",'Critères Techniques'!C31)</f>
        <v/>
      </c>
    </row>
    <row r="166" spans="1:4" s="1361" customFormat="1" x14ac:dyDescent="0.2">
      <c r="A166" s="1379"/>
      <c r="B166" s="1385" t="s">
        <v>471</v>
      </c>
      <c r="C166" s="1359" t="s">
        <v>470</v>
      </c>
      <c r="D166" s="1386" t="str">
        <f>IF('Critères Techniques'!C32="","",'Critères Techniques'!C32)</f>
        <v/>
      </c>
    </row>
    <row r="167" spans="1:4" s="1361" customFormat="1" x14ac:dyDescent="0.2">
      <c r="A167" s="1379"/>
      <c r="B167" s="1385" t="s">
        <v>473</v>
      </c>
      <c r="C167" s="1359" t="s">
        <v>470</v>
      </c>
      <c r="D167" s="1386" t="str">
        <f>IF('Critères Techniques'!C33="","",'Critères Techniques'!C33)</f>
        <v/>
      </c>
    </row>
    <row r="168" spans="1:4" s="1361" customFormat="1" x14ac:dyDescent="0.2">
      <c r="A168" s="1379"/>
      <c r="B168" s="1380" t="s">
        <v>475</v>
      </c>
      <c r="C168" s="1359" t="s">
        <v>470</v>
      </c>
      <c r="D168" s="1386" t="str">
        <f>IF('Critères Techniques'!C34="","",'Critères Techniques'!C34)</f>
        <v/>
      </c>
    </row>
    <row r="169" spans="1:4" s="1361" customFormat="1" x14ac:dyDescent="0.2">
      <c r="A169" s="1379"/>
      <c r="B169" s="1380" t="s">
        <v>477</v>
      </c>
      <c r="C169" s="1359" t="s">
        <v>478</v>
      </c>
      <c r="D169" s="1384" t="str">
        <f>IF('Critères Techniques'!C35="","",'Critères Techniques'!C35)</f>
        <v/>
      </c>
    </row>
    <row r="170" spans="1:4" s="1361" customFormat="1" x14ac:dyDescent="0.2">
      <c r="A170" s="1379"/>
      <c r="B170" s="1380" t="s">
        <v>481</v>
      </c>
      <c r="C170" s="1359" t="s">
        <v>316</v>
      </c>
      <c r="D170" s="1384">
        <f>IF('Critères Techniques'!C40="","",'Critères Techniques'!C40)</f>
        <v>0.5714285714285714</v>
      </c>
    </row>
    <row r="171" spans="1:4" s="1361" customFormat="1" x14ac:dyDescent="0.2">
      <c r="A171" s="1379"/>
      <c r="B171" s="1380" t="s">
        <v>482</v>
      </c>
      <c r="C171" s="1359" t="s">
        <v>316</v>
      </c>
      <c r="D171" s="1384" t="str">
        <f>IF('Critères Techniques'!C41="","",'Critères Techniques'!C41)</f>
        <v/>
      </c>
    </row>
    <row r="172" spans="1:4" s="1361" customFormat="1" x14ac:dyDescent="0.2">
      <c r="A172" s="1379"/>
      <c r="B172" s="1380" t="s">
        <v>483</v>
      </c>
      <c r="C172" s="1359" t="s">
        <v>484</v>
      </c>
      <c r="D172" s="1384" t="str">
        <f>IF('Critères Techniques'!C42="","",'Critères Techniques'!C42)</f>
        <v/>
      </c>
    </row>
    <row r="173" spans="1:4" s="1361" customFormat="1" x14ac:dyDescent="0.2">
      <c r="A173" s="1379"/>
      <c r="B173" s="1380" t="s">
        <v>485</v>
      </c>
      <c r="C173" s="1359" t="s">
        <v>486</v>
      </c>
      <c r="D173" s="1384" t="str">
        <f>IF('Critères Techniques'!C43="","",'Critères Techniques'!C43)</f>
        <v/>
      </c>
    </row>
    <row r="174" spans="1:4" s="1361" customFormat="1" x14ac:dyDescent="0.2">
      <c r="A174" s="1379"/>
      <c r="B174" s="1380" t="s">
        <v>488</v>
      </c>
      <c r="C174" s="1359" t="s">
        <v>489</v>
      </c>
      <c r="D174" s="1384" t="str">
        <f>IF('Critères Techniques'!C44="","",'Critères Techniques'!C44)</f>
        <v/>
      </c>
    </row>
    <row r="175" spans="1:4" s="1361" customFormat="1" x14ac:dyDescent="0.2">
      <c r="A175" s="1379"/>
      <c r="B175" s="1380" t="s">
        <v>491</v>
      </c>
      <c r="C175" s="1359" t="s">
        <v>492</v>
      </c>
      <c r="D175" s="1384" t="str">
        <f>IF('Critères Techniques'!C45="","",'Critères Techniques'!C45)</f>
        <v/>
      </c>
    </row>
    <row r="176" spans="1:4" s="1361" customFormat="1" x14ac:dyDescent="0.2">
      <c r="A176" s="1379"/>
      <c r="B176" s="1380" t="s">
        <v>494</v>
      </c>
      <c r="C176" s="1359" t="s">
        <v>495</v>
      </c>
      <c r="D176" s="1384" t="str">
        <f>IF('Critères Techniques'!C46="","",'Critères Techniques'!C46)</f>
        <v/>
      </c>
    </row>
    <row r="177" spans="1:4" s="1361" customFormat="1" x14ac:dyDescent="0.2">
      <c r="A177" s="1379"/>
      <c r="B177" s="1380" t="s">
        <v>498</v>
      </c>
      <c r="C177" s="1359" t="s">
        <v>499</v>
      </c>
      <c r="D177" s="1384" t="str">
        <f>IF('Critères Techniques'!C51="","",'Critères Techniques'!C51)</f>
        <v/>
      </c>
    </row>
    <row r="178" spans="1:4" s="1361" customFormat="1" x14ac:dyDescent="0.2">
      <c r="A178" s="1379"/>
      <c r="B178" s="1380" t="s">
        <v>500</v>
      </c>
      <c r="C178" s="1359" t="s">
        <v>433</v>
      </c>
      <c r="D178" s="1384" t="str">
        <f>IF('Critères Techniques'!C52="","",'Critères Techniques'!C52)</f>
        <v/>
      </c>
    </row>
    <row r="179" spans="1:4" s="1361" customFormat="1" x14ac:dyDescent="0.2">
      <c r="A179" s="1379"/>
      <c r="B179" s="1380" t="s">
        <v>502</v>
      </c>
      <c r="C179" s="1359" t="s">
        <v>503</v>
      </c>
      <c r="D179" s="1384" t="str">
        <f>IF('Critères Techniques'!C53="","",'Critères Techniques'!C53)</f>
        <v/>
      </c>
    </row>
    <row r="180" spans="1:4" s="1361" customFormat="1" x14ac:dyDescent="0.2">
      <c r="A180" s="1379"/>
      <c r="B180" s="1380" t="s">
        <v>505</v>
      </c>
      <c r="C180" s="1359" t="s">
        <v>503</v>
      </c>
      <c r="D180" s="1384" t="str">
        <f>IF('Critères Techniques'!C54="","",'Critères Techniques'!C54)</f>
        <v/>
      </c>
    </row>
    <row r="181" spans="1:4" s="1361" customFormat="1" x14ac:dyDescent="0.2">
      <c r="A181" s="1379"/>
      <c r="B181" s="1380" t="s">
        <v>507</v>
      </c>
      <c r="C181" s="1359" t="s">
        <v>316</v>
      </c>
      <c r="D181" s="1384" t="str">
        <f>IF('Critères Techniques'!C55="","",'Critères Techniques'!C55)</f>
        <v/>
      </c>
    </row>
    <row r="182" spans="1:4" s="1361" customFormat="1" x14ac:dyDescent="0.2">
      <c r="A182" s="1379"/>
      <c r="B182" s="1380" t="s">
        <v>509</v>
      </c>
      <c r="C182" s="1359" t="s">
        <v>510</v>
      </c>
      <c r="D182" s="1384">
        <f>IF('Critères Techniques'!C56="","",'Critères Techniques'!C56)</f>
        <v>47.608303249097474</v>
      </c>
    </row>
    <row r="183" spans="1:4" s="1361" customFormat="1" x14ac:dyDescent="0.2">
      <c r="A183" s="1379"/>
      <c r="B183" s="1380" t="s">
        <v>512</v>
      </c>
      <c r="C183" s="1359" t="s">
        <v>513</v>
      </c>
      <c r="D183" s="1384" t="str">
        <f>IF('Critères Techniques'!C61="","",'Critères Techniques'!C61)</f>
        <v/>
      </c>
    </row>
    <row r="184" spans="1:4" s="1361" customFormat="1" x14ac:dyDescent="0.2">
      <c r="A184" s="1379"/>
      <c r="B184" s="1380" t="s">
        <v>515</v>
      </c>
      <c r="C184" s="1359" t="s">
        <v>516</v>
      </c>
      <c r="D184" s="1384" t="str">
        <f>IF('Critères Techniques'!C62="","",'Critères Techniques'!C62)</f>
        <v/>
      </c>
    </row>
    <row r="185" spans="1:4" s="1361" customFormat="1" x14ac:dyDescent="0.2">
      <c r="A185" s="1379"/>
      <c r="B185" s="1380" t="s">
        <v>517</v>
      </c>
      <c r="C185" s="1359" t="s">
        <v>518</v>
      </c>
      <c r="D185" s="1384" t="str">
        <f>IF('Critères Techniques'!C63="","",'Critères Techniques'!C63)</f>
        <v/>
      </c>
    </row>
    <row r="186" spans="1:4" s="1361" customFormat="1" x14ac:dyDescent="0.2">
      <c r="A186" s="1379"/>
      <c r="B186" s="1380" t="s">
        <v>519</v>
      </c>
      <c r="C186" s="1359" t="s">
        <v>518</v>
      </c>
      <c r="D186" s="1384" t="str">
        <f>IF('Critères Techniques'!C64="","",'Critères Techniques'!C64)</f>
        <v/>
      </c>
    </row>
    <row r="187" spans="1:4" s="1361" customFormat="1" x14ac:dyDescent="0.2">
      <c r="A187" s="1379"/>
      <c r="B187" s="1380" t="s">
        <v>520</v>
      </c>
      <c r="C187" s="1359" t="s">
        <v>521</v>
      </c>
      <c r="D187" s="1384" t="str">
        <f>IF('Critères Techniques'!C65="","",'Critères Techniques'!C65)</f>
        <v/>
      </c>
    </row>
    <row r="188" spans="1:4" s="1361" customFormat="1" x14ac:dyDescent="0.2">
      <c r="A188" s="1379"/>
      <c r="B188" s="1380" t="s">
        <v>523</v>
      </c>
      <c r="C188" s="1359" t="s">
        <v>518</v>
      </c>
      <c r="D188" s="1384" t="str">
        <f>IF('Critères Techniques'!C66="","",'Critères Techniques'!C66)</f>
        <v/>
      </c>
    </row>
    <row r="189" spans="1:4" s="1361" customFormat="1" x14ac:dyDescent="0.2">
      <c r="A189" s="1379"/>
      <c r="B189" s="1380" t="s">
        <v>524</v>
      </c>
      <c r="C189" s="1359" t="s">
        <v>525</v>
      </c>
      <c r="D189" s="1384" t="str">
        <f>IF('Critères Techniques'!C67="","",'Critères Techniques'!C67)</f>
        <v/>
      </c>
    </row>
    <row r="190" spans="1:4" s="1361" customFormat="1" x14ac:dyDescent="0.2">
      <c r="A190" s="1379"/>
      <c r="B190" s="1380" t="s">
        <v>526</v>
      </c>
      <c r="C190" s="1359" t="s">
        <v>527</v>
      </c>
      <c r="D190" s="1384" t="str">
        <f>IF('Critères Techniques'!C68="","",'Critères Techniques'!C68)</f>
        <v/>
      </c>
    </row>
    <row r="191" spans="1:4" s="1361" customFormat="1" x14ac:dyDescent="0.2">
      <c r="A191" s="1379"/>
      <c r="B191" s="1380" t="s">
        <v>528</v>
      </c>
      <c r="C191" s="1359" t="s">
        <v>1122</v>
      </c>
      <c r="D191" s="1384" t="str">
        <f>IF('Critères Techniques'!C69="","",'Critères Techniques'!C69)</f>
        <v/>
      </c>
    </row>
    <row r="192" spans="1:4" s="1361" customFormat="1" x14ac:dyDescent="0.2">
      <c r="A192" s="1379"/>
      <c r="B192" s="1380" t="s">
        <v>530</v>
      </c>
      <c r="C192" s="1359" t="s">
        <v>531</v>
      </c>
      <c r="D192" s="1384">
        <f>IF('Critères Techniques'!C70="","",'Critères Techniques'!C70)</f>
        <v>215.63573883161513</v>
      </c>
    </row>
    <row r="193" spans="1:4" s="1361" customFormat="1" x14ac:dyDescent="0.2">
      <c r="A193" s="1379"/>
      <c r="B193" s="1380" t="s">
        <v>533</v>
      </c>
      <c r="C193" s="1359" t="s">
        <v>521</v>
      </c>
      <c r="D193" s="1384" t="str">
        <f>IF('Critères Techniques'!C75="","",'Critères Techniques'!C75)</f>
        <v/>
      </c>
    </row>
    <row r="194" spans="1:4" s="1361" customFormat="1" x14ac:dyDescent="0.2">
      <c r="A194" s="1379"/>
      <c r="B194" s="1380" t="s">
        <v>535</v>
      </c>
      <c r="C194" s="1359" t="s">
        <v>527</v>
      </c>
      <c r="D194" s="1384" t="str">
        <f>IF('Critères Techniques'!C76="","",'Critères Techniques'!C76)</f>
        <v/>
      </c>
    </row>
    <row r="195" spans="1:4" s="1361" customFormat="1" x14ac:dyDescent="0.2">
      <c r="A195" s="1379"/>
      <c r="B195" s="1385" t="s">
        <v>536</v>
      </c>
      <c r="C195" s="1359" t="s">
        <v>521</v>
      </c>
      <c r="D195" s="1384" t="str">
        <f>IF('Critères Techniques'!C77="","",'Critères Techniques'!C77)</f>
        <v/>
      </c>
    </row>
    <row r="196" spans="1:4" s="1361" customFormat="1" x14ac:dyDescent="0.2">
      <c r="A196" s="1379"/>
      <c r="B196" s="1385" t="s">
        <v>538</v>
      </c>
      <c r="C196" s="1359" t="s">
        <v>539</v>
      </c>
      <c r="D196" s="1384" t="str">
        <f>IF('Critères Techniques'!C78="","",'Critères Techniques'!C78)</f>
        <v/>
      </c>
    </row>
    <row r="197" spans="1:4" s="1361" customFormat="1" x14ac:dyDescent="0.2">
      <c r="A197" s="1379"/>
      <c r="B197" s="1380" t="s">
        <v>541</v>
      </c>
      <c r="C197" s="1359" t="s">
        <v>1123</v>
      </c>
      <c r="D197" s="1384" t="str">
        <f>IF('Critères Techniques'!C79="","",'Critères Techniques'!C79)</f>
        <v/>
      </c>
    </row>
    <row r="198" spans="1:4" s="1361" customFormat="1" x14ac:dyDescent="0.2">
      <c r="A198" s="1379"/>
      <c r="B198" s="1380" t="s">
        <v>543</v>
      </c>
      <c r="C198" s="1359" t="s">
        <v>1124</v>
      </c>
      <c r="D198" s="1384" t="str">
        <f>IF('Critères Techniques'!C80="","",'Critères Techniques'!C80)</f>
        <v/>
      </c>
    </row>
    <row r="199" spans="1:4" s="1361" customFormat="1" x14ac:dyDescent="0.2">
      <c r="A199" s="1379"/>
      <c r="B199" s="1380" t="s">
        <v>546</v>
      </c>
      <c r="C199" s="1359" t="s">
        <v>450</v>
      </c>
      <c r="D199" s="1384" t="str">
        <f>IF('Critères Techniques'!C85="","",'Critères Techniques'!C85)</f>
        <v/>
      </c>
    </row>
    <row r="200" spans="1:4" s="1361" customFormat="1" x14ac:dyDescent="0.2">
      <c r="A200" s="1379"/>
      <c r="B200" s="1380" t="s">
        <v>548</v>
      </c>
      <c r="C200" s="1359" t="s">
        <v>450</v>
      </c>
      <c r="D200" s="1384" t="str">
        <f>IF('Critères Techniques'!C86="","",'Critères Techniques'!C86)</f>
        <v/>
      </c>
    </row>
    <row r="201" spans="1:4" s="1361" customFormat="1" x14ac:dyDescent="0.2">
      <c r="A201" s="1379"/>
      <c r="B201" s="1385" t="s">
        <v>550</v>
      </c>
      <c r="C201" s="1359" t="s">
        <v>499</v>
      </c>
      <c r="D201" s="1384" t="str">
        <f>IF('Critères Techniques'!C87="","",'Critères Techniques'!C87)</f>
        <v/>
      </c>
    </row>
    <row r="202" spans="1:4" s="1361" customFormat="1" x14ac:dyDescent="0.2">
      <c r="A202" s="1379"/>
      <c r="B202" s="1385" t="s">
        <v>552</v>
      </c>
      <c r="C202" s="1359" t="s">
        <v>499</v>
      </c>
      <c r="D202" s="1384" t="str">
        <f>IF('Critères Techniques'!C88="","",'Critères Techniques'!C88)</f>
        <v/>
      </c>
    </row>
    <row r="203" spans="1:4" s="1361" customFormat="1" x14ac:dyDescent="0.2">
      <c r="A203" s="1379"/>
      <c r="B203" s="1385" t="s">
        <v>553</v>
      </c>
      <c r="C203" s="1359" t="s">
        <v>499</v>
      </c>
      <c r="D203" s="1384" t="str">
        <f>IF('Critères Techniques'!C89="","",'Critères Techniques'!C89)</f>
        <v/>
      </c>
    </row>
    <row r="204" spans="1:4" s="1361" customFormat="1" x14ac:dyDescent="0.2">
      <c r="A204" s="1379"/>
      <c r="B204" s="1380" t="s">
        <v>555</v>
      </c>
      <c r="C204" s="1359" t="s">
        <v>556</v>
      </c>
      <c r="D204" s="1384" t="str">
        <f>IF('Critères Techniques'!C90="","",'Critères Techniques'!C90)</f>
        <v/>
      </c>
    </row>
    <row r="205" spans="1:4" s="1361" customFormat="1" x14ac:dyDescent="0.2">
      <c r="A205" s="1379"/>
      <c r="B205" s="1380" t="s">
        <v>557</v>
      </c>
      <c r="C205" s="1359" t="s">
        <v>558</v>
      </c>
      <c r="D205" s="1384" t="str">
        <f>IF('Critères Techniques'!C91="","",'Critères Techniques'!C91)</f>
        <v/>
      </c>
    </row>
    <row r="206" spans="1:4" s="1361" customFormat="1" x14ac:dyDescent="0.2">
      <c r="A206" s="1379"/>
      <c r="B206" s="1380" t="s">
        <v>559</v>
      </c>
      <c r="C206" s="1359" t="s">
        <v>560</v>
      </c>
      <c r="D206" s="1384" t="str">
        <f>IF('Critères Techniques'!C92="","",'Critères Techniques'!C92)</f>
        <v/>
      </c>
    </row>
    <row r="207" spans="1:4" s="1361" customFormat="1" x14ac:dyDescent="0.2">
      <c r="A207" s="1376"/>
      <c r="B207" s="1387"/>
      <c r="C207" s="1388"/>
    </row>
    <row r="208" spans="1:4" s="1361" customFormat="1" x14ac:dyDescent="0.2">
      <c r="A208" s="1376"/>
      <c r="B208" s="1387"/>
      <c r="C208" s="1388"/>
    </row>
    <row r="209" spans="1:256" s="1361" customFormat="1" x14ac:dyDescent="0.2">
      <c r="A209" s="1376"/>
      <c r="B209" s="1387"/>
      <c r="C209" s="1388"/>
    </row>
    <row r="210" spans="1:256" s="1361" customFormat="1" x14ac:dyDescent="0.2">
      <c r="A210" s="1376"/>
      <c r="B210" s="1387"/>
      <c r="C210" s="1388"/>
    </row>
    <row r="211" spans="1:256" s="1361" customFormat="1" x14ac:dyDescent="0.2">
      <c r="A211" s="1376"/>
      <c r="B211" s="1387"/>
      <c r="C211" s="1388"/>
    </row>
    <row r="212" spans="1:256" s="1361" customFormat="1" x14ac:dyDescent="0.2">
      <c r="A212" s="1376"/>
      <c r="B212" s="1387"/>
      <c r="C212" s="1388"/>
    </row>
    <row r="213" spans="1:256" s="1361" customFormat="1" x14ac:dyDescent="0.2">
      <c r="A213" s="1376"/>
      <c r="B213" s="1387"/>
      <c r="C213" s="1388"/>
    </row>
    <row r="214" spans="1:256" s="1361" customFormat="1" x14ac:dyDescent="0.2">
      <c r="A214" s="1376"/>
      <c r="B214" s="1387"/>
      <c r="C214" s="1388"/>
    </row>
    <row r="215" spans="1:256" s="1361" customFormat="1" x14ac:dyDescent="0.2">
      <c r="A215" s="1376"/>
      <c r="B215" s="1387"/>
      <c r="C215" s="1388"/>
    </row>
    <row r="216" spans="1:256" s="1361" customFormat="1" x14ac:dyDescent="0.2">
      <c r="A216" s="1376"/>
      <c r="B216" s="1387"/>
      <c r="C216" s="1388"/>
    </row>
    <row r="217" spans="1:256" s="1361" customFormat="1" x14ac:dyDescent="0.2">
      <c r="A217" s="1376"/>
      <c r="B217" s="1387"/>
      <c r="C217" s="1388"/>
    </row>
    <row r="218" spans="1:256" s="1361" customFormat="1" x14ac:dyDescent="0.2">
      <c r="A218" s="1376"/>
      <c r="B218" s="1389"/>
      <c r="C218" s="1372"/>
    </row>
    <row r="219" spans="1:256" s="1343" customFormat="1" ht="15" x14ac:dyDescent="0.2">
      <c r="A219" s="1340" t="s">
        <v>1125</v>
      </c>
      <c r="B219" s="1340"/>
      <c r="C219" s="1341"/>
      <c r="D219" s="1342"/>
    </row>
    <row r="220" spans="1:256" s="1394" customFormat="1" ht="12" customHeight="1" x14ac:dyDescent="0.2">
      <c r="A220" s="1390" t="s">
        <v>1126</v>
      </c>
      <c r="B220" s="1391" t="s">
        <v>955</v>
      </c>
      <c r="C220" s="1392" t="s">
        <v>1127</v>
      </c>
      <c r="D220" s="1393">
        <f>'Edition éleveur'!B9</f>
        <v>507.97336340857942</v>
      </c>
      <c r="E220" s="1394">
        <v>557.87804644022799</v>
      </c>
      <c r="F220" s="1394">
        <v>606.62140107345999</v>
      </c>
      <c r="G220" s="1394">
        <v>560.23260727781906</v>
      </c>
      <c r="H220" s="1394">
        <v>501.725272221762</v>
      </c>
      <c r="I220" s="1394">
        <v>555.50206576435198</v>
      </c>
      <c r="J220" s="1394">
        <v>576.041687069771</v>
      </c>
      <c r="K220" s="1394">
        <v>590.50347627175699</v>
      </c>
      <c r="L220" s="1394">
        <v>555.52812973773405</v>
      </c>
      <c r="M220" s="1394">
        <v>540.65838039121002</v>
      </c>
      <c r="N220" s="1394">
        <v>524.99712883277903</v>
      </c>
      <c r="O220" s="1394">
        <v>490.51270210171703</v>
      </c>
      <c r="Q220" s="1394">
        <v>617.91206035914001</v>
      </c>
      <c r="R220" s="1394">
        <v>730.14358543534001</v>
      </c>
      <c r="S220" s="1394">
        <v>722.84156975522205</v>
      </c>
      <c r="T220" s="1394">
        <v>629.87235858607096</v>
      </c>
      <c r="U220" s="1394">
        <v>635.89483230072904</v>
      </c>
      <c r="W220" s="1394">
        <v>502.32626093737002</v>
      </c>
      <c r="X220" s="1394">
        <v>701.00072275409605</v>
      </c>
      <c r="IO220" s="1395"/>
      <c r="IP220" s="1395"/>
      <c r="IQ220" s="1395"/>
      <c r="IR220" s="1395"/>
      <c r="IS220" s="1395"/>
      <c r="IT220" s="1395"/>
      <c r="IU220" s="1395"/>
      <c r="IV220" s="1395"/>
    </row>
    <row r="221" spans="1:256" s="1394" customFormat="1" x14ac:dyDescent="0.2">
      <c r="A221" s="1390" t="s">
        <v>1128</v>
      </c>
      <c r="B221" s="1391" t="s">
        <v>956</v>
      </c>
      <c r="C221" s="1392" t="s">
        <v>1127</v>
      </c>
      <c r="D221" s="1393">
        <f>'Edition Compléments'!B10</f>
        <v>367.77406210861744</v>
      </c>
      <c r="E221" s="1394">
        <v>259.46519873256398</v>
      </c>
      <c r="F221" s="1394">
        <v>282.89610979170999</v>
      </c>
      <c r="G221" s="1394">
        <v>267.69860661125603</v>
      </c>
      <c r="H221" s="1394">
        <v>268.85811824903999</v>
      </c>
      <c r="I221" s="1394">
        <v>263.93004232761899</v>
      </c>
      <c r="J221" s="1394">
        <v>275.51349573024697</v>
      </c>
      <c r="K221" s="1394">
        <v>255.914751397477</v>
      </c>
      <c r="L221" s="1394">
        <v>254.51861421805501</v>
      </c>
      <c r="M221" s="1394">
        <v>248.13527808193501</v>
      </c>
      <c r="N221" s="1394">
        <v>257.08490062053801</v>
      </c>
      <c r="O221" s="1394">
        <v>244.90390930592201</v>
      </c>
      <c r="Q221" s="1394">
        <v>279.91106890129998</v>
      </c>
      <c r="R221" s="1394">
        <v>360.44607159478602</v>
      </c>
      <c r="S221" s="1394">
        <v>325.99762171259601</v>
      </c>
      <c r="T221" s="1394">
        <v>296.32384649815799</v>
      </c>
      <c r="U221" s="1394">
        <v>309.70566573767002</v>
      </c>
      <c r="W221" s="1394">
        <v>278.64359426156898</v>
      </c>
      <c r="X221" s="1394">
        <v>385.50994006236101</v>
      </c>
      <c r="IO221" s="1395"/>
      <c r="IP221" s="1395"/>
      <c r="IQ221" s="1395"/>
      <c r="IR221" s="1395"/>
      <c r="IS221" s="1395"/>
      <c r="IT221" s="1395"/>
      <c r="IU221" s="1395"/>
      <c r="IV221" s="1395"/>
    </row>
    <row r="222" spans="1:256" s="1394" customFormat="1" x14ac:dyDescent="0.2">
      <c r="A222" s="1390" t="s">
        <v>1129</v>
      </c>
      <c r="B222" s="1391" t="s">
        <v>1130</v>
      </c>
      <c r="C222" s="1392" t="s">
        <v>1127</v>
      </c>
      <c r="D222" s="1393">
        <f>'Edition éleveur'!B10</f>
        <v>126.70355318350227</v>
      </c>
      <c r="E222" s="1394">
        <v>70.827208546788</v>
      </c>
      <c r="F222" s="1394">
        <v>64.4664711515438</v>
      </c>
      <c r="G222" s="1394">
        <v>97.147995217920695</v>
      </c>
      <c r="H222" s="1394">
        <v>101.173324259667</v>
      </c>
      <c r="I222" s="1394">
        <v>58.397067132450502</v>
      </c>
      <c r="J222" s="1394">
        <v>50.807773487537197</v>
      </c>
      <c r="K222" s="1394">
        <v>33.659125032000802</v>
      </c>
      <c r="L222" s="1394">
        <v>45.203778987061803</v>
      </c>
      <c r="M222" s="1394">
        <v>44.461086503063299</v>
      </c>
      <c r="N222" s="1394">
        <v>57.402424292175503</v>
      </c>
      <c r="O222" s="1394">
        <v>59.791560844280298</v>
      </c>
      <c r="Q222" s="1394">
        <v>57.842234998128902</v>
      </c>
      <c r="R222" s="1394">
        <v>118.599288637304</v>
      </c>
      <c r="S222" s="1394">
        <v>43.927755790588201</v>
      </c>
      <c r="T222" s="1394">
        <v>52.398339583995401</v>
      </c>
      <c r="U222" s="1394">
        <v>83.1996137653245</v>
      </c>
      <c r="W222" s="1394">
        <v>53.246773823009804</v>
      </c>
      <c r="X222" s="1394">
        <v>92.714870908330795</v>
      </c>
    </row>
    <row r="223" spans="1:256" s="1394" customFormat="1" x14ac:dyDescent="0.2">
      <c r="A223" s="1390" t="s">
        <v>1131</v>
      </c>
      <c r="B223" s="1391" t="s">
        <v>764</v>
      </c>
      <c r="C223" s="1392" t="s">
        <v>1127</v>
      </c>
      <c r="D223" s="1393">
        <f>'Edition éleveur'!B11</f>
        <v>117.23982220481267</v>
      </c>
      <c r="E223" s="1394">
        <v>70.827208546788</v>
      </c>
      <c r="F223" s="1394">
        <v>64.4664711515438</v>
      </c>
      <c r="G223" s="1394">
        <v>90.014661884587298</v>
      </c>
      <c r="H223" s="1394">
        <v>77.720259782873399</v>
      </c>
      <c r="I223" s="1394">
        <v>58.397067132450502</v>
      </c>
      <c r="J223" s="1394">
        <v>40.821106820870497</v>
      </c>
      <c r="K223" s="1394">
        <v>33.659125032000802</v>
      </c>
      <c r="L223" s="1394">
        <v>45.203778987061803</v>
      </c>
      <c r="M223" s="1394">
        <v>44.461086503063299</v>
      </c>
      <c r="N223" s="1394">
        <v>49.255978607364902</v>
      </c>
      <c r="O223" s="1394">
        <v>59.791560844280298</v>
      </c>
      <c r="Q223" s="1394">
        <v>56.313663569557498</v>
      </c>
      <c r="R223" s="1394">
        <v>118.599288637304</v>
      </c>
      <c r="S223" s="1394">
        <v>43.927755790588201</v>
      </c>
      <c r="T223" s="1394">
        <v>52.398339583995401</v>
      </c>
      <c r="U223" s="1394">
        <v>52.077164785732698</v>
      </c>
      <c r="W223" s="1394">
        <v>47.396481110327699</v>
      </c>
      <c r="X223" s="1394">
        <v>92.714870908330795</v>
      </c>
    </row>
    <row r="224" spans="1:256" s="1394" customFormat="1" ht="14.25" customHeight="1" x14ac:dyDescent="0.2">
      <c r="A224" s="1390" t="s">
        <v>1132</v>
      </c>
      <c r="B224" s="1391" t="s">
        <v>183</v>
      </c>
      <c r="C224" s="1392" t="s">
        <v>1127</v>
      </c>
      <c r="D224" s="1393">
        <f>'Edition éleveur'!B12</f>
        <v>9.463730978689604</v>
      </c>
      <c r="E224" s="1394">
        <v>0</v>
      </c>
      <c r="F224" s="1394">
        <v>0</v>
      </c>
      <c r="G224" s="1394">
        <v>7.1333333333333302</v>
      </c>
      <c r="H224" s="1394">
        <v>23.453064476793799</v>
      </c>
      <c r="I224" s="1394">
        <v>0</v>
      </c>
      <c r="J224" s="1394">
        <v>9.9866666666666699</v>
      </c>
      <c r="K224" s="1394">
        <v>0</v>
      </c>
      <c r="L224" s="1394">
        <v>0</v>
      </c>
      <c r="M224" s="1394">
        <v>0</v>
      </c>
      <c r="N224" s="1394">
        <v>8.1464456848105904</v>
      </c>
      <c r="O224" s="1394">
        <v>0</v>
      </c>
      <c r="Q224" s="1394">
        <v>1.52857142857143</v>
      </c>
      <c r="R224" s="1394">
        <v>0</v>
      </c>
      <c r="S224" s="1394">
        <v>0</v>
      </c>
      <c r="T224" s="1394">
        <v>0</v>
      </c>
      <c r="U224" s="1394">
        <v>31.122448979591798</v>
      </c>
      <c r="W224" s="1394">
        <v>5.8502927126820996</v>
      </c>
      <c r="X224" s="1394">
        <v>0</v>
      </c>
    </row>
    <row r="225" spans="1:256" s="1394" customFormat="1" x14ac:dyDescent="0.2">
      <c r="A225" s="1390" t="s">
        <v>1133</v>
      </c>
      <c r="B225" s="1391" t="s">
        <v>1134</v>
      </c>
      <c r="C225" s="1392" t="s">
        <v>1127</v>
      </c>
      <c r="D225" s="1393">
        <f>'Edition éleveur'!B13</f>
        <v>22.063590744275356</v>
      </c>
      <c r="E225" s="1394">
        <v>17.037757907508499</v>
      </c>
      <c r="F225" s="1394">
        <v>20.946023922575598</v>
      </c>
      <c r="G225" s="1394">
        <v>15.707066261800399</v>
      </c>
      <c r="H225" s="1394">
        <v>14.105065827676601</v>
      </c>
      <c r="I225" s="1394">
        <v>29.717936344383901</v>
      </c>
      <c r="J225" s="1394">
        <v>32.830211008934199</v>
      </c>
      <c r="K225" s="1394">
        <v>28.2539947103363</v>
      </c>
      <c r="L225" s="1394">
        <v>33.790681445205102</v>
      </c>
      <c r="M225" s="1394">
        <v>33.787280954473601</v>
      </c>
      <c r="N225" s="1394">
        <v>35.270701535305598</v>
      </c>
      <c r="O225" s="1394">
        <v>33.6031563855474</v>
      </c>
      <c r="Q225" s="1394">
        <v>22.6624283798226</v>
      </c>
      <c r="R225" s="1394">
        <v>11.777424566892</v>
      </c>
      <c r="S225" s="1394">
        <v>34.754568873141501</v>
      </c>
      <c r="T225" s="1394">
        <v>25.8266681247839</v>
      </c>
      <c r="U225" s="1394">
        <v>14.769150932816901</v>
      </c>
      <c r="W225" s="1394">
        <v>42.548165762484103</v>
      </c>
      <c r="X225" s="1394">
        <v>18.839000665851</v>
      </c>
      <c r="IO225" s="1395"/>
      <c r="IP225" s="1395"/>
      <c r="IQ225" s="1395"/>
      <c r="IR225" s="1395"/>
      <c r="IS225" s="1395"/>
      <c r="IT225" s="1395"/>
      <c r="IU225" s="1395"/>
      <c r="IV225" s="1395"/>
    </row>
    <row r="226" spans="1:256" s="1394" customFormat="1" x14ac:dyDescent="0.2">
      <c r="A226" s="1390" t="s">
        <v>1135</v>
      </c>
      <c r="B226" s="1391" t="s">
        <v>187</v>
      </c>
      <c r="C226" s="1392" t="s">
        <v>1127</v>
      </c>
      <c r="D226" s="1393">
        <f>'Edition éleveur'!B14</f>
        <v>10.93904789076894</v>
      </c>
      <c r="E226" s="1394">
        <v>11.6184912408418</v>
      </c>
      <c r="F226" s="1394">
        <v>14.9283801502019</v>
      </c>
      <c r="G226" s="1394">
        <v>12.9223995951338</v>
      </c>
      <c r="H226" s="1394">
        <v>10.505602598755999</v>
      </c>
      <c r="I226" s="1394">
        <v>19.537648291662801</v>
      </c>
      <c r="J226" s="1394">
        <v>23.5142110089342</v>
      </c>
      <c r="K226" s="1394">
        <v>17.001907004561801</v>
      </c>
      <c r="L226" s="1394">
        <v>21.451507376408099</v>
      </c>
      <c r="M226" s="1394">
        <v>16.6863127320307</v>
      </c>
      <c r="N226" s="1394">
        <v>16.174326800895699</v>
      </c>
      <c r="O226" s="1394">
        <v>18.425823052214</v>
      </c>
      <c r="Q226" s="1394">
        <v>6.28742837982261</v>
      </c>
      <c r="R226" s="1394">
        <v>8.2241398953591993</v>
      </c>
      <c r="S226" s="1394">
        <v>15.4202623037985</v>
      </c>
      <c r="T226" s="1394">
        <v>10.6454361214931</v>
      </c>
      <c r="U226" s="1394">
        <v>2.8742529736331801</v>
      </c>
      <c r="W226" s="1394">
        <v>25.350307301695299</v>
      </c>
      <c r="X226" s="1394">
        <v>15.4486947342797</v>
      </c>
    </row>
    <row r="227" spans="1:256" s="1394" customFormat="1" x14ac:dyDescent="0.2">
      <c r="A227" s="1390" t="s">
        <v>1136</v>
      </c>
      <c r="B227" s="1391" t="s">
        <v>191</v>
      </c>
      <c r="C227" s="1392" t="s">
        <v>1127</v>
      </c>
      <c r="D227" s="1393">
        <f>'Edition éleveur'!B15</f>
        <v>4.5584139277039251</v>
      </c>
      <c r="E227" s="1394">
        <v>0</v>
      </c>
      <c r="F227" s="1394">
        <v>2.2016779287305601</v>
      </c>
      <c r="G227" s="1394">
        <v>1.36</v>
      </c>
      <c r="H227" s="1394">
        <v>0</v>
      </c>
      <c r="I227" s="1394">
        <v>2.8535906550119998</v>
      </c>
      <c r="J227" s="1394">
        <v>5.24</v>
      </c>
      <c r="K227" s="1394">
        <v>5.8988868903849099</v>
      </c>
      <c r="L227" s="1394">
        <v>5.0941454926537002</v>
      </c>
      <c r="M227" s="1394">
        <v>7.9363936817279104</v>
      </c>
      <c r="N227" s="1394">
        <v>9.00596807464661</v>
      </c>
      <c r="O227" s="1394">
        <v>6.5966666666666702</v>
      </c>
      <c r="Q227" s="1394">
        <v>14.6142857142857</v>
      </c>
      <c r="R227" s="1394">
        <v>2.0291970802919699</v>
      </c>
      <c r="S227" s="1394">
        <v>17.810218978102199</v>
      </c>
      <c r="T227" s="1394">
        <v>14.209193747429</v>
      </c>
      <c r="U227" s="1394">
        <v>11.265306122448999</v>
      </c>
      <c r="W227" s="1394">
        <v>10.0515988549814</v>
      </c>
      <c r="X227" s="1394">
        <v>0</v>
      </c>
    </row>
    <row r="228" spans="1:256" s="1394" customFormat="1" x14ac:dyDescent="0.2">
      <c r="A228" s="1390" t="s">
        <v>1137</v>
      </c>
      <c r="B228" s="1391" t="s">
        <v>193</v>
      </c>
      <c r="C228" s="1392" t="s">
        <v>1127</v>
      </c>
      <c r="D228" s="1393">
        <f>'Edition éleveur'!B16</f>
        <v>6.5661289258024915</v>
      </c>
      <c r="E228" s="1394">
        <v>5.4192666666666698</v>
      </c>
      <c r="F228" s="1394">
        <v>3.81596584364316</v>
      </c>
      <c r="G228" s="1394">
        <v>1.4246666666666701</v>
      </c>
      <c r="H228" s="1394">
        <v>3.5994632289206798</v>
      </c>
      <c r="I228" s="1394">
        <v>7.3266973977090801</v>
      </c>
      <c r="J228" s="1394">
        <v>4.0759999999999996</v>
      </c>
      <c r="K228" s="1394">
        <v>5.35320081538962</v>
      </c>
      <c r="L228" s="1394">
        <v>7.2450285761433202</v>
      </c>
      <c r="M228" s="1394">
        <v>9.1645745407149892</v>
      </c>
      <c r="N228" s="1394">
        <v>10.0904066597633</v>
      </c>
      <c r="O228" s="1394">
        <v>8.5806666666666693</v>
      </c>
      <c r="Q228" s="1394">
        <v>1.7607142857142901</v>
      </c>
      <c r="R228" s="1394">
        <v>1.52408759124088</v>
      </c>
      <c r="S228" s="1394">
        <v>1.52408759124088</v>
      </c>
      <c r="T228" s="1394">
        <v>0.97203825586178605</v>
      </c>
      <c r="U228" s="1394">
        <v>0.6295918367346941</v>
      </c>
      <c r="W228" s="1394">
        <v>7.1462596058073196</v>
      </c>
      <c r="X228" s="1394">
        <v>3.3903059315712998</v>
      </c>
    </row>
    <row r="229" spans="1:256" s="1394" customFormat="1" x14ac:dyDescent="0.2">
      <c r="A229" s="1390" t="s">
        <v>1138</v>
      </c>
      <c r="B229" s="1391" t="s">
        <v>1139</v>
      </c>
      <c r="C229" s="1392" t="s">
        <v>1127</v>
      </c>
      <c r="D229" s="1393">
        <f>'Edition éleveur'!B17</f>
        <v>37.116377504665223</v>
      </c>
      <c r="E229" s="1394">
        <v>49.410100142991702</v>
      </c>
      <c r="F229" s="1394">
        <v>55.744507898721999</v>
      </c>
      <c r="G229" s="1394">
        <v>47.925083660160503</v>
      </c>
      <c r="H229" s="1394">
        <v>51.771270519832299</v>
      </c>
      <c r="I229" s="1394">
        <v>47.904638976584302</v>
      </c>
      <c r="J229" s="1394">
        <v>50.778211237659299</v>
      </c>
      <c r="K229" s="1394">
        <v>47.0529651848464</v>
      </c>
      <c r="L229" s="1394">
        <v>43.923444971068498</v>
      </c>
      <c r="M229" s="1394">
        <v>38.811110218547498</v>
      </c>
      <c r="N229" s="1394">
        <v>43.091033378541503</v>
      </c>
      <c r="O229" s="1394">
        <v>42.998339148823398</v>
      </c>
      <c r="Q229" s="1394">
        <v>41.737514906781101</v>
      </c>
      <c r="R229" s="1394">
        <v>65.482949010271895</v>
      </c>
      <c r="S229" s="1394">
        <v>65.482949010271895</v>
      </c>
      <c r="T229" s="1394">
        <v>40.562019637463301</v>
      </c>
      <c r="U229" s="1394">
        <v>39.812207709451698</v>
      </c>
      <c r="W229" s="1394">
        <v>60.875523832912201</v>
      </c>
      <c r="X229" s="1394">
        <v>52.434615227604603</v>
      </c>
      <c r="IO229" s="1395"/>
      <c r="IP229" s="1395"/>
      <c r="IQ229" s="1395"/>
      <c r="IR229" s="1395"/>
      <c r="IS229" s="1395"/>
      <c r="IT229" s="1395"/>
      <c r="IU229" s="1395"/>
      <c r="IV229" s="1395"/>
    </row>
    <row r="230" spans="1:256" s="1394" customFormat="1" x14ac:dyDescent="0.2">
      <c r="A230" s="1390" t="s">
        <v>1140</v>
      </c>
      <c r="B230" s="1391" t="s">
        <v>196</v>
      </c>
      <c r="C230" s="1392" t="s">
        <v>1127</v>
      </c>
      <c r="D230" s="1393">
        <f>'Edition éleveur'!B18</f>
        <v>7.1746451440913575</v>
      </c>
      <c r="E230" s="1394">
        <v>13.5562151505414</v>
      </c>
      <c r="F230" s="1394">
        <v>15.784607312774201</v>
      </c>
      <c r="G230" s="1394">
        <v>14.933975402879501</v>
      </c>
      <c r="H230" s="1394">
        <v>18.6360080563102</v>
      </c>
      <c r="I230" s="1394">
        <v>17.842619652595999</v>
      </c>
      <c r="J230" s="1394">
        <v>17.356407239137798</v>
      </c>
      <c r="K230" s="1394">
        <v>15.663205478290999</v>
      </c>
      <c r="L230" s="1394">
        <v>13.347261954168699</v>
      </c>
      <c r="M230" s="1394">
        <v>12.7754485176836</v>
      </c>
      <c r="N230" s="1394">
        <v>13.2919815721714</v>
      </c>
      <c r="O230" s="1394">
        <v>13.137083716522699</v>
      </c>
      <c r="Q230" s="1394">
        <v>10.5766205330627</v>
      </c>
      <c r="R230" s="1394">
        <v>12.5527628807155</v>
      </c>
      <c r="S230" s="1394">
        <v>12.5527628807155</v>
      </c>
      <c r="T230" s="1394">
        <v>10.7914829659964</v>
      </c>
      <c r="U230" s="1394">
        <v>9.9002529387149991</v>
      </c>
      <c r="W230" s="1394">
        <v>8.7694976749344491</v>
      </c>
      <c r="X230" s="1394">
        <v>15.833671198757401</v>
      </c>
    </row>
    <row r="231" spans="1:256" s="1394" customFormat="1" x14ac:dyDescent="0.2">
      <c r="A231" s="1390" t="s">
        <v>1141</v>
      </c>
      <c r="B231" s="1391" t="s">
        <v>200</v>
      </c>
      <c r="C231" s="1392" t="s">
        <v>1127</v>
      </c>
      <c r="D231" s="1393">
        <f>'Edition éleveur'!B19</f>
        <v>29.941732360573866</v>
      </c>
      <c r="E231" s="1394">
        <v>35.853884992450297</v>
      </c>
      <c r="F231" s="1394">
        <v>39.959900585947899</v>
      </c>
      <c r="G231" s="1394">
        <v>32.991108257280899</v>
      </c>
      <c r="H231" s="1394">
        <v>33.135262463521997</v>
      </c>
      <c r="I231" s="1394">
        <v>30.062019323988299</v>
      </c>
      <c r="J231" s="1394">
        <v>33.421803998521497</v>
      </c>
      <c r="K231" s="1394">
        <v>31.389759706555399</v>
      </c>
      <c r="L231" s="1394">
        <v>30.576183016899801</v>
      </c>
      <c r="M231" s="1394">
        <v>26.035661700863901</v>
      </c>
      <c r="N231" s="1394">
        <v>29.799051806370102</v>
      </c>
      <c r="O231" s="1394">
        <v>29.861255432300702</v>
      </c>
      <c r="Q231" s="1394">
        <v>31.160894373718499</v>
      </c>
      <c r="R231" s="1394">
        <v>52.930186129556397</v>
      </c>
      <c r="S231" s="1394">
        <v>52.930186129556397</v>
      </c>
      <c r="T231" s="1394">
        <v>29.7705366714668</v>
      </c>
      <c r="U231" s="1394">
        <v>29.911954770736699</v>
      </c>
      <c r="W231" s="1394">
        <v>52.106026157977702</v>
      </c>
      <c r="X231" s="1394">
        <v>36.600944028847202</v>
      </c>
    </row>
    <row r="232" spans="1:256" s="1394" customFormat="1" x14ac:dyDescent="0.2">
      <c r="A232" s="1390"/>
      <c r="B232" s="1391"/>
      <c r="C232" s="1392"/>
      <c r="D232" s="1393"/>
      <c r="IO232" s="1395"/>
      <c r="IP232" s="1395"/>
      <c r="IQ232" s="1395"/>
      <c r="IR232" s="1395"/>
      <c r="IS232" s="1395"/>
      <c r="IT232" s="1395"/>
      <c r="IU232" s="1395"/>
      <c r="IV232" s="1395"/>
    </row>
    <row r="233" spans="1:256" s="1394" customFormat="1" x14ac:dyDescent="0.2">
      <c r="A233" s="1390" t="s">
        <v>1142</v>
      </c>
      <c r="B233" s="1391" t="s">
        <v>1143</v>
      </c>
      <c r="C233" s="1392" t="s">
        <v>1127</v>
      </c>
      <c r="D233" s="1393">
        <f>'Edition éleveur'!B22-'Edition éleveur'!B28</f>
        <v>60.759283054818411</v>
      </c>
      <c r="E233" s="1394">
        <v>50.317851621013297</v>
      </c>
      <c r="F233" s="1394">
        <v>47.402122126909198</v>
      </c>
      <c r="G233" s="1394">
        <v>33.768000000000001</v>
      </c>
      <c r="H233" s="1394">
        <v>37.712024360109197</v>
      </c>
      <c r="I233" s="1394">
        <v>57.0507646566167</v>
      </c>
      <c r="J233" s="1394">
        <v>59.394266666666702</v>
      </c>
      <c r="K233" s="1394">
        <v>63.106515059562199</v>
      </c>
      <c r="L233" s="1394">
        <v>68.731294603268495</v>
      </c>
      <c r="M233" s="1394">
        <v>67.251314512059807</v>
      </c>
      <c r="N233" s="1394">
        <v>60.0925975940279</v>
      </c>
      <c r="O233" s="1394">
        <v>51.304844042031597</v>
      </c>
      <c r="Q233" s="1394">
        <v>62.31</v>
      </c>
      <c r="R233" s="1394">
        <v>50.830289016638297</v>
      </c>
      <c r="S233" s="1394">
        <v>63.855461836212001</v>
      </c>
      <c r="T233" s="1394">
        <v>72.211830334724795</v>
      </c>
      <c r="U233" s="1394">
        <v>71.127036354782106</v>
      </c>
      <c r="W233" s="1394">
        <v>40.424786839565797</v>
      </c>
      <c r="X233" s="1394">
        <v>49.677796349812702</v>
      </c>
      <c r="IO233" s="1395"/>
      <c r="IP233" s="1395"/>
      <c r="IQ233" s="1395"/>
      <c r="IR233" s="1395"/>
      <c r="IS233" s="1395"/>
      <c r="IT233" s="1395"/>
      <c r="IU233" s="1395"/>
      <c r="IV233" s="1395"/>
    </row>
    <row r="234" spans="1:256" s="1394" customFormat="1" x14ac:dyDescent="0.2">
      <c r="A234" s="1390" t="s">
        <v>1144</v>
      </c>
      <c r="B234" s="1391" t="s">
        <v>261</v>
      </c>
      <c r="C234" s="1392" t="s">
        <v>1127</v>
      </c>
      <c r="D234" s="1393">
        <f>'Edition éleveur'!B23</f>
        <v>26.088478989799853</v>
      </c>
      <c r="E234" s="1394">
        <v>10.325699999999999</v>
      </c>
      <c r="F234" s="1394">
        <v>3.4671369220193098</v>
      </c>
      <c r="G234" s="1394">
        <v>3</v>
      </c>
      <c r="H234" s="1394">
        <v>0</v>
      </c>
      <c r="I234" s="1394">
        <v>14.3150473280693</v>
      </c>
      <c r="J234" s="1394">
        <v>19.767600000000002</v>
      </c>
      <c r="K234" s="1394">
        <v>22.604589874357199</v>
      </c>
      <c r="L234" s="1394">
        <v>23.401247158217998</v>
      </c>
      <c r="M234" s="1394">
        <v>25.1208889888809</v>
      </c>
      <c r="N234" s="1394">
        <v>25.364511916447299</v>
      </c>
      <c r="O234" s="1394">
        <v>14.5573</v>
      </c>
      <c r="Q234" s="1394">
        <v>6.9385714285714304</v>
      </c>
      <c r="R234" s="1394">
        <v>5.6204379562043805</v>
      </c>
      <c r="S234" s="1394">
        <v>12.102189781021901</v>
      </c>
      <c r="T234" s="1394">
        <v>17.9568427275155</v>
      </c>
      <c r="U234" s="1394">
        <v>16.479591836734699</v>
      </c>
      <c r="W234" s="1394">
        <v>12.186357305808601</v>
      </c>
      <c r="X234" s="1394">
        <v>0.14418181269427</v>
      </c>
    </row>
    <row r="235" spans="1:256" s="1394" customFormat="1" x14ac:dyDescent="0.2">
      <c r="A235" s="1390" t="s">
        <v>1145</v>
      </c>
      <c r="B235" s="1391" t="s">
        <v>216</v>
      </c>
      <c r="C235" s="1392" t="s">
        <v>1127</v>
      </c>
      <c r="D235" s="1393">
        <f>'Edition éleveur'!B24</f>
        <v>17.604217967760945</v>
      </c>
      <c r="E235" s="1394">
        <v>20.134618287679999</v>
      </c>
      <c r="F235" s="1394">
        <v>19.427922407866799</v>
      </c>
      <c r="G235" s="1394">
        <v>16.033333333333299</v>
      </c>
      <c r="H235" s="1394">
        <v>19.2920238649276</v>
      </c>
      <c r="I235" s="1394">
        <v>19.3751845915674</v>
      </c>
      <c r="J235" s="1394">
        <v>19.066666666666698</v>
      </c>
      <c r="K235" s="1394">
        <v>18.8100634977433</v>
      </c>
      <c r="L235" s="1394">
        <v>21.285006798243501</v>
      </c>
      <c r="M235" s="1394">
        <v>19.599136030317201</v>
      </c>
      <c r="N235" s="1394">
        <v>20.074724584454501</v>
      </c>
      <c r="O235" s="1394">
        <v>18.243544042031601</v>
      </c>
      <c r="Q235" s="1394">
        <v>26</v>
      </c>
      <c r="R235" s="1394">
        <v>21.9237322899153</v>
      </c>
      <c r="S235" s="1394">
        <v>28.4671532846715</v>
      </c>
      <c r="T235" s="1394">
        <v>26.340079600304801</v>
      </c>
      <c r="U235" s="1394">
        <v>26.530612244897998</v>
      </c>
      <c r="W235" s="1394">
        <v>13.985684113144</v>
      </c>
      <c r="X235" s="1394">
        <v>24.3939782939309</v>
      </c>
    </row>
    <row r="236" spans="1:256" s="1394" customFormat="1" x14ac:dyDescent="0.2">
      <c r="A236" s="1390" t="s">
        <v>1146</v>
      </c>
      <c r="B236" s="1391" t="s">
        <v>218</v>
      </c>
      <c r="C236" s="1392" t="s">
        <v>1127</v>
      </c>
      <c r="D236" s="1393">
        <f>'Edition éleveur'!B25</f>
        <v>15.002939925517646</v>
      </c>
      <c r="E236" s="1394">
        <v>19.857533333333301</v>
      </c>
      <c r="F236" s="1394">
        <v>24.507062797023</v>
      </c>
      <c r="G236" s="1394">
        <v>14.734666666666699</v>
      </c>
      <c r="H236" s="1394">
        <v>18.420000495181601</v>
      </c>
      <c r="I236" s="1394">
        <v>23.360532736979899</v>
      </c>
      <c r="J236" s="1394">
        <v>20.56</v>
      </c>
      <c r="K236" s="1394">
        <v>21.691861687461699</v>
      </c>
      <c r="L236" s="1394">
        <v>24.045040646806999</v>
      </c>
      <c r="M236" s="1394">
        <v>22.531289492861699</v>
      </c>
      <c r="N236" s="1394">
        <v>14.653361093126101</v>
      </c>
      <c r="O236" s="1394">
        <v>18.504000000000001</v>
      </c>
      <c r="Q236" s="1394">
        <v>29.371428571428599</v>
      </c>
      <c r="R236" s="1394">
        <v>23.286118770518499</v>
      </c>
      <c r="S236" s="1394">
        <v>23.286118770518499</v>
      </c>
      <c r="T236" s="1394">
        <v>27.914908006904401</v>
      </c>
      <c r="U236" s="1394">
        <v>28.116832273149502</v>
      </c>
      <c r="W236" s="1394">
        <v>14.2527454206132</v>
      </c>
      <c r="X236" s="1394">
        <v>25.139636243187599</v>
      </c>
    </row>
    <row r="237" spans="1:256" s="1394" customFormat="1" x14ac:dyDescent="0.2">
      <c r="A237" s="1390" t="s">
        <v>1147</v>
      </c>
      <c r="B237" s="1391" t="s">
        <v>770</v>
      </c>
      <c r="C237" s="1392" t="s">
        <v>1127</v>
      </c>
      <c r="D237" s="1393">
        <f>'Edition éleveur'!B26</f>
        <v>2.063646171739971</v>
      </c>
      <c r="E237" s="1394">
        <v>0</v>
      </c>
      <c r="F237" s="1394">
        <v>0</v>
      </c>
      <c r="G237" s="1394">
        <v>0</v>
      </c>
      <c r="H237" s="1394">
        <v>0</v>
      </c>
      <c r="I237" s="1394">
        <v>0</v>
      </c>
      <c r="J237" s="1394">
        <v>0</v>
      </c>
      <c r="K237" s="1394">
        <v>0</v>
      </c>
      <c r="L237" s="1394">
        <v>0</v>
      </c>
      <c r="M237" s="1394">
        <v>0</v>
      </c>
      <c r="N237" s="1394">
        <v>0</v>
      </c>
      <c r="O237" s="1394">
        <v>0</v>
      </c>
      <c r="Q237" s="1394">
        <v>0</v>
      </c>
      <c r="R237" s="1394">
        <v>0</v>
      </c>
      <c r="S237" s="1394">
        <v>0</v>
      </c>
      <c r="T237" s="1394">
        <v>0</v>
      </c>
      <c r="U237" s="1394">
        <v>0</v>
      </c>
      <c r="W237" s="1394">
        <v>0</v>
      </c>
      <c r="X237" s="1394">
        <v>0</v>
      </c>
    </row>
    <row r="238" spans="1:256" s="1394" customFormat="1" x14ac:dyDescent="0.2">
      <c r="A238" s="1390" t="s">
        <v>1148</v>
      </c>
      <c r="B238" s="1391" t="s">
        <v>1149</v>
      </c>
      <c r="C238" s="1392" t="s">
        <v>1127</v>
      </c>
      <c r="D238" s="1393">
        <f>'Edition éleveur'!B29-'Edition éleveur'!B33</f>
        <v>10.506750392521319</v>
      </c>
      <c r="E238" s="1394">
        <v>12.7948633333333</v>
      </c>
      <c r="F238" s="1394">
        <v>12.785964073288101</v>
      </c>
      <c r="G238" s="1394">
        <v>11.5963333333333</v>
      </c>
      <c r="H238" s="1394">
        <v>8.0554486299529398</v>
      </c>
      <c r="I238" s="1394">
        <v>14.2687121851528</v>
      </c>
      <c r="J238" s="1394">
        <v>13.0833292167101</v>
      </c>
      <c r="K238" s="1394">
        <v>12.700935812734</v>
      </c>
      <c r="L238" s="1394">
        <v>10.2166994030397</v>
      </c>
      <c r="M238" s="1394">
        <v>10.4982108538946</v>
      </c>
      <c r="N238" s="1394">
        <v>9.48901592704925</v>
      </c>
      <c r="O238" s="1394">
        <v>15.345000000000001</v>
      </c>
      <c r="Q238" s="1394">
        <v>16.441071428571401</v>
      </c>
      <c r="R238" s="1394">
        <v>15.200453735971401</v>
      </c>
      <c r="S238" s="1394">
        <v>15.200453735971401</v>
      </c>
      <c r="T238" s="1394">
        <v>16.1983199352299</v>
      </c>
      <c r="U238" s="1394">
        <v>16.213227969583301</v>
      </c>
      <c r="W238" s="1394">
        <v>24.759813737594701</v>
      </c>
      <c r="X238" s="1394">
        <v>9.6861361857681096</v>
      </c>
      <c r="IO238" s="1395"/>
      <c r="IP238" s="1395"/>
      <c r="IQ238" s="1395"/>
      <c r="IR238" s="1395"/>
      <c r="IS238" s="1395"/>
      <c r="IT238" s="1395"/>
      <c r="IU238" s="1395"/>
      <c r="IV238" s="1395"/>
    </row>
    <row r="239" spans="1:256" s="1394" customFormat="1" x14ac:dyDescent="0.2">
      <c r="A239" s="1390" t="s">
        <v>1150</v>
      </c>
      <c r="B239" s="1391" t="s">
        <v>223</v>
      </c>
      <c r="C239" s="1392" t="s">
        <v>1127</v>
      </c>
      <c r="D239" s="1393">
        <f>'Edition éleveur'!B30</f>
        <v>3.3035211320583859</v>
      </c>
      <c r="E239" s="1394">
        <v>0</v>
      </c>
      <c r="F239" s="1394">
        <v>0</v>
      </c>
      <c r="G239" s="1394">
        <v>0</v>
      </c>
      <c r="H239" s="1394">
        <v>0</v>
      </c>
      <c r="I239" s="1394">
        <v>0</v>
      </c>
      <c r="J239" s="1394">
        <v>0</v>
      </c>
      <c r="K239" s="1394">
        <v>0</v>
      </c>
      <c r="L239" s="1394">
        <v>0</v>
      </c>
      <c r="M239" s="1394">
        <v>0</v>
      </c>
      <c r="N239" s="1394">
        <v>0</v>
      </c>
      <c r="O239" s="1394">
        <v>0</v>
      </c>
      <c r="Q239" s="1394">
        <v>0</v>
      </c>
      <c r="R239" s="1394">
        <v>0</v>
      </c>
      <c r="S239" s="1394">
        <v>0</v>
      </c>
      <c r="T239" s="1394">
        <v>0</v>
      </c>
      <c r="U239" s="1394">
        <v>0</v>
      </c>
      <c r="W239" s="1394">
        <v>6.2502261716647203</v>
      </c>
      <c r="X239" s="1394">
        <v>0</v>
      </c>
    </row>
    <row r="240" spans="1:256" s="1394" customFormat="1" x14ac:dyDescent="0.2">
      <c r="A240" s="1390" t="s">
        <v>1151</v>
      </c>
      <c r="B240" s="1391" t="s">
        <v>224</v>
      </c>
      <c r="C240" s="1392" t="s">
        <v>1127</v>
      </c>
      <c r="D240" s="1393">
        <f>'Edition éleveur'!B31</f>
        <v>7.2032292604629324</v>
      </c>
      <c r="E240" s="1394">
        <v>9.8850133333333297</v>
      </c>
      <c r="F240" s="1394">
        <v>10.222554323460001</v>
      </c>
      <c r="G240" s="1394">
        <v>8.5333333333333297</v>
      </c>
      <c r="H240" s="1394">
        <v>6.8635492827127198</v>
      </c>
      <c r="I240" s="1394">
        <v>10.1628314360951</v>
      </c>
      <c r="J240" s="1394">
        <v>8.6688988043673607</v>
      </c>
      <c r="K240" s="1394">
        <v>8.3724064982706992</v>
      </c>
      <c r="L240" s="1394">
        <v>6.9958390302647402</v>
      </c>
      <c r="M240" s="1394">
        <v>7.1847369833017298</v>
      </c>
      <c r="N240" s="1394">
        <v>5.8459816856725197</v>
      </c>
      <c r="O240" s="1394">
        <v>10.24</v>
      </c>
      <c r="Q240" s="1394">
        <v>10.9714285714286</v>
      </c>
      <c r="R240" s="1394">
        <v>9.5864099916909495</v>
      </c>
      <c r="S240" s="1394">
        <v>9.5864099916909495</v>
      </c>
      <c r="T240" s="1394">
        <v>9.9031710900362704</v>
      </c>
      <c r="U240" s="1394">
        <v>9.9122854188930596</v>
      </c>
      <c r="W240" s="1394">
        <v>13.5139412545994</v>
      </c>
      <c r="X240" s="1394">
        <v>6.6325382501412395</v>
      </c>
    </row>
    <row r="241" spans="1:256" s="1394" customFormat="1" x14ac:dyDescent="0.2">
      <c r="A241" s="1390" t="s">
        <v>1152</v>
      </c>
      <c r="B241" s="1391" t="s">
        <v>227</v>
      </c>
      <c r="C241" s="1392" t="s">
        <v>1127</v>
      </c>
      <c r="D241" s="1393">
        <f>'Edition éleveur'!B32</f>
        <v>0</v>
      </c>
      <c r="E241" s="1394">
        <v>2.90985</v>
      </c>
      <c r="F241" s="1394">
        <v>2.5634097498281401</v>
      </c>
      <c r="G241" s="1394">
        <v>3.0630000000000002</v>
      </c>
      <c r="H241" s="1394">
        <v>1.19189934724022</v>
      </c>
      <c r="I241" s="1394">
        <v>4.10588074905775</v>
      </c>
      <c r="J241" s="1394">
        <v>4.4144304123427203</v>
      </c>
      <c r="K241" s="1394">
        <v>4.3285293144633101</v>
      </c>
      <c r="L241" s="1394">
        <v>3.2208603727749701</v>
      </c>
      <c r="M241" s="1394">
        <v>3.3134738705929001</v>
      </c>
      <c r="N241" s="1394">
        <v>3.6430342413767303</v>
      </c>
      <c r="O241" s="1394">
        <v>5.1050000000000004</v>
      </c>
      <c r="Q241" s="1394">
        <v>5.4696428571428601</v>
      </c>
      <c r="R241" s="1394">
        <v>5.6140437442804902</v>
      </c>
      <c r="S241" s="1394">
        <v>5.6140437442804902</v>
      </c>
      <c r="T241" s="1394">
        <v>6.2951488451936601</v>
      </c>
      <c r="U241" s="1394">
        <v>6.3009425506902002</v>
      </c>
      <c r="W241" s="1394">
        <v>4.99564631133057</v>
      </c>
      <c r="X241" s="1394">
        <v>3.0535979356268501</v>
      </c>
    </row>
    <row r="242" spans="1:256" s="1394" customFormat="1" x14ac:dyDescent="0.2">
      <c r="A242" s="1390" t="s">
        <v>1153</v>
      </c>
      <c r="B242" s="1391" t="s">
        <v>1154</v>
      </c>
      <c r="C242" s="1392" t="s">
        <v>1127</v>
      </c>
      <c r="D242" s="1393">
        <f>D243+D244+D245+D246</f>
        <v>110.6245072288349</v>
      </c>
      <c r="E242" s="1394">
        <v>59.077417180928698</v>
      </c>
      <c r="F242" s="1394">
        <v>81.551020618671402</v>
      </c>
      <c r="G242" s="1394">
        <v>61.5541281380413</v>
      </c>
      <c r="H242" s="1394">
        <v>56.040984651802098</v>
      </c>
      <c r="I242" s="1394">
        <v>56.590923032431</v>
      </c>
      <c r="J242" s="1394">
        <v>68.619704112739996</v>
      </c>
      <c r="K242" s="1394">
        <v>71.141215597997203</v>
      </c>
      <c r="L242" s="1394">
        <v>52.652714808411901</v>
      </c>
      <c r="M242" s="1394">
        <v>53.326275039895798</v>
      </c>
      <c r="N242" s="1394">
        <v>51.739127893438599</v>
      </c>
      <c r="O242" s="1394">
        <v>41.861008885239599</v>
      </c>
      <c r="Q242" s="1394">
        <v>78.917819187995704</v>
      </c>
      <c r="R242" s="1394">
        <v>98.555666627708803</v>
      </c>
      <c r="S242" s="1394">
        <v>102.77643246641099</v>
      </c>
      <c r="T242" s="1394">
        <v>89.126668881961194</v>
      </c>
      <c r="U242" s="1394">
        <v>84.5844290057113</v>
      </c>
      <c r="W242" s="1394">
        <v>56.788530266002198</v>
      </c>
      <c r="X242" s="1394">
        <v>162.15752072499399</v>
      </c>
      <c r="IO242" s="1395"/>
      <c r="IP242" s="1395"/>
      <c r="IQ242" s="1395"/>
      <c r="IR242" s="1395"/>
      <c r="IS242" s="1395"/>
      <c r="IT242" s="1395"/>
      <c r="IU242" s="1395"/>
      <c r="IV242" s="1395"/>
    </row>
    <row r="243" spans="1:256" s="1394" customFormat="1" x14ac:dyDescent="0.2">
      <c r="A243" s="1390" t="s">
        <v>1155</v>
      </c>
      <c r="B243" s="1391" t="s">
        <v>230</v>
      </c>
      <c r="C243" s="1392" t="s">
        <v>1127</v>
      </c>
      <c r="D243" s="1393">
        <f>'Edition éleveur'!B35</f>
        <v>23.720496644378152</v>
      </c>
      <c r="E243" s="1394">
        <v>29.296666666666699</v>
      </c>
      <c r="F243" s="1394">
        <v>34.419762680455499</v>
      </c>
      <c r="G243" s="1394">
        <v>26.5</v>
      </c>
      <c r="H243" s="1394">
        <v>25.277113201107799</v>
      </c>
      <c r="I243" s="1394">
        <v>25.861767479956601</v>
      </c>
      <c r="J243" s="1394">
        <v>31.041</v>
      </c>
      <c r="K243" s="1394">
        <v>32.181362579071902</v>
      </c>
      <c r="L243" s="1394">
        <v>22.159067464015099</v>
      </c>
      <c r="M243" s="1394">
        <v>21.692029696776</v>
      </c>
      <c r="N243" s="1394">
        <v>18.7123586892045</v>
      </c>
      <c r="O243" s="1394">
        <v>21.982721428568201</v>
      </c>
      <c r="Q243" s="1394">
        <v>38.767857142857103</v>
      </c>
      <c r="R243" s="1394">
        <v>55.137680650125503</v>
      </c>
      <c r="S243" s="1394">
        <v>55.137680650125603</v>
      </c>
      <c r="T243" s="1394">
        <v>42.795691360537901</v>
      </c>
      <c r="U243" s="1394">
        <v>42.8720826449388</v>
      </c>
      <c r="W243" s="1394">
        <v>32.133912580940603</v>
      </c>
      <c r="X243" s="1394">
        <v>31.363489936986699</v>
      </c>
    </row>
    <row r="244" spans="1:256" s="1394" customFormat="1" x14ac:dyDescent="0.2">
      <c r="A244" s="1390" t="s">
        <v>1156</v>
      </c>
      <c r="B244" s="1391" t="s">
        <v>613</v>
      </c>
      <c r="C244" s="1392" t="s">
        <v>1127</v>
      </c>
      <c r="D244" s="1393">
        <f>'Edition éleveur'!B38</f>
        <v>10.938069901761029</v>
      </c>
      <c r="E244" s="1394">
        <v>18.839318891033699</v>
      </c>
      <c r="F244" s="1394">
        <v>34.739512381902898</v>
      </c>
      <c r="G244" s="1394">
        <v>23.823285158421299</v>
      </c>
      <c r="H244" s="1394">
        <v>24.445979617702701</v>
      </c>
      <c r="I244" s="1394">
        <v>19.7692819652951</v>
      </c>
      <c r="J244" s="1394">
        <v>20.752774618622102</v>
      </c>
      <c r="K244" s="1394">
        <v>20.882805840698399</v>
      </c>
      <c r="L244" s="1394">
        <v>17.523620785565999</v>
      </c>
      <c r="M244" s="1394">
        <v>16.227992295886299</v>
      </c>
      <c r="N244" s="1394">
        <v>17.596079656250499</v>
      </c>
      <c r="O244" s="1394">
        <v>10.805135111111101</v>
      </c>
      <c r="Q244" s="1394">
        <v>21.992555687907199</v>
      </c>
      <c r="R244" s="1394">
        <v>27.8361487188095</v>
      </c>
      <c r="S244" s="1394">
        <v>27.8361487188095</v>
      </c>
      <c r="T244" s="1394">
        <v>23.929626503231098</v>
      </c>
      <c r="U244" s="1394">
        <v>20.846296036196801</v>
      </c>
      <c r="W244" s="1394">
        <v>18.4662711882225</v>
      </c>
      <c r="X244" s="1394">
        <v>20.0956480741572</v>
      </c>
    </row>
    <row r="245" spans="1:256" s="1394" customFormat="1" x14ac:dyDescent="0.2">
      <c r="A245" s="1390" t="s">
        <v>1157</v>
      </c>
      <c r="B245" s="1391" t="s">
        <v>236</v>
      </c>
      <c r="C245" s="1392" t="s">
        <v>1127</v>
      </c>
      <c r="D245" s="1393">
        <f>'Edition éleveur'!B44</f>
        <v>56.174949871095322</v>
      </c>
      <c r="E245" s="1394">
        <v>0</v>
      </c>
      <c r="F245" s="1394">
        <v>0</v>
      </c>
      <c r="G245" s="1394">
        <v>0</v>
      </c>
      <c r="H245" s="1394">
        <v>0</v>
      </c>
      <c r="I245" s="1394">
        <v>0</v>
      </c>
      <c r="J245" s="1394">
        <v>0</v>
      </c>
      <c r="K245" s="1394">
        <v>3.0726683168625102</v>
      </c>
      <c r="L245" s="1394">
        <v>0</v>
      </c>
      <c r="M245" s="1394">
        <v>2.0215884196503802</v>
      </c>
      <c r="N245" s="1394">
        <v>2.4141929827779798</v>
      </c>
      <c r="O245" s="1394">
        <v>0</v>
      </c>
      <c r="Q245" s="1394">
        <v>0</v>
      </c>
      <c r="R245" s="1394">
        <v>0</v>
      </c>
      <c r="S245" s="1394">
        <v>0</v>
      </c>
      <c r="T245" s="1394">
        <v>0</v>
      </c>
      <c r="U245" s="1394">
        <v>0</v>
      </c>
      <c r="W245" s="1394">
        <v>0</v>
      </c>
      <c r="X245" s="1394">
        <v>94.8956630549457</v>
      </c>
    </row>
    <row r="246" spans="1:256" s="1394" customFormat="1" x14ac:dyDescent="0.2">
      <c r="A246" s="1390" t="s">
        <v>1158</v>
      </c>
      <c r="B246" s="1391" t="s">
        <v>239</v>
      </c>
      <c r="C246" s="1392" t="s">
        <v>1127</v>
      </c>
      <c r="D246" s="1393">
        <f>'Edition éleveur'!B41</f>
        <v>19.790990811600391</v>
      </c>
      <c r="E246" s="1394">
        <v>10.9414316232284</v>
      </c>
      <c r="F246" s="1394">
        <v>12.391745556312999</v>
      </c>
      <c r="G246" s="1394">
        <v>11.23084297962</v>
      </c>
      <c r="H246" s="1394">
        <v>6.31789183299162</v>
      </c>
      <c r="I246" s="1394">
        <v>10.959873587179301</v>
      </c>
      <c r="J246" s="1394">
        <v>16.825929494117801</v>
      </c>
      <c r="K246" s="1394">
        <v>15.0043788613643</v>
      </c>
      <c r="L246" s="1394">
        <v>12.9700265588307</v>
      </c>
      <c r="M246" s="1394">
        <v>13.384664627583099</v>
      </c>
      <c r="N246" s="1394">
        <v>13.0164965652056</v>
      </c>
      <c r="O246" s="1394">
        <v>9.0731523455603007</v>
      </c>
      <c r="Q246" s="1394">
        <v>18.157406357231299</v>
      </c>
      <c r="R246" s="1394">
        <v>15.581837258773801</v>
      </c>
      <c r="S246" s="1394">
        <v>19.802603097475501</v>
      </c>
      <c r="T246" s="1394">
        <v>22.401351018192202</v>
      </c>
      <c r="U246" s="1394">
        <v>20.866050324575699</v>
      </c>
      <c r="W246" s="1394">
        <v>6.1883464968390101</v>
      </c>
      <c r="X246" s="1394">
        <v>15.8027196589045</v>
      </c>
    </row>
    <row r="247" spans="1:256" s="1394" customFormat="1" x14ac:dyDescent="0.2">
      <c r="A247" s="1390" t="s">
        <v>1159</v>
      </c>
      <c r="B247" s="1391" t="s">
        <v>959</v>
      </c>
      <c r="C247" s="1392" t="s">
        <v>1127</v>
      </c>
      <c r="D247" s="1393">
        <f>'Edition Compléments'!B36</f>
        <v>67.06147978621739</v>
      </c>
      <c r="E247" s="1394">
        <v>114.90869544970001</v>
      </c>
      <c r="F247" s="1394">
        <v>80.6255624103202</v>
      </c>
      <c r="G247" s="1394">
        <v>106.29344279395799</v>
      </c>
      <c r="H247" s="1394">
        <v>39.948510744721702</v>
      </c>
      <c r="I247" s="1394">
        <v>85.480430007914705</v>
      </c>
      <c r="J247" s="1394">
        <v>113.577445329496</v>
      </c>
      <c r="K247" s="1394">
        <v>118.396609376559</v>
      </c>
      <c r="L247" s="1394">
        <v>109.11258194763001</v>
      </c>
      <c r="M247" s="1394">
        <v>110.470536446803</v>
      </c>
      <c r="N247" s="1394">
        <v>102.152571943065</v>
      </c>
      <c r="O247" s="1394">
        <v>69.184516155884694</v>
      </c>
      <c r="Q247" s="1394">
        <v>136.91167423338999</v>
      </c>
      <c r="R247" s="1394">
        <v>110.947076135609</v>
      </c>
      <c r="S247" s="1394">
        <v>136.60448011127099</v>
      </c>
      <c r="T247" s="1394">
        <v>120.87452660830201</v>
      </c>
      <c r="U247" s="1394">
        <v>115.700700580942</v>
      </c>
      <c r="W247" s="1394">
        <v>117.591630545353</v>
      </c>
      <c r="X247" s="1394">
        <v>121.96965895277501</v>
      </c>
      <c r="IO247" s="1395"/>
      <c r="IP247" s="1395"/>
      <c r="IQ247" s="1395"/>
      <c r="IR247" s="1395"/>
      <c r="IS247" s="1395"/>
      <c r="IT247" s="1395"/>
      <c r="IU247" s="1395"/>
      <c r="IV247" s="1395"/>
    </row>
    <row r="248" spans="1:256" s="1394" customFormat="1" x14ac:dyDescent="0.2">
      <c r="A248" s="1390" t="s">
        <v>1160</v>
      </c>
      <c r="B248" s="1391" t="s">
        <v>960</v>
      </c>
      <c r="C248" s="1392" t="s">
        <v>1127</v>
      </c>
      <c r="D248" s="1393">
        <f>'Edition éleveur'!B28</f>
        <v>29.575774354632625</v>
      </c>
      <c r="E248" s="1394">
        <v>66.411785437495695</v>
      </c>
      <c r="F248" s="1394">
        <v>58.584503345973097</v>
      </c>
      <c r="G248" s="1394">
        <v>56.282401053365703</v>
      </c>
      <c r="H248" s="1394">
        <v>28.316566928807401</v>
      </c>
      <c r="I248" s="1394">
        <v>47.284531534196901</v>
      </c>
      <c r="J248" s="1394">
        <v>57.935327317093503</v>
      </c>
      <c r="K248" s="1394">
        <v>62.034749632326601</v>
      </c>
      <c r="L248" s="1394">
        <v>53.925057790378901</v>
      </c>
      <c r="M248" s="1394">
        <v>56.699401163810101</v>
      </c>
      <c r="N248" s="1394">
        <v>47.1562476980206</v>
      </c>
      <c r="O248" s="1394">
        <v>32.764910096168101</v>
      </c>
      <c r="Q248" s="1394">
        <v>64.236141373153899</v>
      </c>
      <c r="R248" s="1394">
        <v>64.385957650555895</v>
      </c>
      <c r="S248" s="1394">
        <v>90.842142860786097</v>
      </c>
      <c r="T248" s="1394">
        <v>60.256565170130202</v>
      </c>
      <c r="U248" s="1394">
        <v>60.692434874784702</v>
      </c>
      <c r="W248" s="1394">
        <v>105.752682765785</v>
      </c>
      <c r="X248" s="1394">
        <v>34.086677382810699</v>
      </c>
    </row>
    <row r="249" spans="1:256" s="1394" customFormat="1" x14ac:dyDescent="0.2">
      <c r="A249" s="1390" t="s">
        <v>1161</v>
      </c>
      <c r="B249" s="1391" t="s">
        <v>961</v>
      </c>
      <c r="C249" s="1392" t="s">
        <v>1127</v>
      </c>
      <c r="D249" s="1393">
        <f>'Edition éleveur'!B33</f>
        <v>37.485705431584762</v>
      </c>
      <c r="E249" s="1394">
        <v>48.496910012203998</v>
      </c>
      <c r="F249" s="1394">
        <v>22.138751159512399</v>
      </c>
      <c r="G249" s="1394">
        <v>50.011041740592702</v>
      </c>
      <c r="H249" s="1394">
        <v>11.6319438159142</v>
      </c>
      <c r="I249" s="1394">
        <v>38.593095454289802</v>
      </c>
      <c r="J249" s="1394">
        <v>56.310865126535298</v>
      </c>
      <c r="K249" s="1394">
        <v>57.471901557048199</v>
      </c>
      <c r="L249" s="1394">
        <v>56.1404018462202</v>
      </c>
      <c r="M249" s="1394">
        <v>54.549934044700699</v>
      </c>
      <c r="N249" s="1394">
        <v>56.095268787178199</v>
      </c>
      <c r="O249" s="1394">
        <v>36.8364508849007</v>
      </c>
      <c r="Q249" s="1394">
        <v>73.650517472808602</v>
      </c>
      <c r="R249" s="1394">
        <v>46.5611184850531</v>
      </c>
      <c r="S249" s="1394">
        <v>46.5611184850531</v>
      </c>
      <c r="T249" s="1394">
        <v>61.543095290342599</v>
      </c>
      <c r="U249" s="1394">
        <v>55.859628139153102</v>
      </c>
      <c r="W249" s="1394">
        <v>12.171691958241899</v>
      </c>
      <c r="X249" s="1394">
        <v>87.882981569964301</v>
      </c>
    </row>
    <row r="250" spans="1:256" s="1394" customFormat="1" x14ac:dyDescent="0.2">
      <c r="A250" s="1390" t="s">
        <v>1162</v>
      </c>
      <c r="B250" s="1391" t="s">
        <v>962</v>
      </c>
      <c r="C250" s="1392" t="s">
        <v>1127</v>
      </c>
      <c r="D250" s="1393">
        <f>D251+D252+D253</f>
        <v>73.137821513744584</v>
      </c>
      <c r="E250" s="1394">
        <v>183.50415225796499</v>
      </c>
      <c r="F250" s="1394">
        <v>243.00203677626399</v>
      </c>
      <c r="G250" s="1394">
        <v>186.240557872604</v>
      </c>
      <c r="H250" s="1394">
        <v>192.91864322800001</v>
      </c>
      <c r="I250" s="1394">
        <v>205.69439644824601</v>
      </c>
      <c r="J250" s="1394">
        <v>186.28199889589499</v>
      </c>
      <c r="K250" s="1394">
        <v>215.082073684905</v>
      </c>
      <c r="L250" s="1394">
        <v>190.94405588307899</v>
      </c>
      <c r="M250" s="1394">
        <v>181.27376710076399</v>
      </c>
      <c r="N250" s="1394">
        <v>164.66071172704201</v>
      </c>
      <c r="O250" s="1394">
        <v>176.007431814726</v>
      </c>
      <c r="Q250" s="1394">
        <v>200.11433261187699</v>
      </c>
      <c r="R250" s="1394">
        <v>258.750437704945</v>
      </c>
      <c r="S250" s="1394">
        <v>259.440686696787</v>
      </c>
      <c r="T250" s="1394">
        <v>211.748851627439</v>
      </c>
      <c r="U250" s="1394">
        <v>209.63710354912101</v>
      </c>
      <c r="W250" s="1394">
        <v>105.75829195177499</v>
      </c>
      <c r="X250" s="1394">
        <v>193.52112373895901</v>
      </c>
      <c r="IO250" s="1395"/>
      <c r="IP250" s="1395"/>
      <c r="IQ250" s="1395"/>
      <c r="IR250" s="1395"/>
      <c r="IS250" s="1395"/>
      <c r="IT250" s="1395"/>
      <c r="IU250" s="1395"/>
      <c r="IV250" s="1395"/>
    </row>
    <row r="251" spans="1:256" s="1394" customFormat="1" x14ac:dyDescent="0.2">
      <c r="A251" s="1390" t="s">
        <v>1163</v>
      </c>
      <c r="B251" s="1391" t="s">
        <v>618</v>
      </c>
      <c r="C251" s="1392" t="s">
        <v>1127</v>
      </c>
      <c r="D251" s="1393">
        <f>'Edition éleveur'!B39</f>
        <v>0</v>
      </c>
      <c r="E251" s="1394">
        <v>9.4465601111883206</v>
      </c>
      <c r="F251" s="1394">
        <v>14.9445556983591</v>
      </c>
      <c r="G251" s="1394">
        <v>11.911642579210699</v>
      </c>
      <c r="H251" s="1394">
        <v>7.7622435620593802</v>
      </c>
      <c r="I251" s="1394">
        <v>9.8846409826475803</v>
      </c>
      <c r="J251" s="1394">
        <v>10.3479151260987</v>
      </c>
      <c r="K251" s="1394">
        <v>10.4414029203492</v>
      </c>
      <c r="L251" s="1394">
        <v>8.7618103927830191</v>
      </c>
      <c r="M251" s="1394">
        <v>8.1139961479431708</v>
      </c>
      <c r="N251" s="1394">
        <v>8.7980398281252192</v>
      </c>
      <c r="O251" s="1394">
        <v>5.4025675555555601</v>
      </c>
      <c r="Q251" s="1394">
        <v>10.9962778439536</v>
      </c>
      <c r="R251" s="1394">
        <v>13.918074359404701</v>
      </c>
      <c r="S251" s="1394">
        <v>13.918074359404701</v>
      </c>
      <c r="T251" s="1394">
        <v>11.964813251615601</v>
      </c>
      <c r="U251" s="1394">
        <v>10.4231480180984</v>
      </c>
      <c r="W251" s="1394">
        <v>0</v>
      </c>
      <c r="X251" s="1394">
        <v>0</v>
      </c>
    </row>
    <row r="252" spans="1:256" s="1394" customFormat="1" x14ac:dyDescent="0.2">
      <c r="A252" s="1390" t="s">
        <v>1164</v>
      </c>
      <c r="B252" s="1391" t="s">
        <v>619</v>
      </c>
      <c r="C252" s="1392" t="s">
        <v>1127</v>
      </c>
      <c r="D252" s="1393">
        <f>'Edition éleveur'!B42</f>
        <v>5.1848799529671394</v>
      </c>
      <c r="E252" s="1394">
        <v>10.2575921467766</v>
      </c>
      <c r="F252" s="1394">
        <v>7.7448409726956395</v>
      </c>
      <c r="G252" s="1394">
        <v>10.5289152933937</v>
      </c>
      <c r="H252" s="1394">
        <v>4.7384188747436999</v>
      </c>
      <c r="I252" s="1394">
        <v>8.2199051903844307</v>
      </c>
      <c r="J252" s="1394">
        <v>12.134083769796501</v>
      </c>
      <c r="K252" s="1394">
        <v>11.253284146023301</v>
      </c>
      <c r="L252" s="1394">
        <v>9.7275199191229795</v>
      </c>
      <c r="M252" s="1394">
        <v>10.0384984706873</v>
      </c>
      <c r="N252" s="1394">
        <v>9.7623724239041998</v>
      </c>
      <c r="O252" s="1394">
        <v>6.80486425917025</v>
      </c>
      <c r="Q252" s="1394">
        <v>13.6180547679235</v>
      </c>
      <c r="R252" s="1394">
        <v>11.6863779440803</v>
      </c>
      <c r="S252" s="1394">
        <v>12.3766269359223</v>
      </c>
      <c r="T252" s="1394">
        <v>12.000723759745799</v>
      </c>
      <c r="U252" s="1394">
        <v>11.178241245308399</v>
      </c>
      <c r="W252" s="1394">
        <v>14.6473630951927</v>
      </c>
      <c r="X252" s="1394">
        <v>11.8520397441784</v>
      </c>
    </row>
    <row r="253" spans="1:256" s="1394" customFormat="1" x14ac:dyDescent="0.2">
      <c r="A253" s="1390" t="s">
        <v>1165</v>
      </c>
      <c r="B253" s="1391" t="s">
        <v>711</v>
      </c>
      <c r="C253" s="1392" t="s">
        <v>1127</v>
      </c>
      <c r="D253" s="1393">
        <f>'Edition éleveur'!B45</f>
        <v>67.952941560777447</v>
      </c>
      <c r="E253" s="1394">
        <v>163.80000000000001</v>
      </c>
      <c r="F253" s="1394">
        <v>220.31264010520999</v>
      </c>
      <c r="G253" s="1394">
        <v>163.80000000000001</v>
      </c>
      <c r="H253" s="1394">
        <v>180.41798079119701</v>
      </c>
      <c r="I253" s="1394">
        <v>187.58985027521399</v>
      </c>
      <c r="J253" s="1394">
        <v>163.80000000000001</v>
      </c>
      <c r="K253" s="1394">
        <v>193.38738661853299</v>
      </c>
      <c r="L253" s="1394">
        <v>172.45472557117299</v>
      </c>
      <c r="M253" s="1394">
        <v>163.121272482134</v>
      </c>
      <c r="N253" s="1394">
        <v>146.10029947501201</v>
      </c>
      <c r="O253" s="1394">
        <v>163.80000000000001</v>
      </c>
      <c r="Q253" s="1394">
        <v>175.5</v>
      </c>
      <c r="R253" s="1394">
        <v>233.14598540146</v>
      </c>
      <c r="S253" s="1394">
        <v>233.14598540146</v>
      </c>
      <c r="T253" s="1394">
        <v>187.783314616078</v>
      </c>
      <c r="U253" s="1394">
        <v>188.03571428571399</v>
      </c>
      <c r="W253" s="1394">
        <v>91.110928856582206</v>
      </c>
      <c r="X253" s="1394">
        <v>181.669083994781</v>
      </c>
    </row>
    <row r="254" spans="1:256" s="1394" customFormat="1" x14ac:dyDescent="0.2">
      <c r="A254" s="1390" t="s">
        <v>1166</v>
      </c>
      <c r="B254" s="1391" t="s">
        <v>712</v>
      </c>
      <c r="C254" s="1392" t="s">
        <v>1127</v>
      </c>
      <c r="D254" s="1393">
        <f>'Edition éleveur'!B46</f>
        <v>21.707996735666537</v>
      </c>
      <c r="E254" s="1394">
        <v>26.207580928801502</v>
      </c>
      <c r="F254" s="1394">
        <v>35.6193008336855</v>
      </c>
      <c r="G254" s="1394">
        <v>34.759878773842303</v>
      </c>
      <c r="H254" s="1394">
        <v>41.296127822747501</v>
      </c>
      <c r="I254" s="1394">
        <v>33.413050391219898</v>
      </c>
      <c r="J254" s="1394">
        <v>43.890931445542101</v>
      </c>
      <c r="K254" s="1394">
        <v>35.793699314149201</v>
      </c>
      <c r="L254" s="1394">
        <v>24.3328151017406</v>
      </c>
      <c r="M254" s="1394">
        <v>25.083207885476899</v>
      </c>
      <c r="N254" s="1394">
        <v>27.538693597152101</v>
      </c>
      <c r="O254" s="1394">
        <v>30.4046394524124</v>
      </c>
      <c r="Q254" s="1394">
        <v>45.556652465760898</v>
      </c>
      <c r="R254" s="1394">
        <v>21.9343065693431</v>
      </c>
      <c r="S254" s="1394">
        <v>23.876098428806799</v>
      </c>
      <c r="T254" s="1394">
        <v>47.366683107452097</v>
      </c>
      <c r="U254" s="1394">
        <v>43.4555426117115</v>
      </c>
      <c r="W254" s="1394">
        <v>10.929788565589</v>
      </c>
      <c r="X254" s="1394">
        <v>39.378754177861502</v>
      </c>
    </row>
    <row r="255" spans="1:256" s="1394" customFormat="1" x14ac:dyDescent="0.2">
      <c r="A255" s="1390" t="s">
        <v>1167</v>
      </c>
      <c r="B255" s="1391" t="s">
        <v>963</v>
      </c>
      <c r="C255" s="1392" t="s">
        <v>1127</v>
      </c>
      <c r="D255" s="1393">
        <f>'Edition éleveur'!B48</f>
        <v>442.21983675570965</v>
      </c>
      <c r="E255" s="1394">
        <v>480.98663833807899</v>
      </c>
      <c r="F255" s="1394">
        <v>511.192385530097</v>
      </c>
      <c r="G255" s="1394">
        <v>527.13140112217002</v>
      </c>
      <c r="H255" s="1394">
        <v>485.29209581920497</v>
      </c>
      <c r="I255" s="1394">
        <v>497.903584107065</v>
      </c>
      <c r="J255" s="1394">
        <v>575.44354915837403</v>
      </c>
      <c r="K255" s="1394">
        <v>527.85652822426903</v>
      </c>
      <c r="L255" s="1394">
        <v>466.65068915668797</v>
      </c>
      <c r="M255" s="1394">
        <v>464.34379592097702</v>
      </c>
      <c r="N255" s="1394">
        <v>484.50837103494399</v>
      </c>
      <c r="O255" s="1394">
        <v>444.37959330878999</v>
      </c>
      <c r="Q255" s="1394">
        <v>636.49945253573605</v>
      </c>
      <c r="R255" s="1394">
        <v>661.27039533816003</v>
      </c>
      <c r="S255" s="1394">
        <v>672.84999065283398</v>
      </c>
      <c r="T255" s="1394">
        <v>630.34019288432296</v>
      </c>
      <c r="U255" s="1394">
        <v>620.17026497139796</v>
      </c>
      <c r="W255" s="1394">
        <v>432.80545377331299</v>
      </c>
      <c r="X255" s="1394">
        <v>703.92514189966505</v>
      </c>
      <c r="IO255" s="1395"/>
      <c r="IP255" s="1395"/>
      <c r="IQ255" s="1395"/>
      <c r="IR255" s="1395"/>
      <c r="IS255" s="1395"/>
      <c r="IT255" s="1395"/>
      <c r="IU255" s="1395"/>
      <c r="IV255" s="1395"/>
    </row>
    <row r="256" spans="1:256" s="1394" customFormat="1" x14ac:dyDescent="0.2">
      <c r="A256" s="1390" t="s">
        <v>1168</v>
      </c>
      <c r="B256" s="1391" t="s">
        <v>778</v>
      </c>
      <c r="C256" s="1392" t="s">
        <v>1127</v>
      </c>
      <c r="D256" s="1393">
        <f>'Edition éleveur'!B49</f>
        <v>358.92000000000007</v>
      </c>
      <c r="E256" s="1394">
        <v>317.90390959637</v>
      </c>
      <c r="F256" s="1394">
        <v>319.94939109627398</v>
      </c>
      <c r="G256" s="1394">
        <v>315.051447757625</v>
      </c>
      <c r="H256" s="1394">
        <v>321.34809449732597</v>
      </c>
      <c r="I256" s="1394">
        <v>315.03994127459299</v>
      </c>
      <c r="J256" s="1394">
        <v>320.33592903893299</v>
      </c>
      <c r="K256" s="1394">
        <v>317.74621236783503</v>
      </c>
      <c r="L256" s="1394">
        <v>316.421108129348</v>
      </c>
      <c r="M256" s="1394">
        <v>316.55501729873799</v>
      </c>
      <c r="N256" s="1394">
        <v>322.54499257668499</v>
      </c>
      <c r="O256" s="1394">
        <v>320.52926331362403</v>
      </c>
      <c r="Q256" s="1394">
        <v>407.52105590449702</v>
      </c>
      <c r="R256" s="1394">
        <v>407.67603465798499</v>
      </c>
      <c r="S256" s="1394">
        <v>407.67603465798499</v>
      </c>
      <c r="T256" s="1394">
        <v>417.71741407821401</v>
      </c>
      <c r="U256" s="1394">
        <v>416.31680932890401</v>
      </c>
      <c r="W256" s="1394">
        <v>329.55</v>
      </c>
      <c r="X256" s="1394">
        <v>542.66977211632104</v>
      </c>
    </row>
    <row r="257" spans="1:256" s="1394" customFormat="1" x14ac:dyDescent="0.2">
      <c r="A257" s="1390" t="s">
        <v>1169</v>
      </c>
      <c r="B257" s="1391" t="s">
        <v>779</v>
      </c>
      <c r="C257" s="1392" t="s">
        <v>1127</v>
      </c>
      <c r="D257" s="1393">
        <f>'Edition éleveur'!B50</f>
        <v>44.884035972514653</v>
      </c>
      <c r="E257" s="1394">
        <v>41.331666666666699</v>
      </c>
      <c r="F257" s="1394">
        <v>49.974594255312802</v>
      </c>
      <c r="G257" s="1394">
        <v>68.250833333333304</v>
      </c>
      <c r="H257" s="1394">
        <v>46.807833147587999</v>
      </c>
      <c r="I257" s="1394">
        <v>56.23</v>
      </c>
      <c r="J257" s="1394">
        <v>79.36</v>
      </c>
      <c r="K257" s="1394">
        <v>67.099999999999994</v>
      </c>
      <c r="L257" s="1394">
        <v>40.478251713891297</v>
      </c>
      <c r="M257" s="1394">
        <v>41.333984375</v>
      </c>
      <c r="N257" s="1394">
        <v>51.171051567191498</v>
      </c>
      <c r="O257" s="1394">
        <v>39.1816666666667</v>
      </c>
      <c r="Q257" s="1394">
        <v>69.446428571428598</v>
      </c>
      <c r="R257" s="1394">
        <v>85.328467153284706</v>
      </c>
      <c r="S257" s="1394">
        <v>85.328467153284706</v>
      </c>
      <c r="T257" s="1394">
        <v>69.770408163265301</v>
      </c>
      <c r="U257" s="1394">
        <v>67.882653061224502</v>
      </c>
      <c r="W257" s="1394">
        <v>40.540112331957602</v>
      </c>
      <c r="X257" s="1394">
        <v>61.740315831986898</v>
      </c>
    </row>
    <row r="258" spans="1:256" s="1394" customFormat="1" x14ac:dyDescent="0.2">
      <c r="A258" s="1390" t="s">
        <v>1170</v>
      </c>
      <c r="B258" s="1391" t="s">
        <v>1171</v>
      </c>
      <c r="C258" s="1392" t="s">
        <v>1127</v>
      </c>
      <c r="D258" s="1393">
        <f>'Edition éleveur'!B51</f>
        <v>0</v>
      </c>
      <c r="E258" s="1394">
        <v>0</v>
      </c>
      <c r="F258" s="1394">
        <v>0</v>
      </c>
      <c r="G258" s="1394">
        <v>0</v>
      </c>
      <c r="H258" s="1394">
        <v>0</v>
      </c>
      <c r="I258" s="1394">
        <v>0</v>
      </c>
      <c r="J258" s="1394">
        <v>0</v>
      </c>
      <c r="K258" s="1394">
        <v>0</v>
      </c>
      <c r="L258" s="1394">
        <v>0</v>
      </c>
      <c r="M258" s="1394">
        <v>0</v>
      </c>
      <c r="N258" s="1394">
        <v>0</v>
      </c>
      <c r="O258" s="1394">
        <v>0</v>
      </c>
      <c r="Q258" s="1394">
        <v>0</v>
      </c>
      <c r="R258" s="1394">
        <v>0</v>
      </c>
      <c r="S258" s="1394">
        <v>0</v>
      </c>
      <c r="T258" s="1394">
        <v>0</v>
      </c>
      <c r="U258" s="1394">
        <v>0</v>
      </c>
      <c r="W258" s="1394">
        <v>0</v>
      </c>
      <c r="X258" s="1394">
        <v>0</v>
      </c>
    </row>
    <row r="259" spans="1:256" s="1394" customFormat="1" x14ac:dyDescent="0.2">
      <c r="A259" s="1390"/>
      <c r="B259" s="1391" t="s">
        <v>717</v>
      </c>
      <c r="C259" s="1392" t="s">
        <v>1127</v>
      </c>
      <c r="D259" s="1393">
        <f>'Edition éleveur'!B52</f>
        <v>12.315136065719081</v>
      </c>
      <c r="E259" s="1394">
        <v>0</v>
      </c>
      <c r="F259" s="1394">
        <v>0</v>
      </c>
      <c r="G259" s="1394">
        <v>0</v>
      </c>
      <c r="H259" s="1394">
        <v>0</v>
      </c>
      <c r="I259" s="1394">
        <v>0</v>
      </c>
      <c r="J259" s="1394">
        <v>0</v>
      </c>
      <c r="K259" s="1394">
        <v>0</v>
      </c>
      <c r="L259" s="1394">
        <v>0</v>
      </c>
      <c r="M259" s="1394">
        <v>0</v>
      </c>
      <c r="N259" s="1394">
        <v>0</v>
      </c>
      <c r="O259" s="1394">
        <v>0</v>
      </c>
      <c r="Q259" s="1394">
        <v>0</v>
      </c>
      <c r="R259" s="1394">
        <v>0</v>
      </c>
      <c r="S259" s="1394">
        <v>0</v>
      </c>
      <c r="T259" s="1394">
        <v>0</v>
      </c>
      <c r="U259" s="1394">
        <v>0</v>
      </c>
      <c r="W259" s="1394">
        <v>1.0782192817988501</v>
      </c>
      <c r="X259" s="1394">
        <v>0</v>
      </c>
    </row>
    <row r="260" spans="1:256" s="1394" customFormat="1" x14ac:dyDescent="0.2">
      <c r="A260" s="1390" t="s">
        <v>1172</v>
      </c>
      <c r="B260" s="1391" t="s">
        <v>816</v>
      </c>
      <c r="C260" s="1392" t="s">
        <v>1127</v>
      </c>
      <c r="D260" s="1393">
        <f>'Edition éleveur'!B54</f>
        <v>0</v>
      </c>
      <c r="E260" s="1394">
        <v>12.021333333333301</v>
      </c>
      <c r="F260" s="1394">
        <v>10.779209134112399</v>
      </c>
      <c r="G260" s="1394">
        <v>12.021333333333301</v>
      </c>
      <c r="H260" s="1394">
        <v>14.3544021652603</v>
      </c>
      <c r="I260" s="1394">
        <v>18.032</v>
      </c>
      <c r="J260" s="1394">
        <v>12.021333333333301</v>
      </c>
      <c r="K260" s="1394">
        <v>10.928484848484899</v>
      </c>
      <c r="L260" s="1394">
        <v>7.03182885264824</v>
      </c>
      <c r="M260" s="1394">
        <v>7.0437500000000002</v>
      </c>
      <c r="N260" s="1394">
        <v>4.29020761064558</v>
      </c>
      <c r="O260" s="1394">
        <v>6.0106666666666699</v>
      </c>
      <c r="Q260" s="1394">
        <v>12.88</v>
      </c>
      <c r="R260" s="1394">
        <v>13.1620437956204</v>
      </c>
      <c r="S260" s="1394">
        <v>13.1620437956204</v>
      </c>
      <c r="T260" s="1394">
        <v>9.1999999999999993</v>
      </c>
      <c r="U260" s="1394">
        <v>9.1999999999999993</v>
      </c>
      <c r="W260" s="1394">
        <v>2.71719756323624</v>
      </c>
      <c r="X260" s="1394">
        <v>6.6663755038540602</v>
      </c>
    </row>
    <row r="261" spans="1:256" s="1394" customFormat="1" x14ac:dyDescent="0.2">
      <c r="A261" s="1390" t="s">
        <v>1173</v>
      </c>
      <c r="B261" s="1391" t="s">
        <v>818</v>
      </c>
      <c r="C261" s="1392" t="s">
        <v>1127</v>
      </c>
      <c r="D261" s="1393">
        <f>'Edition éleveur'!B56</f>
        <v>0</v>
      </c>
      <c r="E261" s="1394">
        <v>56.417533333333303</v>
      </c>
      <c r="F261" s="1394">
        <v>68.587061601458601</v>
      </c>
      <c r="G261" s="1394">
        <v>74.281333333333293</v>
      </c>
      <c r="H261" s="1394">
        <v>49.573494287258598</v>
      </c>
      <c r="I261" s="1394">
        <v>49.334011456144999</v>
      </c>
      <c r="J261" s="1394">
        <v>91.186666666666696</v>
      </c>
      <c r="K261" s="1394">
        <v>63.227363393939399</v>
      </c>
      <c r="L261" s="1394">
        <v>43.2009603250739</v>
      </c>
      <c r="M261" s="1394">
        <v>40.124765234374998</v>
      </c>
      <c r="N261" s="1394">
        <v>45.737048721645699</v>
      </c>
      <c r="O261" s="1394">
        <v>25.747</v>
      </c>
      <c r="Q261" s="1394">
        <v>78.834306785714304</v>
      </c>
      <c r="R261" s="1394">
        <v>87.816218978102199</v>
      </c>
      <c r="S261" s="1394">
        <v>87.816218978102199</v>
      </c>
      <c r="T261" s="1394">
        <v>66.808602040816297</v>
      </c>
      <c r="U261" s="1394">
        <v>62.766219897959203</v>
      </c>
      <c r="W261" s="1394">
        <v>0</v>
      </c>
      <c r="X261" s="1394">
        <v>44.645854567109801</v>
      </c>
    </row>
    <row r="262" spans="1:256" s="1394" customFormat="1" x14ac:dyDescent="0.2">
      <c r="A262" s="1390" t="s">
        <v>1174</v>
      </c>
      <c r="B262" s="1391" t="s">
        <v>820</v>
      </c>
      <c r="C262" s="1392" t="s">
        <v>1127</v>
      </c>
      <c r="D262" s="1393">
        <f>'Edition éleveur'!B55</f>
        <v>26.100664717475865</v>
      </c>
      <c r="E262" s="1394">
        <v>53.3121954083758</v>
      </c>
      <c r="F262" s="1394">
        <v>61.902129442939497</v>
      </c>
      <c r="G262" s="1394">
        <v>57.5264533645447</v>
      </c>
      <c r="H262" s="1394">
        <v>53.208271721771901</v>
      </c>
      <c r="I262" s="1394">
        <v>59.267631376327301</v>
      </c>
      <c r="J262" s="1394">
        <v>72.539620119440698</v>
      </c>
      <c r="K262" s="1394">
        <v>68.854467614009195</v>
      </c>
      <c r="L262" s="1394">
        <v>59.518540135726901</v>
      </c>
      <c r="M262" s="1394">
        <v>59.286279012863602</v>
      </c>
      <c r="N262" s="1394">
        <v>60.765070558776202</v>
      </c>
      <c r="O262" s="1394">
        <v>52.910996661833003</v>
      </c>
      <c r="Q262" s="1394">
        <v>67.817661274096395</v>
      </c>
      <c r="R262" s="1394">
        <v>67.287630753167903</v>
      </c>
      <c r="S262" s="1394">
        <v>78.8672260678416</v>
      </c>
      <c r="T262" s="1394">
        <v>66.843768602026998</v>
      </c>
      <c r="U262" s="1394">
        <v>64.004582683310602</v>
      </c>
      <c r="W262" s="1394">
        <v>58.9199245963202</v>
      </c>
      <c r="X262" s="1394">
        <v>48.202823880392899</v>
      </c>
    </row>
    <row r="263" spans="1:256" s="1397" customFormat="1" x14ac:dyDescent="0.2">
      <c r="A263" s="1390" t="s">
        <v>1175</v>
      </c>
      <c r="B263" s="1391" t="s">
        <v>1176</v>
      </c>
      <c r="C263" s="1392" t="s">
        <v>1127</v>
      </c>
      <c r="D263" s="1396">
        <f>'Edition Compléments'!B58</f>
        <v>2.1994149079076806</v>
      </c>
      <c r="E263" s="1397">
        <v>86.908591897850997</v>
      </c>
      <c r="F263" s="1397">
        <v>124.883624561847</v>
      </c>
      <c r="G263" s="1397">
        <v>130.698793844351</v>
      </c>
      <c r="H263" s="1397">
        <v>163.98480438863999</v>
      </c>
      <c r="I263" s="1397">
        <v>129.99136861792701</v>
      </c>
      <c r="J263" s="1397">
        <v>163.20186208860301</v>
      </c>
      <c r="K263" s="1397">
        <v>130.74043857104499</v>
      </c>
      <c r="L263" s="1397">
        <v>83.577284990127694</v>
      </c>
      <c r="M263" s="1397">
        <v>86.806688011900803</v>
      </c>
      <c r="N263" s="1397">
        <v>105.611541677177</v>
      </c>
      <c r="O263" s="1397">
        <v>117.666891207074</v>
      </c>
      <c r="Q263" s="1397">
        <v>194.08739217659701</v>
      </c>
      <c r="R263" s="1397">
        <v>164.27279530428001</v>
      </c>
      <c r="S263" s="1397">
        <v>183.15440629907201</v>
      </c>
      <c r="T263" s="1397">
        <v>188.25114891433</v>
      </c>
      <c r="U263" s="1397">
        <v>172.31114695638399</v>
      </c>
      <c r="W263" s="1397">
        <v>21.590121692524601</v>
      </c>
      <c r="X263" s="1397">
        <v>184.59350314035001</v>
      </c>
      <c r="IO263" s="1394"/>
      <c r="IP263" s="1394"/>
      <c r="IQ263" s="1394"/>
      <c r="IR263" s="1394"/>
      <c r="IS263" s="1394"/>
      <c r="IT263" s="1394"/>
      <c r="IU263" s="1394"/>
      <c r="IV263" s="1394"/>
    </row>
    <row r="264" spans="1:256" s="1402" customFormat="1" x14ac:dyDescent="0.2">
      <c r="A264" s="1398" t="s">
        <v>1177</v>
      </c>
      <c r="B264" s="1399" t="s">
        <v>1176</v>
      </c>
      <c r="C264" s="1400" t="s">
        <v>1178</v>
      </c>
      <c r="D264" s="1401">
        <f>'Edition Compléments'!B59</f>
        <v>4.8550103734814318E-2</v>
      </c>
      <c r="E264" s="1402">
        <v>0.79586622617079605</v>
      </c>
      <c r="F264" s="1402">
        <v>0.85027094565846806</v>
      </c>
      <c r="G264" s="1402">
        <v>1.19687540150504</v>
      </c>
      <c r="H264" s="1402">
        <v>1.3633741243764201</v>
      </c>
      <c r="I264" s="1402">
        <v>1.03943285119544</v>
      </c>
      <c r="J264" s="1402">
        <v>1.49452254659893</v>
      </c>
      <c r="K264" s="1402">
        <v>1.0140819485988799</v>
      </c>
      <c r="L264" s="1402">
        <v>0.72694979548967109</v>
      </c>
      <c r="M264" s="1402">
        <v>0.79824065884547701</v>
      </c>
      <c r="N264" s="1402">
        <v>1.0843051868135301</v>
      </c>
      <c r="O264" s="1402">
        <v>1.07753563376441</v>
      </c>
      <c r="Q264" s="1402">
        <v>1.6588665997999699</v>
      </c>
      <c r="R264" s="1402">
        <v>1.0568879945846901</v>
      </c>
      <c r="S264" s="1402">
        <v>1.1783673176938501</v>
      </c>
      <c r="T264" s="1402">
        <v>1.50373702769499</v>
      </c>
      <c r="U264" s="1402">
        <v>1.3745618560623201</v>
      </c>
      <c r="W264" s="1402">
        <v>0.35544783644742001</v>
      </c>
      <c r="X264" s="1402">
        <v>1.5241462588014199</v>
      </c>
      <c r="IO264" s="1403"/>
      <c r="IP264" s="1403"/>
      <c r="IQ264" s="1403"/>
      <c r="IR264" s="1403"/>
      <c r="IS264" s="1403"/>
      <c r="IT264" s="1403"/>
      <c r="IU264" s="1403"/>
      <c r="IV264" s="1403"/>
    </row>
    <row r="265" spans="1:256" s="1408" customFormat="1" x14ac:dyDescent="0.2">
      <c r="A265" s="1404" t="s">
        <v>1179</v>
      </c>
      <c r="B265" s="1405" t="s">
        <v>1180</v>
      </c>
      <c r="C265" s="1406" t="s">
        <v>1090</v>
      </c>
      <c r="D265" s="1407">
        <f>'Edition Compléments'!B61</f>
        <v>2.2858864314714227</v>
      </c>
      <c r="E265" s="1408">
        <v>2</v>
      </c>
      <c r="F265" s="1408">
        <v>1.5</v>
      </c>
      <c r="G265" s="1408">
        <v>2</v>
      </c>
      <c r="H265" s="1408">
        <v>0.92243006703256603</v>
      </c>
      <c r="I265" s="1408">
        <v>1.5269829082231499</v>
      </c>
      <c r="J265" s="1408">
        <v>1</v>
      </c>
      <c r="K265" s="1408">
        <v>1.2986942935310499</v>
      </c>
      <c r="L265" s="1408">
        <v>1.7998882823409899</v>
      </c>
      <c r="M265" s="1408">
        <v>1.69959486184071</v>
      </c>
      <c r="N265" s="1408">
        <v>2.4992605808361601</v>
      </c>
      <c r="O265" s="1408">
        <v>2</v>
      </c>
      <c r="Q265" s="1408">
        <v>2</v>
      </c>
      <c r="R265" s="1408">
        <v>1.3</v>
      </c>
      <c r="S265" s="1408">
        <v>1.3</v>
      </c>
      <c r="T265" s="1408">
        <v>1.49798655534193</v>
      </c>
      <c r="U265" s="1408">
        <v>1.5</v>
      </c>
      <c r="W265" s="1408">
        <v>0.93619909502262411</v>
      </c>
      <c r="X265" s="1408">
        <v>3</v>
      </c>
      <c r="IO265" s="1409"/>
      <c r="IP265" s="1409"/>
      <c r="IQ265" s="1409"/>
      <c r="IR265" s="1409"/>
      <c r="IS265" s="1409"/>
      <c r="IT265" s="1409"/>
      <c r="IU265" s="1409"/>
      <c r="IV265" s="1409"/>
    </row>
    <row r="266" spans="1:256" s="1408" customFormat="1" x14ac:dyDescent="0.2">
      <c r="A266" s="1404" t="s">
        <v>1181</v>
      </c>
      <c r="B266" s="1405" t="s">
        <v>1182</v>
      </c>
      <c r="C266" s="1406" t="s">
        <v>1090</v>
      </c>
      <c r="D266" s="1407">
        <f>UMOnsBL</f>
        <v>1.9049053595595189</v>
      </c>
      <c r="E266" s="1408">
        <v>2</v>
      </c>
      <c r="F266" s="1408">
        <v>1.5</v>
      </c>
      <c r="G266" s="1408">
        <v>2</v>
      </c>
      <c r="H266" s="1408">
        <v>0.92243006703256603</v>
      </c>
      <c r="I266" s="1408">
        <v>1.5269829082231499</v>
      </c>
      <c r="J266" s="1408">
        <v>1</v>
      </c>
      <c r="K266" s="1408">
        <v>1.2986942935310499</v>
      </c>
      <c r="L266" s="1408">
        <v>1.7998882823409899</v>
      </c>
      <c r="M266" s="1408">
        <v>1.69959486184071</v>
      </c>
      <c r="N266" s="1408">
        <v>2.4992605808361601</v>
      </c>
      <c r="O266" s="1408">
        <v>2</v>
      </c>
      <c r="Q266" s="1408">
        <v>2</v>
      </c>
      <c r="R266" s="1408">
        <v>1.3</v>
      </c>
      <c r="S266" s="1408">
        <v>1.3</v>
      </c>
      <c r="T266" s="1408">
        <v>1.49798655534193</v>
      </c>
      <c r="U266" s="1408">
        <v>1.5</v>
      </c>
      <c r="W266" s="1408">
        <v>0.93619909502262411</v>
      </c>
      <c r="X266" s="1408">
        <v>2</v>
      </c>
      <c r="IO266" s="1409"/>
      <c r="IP266" s="1409"/>
      <c r="IQ266" s="1409"/>
      <c r="IR266" s="1409"/>
      <c r="IS266" s="1409"/>
      <c r="IT266" s="1409"/>
      <c r="IU266" s="1409"/>
      <c r="IV266" s="1409"/>
    </row>
    <row r="267" spans="1:256" s="1415" customFormat="1" x14ac:dyDescent="0.2">
      <c r="A267" s="1410" t="s">
        <v>1183</v>
      </c>
      <c r="B267" s="1411" t="s">
        <v>1184</v>
      </c>
      <c r="C267" s="1412" t="s">
        <v>119</v>
      </c>
      <c r="D267" s="1413">
        <f>'Edition Compléments'!B63</f>
        <v>321.63802622807225</v>
      </c>
      <c r="E267" s="1414">
        <v>150</v>
      </c>
      <c r="F267" s="1414">
        <v>111.523333333333</v>
      </c>
      <c r="G267" s="1414">
        <v>150</v>
      </c>
      <c r="H267" s="1414">
        <v>136.18376556622499</v>
      </c>
      <c r="I267" s="1414">
        <v>130.97723551649099</v>
      </c>
      <c r="J267" s="1414">
        <v>150</v>
      </c>
      <c r="K267" s="1414">
        <v>127.05068530899401</v>
      </c>
      <c r="L267" s="1414">
        <v>142.472175921093</v>
      </c>
      <c r="M267" s="1414">
        <v>150.62413151964</v>
      </c>
      <c r="N267" s="1414">
        <v>168.172139881221</v>
      </c>
      <c r="O267" s="1414">
        <v>150</v>
      </c>
      <c r="P267" s="1414"/>
      <c r="Q267" s="1414">
        <v>140</v>
      </c>
      <c r="R267" s="1414">
        <v>105.384615384615</v>
      </c>
      <c r="S267" s="1414">
        <v>105.384615384615</v>
      </c>
      <c r="T267" s="1414">
        <v>130.842295814371</v>
      </c>
      <c r="U267" s="1414">
        <v>130.666666666667</v>
      </c>
      <c r="V267" s="1414"/>
      <c r="W267" s="1414">
        <v>269.671271145481</v>
      </c>
      <c r="X267" s="1414">
        <v>90.163937857861299</v>
      </c>
      <c r="Y267" s="1414"/>
      <c r="Z267" s="1414"/>
    </row>
    <row r="268" spans="1:256" s="1415" customFormat="1" x14ac:dyDescent="0.2">
      <c r="A268" s="1410" t="s">
        <v>1185</v>
      </c>
      <c r="B268" s="1411" t="s">
        <v>986</v>
      </c>
      <c r="C268" s="1412" t="s">
        <v>119</v>
      </c>
      <c r="D268" s="1413">
        <f>Cuisine!C44</f>
        <v>385.9656314736867</v>
      </c>
      <c r="E268" s="1414">
        <v>150</v>
      </c>
      <c r="F268" s="1414">
        <v>111.523333333333</v>
      </c>
      <c r="G268" s="1414">
        <v>150</v>
      </c>
      <c r="H268" s="1414">
        <v>136.18376556622499</v>
      </c>
      <c r="I268" s="1414">
        <v>130.97723551649099</v>
      </c>
      <c r="J268" s="1414">
        <v>150</v>
      </c>
      <c r="K268" s="1414">
        <v>127.05068530899401</v>
      </c>
      <c r="L268" s="1414">
        <v>142.472175921093</v>
      </c>
      <c r="M268" s="1414">
        <v>150.62413151964</v>
      </c>
      <c r="N268" s="1414">
        <v>168.172139881221</v>
      </c>
      <c r="O268" s="1414">
        <v>150</v>
      </c>
      <c r="P268" s="1414"/>
      <c r="Q268" s="1414">
        <v>140</v>
      </c>
      <c r="R268" s="1414">
        <v>105.384615384615</v>
      </c>
      <c r="S268" s="1414">
        <v>105.384615384615</v>
      </c>
      <c r="T268" s="1414">
        <v>130.842295814371</v>
      </c>
      <c r="U268" s="1414">
        <v>130.666666666667</v>
      </c>
      <c r="V268" s="1414"/>
      <c r="W268" s="1414">
        <v>269.671271145481</v>
      </c>
      <c r="X268" s="1414">
        <v>135.24590678679201</v>
      </c>
      <c r="Y268" s="1414"/>
      <c r="Z268" s="1414"/>
    </row>
    <row r="269" spans="1:256" s="1420" customFormat="1" x14ac:dyDescent="0.2">
      <c r="A269" s="1416" t="s">
        <v>1186</v>
      </c>
      <c r="B269" s="1417" t="s">
        <v>1187</v>
      </c>
      <c r="C269" s="1418" t="s">
        <v>1127</v>
      </c>
      <c r="D269" s="1419">
        <f>'Edition Compléments'!F10</f>
        <v>382.82124980956826</v>
      </c>
      <c r="E269" s="1420">
        <v>340.72504644022803</v>
      </c>
      <c r="F269" s="1420">
        <v>325.45726548366002</v>
      </c>
      <c r="G269" s="1420">
        <v>316.16044061115201</v>
      </c>
      <c r="H269" s="1420">
        <v>260.14505611771699</v>
      </c>
      <c r="I269" s="1420">
        <v>293.25301850856602</v>
      </c>
      <c r="J269" s="1420">
        <v>320.19160662230502</v>
      </c>
      <c r="K269" s="1420">
        <v>317.97756299192298</v>
      </c>
      <c r="L269" s="1420">
        <v>334.61044591105201</v>
      </c>
      <c r="M269" s="1420">
        <v>328.38057477236799</v>
      </c>
      <c r="N269" s="1420">
        <v>322.33662563779598</v>
      </c>
      <c r="O269" s="1420">
        <v>281.10352394319898</v>
      </c>
      <c r="Q269" s="1420">
        <v>359.11064717513801</v>
      </c>
      <c r="R269" s="1420">
        <v>398.50708908497501</v>
      </c>
      <c r="S269" s="1420">
        <v>390.40629217028902</v>
      </c>
      <c r="T269" s="1420">
        <v>362.19350195455598</v>
      </c>
      <c r="U269" s="1420">
        <v>369.92510252079398</v>
      </c>
      <c r="W269" s="1420">
        <v>366.54705872512199</v>
      </c>
      <c r="X269" s="1420">
        <v>450.92494742347401</v>
      </c>
      <c r="IO269" s="1421"/>
      <c r="IP269" s="1421"/>
      <c r="IQ269" s="1421"/>
      <c r="IR269" s="1421"/>
      <c r="IS269" s="1421"/>
      <c r="IT269" s="1421"/>
      <c r="IU269" s="1421"/>
      <c r="IV269" s="1421"/>
    </row>
    <row r="270" spans="1:256" s="1397" customFormat="1" x14ac:dyDescent="0.2">
      <c r="A270" s="1390" t="s">
        <v>1188</v>
      </c>
      <c r="B270" s="1391" t="s">
        <v>1189</v>
      </c>
      <c r="C270" s="1392" t="s">
        <v>1127</v>
      </c>
      <c r="D270" s="1419">
        <f>'Edition Compléments'!F11</f>
        <v>45.3019610405183</v>
      </c>
      <c r="E270" s="1397">
        <v>109.2</v>
      </c>
      <c r="F270" s="1397">
        <v>146.87509340347299</v>
      </c>
      <c r="G270" s="1397">
        <v>109.2</v>
      </c>
      <c r="H270" s="1397">
        <v>120.278653860798</v>
      </c>
      <c r="I270" s="1397">
        <v>125.059900183476</v>
      </c>
      <c r="J270" s="1397">
        <v>109.2</v>
      </c>
      <c r="K270" s="1397">
        <v>128.92492441235501</v>
      </c>
      <c r="L270" s="1397">
        <v>114.969817047449</v>
      </c>
      <c r="M270" s="1397">
        <v>108.74751498808899</v>
      </c>
      <c r="N270" s="1397">
        <v>97.400199650008105</v>
      </c>
      <c r="O270" s="1397">
        <v>109.2</v>
      </c>
      <c r="Q270" s="1397">
        <v>117</v>
      </c>
      <c r="R270" s="1397">
        <v>155.430656934307</v>
      </c>
      <c r="S270" s="1397">
        <v>155.430656934307</v>
      </c>
      <c r="T270" s="1397">
        <v>125.188876410719</v>
      </c>
      <c r="U270" s="1397">
        <v>125.357142857143</v>
      </c>
      <c r="W270" s="1397">
        <v>60.740619237721504</v>
      </c>
      <c r="X270" s="1397">
        <v>121.112722663187</v>
      </c>
      <c r="IO270" s="1394"/>
      <c r="IP270" s="1394"/>
      <c r="IQ270" s="1394"/>
      <c r="IR270" s="1394"/>
      <c r="IS270" s="1394"/>
      <c r="IT270" s="1394"/>
      <c r="IU270" s="1394"/>
      <c r="IV270" s="1394"/>
    </row>
    <row r="271" spans="1:256" s="1397" customFormat="1" x14ac:dyDescent="0.2">
      <c r="A271" s="1390" t="s">
        <v>1190</v>
      </c>
      <c r="B271" s="1391" t="s">
        <v>1191</v>
      </c>
      <c r="C271" s="1392" t="s">
        <v>1127</v>
      </c>
      <c r="D271" s="1419">
        <f>'Edition Compléments'!F12</f>
        <v>26.100664717475865</v>
      </c>
      <c r="E271" s="1397">
        <v>109.729728741709</v>
      </c>
      <c r="F271" s="1397">
        <v>130.48919104439801</v>
      </c>
      <c r="G271" s="1397">
        <v>131.80778669787799</v>
      </c>
      <c r="H271" s="1397">
        <v>102.78176600902999</v>
      </c>
      <c r="I271" s="1397">
        <v>108.601642832472</v>
      </c>
      <c r="J271" s="1397">
        <v>163.72628678610701</v>
      </c>
      <c r="K271" s="1397">
        <v>132.08183100794901</v>
      </c>
      <c r="L271" s="1397">
        <v>102.719500460801</v>
      </c>
      <c r="M271" s="1397">
        <v>99.411044247238607</v>
      </c>
      <c r="N271" s="1397">
        <v>106.50211928042199</v>
      </c>
      <c r="O271" s="1397">
        <v>78.657996661832996</v>
      </c>
      <c r="Q271" s="1397">
        <v>146.651968059811</v>
      </c>
      <c r="R271" s="1397">
        <v>155.10384973127</v>
      </c>
      <c r="S271" s="1397">
        <v>166.68344504594401</v>
      </c>
      <c r="T271" s="1397">
        <v>133.65237064284301</v>
      </c>
      <c r="U271" s="1397">
        <v>126.77080258127</v>
      </c>
      <c r="W271" s="1397">
        <v>58.9199245963202</v>
      </c>
      <c r="X271" s="1397">
        <v>92.848678447502706</v>
      </c>
      <c r="IO271" s="1394"/>
      <c r="IP271" s="1394"/>
      <c r="IQ271" s="1394"/>
      <c r="IR271" s="1394"/>
      <c r="IS271" s="1394"/>
      <c r="IT271" s="1394"/>
      <c r="IU271" s="1394"/>
      <c r="IV271" s="1394"/>
    </row>
    <row r="272" spans="1:256" s="1397" customFormat="1" x14ac:dyDescent="0.2">
      <c r="A272" s="1390" t="s">
        <v>1192</v>
      </c>
      <c r="B272" s="1391" t="s">
        <v>981</v>
      </c>
      <c r="C272" s="1392" t="s">
        <v>1127</v>
      </c>
      <c r="D272" s="1419">
        <f>'Edition Compléments'!F13</f>
        <v>48.067492250964349</v>
      </c>
      <c r="E272" s="1397">
        <v>109.692706383787</v>
      </c>
      <c r="F272" s="1397">
        <v>130.48652925283201</v>
      </c>
      <c r="G272" s="1397">
        <v>131.77582755712001</v>
      </c>
      <c r="H272" s="1397">
        <v>136.12034746303601</v>
      </c>
      <c r="I272" s="1397">
        <v>141.711550433784</v>
      </c>
      <c r="J272" s="1397">
        <v>163.70351485472801</v>
      </c>
      <c r="K272" s="1397">
        <v>132.26731832475701</v>
      </c>
      <c r="L272" s="1397">
        <v>102.728883702118</v>
      </c>
      <c r="M272" s="1397">
        <v>99.493385417613197</v>
      </c>
      <c r="N272" s="1397">
        <v>106.567970516163</v>
      </c>
      <c r="O272" s="1397">
        <v>78.599075730138296</v>
      </c>
      <c r="Q272" s="1397">
        <v>146.684092215151</v>
      </c>
      <c r="R272" s="1397">
        <v>155.10384973127</v>
      </c>
      <c r="S272" s="1397">
        <v>166.68344504594401</v>
      </c>
      <c r="T272" s="1397">
        <v>133.937399350026</v>
      </c>
      <c r="U272" s="1397">
        <v>126.776579168155</v>
      </c>
      <c r="W272" s="1397">
        <v>72.599502041276594</v>
      </c>
      <c r="X272" s="1397">
        <v>92.848174171806804</v>
      </c>
      <c r="IO272" s="1394"/>
      <c r="IP272" s="1394"/>
      <c r="IQ272" s="1394"/>
      <c r="IR272" s="1394"/>
      <c r="IS272" s="1394"/>
      <c r="IT272" s="1394"/>
      <c r="IU272" s="1394"/>
      <c r="IV272" s="1394"/>
    </row>
    <row r="273" spans="1:256" s="1397" customFormat="1" x14ac:dyDescent="0.2">
      <c r="A273" s="1390" t="s">
        <v>1193</v>
      </c>
      <c r="B273" s="1391" t="s">
        <v>1194</v>
      </c>
      <c r="C273" s="1392" t="s">
        <v>1127</v>
      </c>
      <c r="D273" s="1419">
        <f>D269+1.5*D270</f>
        <v>450.7741913703457</v>
      </c>
      <c r="E273" s="1397">
        <v>504.52504644022798</v>
      </c>
      <c r="F273" s="1397">
        <v>545.76990558886996</v>
      </c>
      <c r="G273" s="1397">
        <v>479.96044061115202</v>
      </c>
      <c r="H273" s="1397">
        <v>440.563036908914</v>
      </c>
      <c r="I273" s="1397">
        <v>480.84286878377998</v>
      </c>
      <c r="J273" s="1397">
        <v>483.99160662230503</v>
      </c>
      <c r="K273" s="1397">
        <v>511.36494961045599</v>
      </c>
      <c r="L273" s="1397">
        <v>507.06517148222503</v>
      </c>
      <c r="M273" s="1397">
        <v>491.501847254501</v>
      </c>
      <c r="N273" s="1397">
        <v>468.43692511280801</v>
      </c>
      <c r="O273" s="1397">
        <v>444.90352394319899</v>
      </c>
      <c r="Q273" s="1397">
        <v>534.61064717513796</v>
      </c>
      <c r="R273" s="1397">
        <v>631.653074486435</v>
      </c>
      <c r="S273" s="1397">
        <v>623.55227757174896</v>
      </c>
      <c r="T273" s="1397">
        <v>549.97681657063401</v>
      </c>
      <c r="U273" s="1397">
        <v>557.96081680650798</v>
      </c>
      <c r="W273" s="1397">
        <v>457.65798758170399</v>
      </c>
      <c r="X273" s="1397">
        <v>632.59403141825499</v>
      </c>
      <c r="IO273" s="1394"/>
      <c r="IP273" s="1394"/>
      <c r="IQ273" s="1394"/>
      <c r="IR273" s="1394"/>
      <c r="IS273" s="1394"/>
      <c r="IT273" s="1394"/>
      <c r="IU273" s="1394"/>
      <c r="IV273" s="1394"/>
    </row>
    <row r="274" spans="1:256" s="1397" customFormat="1" x14ac:dyDescent="0.2">
      <c r="A274" s="1390" t="s">
        <v>1195</v>
      </c>
      <c r="B274" s="1391" t="s">
        <v>1196</v>
      </c>
      <c r="C274" s="1392" t="s">
        <v>1127</v>
      </c>
      <c r="D274" s="1419">
        <f>D273-D271</f>
        <v>424.67352665286984</v>
      </c>
      <c r="E274" s="1397">
        <v>394.795317698519</v>
      </c>
      <c r="F274" s="1397">
        <v>415.280714544472</v>
      </c>
      <c r="G274" s="1397">
        <v>348.15265391327398</v>
      </c>
      <c r="H274" s="1397">
        <v>337.781270899883</v>
      </c>
      <c r="I274" s="1397">
        <v>372.24122595130802</v>
      </c>
      <c r="J274" s="1397">
        <v>320.26531983619799</v>
      </c>
      <c r="K274" s="1397">
        <v>379.28311860250699</v>
      </c>
      <c r="L274" s="1397">
        <v>404.34567102142398</v>
      </c>
      <c r="M274" s="1397">
        <v>392.09080300726299</v>
      </c>
      <c r="N274" s="1397">
        <v>361.93480583238602</v>
      </c>
      <c r="O274" s="1397">
        <v>366.24552728136598</v>
      </c>
      <c r="Q274" s="1397">
        <v>387.95867911532702</v>
      </c>
      <c r="R274" s="1397">
        <v>476.54922475516503</v>
      </c>
      <c r="S274" s="1397">
        <v>456.86883252580498</v>
      </c>
      <c r="T274" s="1397">
        <v>416.32444592779098</v>
      </c>
      <c r="U274" s="1397">
        <v>431.19001422523797</v>
      </c>
      <c r="W274" s="1397">
        <v>398.73806298538398</v>
      </c>
      <c r="X274" s="1397">
        <v>539.74535297075204</v>
      </c>
      <c r="IO274" s="1394"/>
      <c r="IP274" s="1394"/>
      <c r="IQ274" s="1394"/>
      <c r="IR274" s="1394"/>
      <c r="IS274" s="1394"/>
      <c r="IT274" s="1394"/>
      <c r="IU274" s="1394"/>
      <c r="IV274" s="1394"/>
    </row>
    <row r="275" spans="1:256" s="1397" customFormat="1" x14ac:dyDescent="0.2">
      <c r="A275" s="1390" t="s">
        <v>1197</v>
      </c>
      <c r="B275" s="1391" t="s">
        <v>1198</v>
      </c>
      <c r="C275" s="1392" t="s">
        <v>1127</v>
      </c>
      <c r="D275" s="1419">
        <f>D273-D272</f>
        <v>402.70669911938137</v>
      </c>
      <c r="E275" s="1397">
        <v>394.83234005644101</v>
      </c>
      <c r="F275" s="1397">
        <v>415.28337633603701</v>
      </c>
      <c r="G275" s="1397">
        <v>348.18461305403201</v>
      </c>
      <c r="H275" s="1397">
        <v>304.44268944587702</v>
      </c>
      <c r="I275" s="1397">
        <v>339.13131834999598</v>
      </c>
      <c r="J275" s="1397">
        <v>320.28809176757699</v>
      </c>
      <c r="K275" s="1397">
        <v>379.09763128569898</v>
      </c>
      <c r="L275" s="1397">
        <v>404.336287780107</v>
      </c>
      <c r="M275" s="1397">
        <v>392.00846183688799</v>
      </c>
      <c r="N275" s="1397">
        <v>361.86895459664498</v>
      </c>
      <c r="O275" s="1397">
        <v>366.30444821306099</v>
      </c>
      <c r="Q275" s="1397">
        <v>387.92655495998702</v>
      </c>
      <c r="R275" s="1397">
        <v>476.54922475516503</v>
      </c>
      <c r="S275" s="1397">
        <v>456.86883252580498</v>
      </c>
      <c r="T275" s="1397">
        <v>416.03941722060802</v>
      </c>
      <c r="U275" s="1397">
        <v>431.18423763835301</v>
      </c>
      <c r="W275" s="1397">
        <v>385.058485540427</v>
      </c>
      <c r="X275" s="1397">
        <v>539.74585724644805</v>
      </c>
      <c r="IO275" s="1394"/>
      <c r="IP275" s="1394"/>
      <c r="IQ275" s="1394"/>
      <c r="IR275" s="1394"/>
      <c r="IS275" s="1394"/>
      <c r="IT275" s="1394"/>
      <c r="IU275" s="1394"/>
      <c r="IV275" s="1394"/>
    </row>
    <row r="276" spans="1:256" s="1426" customFormat="1" x14ac:dyDescent="0.2">
      <c r="A276" s="1422" t="s">
        <v>1199</v>
      </c>
      <c r="B276" s="1423" t="s">
        <v>1200</v>
      </c>
      <c r="C276" s="1424" t="s">
        <v>1127</v>
      </c>
      <c r="D276" s="1425">
        <f>'Edition éleveur'!H18</f>
        <v>507.97336340857942</v>
      </c>
      <c r="E276" s="1426">
        <v>557.87804644022799</v>
      </c>
      <c r="F276" s="1426">
        <v>606.62140107345999</v>
      </c>
      <c r="G276" s="1426">
        <v>560.23260727781906</v>
      </c>
      <c r="H276" s="1426">
        <v>501.725272221762</v>
      </c>
      <c r="I276" s="1426">
        <v>555.50206576435198</v>
      </c>
      <c r="J276" s="1426">
        <v>576.041687069771</v>
      </c>
      <c r="K276" s="1426">
        <v>590.50347627175699</v>
      </c>
      <c r="L276" s="1426">
        <v>555.52812973773405</v>
      </c>
      <c r="M276" s="1426">
        <v>540.65838039121002</v>
      </c>
      <c r="N276" s="1426">
        <v>524.99712883277903</v>
      </c>
      <c r="O276" s="1426">
        <v>490.51270210171703</v>
      </c>
      <c r="Q276" s="1426">
        <v>617.91206035914001</v>
      </c>
      <c r="R276" s="1426">
        <v>730.14358543534001</v>
      </c>
      <c r="S276" s="1426">
        <v>722.84156975522205</v>
      </c>
      <c r="T276" s="1426">
        <v>629.87235858607096</v>
      </c>
      <c r="U276" s="1426">
        <v>635.89483230072904</v>
      </c>
      <c r="W276" s="1426">
        <v>502.32626093737002</v>
      </c>
      <c r="X276" s="1426">
        <v>701.00072275409502</v>
      </c>
      <c r="IO276" s="1237"/>
      <c r="IP276" s="1237"/>
      <c r="IQ276" s="1237"/>
      <c r="IR276" s="1237"/>
      <c r="IS276" s="1237"/>
      <c r="IT276" s="1237"/>
      <c r="IU276" s="1237"/>
      <c r="IV276" s="1237"/>
    </row>
    <row r="277" spans="1:256" s="1394" customFormat="1" x14ac:dyDescent="0.2">
      <c r="A277" s="1390" t="s">
        <v>1201</v>
      </c>
      <c r="B277" s="1391" t="s">
        <v>1202</v>
      </c>
      <c r="C277" s="1392" t="s">
        <v>1127</v>
      </c>
      <c r="D277" s="1393">
        <f>'Edition éleveur'!H20</f>
        <v>124.12789143187277</v>
      </c>
      <c r="E277" s="1394">
        <v>163.80000000000001</v>
      </c>
      <c r="F277" s="1394">
        <v>220.31264010520999</v>
      </c>
      <c r="G277" s="1394">
        <v>163.80000000000001</v>
      </c>
      <c r="H277" s="1394">
        <v>180.41798079119701</v>
      </c>
      <c r="I277" s="1394">
        <v>187.58985027521399</v>
      </c>
      <c r="J277" s="1394">
        <v>163.80000000000001</v>
      </c>
      <c r="K277" s="1394">
        <v>196.46005493539499</v>
      </c>
      <c r="L277" s="1394">
        <v>172.45472557117299</v>
      </c>
      <c r="M277" s="1394">
        <v>165.14286090178399</v>
      </c>
      <c r="N277" s="1394">
        <v>148.51449245779</v>
      </c>
      <c r="O277" s="1394">
        <v>163.80000000000001</v>
      </c>
      <c r="Q277" s="1394">
        <v>175.5</v>
      </c>
      <c r="R277" s="1394">
        <v>233.14598540146</v>
      </c>
      <c r="S277" s="1394">
        <v>233.14598540146</v>
      </c>
      <c r="T277" s="1394">
        <v>187.783314616078</v>
      </c>
      <c r="U277" s="1394">
        <v>188.03571428571399</v>
      </c>
      <c r="W277" s="1394">
        <v>91.110928856582206</v>
      </c>
      <c r="X277" s="1394">
        <v>276.56474704972601</v>
      </c>
    </row>
    <row r="278" spans="1:256" s="1394" customFormat="1" x14ac:dyDescent="0.2">
      <c r="A278" s="1390" t="s">
        <v>1203</v>
      </c>
      <c r="B278" s="1391" t="s">
        <v>1204</v>
      </c>
      <c r="C278" s="1392" t="s">
        <v>1127</v>
      </c>
      <c r="D278" s="1393">
        <f>'Edition éleveur'!H21</f>
        <v>35.913940666328557</v>
      </c>
      <c r="E278" s="1394">
        <v>49.484902772227002</v>
      </c>
      <c r="F278" s="1394">
        <v>69.820654609270605</v>
      </c>
      <c r="G278" s="1394">
        <v>57.494686010645701</v>
      </c>
      <c r="H278" s="1394">
        <v>43.2645338874974</v>
      </c>
      <c r="I278" s="1394">
        <v>48.833701725506401</v>
      </c>
      <c r="J278" s="1394">
        <v>60.060703008635102</v>
      </c>
      <c r="K278" s="1394">
        <v>57.581871768435299</v>
      </c>
      <c r="L278" s="1394">
        <v>48.982977656302701</v>
      </c>
      <c r="M278" s="1394">
        <v>47.7651515420999</v>
      </c>
      <c r="N278" s="1394">
        <v>49.172988473485503</v>
      </c>
      <c r="O278" s="1394">
        <v>32.085719271397203</v>
      </c>
      <c r="Q278" s="1394">
        <v>64.764294657015597</v>
      </c>
      <c r="R278" s="1394">
        <v>69.022438281068304</v>
      </c>
      <c r="S278" s="1394">
        <v>73.933453111611996</v>
      </c>
      <c r="T278" s="1394">
        <v>70.296514532784698</v>
      </c>
      <c r="U278" s="1394">
        <v>63.313735624179401</v>
      </c>
      <c r="W278" s="1394">
        <v>39.301980780254198</v>
      </c>
      <c r="X278" s="1394">
        <v>47.750407477240003</v>
      </c>
    </row>
    <row r="279" spans="1:256" s="1394" customFormat="1" x14ac:dyDescent="0.2">
      <c r="A279" s="1390"/>
      <c r="B279" s="1391" t="s">
        <v>1205</v>
      </c>
      <c r="C279" s="1392" t="s">
        <v>1127</v>
      </c>
      <c r="D279" s="1393">
        <f>'Edition éleveur'!H22</f>
        <v>23.720496644378152</v>
      </c>
    </row>
    <row r="280" spans="1:256" s="1394" customFormat="1" x14ac:dyDescent="0.2">
      <c r="A280" s="1390" t="s">
        <v>1206</v>
      </c>
      <c r="B280" s="1391" t="s">
        <v>1207</v>
      </c>
      <c r="C280" s="1392" t="s">
        <v>1127</v>
      </c>
      <c r="D280" s="1393">
        <f>'Edition éleveur'!H23</f>
        <v>47.992455824106081</v>
      </c>
      <c r="E280" s="1394">
        <v>61.291773345537301</v>
      </c>
      <c r="F280" s="1394">
        <v>34.924715232800501</v>
      </c>
      <c r="G280" s="1394">
        <v>61.607375073926001</v>
      </c>
      <c r="H280" s="1394">
        <v>19.6873924458672</v>
      </c>
      <c r="I280" s="1394">
        <v>52.861807639442702</v>
      </c>
      <c r="J280" s="1394">
        <v>69.394194343245303</v>
      </c>
      <c r="K280" s="1394">
        <v>70.172837369782201</v>
      </c>
      <c r="L280" s="1394">
        <v>66.357101249259998</v>
      </c>
      <c r="M280" s="1394">
        <v>65.048144898595297</v>
      </c>
      <c r="N280" s="1394">
        <v>65.584284714227493</v>
      </c>
      <c r="O280" s="1394">
        <v>52.181450884900698</v>
      </c>
      <c r="Q280" s="1394">
        <v>90.091588901380007</v>
      </c>
      <c r="R280" s="1394">
        <v>61.761572221024501</v>
      </c>
      <c r="S280" s="1394">
        <v>61.761572221024501</v>
      </c>
      <c r="T280" s="1394">
        <v>77.741415225572496</v>
      </c>
      <c r="U280" s="1394">
        <v>72.072856108736303</v>
      </c>
      <c r="W280" s="1394">
        <v>36.931505695836499</v>
      </c>
      <c r="X280" s="1394">
        <v>97.569117755732407</v>
      </c>
    </row>
    <row r="281" spans="1:256" s="1394" customFormat="1" x14ac:dyDescent="0.2">
      <c r="A281" s="1390" t="s">
        <v>1208</v>
      </c>
      <c r="B281" s="1391" t="s">
        <v>1209</v>
      </c>
      <c r="C281" s="1392" t="s">
        <v>1127</v>
      </c>
      <c r="D281" s="1393">
        <f>'Edition éleveur'!H24</f>
        <v>90.335057409451039</v>
      </c>
      <c r="E281" s="1394">
        <v>116.729637058509</v>
      </c>
      <c r="F281" s="1394">
        <v>105.986625472882</v>
      </c>
      <c r="G281" s="1394">
        <v>90.050401053365704</v>
      </c>
      <c r="H281" s="1394">
        <v>66.028591288916701</v>
      </c>
      <c r="I281" s="1394">
        <v>104.33529619081401</v>
      </c>
      <c r="J281" s="1394">
        <v>117.32959398376001</v>
      </c>
      <c r="K281" s="1394">
        <v>125.14126469188901</v>
      </c>
      <c r="L281" s="1394">
        <v>122.656352393647</v>
      </c>
      <c r="M281" s="1394">
        <v>123.95071567587</v>
      </c>
      <c r="N281" s="1394">
        <v>107.248845292048</v>
      </c>
      <c r="O281" s="1394">
        <v>84.069754138199698</v>
      </c>
      <c r="Q281" s="1394">
        <v>126.546141373154</v>
      </c>
      <c r="R281" s="1394">
        <v>115.216246667194</v>
      </c>
      <c r="S281" s="1394">
        <v>154.69760469699801</v>
      </c>
      <c r="T281" s="1394">
        <v>132.46839550485501</v>
      </c>
      <c r="U281" s="1394">
        <v>131.819471229567</v>
      </c>
      <c r="W281" s="1394">
        <v>146.17746960535101</v>
      </c>
      <c r="X281" s="1394">
        <v>83.764473732623401</v>
      </c>
    </row>
    <row r="282" spans="1:256" s="1394" customFormat="1" x14ac:dyDescent="0.2">
      <c r="A282" s="1390" t="s">
        <v>1210</v>
      </c>
      <c r="B282" s="1391" t="s">
        <v>1211</v>
      </c>
      <c r="C282" s="1392" t="s">
        <v>1127</v>
      </c>
      <c r="D282" s="1393">
        <f>'Edition éleveur'!H25</f>
        <v>37.116377504665223</v>
      </c>
      <c r="E282" s="1394">
        <v>49.410100142991702</v>
      </c>
      <c r="F282" s="1394">
        <v>55.744507898721999</v>
      </c>
      <c r="G282" s="1394">
        <v>47.925083660160503</v>
      </c>
      <c r="H282" s="1394">
        <v>51.771270519832299</v>
      </c>
      <c r="I282" s="1394">
        <v>47.904638976584302</v>
      </c>
      <c r="J282" s="1394">
        <v>50.778211237659299</v>
      </c>
      <c r="K282" s="1394">
        <v>47.0529651848464</v>
      </c>
      <c r="L282" s="1394">
        <v>43.923444971068498</v>
      </c>
      <c r="M282" s="1394">
        <v>38.811110218547498</v>
      </c>
      <c r="N282" s="1394">
        <v>43.091033378541503</v>
      </c>
      <c r="O282" s="1394">
        <v>42.998339148823398</v>
      </c>
      <c r="Q282" s="1394">
        <v>41.737514906781101</v>
      </c>
      <c r="R282" s="1394">
        <v>65.482949010271895</v>
      </c>
      <c r="S282" s="1394">
        <v>65.482949010271895</v>
      </c>
      <c r="T282" s="1394">
        <v>40.562019637463301</v>
      </c>
      <c r="U282" s="1394">
        <v>39.812207709451698</v>
      </c>
      <c r="W282" s="1394">
        <v>60.875523832912201</v>
      </c>
      <c r="X282" s="1394">
        <v>52.434615227604603</v>
      </c>
    </row>
    <row r="283" spans="1:256" s="1394" customFormat="1" x14ac:dyDescent="0.2">
      <c r="A283" s="1390" t="s">
        <v>1212</v>
      </c>
      <c r="B283" s="1391" t="s">
        <v>1213</v>
      </c>
      <c r="C283" s="1392" t="s">
        <v>1127</v>
      </c>
      <c r="D283" s="1393">
        <f>'Edition éleveur'!H26</f>
        <v>148.76714392777762</v>
      </c>
      <c r="E283" s="1394">
        <v>87.864966454296507</v>
      </c>
      <c r="F283" s="1394">
        <v>85.412495074119406</v>
      </c>
      <c r="G283" s="1394">
        <v>112.855061479721</v>
      </c>
      <c r="H283" s="1394">
        <v>115.27839008734399</v>
      </c>
      <c r="I283" s="1394">
        <v>88.115003476834403</v>
      </c>
      <c r="J283" s="1394">
        <v>83.637984496471404</v>
      </c>
      <c r="K283" s="1394">
        <v>61.913119742337102</v>
      </c>
      <c r="L283" s="1394">
        <v>78.994460432266905</v>
      </c>
      <c r="M283" s="1394">
        <v>78.248367457536901</v>
      </c>
      <c r="N283" s="1394">
        <v>92.673125827481002</v>
      </c>
      <c r="O283" s="1394">
        <v>93.394717229827705</v>
      </c>
      <c r="Q283" s="1394">
        <v>80.504663377951502</v>
      </c>
      <c r="R283" s="1394">
        <v>130.37671320419599</v>
      </c>
      <c r="S283" s="1394">
        <v>78.682324663729702</v>
      </c>
      <c r="T283" s="1394">
        <v>78.225007708779401</v>
      </c>
      <c r="U283" s="1394">
        <v>97.968764698141399</v>
      </c>
      <c r="W283" s="1394">
        <v>95.794939585493907</v>
      </c>
      <c r="X283" s="1394">
        <v>111.553871574182</v>
      </c>
    </row>
    <row r="284" spans="1:256" s="1426" customFormat="1" x14ac:dyDescent="0.2">
      <c r="A284" s="1422" t="s">
        <v>1214</v>
      </c>
      <c r="B284" s="1423" t="s">
        <v>1215</v>
      </c>
      <c r="C284" s="1424" t="s">
        <v>1127</v>
      </c>
      <c r="D284" s="1425">
        <f>'Edition éleveur'!H28</f>
        <v>442.21983675570965</v>
      </c>
      <c r="E284" s="1426">
        <v>480.98663833807899</v>
      </c>
      <c r="F284" s="1426">
        <v>511.192385530097</v>
      </c>
      <c r="G284" s="1426">
        <v>527.13140112217002</v>
      </c>
      <c r="H284" s="1426">
        <v>485.29209581920497</v>
      </c>
      <c r="I284" s="1426">
        <v>497.903584107065</v>
      </c>
      <c r="J284" s="1426">
        <v>575.44354915837403</v>
      </c>
      <c r="K284" s="1426">
        <v>527.85652822426903</v>
      </c>
      <c r="L284" s="1426">
        <v>466.65068915668797</v>
      </c>
      <c r="M284" s="1426">
        <v>464.34379592097702</v>
      </c>
      <c r="N284" s="1426">
        <v>484.50837103494399</v>
      </c>
      <c r="O284" s="1426">
        <v>444.37959330878999</v>
      </c>
      <c r="Q284" s="1426">
        <v>636.49945253573605</v>
      </c>
      <c r="R284" s="1426">
        <v>661.27039533816003</v>
      </c>
      <c r="S284" s="1426">
        <v>672.84999065283398</v>
      </c>
      <c r="T284" s="1426">
        <v>630.34019288432296</v>
      </c>
      <c r="U284" s="1426">
        <v>620.17026497139796</v>
      </c>
      <c r="W284" s="1426">
        <v>432.80545377331299</v>
      </c>
      <c r="X284" s="1426">
        <v>703.92514189966505</v>
      </c>
      <c r="IO284" s="1237"/>
      <c r="IP284" s="1237"/>
      <c r="IQ284" s="1237"/>
      <c r="IR284" s="1237"/>
      <c r="IS284" s="1237"/>
      <c r="IT284" s="1237"/>
      <c r="IU284" s="1237"/>
      <c r="IV284" s="1237"/>
    </row>
    <row r="285" spans="1:256" s="1394" customFormat="1" x14ac:dyDescent="0.2">
      <c r="A285" s="1390" t="s">
        <v>1216</v>
      </c>
      <c r="B285" s="1391" t="s">
        <v>1217</v>
      </c>
      <c r="C285" s="1392" t="s">
        <v>1127</v>
      </c>
      <c r="D285" s="1393">
        <f>'Edition éleveur'!H31</f>
        <v>44.884035972514653</v>
      </c>
      <c r="E285" s="1394">
        <v>41.331666666666699</v>
      </c>
      <c r="F285" s="1394">
        <v>49.974594255312802</v>
      </c>
      <c r="G285" s="1394">
        <v>68.250833333333304</v>
      </c>
      <c r="H285" s="1394">
        <v>46.807833147587999</v>
      </c>
      <c r="I285" s="1394">
        <v>56.23</v>
      </c>
      <c r="J285" s="1394">
        <v>79.36</v>
      </c>
      <c r="K285" s="1394">
        <v>67.099999999999994</v>
      </c>
      <c r="L285" s="1394">
        <v>40.478251713891297</v>
      </c>
      <c r="M285" s="1394">
        <v>41.333984375</v>
      </c>
      <c r="N285" s="1394">
        <v>51.171051567191498</v>
      </c>
      <c r="O285" s="1394">
        <v>39.1816666666667</v>
      </c>
      <c r="Q285" s="1394">
        <v>69.446428571428598</v>
      </c>
      <c r="R285" s="1394">
        <v>85.328467153284706</v>
      </c>
      <c r="S285" s="1394">
        <v>85.328467153284706</v>
      </c>
      <c r="T285" s="1394">
        <v>69.770408163265301</v>
      </c>
      <c r="U285" s="1394">
        <v>67.882653061224502</v>
      </c>
      <c r="W285" s="1394">
        <v>40.540112331957602</v>
      </c>
      <c r="X285" s="1394">
        <v>61.740315831986898</v>
      </c>
    </row>
    <row r="286" spans="1:256" s="1394" customFormat="1" x14ac:dyDescent="0.2">
      <c r="A286" s="1390" t="s">
        <v>1218</v>
      </c>
      <c r="B286" s="1391" t="s">
        <v>1219</v>
      </c>
      <c r="C286" s="1392" t="s">
        <v>1127</v>
      </c>
      <c r="D286" s="1393">
        <f>'Edition éleveur'!H33</f>
        <v>26.100664717475865</v>
      </c>
      <c r="E286" s="1394">
        <v>121.751062075043</v>
      </c>
      <c r="F286" s="1394">
        <v>141.268400178511</v>
      </c>
      <c r="G286" s="1394">
        <v>143.829120031211</v>
      </c>
      <c r="H286" s="1394">
        <v>117.136168174291</v>
      </c>
      <c r="I286" s="1394">
        <v>126.63364283247201</v>
      </c>
      <c r="J286" s="1394">
        <v>175.747620119441</v>
      </c>
      <c r="K286" s="1394">
        <v>143.010315856434</v>
      </c>
      <c r="L286" s="1394">
        <v>109.75132931344901</v>
      </c>
      <c r="M286" s="1394">
        <v>106.45479424723899</v>
      </c>
      <c r="N286" s="1394">
        <v>110.79232689106701</v>
      </c>
      <c r="O286" s="1394">
        <v>84.668663328499704</v>
      </c>
      <c r="Q286" s="1394">
        <v>159.53196805981099</v>
      </c>
      <c r="R286" s="1394">
        <v>168.26589352689101</v>
      </c>
      <c r="S286" s="1394">
        <v>179.84548884156399</v>
      </c>
      <c r="T286" s="1394">
        <v>142.852370642843</v>
      </c>
      <c r="U286" s="1394">
        <v>135.97080258126999</v>
      </c>
      <c r="W286" s="1394">
        <v>61.637122159556498</v>
      </c>
      <c r="X286" s="1394">
        <v>99.515053951356805</v>
      </c>
    </row>
    <row r="287" spans="1:256" s="1394" customFormat="1" x14ac:dyDescent="0.2">
      <c r="A287" s="1390" t="s">
        <v>1220</v>
      </c>
      <c r="B287" s="1391" t="s">
        <v>1221</v>
      </c>
      <c r="C287" s="1392" t="s">
        <v>1127</v>
      </c>
      <c r="D287" s="1393">
        <f>'Edition éleveur'!H30</f>
        <v>358.92000000000007</v>
      </c>
      <c r="E287" s="1394">
        <v>317.90390959637</v>
      </c>
      <c r="F287" s="1394">
        <v>319.94939109627398</v>
      </c>
      <c r="G287" s="1394">
        <v>315.051447757625</v>
      </c>
      <c r="H287" s="1394">
        <v>321.34809449732597</v>
      </c>
      <c r="I287" s="1394">
        <v>315.03994127459299</v>
      </c>
      <c r="J287" s="1394">
        <v>320.33592903893299</v>
      </c>
      <c r="K287" s="1394">
        <v>317.74621236783503</v>
      </c>
      <c r="L287" s="1394">
        <v>316.421108129348</v>
      </c>
      <c r="M287" s="1394">
        <v>316.55501729873799</v>
      </c>
      <c r="N287" s="1394">
        <v>322.54499257668499</v>
      </c>
      <c r="O287" s="1394">
        <v>320.52926331362403</v>
      </c>
      <c r="Q287" s="1394">
        <v>407.52105590449702</v>
      </c>
      <c r="R287" s="1394">
        <v>407.67603465798499</v>
      </c>
      <c r="S287" s="1394">
        <v>407.67603465798499</v>
      </c>
      <c r="T287" s="1394">
        <v>417.71741407821401</v>
      </c>
      <c r="U287" s="1394">
        <v>416.31680932890401</v>
      </c>
      <c r="W287" s="1394">
        <v>329.55</v>
      </c>
      <c r="X287" s="1394">
        <v>542.66977211632104</v>
      </c>
    </row>
    <row r="288" spans="1:256" s="1394" customFormat="1" x14ac:dyDescent="0.2">
      <c r="A288" s="1390" t="s">
        <v>1222</v>
      </c>
      <c r="B288" s="1391" t="s">
        <v>968</v>
      </c>
      <c r="C288" s="1392" t="s">
        <v>1127</v>
      </c>
      <c r="D288" s="1393">
        <f>'Edition Compléments'!F49</f>
        <v>442.21983675570965</v>
      </c>
      <c r="E288" s="1394">
        <v>480.98663833807899</v>
      </c>
      <c r="F288" s="1394">
        <v>511.192385530097</v>
      </c>
      <c r="G288" s="1394">
        <v>527.13140112217002</v>
      </c>
      <c r="H288" s="1394">
        <v>485.29209581920497</v>
      </c>
      <c r="I288" s="1394">
        <v>497.903584107065</v>
      </c>
      <c r="J288" s="1394">
        <v>575.44354915837403</v>
      </c>
      <c r="K288" s="1394">
        <v>527.85652822426903</v>
      </c>
      <c r="L288" s="1394">
        <v>466.65068915668797</v>
      </c>
      <c r="M288" s="1394">
        <v>464.34379592097702</v>
      </c>
      <c r="N288" s="1394">
        <v>484.50837103494399</v>
      </c>
      <c r="O288" s="1394">
        <v>444.37959330878999</v>
      </c>
      <c r="Q288" s="1394">
        <v>636.49945253573605</v>
      </c>
      <c r="R288" s="1394">
        <v>661.27039533816003</v>
      </c>
      <c r="S288" s="1394">
        <v>672.84999065283398</v>
      </c>
      <c r="T288" s="1394">
        <v>630.34019288432296</v>
      </c>
      <c r="U288" s="1394">
        <v>620.17026497139796</v>
      </c>
      <c r="W288" s="1394">
        <v>432.80545377331299</v>
      </c>
      <c r="X288" s="1394">
        <v>703.92514189966505</v>
      </c>
    </row>
    <row r="289" spans="1:24" s="1394" customFormat="1" x14ac:dyDescent="0.2">
      <c r="A289" s="1390" t="s">
        <v>1223</v>
      </c>
      <c r="B289" s="1391" t="s">
        <v>969</v>
      </c>
      <c r="C289" s="1392" t="s">
        <v>1127</v>
      </c>
      <c r="D289" s="1393">
        <f>'Edition Compléments'!F50</f>
        <v>185.88352143244285</v>
      </c>
      <c r="E289" s="1394">
        <v>137.275066597288</v>
      </c>
      <c r="F289" s="1394">
        <v>141.15700297284101</v>
      </c>
      <c r="G289" s="1394">
        <v>160.78014513988199</v>
      </c>
      <c r="H289" s="1394">
        <v>167.04966060717601</v>
      </c>
      <c r="I289" s="1394">
        <v>136.01964245341901</v>
      </c>
      <c r="J289" s="1394">
        <v>134.41619573413101</v>
      </c>
      <c r="K289" s="1394">
        <v>108.966084927183</v>
      </c>
      <c r="L289" s="1394">
        <v>122.917905403335</v>
      </c>
      <c r="M289" s="1394">
        <v>117.059477676084</v>
      </c>
      <c r="N289" s="1394">
        <v>135.76415920602301</v>
      </c>
      <c r="O289" s="1394">
        <v>136.39305637865101</v>
      </c>
      <c r="Q289" s="1394">
        <v>122.242178284733</v>
      </c>
      <c r="R289" s="1394">
        <v>195.85966221446799</v>
      </c>
      <c r="S289" s="1394">
        <v>144.16527367400201</v>
      </c>
      <c r="T289" s="1394">
        <v>118.78702734624299</v>
      </c>
      <c r="U289" s="1394">
        <v>137.780972407593</v>
      </c>
      <c r="W289" s="1394">
        <v>156.670463418406</v>
      </c>
      <c r="X289" s="1394">
        <v>163.988486801786</v>
      </c>
    </row>
    <row r="290" spans="1:24" s="1394" customFormat="1" x14ac:dyDescent="0.2">
      <c r="A290" s="1390" t="s">
        <v>1224</v>
      </c>
      <c r="B290" s="1391" t="s">
        <v>970</v>
      </c>
      <c r="C290" s="1392" t="s">
        <v>1127</v>
      </c>
      <c r="D290" s="1393">
        <f>'Edition Compléments'!F51</f>
        <v>183.80754660024078</v>
      </c>
      <c r="E290" s="1394">
        <v>137.45628144084901</v>
      </c>
      <c r="F290" s="1394">
        <v>164.96666209624101</v>
      </c>
      <c r="G290" s="1394">
        <v>130.44749726559701</v>
      </c>
      <c r="H290" s="1394">
        <v>136.78669363162001</v>
      </c>
      <c r="I290" s="1394">
        <v>150.363576678241</v>
      </c>
      <c r="J290" s="1394">
        <v>168.16230194754101</v>
      </c>
      <c r="K290" s="1394">
        <v>167.73798692307801</v>
      </c>
      <c r="L290" s="1394">
        <v>142.96349735762999</v>
      </c>
      <c r="M290" s="1394">
        <v>142.77434366374399</v>
      </c>
      <c r="N290" s="1394">
        <v>135.842938446462</v>
      </c>
      <c r="O290" s="1394">
        <v>129.842340034123</v>
      </c>
      <c r="Q290" s="1394">
        <v>185.06813672509699</v>
      </c>
      <c r="R290" s="1394">
        <v>170.938878690888</v>
      </c>
      <c r="S290" s="1394">
        <v>185.90584336992501</v>
      </c>
      <c r="T290" s="1394">
        <v>202.50215124117599</v>
      </c>
      <c r="U290" s="1394">
        <v>194.514185617213</v>
      </c>
      <c r="W290" s="1394">
        <v>126.714572911913</v>
      </c>
      <c r="X290" s="1394">
        <v>245.097487779532</v>
      </c>
    </row>
    <row r="291" spans="1:24" s="1394" customFormat="1" x14ac:dyDescent="0.2">
      <c r="A291" s="1390" t="s">
        <v>1225</v>
      </c>
      <c r="B291" s="1391" t="s">
        <v>971</v>
      </c>
      <c r="C291" s="1392" t="s">
        <v>1127</v>
      </c>
      <c r="D291" s="1393">
        <f>'Edition Compléments'!F52</f>
        <v>72.528768723026047</v>
      </c>
      <c r="E291" s="1394">
        <v>206.255290299942</v>
      </c>
      <c r="F291" s="1394">
        <v>205.068720461015</v>
      </c>
      <c r="G291" s="1394">
        <v>235.90375871669099</v>
      </c>
      <c r="H291" s="1394">
        <v>181.45574158040901</v>
      </c>
      <c r="I291" s="1394">
        <v>211.52036497540499</v>
      </c>
      <c r="J291" s="1394">
        <v>272.86505147670198</v>
      </c>
      <c r="K291" s="1394">
        <v>251.15245637400699</v>
      </c>
      <c r="L291" s="1394">
        <v>200.76928639572299</v>
      </c>
      <c r="M291" s="1394">
        <v>204.50997458114799</v>
      </c>
      <c r="N291" s="1394">
        <v>212.90127338245901</v>
      </c>
      <c r="O291" s="1394">
        <v>178.14419689601601</v>
      </c>
      <c r="Q291" s="1394">
        <v>329.18913752590697</v>
      </c>
      <c r="R291" s="1394">
        <v>294.471854432805</v>
      </c>
      <c r="S291" s="1394">
        <v>342.77887360890702</v>
      </c>
      <c r="T291" s="1394">
        <v>309.05101429690399</v>
      </c>
      <c r="U291" s="1394">
        <v>287.87510694659301</v>
      </c>
      <c r="W291" s="1394">
        <v>149.42041744299399</v>
      </c>
      <c r="X291" s="1394">
        <v>294.83916731834699</v>
      </c>
    </row>
    <row r="292" spans="1:24" s="1394" customFormat="1" x14ac:dyDescent="0.2">
      <c r="A292" s="1390" t="s">
        <v>1226</v>
      </c>
      <c r="B292" s="1391" t="s">
        <v>972</v>
      </c>
      <c r="C292" s="1392" t="s">
        <v>1127</v>
      </c>
      <c r="D292" s="1393">
        <f>'Edition Compléments'!F53</f>
        <v>99.976880995297236</v>
      </c>
      <c r="E292" s="1394">
        <v>54.707158116141699</v>
      </c>
      <c r="F292" s="1394">
        <v>61.958727781565102</v>
      </c>
      <c r="G292" s="1394">
        <v>56.154214898099603</v>
      </c>
      <c r="H292" s="1394">
        <v>31.589459164958001</v>
      </c>
      <c r="I292" s="1394">
        <v>54.799367935896299</v>
      </c>
      <c r="J292" s="1394">
        <v>84.129647470589006</v>
      </c>
      <c r="K292" s="1394">
        <v>75.021894306821807</v>
      </c>
      <c r="L292" s="1394">
        <v>64.850132794153296</v>
      </c>
      <c r="M292" s="1394">
        <v>66.923323137915403</v>
      </c>
      <c r="N292" s="1394">
        <v>65.082482826027999</v>
      </c>
      <c r="O292" s="1394">
        <v>45.365761727801598</v>
      </c>
      <c r="Q292" s="1394">
        <v>90.787031786156703</v>
      </c>
      <c r="R292" s="1394">
        <v>77.909186293868999</v>
      </c>
      <c r="S292" s="1394">
        <v>82.129952132570693</v>
      </c>
      <c r="T292" s="1394">
        <v>112.00675509096099</v>
      </c>
      <c r="U292" s="1394">
        <v>104.330251622879</v>
      </c>
      <c r="W292" s="1394">
        <v>43.4729585345478</v>
      </c>
      <c r="X292" s="1394">
        <v>79.013598294522396</v>
      </c>
    </row>
    <row r="293" spans="1:24" s="1394" customFormat="1" x14ac:dyDescent="0.2">
      <c r="A293" s="1390" t="s">
        <v>1227</v>
      </c>
      <c r="B293" s="1391" t="s">
        <v>973</v>
      </c>
      <c r="C293" s="1392" t="s">
        <v>1127</v>
      </c>
      <c r="D293" s="1393">
        <f>'Edition Compléments'!F54</f>
        <v>-27.448112272271189</v>
      </c>
      <c r="E293" s="1394">
        <v>151.54813218380099</v>
      </c>
      <c r="F293" s="1394">
        <v>143.10999267944999</v>
      </c>
      <c r="G293" s="1394">
        <v>179.749543818592</v>
      </c>
      <c r="H293" s="1394">
        <v>149.866282415451</v>
      </c>
      <c r="I293" s="1394">
        <v>156.720997039509</v>
      </c>
      <c r="J293" s="1394">
        <v>188.73540400611299</v>
      </c>
      <c r="K293" s="1394">
        <v>176.130562067185</v>
      </c>
      <c r="L293" s="1394">
        <v>135.91915360157</v>
      </c>
      <c r="M293" s="1394">
        <v>137.586651443233</v>
      </c>
      <c r="N293" s="1394">
        <v>147.818790556431</v>
      </c>
      <c r="O293" s="1394">
        <v>132.778435168214</v>
      </c>
      <c r="Q293" s="1394">
        <v>238.40210573975</v>
      </c>
      <c r="R293" s="1394">
        <v>216.562668138936</v>
      </c>
      <c r="S293" s="1394">
        <v>260.648921476336</v>
      </c>
      <c r="T293" s="1394">
        <v>197.04425920594301</v>
      </c>
      <c r="U293" s="1394">
        <v>183.54485532371399</v>
      </c>
      <c r="W293" s="1394">
        <v>105.947458908446</v>
      </c>
      <c r="X293" s="1394">
        <v>215.82556902382399</v>
      </c>
    </row>
    <row r="294" spans="1:24" s="1394" customFormat="1" x14ac:dyDescent="0.2">
      <c r="A294" s="1390" t="s">
        <v>1228</v>
      </c>
      <c r="B294" s="1391" t="s">
        <v>1229</v>
      </c>
      <c r="C294" s="1392" t="s">
        <v>1230</v>
      </c>
      <c r="D294" s="1393">
        <f>'Edition Compléments'!F55</f>
        <v>-10594.027985927798</v>
      </c>
      <c r="E294" s="1394">
        <v>22732.219827570101</v>
      </c>
      <c r="F294" s="1394">
        <v>15960.1034169211</v>
      </c>
      <c r="G294" s="1394">
        <v>26962.431572788701</v>
      </c>
      <c r="H294" s="1394">
        <v>20409.3546707473</v>
      </c>
      <c r="I294" s="1394">
        <v>20526.882939623101</v>
      </c>
      <c r="J294" s="1394">
        <v>28310.310600917001</v>
      </c>
      <c r="K294" s="1394">
        <v>22377.5086144942</v>
      </c>
      <c r="L294" s="1394">
        <v>19364.6975629689</v>
      </c>
      <c r="M294" s="1394">
        <v>20723.869882332401</v>
      </c>
      <c r="N294" s="1394">
        <v>24859.002322528999</v>
      </c>
      <c r="O294" s="1394">
        <v>19916.765275232199</v>
      </c>
      <c r="Q294" s="1394">
        <v>33376.294803564997</v>
      </c>
      <c r="R294" s="1394">
        <v>22822.373488487799</v>
      </c>
      <c r="S294" s="1394">
        <v>27468.3863401985</v>
      </c>
      <c r="T294" s="1394">
        <v>25781.723251547599</v>
      </c>
      <c r="U294" s="1394">
        <v>23983.1944289653</v>
      </c>
      <c r="W294" s="1394">
        <v>28570.985918474398</v>
      </c>
      <c r="X294" s="1394">
        <v>29189.524790402498</v>
      </c>
    </row>
    <row r="295" spans="1:24" x14ac:dyDescent="0.2">
      <c r="A295" s="1345" t="s">
        <v>1231</v>
      </c>
      <c r="B295" s="1427" t="s">
        <v>1232</v>
      </c>
      <c r="C295" s="1346" t="s">
        <v>1230</v>
      </c>
      <c r="D295" s="1393">
        <f>'Edition Compléments'!F56</f>
        <v>0</v>
      </c>
      <c r="E295" s="1237">
        <v>6272.7605163137396</v>
      </c>
      <c r="F295" s="1237">
        <v>1407.5138676797301</v>
      </c>
      <c r="G295" s="1237">
        <v>7191.2635681070196</v>
      </c>
      <c r="H295" s="1237">
        <v>6412.1467440909701</v>
      </c>
      <c r="I295" s="1237">
        <v>6302.5399888765196</v>
      </c>
      <c r="J295" s="1237">
        <v>3751.3675830008901</v>
      </c>
      <c r="K295" s="1237">
        <v>5596.4214680675504</v>
      </c>
      <c r="L295" s="1237">
        <v>4730.02682279089</v>
      </c>
      <c r="M295" s="1237">
        <v>5750.1676791315504</v>
      </c>
      <c r="N295" s="1237">
        <v>6948.3130212554497</v>
      </c>
      <c r="O295" s="1237">
        <v>8118.0657759571995</v>
      </c>
      <c r="Q295" s="1237">
        <v>12845.0192751915</v>
      </c>
      <c r="R295" s="1237">
        <v>6476.8139398847698</v>
      </c>
      <c r="S295" s="1237">
        <v>9902.5155930490491</v>
      </c>
      <c r="T295" s="1237">
        <v>8294.34023560475</v>
      </c>
      <c r="U295" s="1237">
        <v>7418.4762250126996</v>
      </c>
      <c r="W295" s="1237">
        <v>12681.974956788799</v>
      </c>
      <c r="X295" s="1237">
        <v>16632.1210798147</v>
      </c>
    </row>
    <row r="296" spans="1:24" s="1394" customFormat="1" x14ac:dyDescent="0.2">
      <c r="A296" s="1428" t="s">
        <v>1233</v>
      </c>
      <c r="B296" s="1429" t="s">
        <v>1234</v>
      </c>
      <c r="C296" s="1392" t="s">
        <v>1235</v>
      </c>
      <c r="D296" s="1393">
        <f>'Edition Compléments'!F60</f>
        <v>153451.67792000002</v>
      </c>
      <c r="E296" s="1394">
        <v>72142.442397023493</v>
      </c>
      <c r="F296" s="1394">
        <v>57009.581957066803</v>
      </c>
      <c r="G296" s="1394">
        <v>79064.916297211807</v>
      </c>
      <c r="H296" s="1394">
        <v>66665.175908201898</v>
      </c>
      <c r="I296" s="1394">
        <v>67026.712018540202</v>
      </c>
      <c r="J296" s="1394">
        <v>86313.116584049203</v>
      </c>
      <c r="K296" s="1394">
        <v>67185.288083830106</v>
      </c>
      <c r="L296" s="1394">
        <v>66491.746725453093</v>
      </c>
      <c r="M296" s="1394">
        <v>69978.330904874994</v>
      </c>
      <c r="N296" s="1394">
        <v>81524.281904476506</v>
      </c>
      <c r="O296" s="1394">
        <v>66648.100856564401</v>
      </c>
      <c r="Q296" s="1394">
        <v>89114.420736750704</v>
      </c>
      <c r="R296" s="1394">
        <v>69687.726277944603</v>
      </c>
      <c r="S296" s="1394">
        <v>70908.037476490994</v>
      </c>
      <c r="T296" s="1394">
        <v>82825.218932583593</v>
      </c>
      <c r="U296" s="1394">
        <v>81036.336096949002</v>
      </c>
      <c r="W296" s="1394">
        <v>130677.1703</v>
      </c>
      <c r="X296" s="1394">
        <v>63468.617283345098</v>
      </c>
    </row>
    <row r="297" spans="1:24" s="1434" customFormat="1" x14ac:dyDescent="0.2">
      <c r="A297" s="1430" t="s">
        <v>1236</v>
      </c>
      <c r="B297" s="1431" t="s">
        <v>1237</v>
      </c>
      <c r="C297" s="1432" t="s">
        <v>316</v>
      </c>
      <c r="D297" s="1433">
        <f>'Edition Compléments'!F61</f>
        <v>0.18600542511856472</v>
      </c>
      <c r="E297" s="1434">
        <v>0.42880032325645906</v>
      </c>
      <c r="F297" s="1434">
        <v>0.39728860776852803</v>
      </c>
      <c r="G297" s="1434">
        <v>0.44751524275503402</v>
      </c>
      <c r="H297" s="1434">
        <v>0.36568788228133903</v>
      </c>
      <c r="I297" s="1434">
        <v>0.41229625793392405</v>
      </c>
      <c r="J297" s="1434">
        <v>0.47282433394334505</v>
      </c>
      <c r="K297" s="1434">
        <v>0.47383520612574404</v>
      </c>
      <c r="L297" s="1434">
        <v>0.42890129350070205</v>
      </c>
      <c r="M297" s="1434">
        <v>0.43928848964561001</v>
      </c>
      <c r="N297" s="1434">
        <v>0.43777328925982301</v>
      </c>
      <c r="O297" s="1434">
        <v>0.39967863917785901</v>
      </c>
      <c r="Q297" s="1434">
        <v>0.51578267102442399</v>
      </c>
      <c r="R297" s="1434">
        <v>0.44531232081275601</v>
      </c>
      <c r="S297" s="1434">
        <v>0.50853225190779305</v>
      </c>
      <c r="T297" s="1434">
        <v>0.48960808963712704</v>
      </c>
      <c r="U297" s="1434">
        <v>0.46259417034356304</v>
      </c>
      <c r="W297" s="1434">
        <v>0.35337955508208602</v>
      </c>
      <c r="X297" s="1434">
        <v>0.41403625203027805</v>
      </c>
    </row>
    <row r="298" spans="1:24" s="1394" customFormat="1" x14ac:dyDescent="0.2">
      <c r="A298" s="1428" t="s">
        <v>1238</v>
      </c>
      <c r="B298" s="1429" t="s">
        <v>1239</v>
      </c>
      <c r="C298" s="1392" t="s">
        <v>1240</v>
      </c>
      <c r="D298" s="1393">
        <f>'Edition Compléments'!F62</f>
        <v>34251.413504000011</v>
      </c>
      <c r="E298" s="1394">
        <v>30934.702620354099</v>
      </c>
      <c r="F298" s="1394">
        <v>22649.257445188799</v>
      </c>
      <c r="G298" s="1394">
        <v>35382.755210153198</v>
      </c>
      <c r="H298" s="1394">
        <v>24378.646999783301</v>
      </c>
      <c r="I298" s="1394">
        <v>27634.862546858902</v>
      </c>
      <c r="J298" s="1394">
        <v>40810.941859427301</v>
      </c>
      <c r="K298" s="1394">
        <v>31834.754827819099</v>
      </c>
      <c r="L298" s="1394">
        <v>28518.396177667899</v>
      </c>
      <c r="M298" s="1394">
        <v>30740.6752911232</v>
      </c>
      <c r="N298" s="1394">
        <v>35689.1530438677</v>
      </c>
      <c r="O298" s="1394">
        <v>26637.822254140399</v>
      </c>
      <c r="Q298" s="1394">
        <v>45963.673954395599</v>
      </c>
      <c r="R298" s="1394">
        <v>31032.803120995599</v>
      </c>
      <c r="S298" s="1394">
        <v>36059.023976282202</v>
      </c>
      <c r="T298" s="1394">
        <v>40551.897215359102</v>
      </c>
      <c r="U298" s="1394">
        <v>37486.936664450201</v>
      </c>
      <c r="W298" s="1394">
        <v>46178.640299999999</v>
      </c>
      <c r="X298" s="1394">
        <v>39417.462632310497</v>
      </c>
    </row>
    <row r="299" spans="1:24" s="1434" customFormat="1" x14ac:dyDescent="0.2">
      <c r="A299" s="1430" t="s">
        <v>1241</v>
      </c>
      <c r="B299" s="1431" t="s">
        <v>1242</v>
      </c>
      <c r="C299" s="1432" t="s">
        <v>316</v>
      </c>
      <c r="D299" s="1433">
        <f>'Edition Compléments'!F63</f>
        <v>0.22101420108081929</v>
      </c>
      <c r="E299" s="1434">
        <v>0.113748210412125</v>
      </c>
      <c r="F299" s="1434">
        <v>0.12120495562476601</v>
      </c>
      <c r="G299" s="1434">
        <v>0.10653438502422101</v>
      </c>
      <c r="H299" s="1434">
        <v>7.5371111444193603E-2</v>
      </c>
      <c r="I299" s="1434">
        <v>0.12446136245137</v>
      </c>
      <c r="J299" s="1434">
        <v>0.14620543921965701</v>
      </c>
      <c r="K299" s="1434">
        <v>0.14200474002291202</v>
      </c>
      <c r="L299" s="1434">
        <v>0.13896288688595101</v>
      </c>
      <c r="M299" s="1434">
        <v>0.14408132751592101</v>
      </c>
      <c r="N299" s="1434">
        <v>0.134292711999104</v>
      </c>
      <c r="O299" s="1434">
        <v>0.10210139781499901</v>
      </c>
      <c r="Q299" s="1434">
        <v>0.14262769532675901</v>
      </c>
      <c r="R299" s="1434">
        <v>0.11781744176529801</v>
      </c>
      <c r="S299" s="1434">
        <v>0.12206279746379101</v>
      </c>
      <c r="T299" s="1434">
        <v>0.17716876086611602</v>
      </c>
      <c r="U299" s="1434">
        <v>0.16822683340158301</v>
      </c>
      <c r="W299" s="1434">
        <v>9.4721977615396802E-2</v>
      </c>
      <c r="X299" s="1434">
        <v>0.112247240785925</v>
      </c>
    </row>
    <row r="300" spans="1:24" s="1394" customFormat="1" x14ac:dyDescent="0.2">
      <c r="A300" s="1390" t="s">
        <v>1243</v>
      </c>
      <c r="B300" s="1391" t="s">
        <v>1244</v>
      </c>
      <c r="C300" s="1392" t="s">
        <v>1240</v>
      </c>
      <c r="D300" s="1393">
        <f>'Edition Compléments'!F64</f>
        <v>-6446.5864959999917</v>
      </c>
      <c r="E300" s="1394">
        <v>22728.628902932898</v>
      </c>
      <c r="F300" s="1394">
        <v>15739.413593896101</v>
      </c>
      <c r="G300" s="1394">
        <v>26959.6229754382</v>
      </c>
      <c r="H300" s="1394">
        <v>19354.018596959399</v>
      </c>
      <c r="I300" s="1394">
        <v>19292.626648395799</v>
      </c>
      <c r="J300" s="1394">
        <v>28191.494738838999</v>
      </c>
      <c r="K300" s="1394">
        <v>22294.125460110401</v>
      </c>
      <c r="L300" s="1394">
        <v>19278.511098609499</v>
      </c>
      <c r="M300" s="1394">
        <v>20658.104477000401</v>
      </c>
      <c r="N300" s="1394">
        <v>24741.036133136098</v>
      </c>
      <c r="O300" s="1394">
        <v>19832.9579949701</v>
      </c>
      <c r="Q300" s="1394">
        <v>33253.489504333702</v>
      </c>
      <c r="R300" s="1394">
        <v>22822.373488487799</v>
      </c>
      <c r="S300" s="1394">
        <v>27403.790559234301</v>
      </c>
      <c r="T300" s="1394">
        <v>25877.8558086085</v>
      </c>
      <c r="U300" s="1394">
        <v>23854.4504523941</v>
      </c>
      <c r="W300" s="1394">
        <v>33800.640299999999</v>
      </c>
      <c r="X300" s="1394">
        <v>28731.196882480501</v>
      </c>
    </row>
    <row r="301" spans="1:24" s="1394" customFormat="1" x14ac:dyDescent="0.2">
      <c r="A301" s="1390" t="s">
        <v>1245</v>
      </c>
      <c r="B301" s="1391" t="s">
        <v>1246</v>
      </c>
      <c r="C301" s="1392" t="s">
        <v>1240</v>
      </c>
      <c r="D301" s="1393">
        <f>'Edition Compléments'!F65</f>
        <v>0</v>
      </c>
      <c r="E301" s="1394">
        <v>6274.7229453648797</v>
      </c>
      <c r="F301" s="1394">
        <v>1187.1208965227499</v>
      </c>
      <c r="G301" s="1394">
        <v>7193.2488418702096</v>
      </c>
      <c r="H301" s="1394">
        <v>816.63710926022804</v>
      </c>
      <c r="I301" s="1394">
        <v>731.63953182303203</v>
      </c>
      <c r="J301" s="1394">
        <v>3635.96751062976</v>
      </c>
      <c r="K301" s="1394">
        <v>5489.4720229670802</v>
      </c>
      <c r="L301" s="1394">
        <v>4642.50350762378</v>
      </c>
      <c r="M301" s="1394">
        <v>5671.9997065236203</v>
      </c>
      <c r="N301" s="1394">
        <v>6819.2724886341102</v>
      </c>
      <c r="O301" s="1394">
        <v>8043.0966354493603</v>
      </c>
      <c r="Q301" s="1394">
        <v>12717.716594212499</v>
      </c>
      <c r="R301" s="1394">
        <v>6476.8139398847698</v>
      </c>
      <c r="S301" s="1394">
        <v>9837.9198120848505</v>
      </c>
      <c r="T301" s="1394">
        <v>8353.17898224483</v>
      </c>
      <c r="U301" s="1394">
        <v>7288.9774410885502</v>
      </c>
      <c r="W301" s="1394">
        <v>14222.640299999999</v>
      </c>
      <c r="X301" s="1394">
        <v>16173.861373116501</v>
      </c>
    </row>
    <row r="302" spans="1:24" s="1394" customFormat="1" x14ac:dyDescent="0.2">
      <c r="A302" s="1390" t="s">
        <v>1247</v>
      </c>
      <c r="B302" s="1391" t="s">
        <v>1248</v>
      </c>
      <c r="C302" s="1392" t="s">
        <v>1240</v>
      </c>
      <c r="D302" s="1393">
        <f>Calcul!B29/UMOns</f>
        <v>18552.400000000001</v>
      </c>
      <c r="E302" s="1394">
        <v>16453.905957568</v>
      </c>
      <c r="F302" s="1394">
        <v>14552.292697373299</v>
      </c>
      <c r="G302" s="1394">
        <v>19766.374133567999</v>
      </c>
      <c r="H302" s="1394">
        <v>18537.3814876992</v>
      </c>
      <c r="I302" s="1394">
        <v>18560.9871165728</v>
      </c>
      <c r="J302" s="1394">
        <v>24555.527228209201</v>
      </c>
      <c r="K302" s="1394">
        <v>16804.653437143301</v>
      </c>
      <c r="L302" s="1394">
        <v>14636.007590985701</v>
      </c>
      <c r="M302" s="1394">
        <v>14986.104770476801</v>
      </c>
      <c r="N302" s="1394">
        <v>17921.763644502</v>
      </c>
      <c r="O302" s="1394">
        <v>11789.861359520801</v>
      </c>
      <c r="Q302" s="1394">
        <v>20535.772910121101</v>
      </c>
      <c r="R302" s="1394">
        <v>16345.5595486031</v>
      </c>
      <c r="S302" s="1394">
        <v>17565.8707471495</v>
      </c>
      <c r="T302" s="1394">
        <v>17524.676826363699</v>
      </c>
      <c r="U302" s="1394">
        <v>16565.473011305501</v>
      </c>
      <c r="W302" s="1394">
        <v>19578</v>
      </c>
      <c r="X302" s="1394">
        <v>12557.335509364</v>
      </c>
    </row>
    <row r="303" spans="1:24" s="1394" customFormat="1" x14ac:dyDescent="0.2">
      <c r="A303" s="1435"/>
      <c r="B303" s="1391" t="s">
        <v>1249</v>
      </c>
      <c r="C303" s="1392" t="s">
        <v>1127</v>
      </c>
      <c r="D303" s="1393">
        <f>'Edition Compléments'!B9-'Edition Compléments'!B36-'Edition Compléments'!B41-'Edition Compléments'!B35+'Edition Compléments'!B44+'Edition Compléments'!F53</f>
        <v>515.91289385309176</v>
      </c>
      <c r="E303" s="1436"/>
    </row>
    <row r="304" spans="1:24" s="1394" customFormat="1" x14ac:dyDescent="0.2">
      <c r="A304" s="1435"/>
      <c r="B304" s="1391" t="s">
        <v>1250</v>
      </c>
      <c r="C304" s="1392" t="s">
        <v>1127</v>
      </c>
      <c r="D304" s="1393">
        <f>'Edition éleveur'!B62</f>
        <v>432.61305709738212</v>
      </c>
      <c r="E304" s="1436"/>
    </row>
    <row r="305" spans="1:26" s="1394" customFormat="1" x14ac:dyDescent="0.2">
      <c r="A305" s="1435"/>
      <c r="B305" s="1391" t="s">
        <v>731</v>
      </c>
      <c r="C305" s="1392" t="s">
        <v>1178</v>
      </c>
      <c r="D305" s="1419">
        <f>'Edition éleveur'!B64</f>
        <v>-0.12670788205991132</v>
      </c>
      <c r="E305" s="1436"/>
    </row>
    <row r="306" spans="1:26" s="1394" customFormat="1" x14ac:dyDescent="0.2">
      <c r="A306" s="1435"/>
      <c r="B306" s="1436"/>
      <c r="C306" s="1437"/>
      <c r="D306" s="1438"/>
      <c r="E306" s="1436"/>
    </row>
    <row r="307" spans="1:26" s="1394" customFormat="1" x14ac:dyDescent="0.2">
      <c r="A307" s="1435"/>
      <c r="B307" s="1436"/>
      <c r="C307" s="1437"/>
      <c r="D307" s="1438"/>
      <c r="E307" s="1436"/>
    </row>
    <row r="308" spans="1:26" s="1394" customFormat="1" x14ac:dyDescent="0.2">
      <c r="A308" s="1435"/>
      <c r="B308" s="1436"/>
      <c r="C308" s="1437"/>
      <c r="D308" s="1438"/>
      <c r="E308" s="1436"/>
    </row>
    <row r="309" spans="1:26" s="1394" customFormat="1" x14ac:dyDescent="0.2">
      <c r="A309" s="1435"/>
      <c r="B309" s="1436"/>
      <c r="C309" s="1437"/>
      <c r="D309" s="1438"/>
    </row>
    <row r="310" spans="1:26" s="1394" customFormat="1" x14ac:dyDescent="0.2">
      <c r="A310" s="1435"/>
      <c r="B310" s="1436"/>
      <c r="C310" s="1437"/>
      <c r="D310" s="1438"/>
    </row>
    <row r="311" spans="1:26" s="1394" customFormat="1" x14ac:dyDescent="0.2">
      <c r="A311" s="1435"/>
      <c r="B311" s="1436"/>
      <c r="C311" s="1437"/>
      <c r="D311" s="1438"/>
    </row>
    <row r="312" spans="1:26" s="1394" customFormat="1" x14ac:dyDescent="0.2">
      <c r="A312" s="1435"/>
      <c r="B312" s="1436"/>
      <c r="C312" s="1437"/>
      <c r="D312" s="1438"/>
    </row>
    <row r="313" spans="1:26" s="1394" customFormat="1" x14ac:dyDescent="0.2">
      <c r="A313" s="1435"/>
      <c r="B313" s="1436"/>
      <c r="C313" s="1437"/>
      <c r="D313" s="1438"/>
    </row>
    <row r="314" spans="1:26" s="1394" customFormat="1" x14ac:dyDescent="0.2">
      <c r="A314" s="1435"/>
      <c r="B314" s="1436"/>
      <c r="C314" s="1437"/>
      <c r="D314" s="1438"/>
    </row>
    <row r="315" spans="1:26" s="1394" customFormat="1" x14ac:dyDescent="0.2">
      <c r="A315" s="1435"/>
      <c r="B315" s="1436"/>
      <c r="C315" s="1437"/>
      <c r="D315" s="1438"/>
    </row>
    <row r="316" spans="1:26" ht="15" x14ac:dyDescent="0.2">
      <c r="A316" s="1340" t="s">
        <v>1251</v>
      </c>
      <c r="B316" s="1340"/>
      <c r="C316" s="1341"/>
      <c r="D316" s="1342"/>
    </row>
    <row r="317" spans="1:26" ht="25.5" x14ac:dyDescent="0.2">
      <c r="A317" s="1345" t="s">
        <v>334</v>
      </c>
      <c r="B317" s="1427" t="s">
        <v>109</v>
      </c>
      <c r="C317" s="1346"/>
      <c r="D317" s="1439" t="str">
        <f>D15</f>
        <v>EARL BEL EPI</v>
      </c>
      <c r="E317" s="1352" t="s">
        <v>1087</v>
      </c>
      <c r="F317" s="1352" t="s">
        <v>1062</v>
      </c>
      <c r="G317" s="1352" t="s">
        <v>1063</v>
      </c>
      <c r="H317" s="1352" t="s">
        <v>1064</v>
      </c>
      <c r="I317" s="1352" t="s">
        <v>1065</v>
      </c>
      <c r="J317" s="1352" t="s">
        <v>1066</v>
      </c>
      <c r="K317" s="1352" t="s">
        <v>1067</v>
      </c>
      <c r="L317" s="1352" t="s">
        <v>1068</v>
      </c>
      <c r="M317" s="1352" t="s">
        <v>1069</v>
      </c>
      <c r="N317" s="1352" t="s">
        <v>1070</v>
      </c>
      <c r="O317" s="1352" t="s">
        <v>1071</v>
      </c>
      <c r="P317" s="1352"/>
      <c r="Q317" s="1352" t="s">
        <v>1072</v>
      </c>
      <c r="R317" s="1352" t="s">
        <v>1073</v>
      </c>
      <c r="S317" s="1352" t="s">
        <v>1074</v>
      </c>
      <c r="T317" s="1352" t="s">
        <v>1075</v>
      </c>
      <c r="U317" s="1352" t="s">
        <v>1076</v>
      </c>
      <c r="V317" s="1352"/>
      <c r="W317" s="1352" t="s">
        <v>1077</v>
      </c>
      <c r="X317" s="1352" t="s">
        <v>1078</v>
      </c>
      <c r="Y317" s="1352"/>
      <c r="Z317" s="1352"/>
    </row>
    <row r="318" spans="1:26" x14ac:dyDescent="0.2">
      <c r="A318" s="1345" t="s">
        <v>336</v>
      </c>
      <c r="B318" s="1427" t="s">
        <v>113</v>
      </c>
      <c r="C318" s="1346"/>
      <c r="D318" s="1439">
        <f>D17</f>
        <v>2013</v>
      </c>
      <c r="E318" s="1354">
        <v>2010</v>
      </c>
      <c r="F318" s="1354">
        <v>2010</v>
      </c>
      <c r="G318" s="1354">
        <v>2010</v>
      </c>
      <c r="H318" s="1354">
        <v>2010</v>
      </c>
      <c r="I318" s="1354">
        <v>2010</v>
      </c>
      <c r="J318" s="1354">
        <v>2010</v>
      </c>
      <c r="K318" s="1354">
        <v>2010</v>
      </c>
      <c r="L318" s="1354">
        <v>2010</v>
      </c>
      <c r="M318" s="1354">
        <v>2010</v>
      </c>
      <c r="N318" s="1354">
        <v>2010</v>
      </c>
      <c r="O318" s="1354">
        <v>2010</v>
      </c>
      <c r="P318" s="1354"/>
      <c r="Q318" s="1354">
        <v>2010</v>
      </c>
      <c r="R318" s="1354">
        <v>2010</v>
      </c>
      <c r="S318" s="1354">
        <v>2010</v>
      </c>
      <c r="T318" s="1354">
        <v>2010</v>
      </c>
      <c r="U318" s="1354">
        <v>2010</v>
      </c>
      <c r="V318" s="1354"/>
      <c r="W318" s="1354">
        <v>2010</v>
      </c>
      <c r="X318" s="1354">
        <v>2010</v>
      </c>
      <c r="Y318" s="1354"/>
      <c r="Z318" s="1354"/>
    </row>
    <row r="319" spans="1:26" x14ac:dyDescent="0.2">
      <c r="A319" s="1345" t="s">
        <v>1088</v>
      </c>
      <c r="B319" s="1427" t="s">
        <v>112</v>
      </c>
      <c r="C319" s="1346"/>
      <c r="D319" s="1439" t="str">
        <f>D16</f>
        <v/>
      </c>
      <c r="E319" s="1354"/>
      <c r="F319" s="1354">
        <v>0</v>
      </c>
      <c r="G319" s="1354">
        <v>0</v>
      </c>
      <c r="H319" s="1354">
        <v>0</v>
      </c>
      <c r="I319" s="1354">
        <v>0</v>
      </c>
      <c r="J319" s="1354"/>
      <c r="K319" s="1354">
        <v>0</v>
      </c>
      <c r="L319" s="1354">
        <v>0</v>
      </c>
      <c r="M319" s="1354">
        <v>0</v>
      </c>
      <c r="N319" s="1354">
        <v>0</v>
      </c>
      <c r="O319" s="1354">
        <v>0</v>
      </c>
      <c r="P319" s="1354"/>
      <c r="Q319" s="1354">
        <v>0</v>
      </c>
      <c r="R319" s="1354">
        <v>0</v>
      </c>
      <c r="S319" s="1354">
        <v>0</v>
      </c>
      <c r="T319" s="1354">
        <v>0</v>
      </c>
      <c r="U319" s="1354">
        <v>0</v>
      </c>
      <c r="V319" s="1354"/>
      <c r="W319" s="1354"/>
      <c r="X319" s="1354"/>
      <c r="Y319" s="1354"/>
      <c r="Z319" s="1354"/>
    </row>
    <row r="320" spans="1:26" x14ac:dyDescent="0.2">
      <c r="A320" s="1345" t="s">
        <v>1126</v>
      </c>
      <c r="B320" s="1427" t="s">
        <v>955</v>
      </c>
      <c r="C320" s="1346" t="s">
        <v>1127</v>
      </c>
      <c r="D320" s="1440">
        <f t="shared" ref="D320:D331" si="0">D220</f>
        <v>507.97336340857942</v>
      </c>
      <c r="E320" s="1394">
        <v>531.30909964215505</v>
      </c>
      <c r="F320" s="1394">
        <v>606.62140107345999</v>
      </c>
      <c r="G320" s="1394">
        <v>560.23260727781906</v>
      </c>
      <c r="H320" s="1394">
        <v>501.725272221762</v>
      </c>
      <c r="I320" s="1394">
        <v>555.50206576435198</v>
      </c>
      <c r="J320" s="1394">
        <v>576.041687069771</v>
      </c>
      <c r="K320" s="1394">
        <v>590.50347627175699</v>
      </c>
      <c r="L320" s="1394">
        <v>555.52812973773405</v>
      </c>
      <c r="M320" s="1394">
        <v>540.65838039121002</v>
      </c>
      <c r="N320" s="1394">
        <v>524.99712883277903</v>
      </c>
      <c r="O320" s="1394">
        <v>490.51270210171703</v>
      </c>
      <c r="P320" s="1394"/>
      <c r="Q320" s="1394">
        <v>617.91206035914001</v>
      </c>
      <c r="R320" s="1394">
        <v>730.14358543534001</v>
      </c>
      <c r="S320" s="1394">
        <v>722.84156975522205</v>
      </c>
      <c r="T320" s="1394">
        <v>629.87235858607096</v>
      </c>
      <c r="U320" s="1394">
        <v>635.89483230072904</v>
      </c>
      <c r="V320" s="1394"/>
      <c r="W320" s="1394">
        <v>502.32626093737002</v>
      </c>
      <c r="X320" s="1394">
        <v>701.00072275409605</v>
      </c>
      <c r="Y320" s="1394"/>
      <c r="Z320" s="1394"/>
    </row>
    <row r="321" spans="1:26" x14ac:dyDescent="0.2">
      <c r="A321" s="1345" t="s">
        <v>1128</v>
      </c>
      <c r="B321" s="1427" t="s">
        <v>956</v>
      </c>
      <c r="C321" s="1346" t="s">
        <v>1127</v>
      </c>
      <c r="D321" s="1440">
        <f t="shared" si="0"/>
        <v>367.77406210861744</v>
      </c>
      <c r="E321" s="1394">
        <v>256.77469582842502</v>
      </c>
      <c r="F321" s="1394">
        <v>282.89610979170999</v>
      </c>
      <c r="G321" s="1394">
        <v>267.69860661125603</v>
      </c>
      <c r="H321" s="1394">
        <v>268.85811824903999</v>
      </c>
      <c r="I321" s="1394">
        <v>263.93004232761899</v>
      </c>
      <c r="J321" s="1394">
        <v>275.51349573024697</v>
      </c>
      <c r="K321" s="1394">
        <v>255.914751397477</v>
      </c>
      <c r="L321" s="1394">
        <v>254.51861421805501</v>
      </c>
      <c r="M321" s="1394">
        <v>248.13527808193501</v>
      </c>
      <c r="N321" s="1394">
        <v>257.08490062053801</v>
      </c>
      <c r="O321" s="1394">
        <v>244.90390930592201</v>
      </c>
      <c r="P321" s="1394"/>
      <c r="Q321" s="1394">
        <v>279.91106890129998</v>
      </c>
      <c r="R321" s="1394">
        <v>360.44607159478602</v>
      </c>
      <c r="S321" s="1394">
        <v>325.99762171259601</v>
      </c>
      <c r="T321" s="1394">
        <v>296.32384649815799</v>
      </c>
      <c r="U321" s="1394">
        <v>309.70566573767002</v>
      </c>
      <c r="V321" s="1394"/>
      <c r="W321" s="1394">
        <v>278.64359426156898</v>
      </c>
      <c r="X321" s="1394">
        <v>385.50994006236101</v>
      </c>
      <c r="Y321" s="1394"/>
      <c r="Z321" s="1394"/>
    </row>
    <row r="322" spans="1:26" x14ac:dyDescent="0.2">
      <c r="A322" s="1345" t="s">
        <v>1129</v>
      </c>
      <c r="B322" s="1427" t="s">
        <v>1130</v>
      </c>
      <c r="C322" s="1346" t="s">
        <v>1127</v>
      </c>
      <c r="D322" s="1440">
        <f t="shared" si="0"/>
        <v>126.70355318350227</v>
      </c>
      <c r="E322" s="1394">
        <v>72.292637512189003</v>
      </c>
      <c r="F322" s="1394">
        <v>64.4664711515438</v>
      </c>
      <c r="G322" s="1394">
        <v>97.147995217920695</v>
      </c>
      <c r="H322" s="1394">
        <v>101.173324259667</v>
      </c>
      <c r="I322" s="1394">
        <v>58.397067132450502</v>
      </c>
      <c r="J322" s="1394">
        <v>50.807773487537197</v>
      </c>
      <c r="K322" s="1394">
        <v>33.659125032000802</v>
      </c>
      <c r="L322" s="1394">
        <v>45.203778987061803</v>
      </c>
      <c r="M322" s="1394">
        <v>44.461086503063299</v>
      </c>
      <c r="N322" s="1394">
        <v>57.402424292175503</v>
      </c>
      <c r="O322" s="1394">
        <v>59.791560844280298</v>
      </c>
      <c r="P322" s="1394"/>
      <c r="Q322" s="1394">
        <v>57.842234998128902</v>
      </c>
      <c r="R322" s="1394">
        <v>118.599288637304</v>
      </c>
      <c r="S322" s="1394">
        <v>43.927755790588201</v>
      </c>
      <c r="T322" s="1394">
        <v>52.398339583995401</v>
      </c>
      <c r="U322" s="1394">
        <v>83.1996137653245</v>
      </c>
      <c r="V322" s="1394"/>
      <c r="W322" s="1394">
        <v>53.246773823009804</v>
      </c>
      <c r="X322" s="1394">
        <v>92.714870908330795</v>
      </c>
      <c r="Y322" s="1394"/>
      <c r="Z322" s="1394"/>
    </row>
    <row r="323" spans="1:26" x14ac:dyDescent="0.2">
      <c r="A323" s="1345" t="s">
        <v>1131</v>
      </c>
      <c r="B323" s="1427" t="s">
        <v>764</v>
      </c>
      <c r="C323" s="1346" t="s">
        <v>1127</v>
      </c>
      <c r="D323" s="1440">
        <f t="shared" si="0"/>
        <v>117.23982220481267</v>
      </c>
      <c r="E323" s="1394">
        <v>72.292637512189003</v>
      </c>
      <c r="F323" s="1394">
        <v>64.4664711515438</v>
      </c>
      <c r="G323" s="1394">
        <v>90.014661884587298</v>
      </c>
      <c r="H323" s="1394">
        <v>77.720259782873399</v>
      </c>
      <c r="I323" s="1394">
        <v>58.397067132450502</v>
      </c>
      <c r="J323" s="1394">
        <v>40.821106820870497</v>
      </c>
      <c r="K323" s="1394">
        <v>33.659125032000802</v>
      </c>
      <c r="L323" s="1394">
        <v>45.203778987061803</v>
      </c>
      <c r="M323" s="1394">
        <v>44.461086503063299</v>
      </c>
      <c r="N323" s="1394">
        <v>49.255978607364902</v>
      </c>
      <c r="O323" s="1394">
        <v>59.791560844280298</v>
      </c>
      <c r="P323" s="1394"/>
      <c r="Q323" s="1394">
        <v>56.313663569557498</v>
      </c>
      <c r="R323" s="1394">
        <v>118.599288637304</v>
      </c>
      <c r="S323" s="1394">
        <v>43.927755790588201</v>
      </c>
      <c r="T323" s="1394">
        <v>52.398339583995401</v>
      </c>
      <c r="U323" s="1394">
        <v>52.077164785732698</v>
      </c>
      <c r="V323" s="1394"/>
      <c r="W323" s="1394">
        <v>47.396481110327699</v>
      </c>
      <c r="X323" s="1394">
        <v>92.714870908330795</v>
      </c>
      <c r="Y323" s="1394"/>
      <c r="Z323" s="1394"/>
    </row>
    <row r="324" spans="1:26" x14ac:dyDescent="0.2">
      <c r="A324" s="1345" t="s">
        <v>1132</v>
      </c>
      <c r="B324" s="1427" t="s">
        <v>183</v>
      </c>
      <c r="C324" s="1346" t="s">
        <v>1127</v>
      </c>
      <c r="D324" s="1440">
        <f t="shared" si="0"/>
        <v>9.463730978689604</v>
      </c>
      <c r="E324" s="1394">
        <v>0</v>
      </c>
      <c r="F324" s="1394">
        <v>0</v>
      </c>
      <c r="G324" s="1394">
        <v>7.1333333333333302</v>
      </c>
      <c r="H324" s="1394">
        <v>23.453064476793799</v>
      </c>
      <c r="I324" s="1394">
        <v>0</v>
      </c>
      <c r="J324" s="1394">
        <v>9.9866666666666699</v>
      </c>
      <c r="K324" s="1394">
        <v>0</v>
      </c>
      <c r="L324" s="1394">
        <v>0</v>
      </c>
      <c r="M324" s="1394">
        <v>0</v>
      </c>
      <c r="N324" s="1394">
        <v>8.1464456848105904</v>
      </c>
      <c r="O324" s="1394">
        <v>0</v>
      </c>
      <c r="P324" s="1394"/>
      <c r="Q324" s="1394">
        <v>1.52857142857143</v>
      </c>
      <c r="R324" s="1394">
        <v>0</v>
      </c>
      <c r="S324" s="1394">
        <v>0</v>
      </c>
      <c r="T324" s="1394">
        <v>0</v>
      </c>
      <c r="U324" s="1394">
        <v>31.122448979591798</v>
      </c>
      <c r="V324" s="1394"/>
      <c r="W324" s="1394">
        <v>5.8502927126820996</v>
      </c>
      <c r="X324" s="1394">
        <v>0</v>
      </c>
      <c r="Y324" s="1394"/>
      <c r="Z324" s="1394"/>
    </row>
    <row r="325" spans="1:26" x14ac:dyDescent="0.2">
      <c r="A325" s="1345" t="s">
        <v>1133</v>
      </c>
      <c r="B325" s="1427" t="s">
        <v>1134</v>
      </c>
      <c r="C325" s="1346" t="s">
        <v>1127</v>
      </c>
      <c r="D325" s="1440">
        <f t="shared" si="0"/>
        <v>22.063590744275356</v>
      </c>
      <c r="E325" s="1394">
        <v>14.0811243799648</v>
      </c>
      <c r="F325" s="1394">
        <v>20.946023922575598</v>
      </c>
      <c r="G325" s="1394">
        <v>15.707066261800399</v>
      </c>
      <c r="H325" s="1394">
        <v>14.105065827676601</v>
      </c>
      <c r="I325" s="1394">
        <v>29.717936344383901</v>
      </c>
      <c r="J325" s="1394">
        <v>32.830211008934199</v>
      </c>
      <c r="K325" s="1394">
        <v>28.2539947103363</v>
      </c>
      <c r="L325" s="1394">
        <v>33.790681445205102</v>
      </c>
      <c r="M325" s="1394">
        <v>33.787280954473601</v>
      </c>
      <c r="N325" s="1394">
        <v>35.270701535305598</v>
      </c>
      <c r="O325" s="1394">
        <v>33.6031563855474</v>
      </c>
      <c r="P325" s="1394"/>
      <c r="Q325" s="1394">
        <v>22.6624283798226</v>
      </c>
      <c r="R325" s="1394">
        <v>11.777424566892</v>
      </c>
      <c r="S325" s="1394">
        <v>34.754568873141501</v>
      </c>
      <c r="T325" s="1394">
        <v>25.8266681247839</v>
      </c>
      <c r="U325" s="1394">
        <v>14.769150932816901</v>
      </c>
      <c r="V325" s="1394"/>
      <c r="W325" s="1394">
        <v>42.548165762484103</v>
      </c>
      <c r="X325" s="1394">
        <v>18.839000665851</v>
      </c>
      <c r="Y325" s="1394"/>
      <c r="Z325" s="1394"/>
    </row>
    <row r="326" spans="1:26" x14ac:dyDescent="0.2">
      <c r="A326" s="1345" t="s">
        <v>1135</v>
      </c>
      <c r="B326" s="1427" t="s">
        <v>187</v>
      </c>
      <c r="C326" s="1346" t="s">
        <v>1127</v>
      </c>
      <c r="D326" s="1440">
        <f t="shared" si="0"/>
        <v>10.93904789076894</v>
      </c>
      <c r="E326" s="1394">
        <v>8.8363547480443803</v>
      </c>
      <c r="F326" s="1394">
        <v>14.9283801502019</v>
      </c>
      <c r="G326" s="1394">
        <v>12.9223995951338</v>
      </c>
      <c r="H326" s="1394">
        <v>10.505602598755999</v>
      </c>
      <c r="I326" s="1394">
        <v>19.537648291662801</v>
      </c>
      <c r="J326" s="1394">
        <v>23.5142110089342</v>
      </c>
      <c r="K326" s="1394">
        <v>17.001907004561801</v>
      </c>
      <c r="L326" s="1394">
        <v>21.451507376408099</v>
      </c>
      <c r="M326" s="1394">
        <v>16.6863127320307</v>
      </c>
      <c r="N326" s="1394">
        <v>16.174326800895699</v>
      </c>
      <c r="O326" s="1394">
        <v>18.425823052214</v>
      </c>
      <c r="P326" s="1394"/>
      <c r="Q326" s="1394">
        <v>6.28742837982261</v>
      </c>
      <c r="R326" s="1394">
        <v>8.2241398953591993</v>
      </c>
      <c r="S326" s="1394">
        <v>15.4202623037985</v>
      </c>
      <c r="T326" s="1394">
        <v>10.6454361214931</v>
      </c>
      <c r="U326" s="1394">
        <v>2.8742529736331801</v>
      </c>
      <c r="V326" s="1394"/>
      <c r="W326" s="1394">
        <v>25.350307301695299</v>
      </c>
      <c r="X326" s="1394">
        <v>15.4486947342797</v>
      </c>
      <c r="Y326" s="1394"/>
      <c r="Z326" s="1394"/>
    </row>
    <row r="327" spans="1:26" x14ac:dyDescent="0.2">
      <c r="A327" s="1345" t="s">
        <v>1136</v>
      </c>
      <c r="B327" s="1427" t="s">
        <v>191</v>
      </c>
      <c r="C327" s="1346" t="s">
        <v>1127</v>
      </c>
      <c r="D327" s="1440">
        <f t="shared" si="0"/>
        <v>4.5584139277039251</v>
      </c>
      <c r="E327" s="1394">
        <v>0</v>
      </c>
      <c r="F327" s="1394">
        <v>2.2016779287305601</v>
      </c>
      <c r="G327" s="1394">
        <v>1.36</v>
      </c>
      <c r="H327" s="1394">
        <v>0</v>
      </c>
      <c r="I327" s="1394">
        <v>2.8535906550119998</v>
      </c>
      <c r="J327" s="1394">
        <v>5.24</v>
      </c>
      <c r="K327" s="1394">
        <v>5.8988868903849099</v>
      </c>
      <c r="L327" s="1394">
        <v>5.0941454926537002</v>
      </c>
      <c r="M327" s="1394">
        <v>7.9363936817279104</v>
      </c>
      <c r="N327" s="1394">
        <v>9.00596807464661</v>
      </c>
      <c r="O327" s="1394">
        <v>6.5966666666666702</v>
      </c>
      <c r="P327" s="1394"/>
      <c r="Q327" s="1394">
        <v>14.6142857142857</v>
      </c>
      <c r="R327" s="1394">
        <v>2.0291970802919699</v>
      </c>
      <c r="S327" s="1394">
        <v>17.810218978102199</v>
      </c>
      <c r="T327" s="1394">
        <v>14.209193747429</v>
      </c>
      <c r="U327" s="1394">
        <v>11.265306122448999</v>
      </c>
      <c r="V327" s="1394"/>
      <c r="W327" s="1394">
        <v>10.0515988549814</v>
      </c>
      <c r="X327" s="1394">
        <v>0</v>
      </c>
      <c r="Y327" s="1394"/>
      <c r="Z327" s="1394"/>
    </row>
    <row r="328" spans="1:26" x14ac:dyDescent="0.2">
      <c r="A328" s="1345" t="s">
        <v>1137</v>
      </c>
      <c r="B328" s="1427" t="s">
        <v>193</v>
      </c>
      <c r="C328" s="1346" t="s">
        <v>1127</v>
      </c>
      <c r="D328" s="1440">
        <f t="shared" si="0"/>
        <v>6.5661289258024915</v>
      </c>
      <c r="E328" s="1394">
        <v>5.2447696319204402</v>
      </c>
      <c r="F328" s="1394">
        <v>3.81596584364316</v>
      </c>
      <c r="G328" s="1394">
        <v>1.4246666666666701</v>
      </c>
      <c r="H328" s="1394">
        <v>3.5994632289206798</v>
      </c>
      <c r="I328" s="1394">
        <v>7.3266973977090801</v>
      </c>
      <c r="J328" s="1394">
        <v>4.0759999999999996</v>
      </c>
      <c r="K328" s="1394">
        <v>5.35320081538962</v>
      </c>
      <c r="L328" s="1394">
        <v>7.2450285761433202</v>
      </c>
      <c r="M328" s="1394">
        <v>9.1645745407149892</v>
      </c>
      <c r="N328" s="1394">
        <v>10.0904066597633</v>
      </c>
      <c r="O328" s="1394">
        <v>8.5806666666666693</v>
      </c>
      <c r="P328" s="1394"/>
      <c r="Q328" s="1394">
        <v>1.7607142857142901</v>
      </c>
      <c r="R328" s="1394">
        <v>1.52408759124088</v>
      </c>
      <c r="S328" s="1394">
        <v>1.52408759124088</v>
      </c>
      <c r="T328" s="1394">
        <v>0.97203825586178605</v>
      </c>
      <c r="U328" s="1394">
        <v>0.6295918367346941</v>
      </c>
      <c r="V328" s="1394"/>
      <c r="W328" s="1394">
        <v>7.1462596058073196</v>
      </c>
      <c r="X328" s="1394">
        <v>3.3903059315712998</v>
      </c>
      <c r="Y328" s="1394"/>
      <c r="Z328" s="1394"/>
    </row>
    <row r="329" spans="1:26" x14ac:dyDescent="0.2">
      <c r="A329" s="1345" t="s">
        <v>1138</v>
      </c>
      <c r="B329" s="1427" t="s">
        <v>1139</v>
      </c>
      <c r="C329" s="1346" t="s">
        <v>1127</v>
      </c>
      <c r="D329" s="1440">
        <f t="shared" si="0"/>
        <v>37.116377504665223</v>
      </c>
      <c r="E329" s="1394">
        <v>49.827589472918604</v>
      </c>
      <c r="F329" s="1394">
        <v>55.744507898721999</v>
      </c>
      <c r="G329" s="1394">
        <v>47.925083660160503</v>
      </c>
      <c r="H329" s="1394">
        <v>51.771270519832299</v>
      </c>
      <c r="I329" s="1394">
        <v>47.904638976584302</v>
      </c>
      <c r="J329" s="1394">
        <v>50.778211237659299</v>
      </c>
      <c r="K329" s="1394">
        <v>47.0529651848464</v>
      </c>
      <c r="L329" s="1394">
        <v>43.923444971068498</v>
      </c>
      <c r="M329" s="1394">
        <v>38.811110218547498</v>
      </c>
      <c r="N329" s="1394">
        <v>43.091033378541503</v>
      </c>
      <c r="O329" s="1394">
        <v>42.998339148823398</v>
      </c>
      <c r="P329" s="1394"/>
      <c r="Q329" s="1394">
        <v>41.737514906781101</v>
      </c>
      <c r="R329" s="1394">
        <v>65.482949010271895</v>
      </c>
      <c r="S329" s="1394">
        <v>65.482949010271895</v>
      </c>
      <c r="T329" s="1394">
        <v>40.562019637463301</v>
      </c>
      <c r="U329" s="1394">
        <v>39.812207709451698</v>
      </c>
      <c r="V329" s="1394"/>
      <c r="W329" s="1394">
        <v>60.875523832912201</v>
      </c>
      <c r="X329" s="1394">
        <v>52.434615227604603</v>
      </c>
      <c r="Y329" s="1394"/>
      <c r="Z329" s="1394"/>
    </row>
    <row r="330" spans="1:26" x14ac:dyDescent="0.2">
      <c r="A330" s="1345" t="s">
        <v>1140</v>
      </c>
      <c r="B330" s="1427" t="s">
        <v>196</v>
      </c>
      <c r="C330" s="1346" t="s">
        <v>1127</v>
      </c>
      <c r="D330" s="1440">
        <f t="shared" si="0"/>
        <v>7.1746451440913575</v>
      </c>
      <c r="E330" s="1394">
        <v>13.9044166495722</v>
      </c>
      <c r="F330" s="1394">
        <v>15.784607312774201</v>
      </c>
      <c r="G330" s="1394">
        <v>14.933975402879501</v>
      </c>
      <c r="H330" s="1394">
        <v>18.6360080563102</v>
      </c>
      <c r="I330" s="1394">
        <v>17.842619652595999</v>
      </c>
      <c r="J330" s="1394">
        <v>17.356407239137798</v>
      </c>
      <c r="K330" s="1394">
        <v>15.663205478290999</v>
      </c>
      <c r="L330" s="1394">
        <v>13.347261954168699</v>
      </c>
      <c r="M330" s="1394">
        <v>12.7754485176836</v>
      </c>
      <c r="N330" s="1394">
        <v>13.2919815721714</v>
      </c>
      <c r="O330" s="1394">
        <v>13.137083716522699</v>
      </c>
      <c r="P330" s="1394"/>
      <c r="Q330" s="1394">
        <v>10.5766205330627</v>
      </c>
      <c r="R330" s="1394">
        <v>12.5527628807155</v>
      </c>
      <c r="S330" s="1394">
        <v>12.5527628807155</v>
      </c>
      <c r="T330" s="1394">
        <v>10.7914829659964</v>
      </c>
      <c r="U330" s="1394">
        <v>9.9002529387149991</v>
      </c>
      <c r="V330" s="1394"/>
      <c r="W330" s="1394">
        <v>8.7694976749344491</v>
      </c>
      <c r="X330" s="1394">
        <v>15.833671198757401</v>
      </c>
      <c r="Y330" s="1394"/>
      <c r="Z330" s="1394"/>
    </row>
    <row r="331" spans="1:26" x14ac:dyDescent="0.2">
      <c r="A331" s="1345" t="s">
        <v>1141</v>
      </c>
      <c r="B331" s="1427" t="s">
        <v>200</v>
      </c>
      <c r="C331" s="1346" t="s">
        <v>1127</v>
      </c>
      <c r="D331" s="1440">
        <f t="shared" si="0"/>
        <v>29.941732360573866</v>
      </c>
      <c r="E331" s="1394">
        <v>35.923172823346299</v>
      </c>
      <c r="F331" s="1394">
        <v>39.959900585947899</v>
      </c>
      <c r="G331" s="1394">
        <v>32.991108257280899</v>
      </c>
      <c r="H331" s="1394">
        <v>33.135262463521997</v>
      </c>
      <c r="I331" s="1394">
        <v>30.062019323988299</v>
      </c>
      <c r="J331" s="1394">
        <v>33.421803998521497</v>
      </c>
      <c r="K331" s="1394">
        <v>31.389759706555399</v>
      </c>
      <c r="L331" s="1394">
        <v>30.576183016899801</v>
      </c>
      <c r="M331" s="1394">
        <v>26.035661700863901</v>
      </c>
      <c r="N331" s="1394">
        <v>29.799051806370102</v>
      </c>
      <c r="O331" s="1394">
        <v>29.861255432300702</v>
      </c>
      <c r="P331" s="1394"/>
      <c r="Q331" s="1394">
        <v>31.160894373718499</v>
      </c>
      <c r="R331" s="1394">
        <v>52.930186129556397</v>
      </c>
      <c r="S331" s="1394">
        <v>52.930186129556397</v>
      </c>
      <c r="T331" s="1394">
        <v>29.7705366714668</v>
      </c>
      <c r="U331" s="1394">
        <v>29.911954770736699</v>
      </c>
      <c r="V331" s="1394"/>
      <c r="W331" s="1394">
        <v>52.106026157977702</v>
      </c>
      <c r="X331" s="1394">
        <v>36.600944028847202</v>
      </c>
      <c r="Y331" s="1394"/>
      <c r="Z331" s="1394"/>
    </row>
    <row r="332" spans="1:26" x14ac:dyDescent="0.2">
      <c r="A332" s="1345"/>
      <c r="B332" s="1427"/>
      <c r="C332" s="1346"/>
      <c r="D332" s="1440"/>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row>
    <row r="333" spans="1:26" x14ac:dyDescent="0.2">
      <c r="A333" s="1345" t="s">
        <v>1142</v>
      </c>
      <c r="B333" s="1427" t="s">
        <v>1143</v>
      </c>
      <c r="C333" s="1346" t="s">
        <v>1127</v>
      </c>
      <c r="D333" s="1440">
        <f t="shared" ref="D333:D362" si="1">D233</f>
        <v>60.759283054818411</v>
      </c>
      <c r="E333" s="1394">
        <v>50.317851621013297</v>
      </c>
      <c r="F333" s="1394">
        <v>47.402122126909198</v>
      </c>
      <c r="G333" s="1394">
        <v>33.768000000000001</v>
      </c>
      <c r="H333" s="1394">
        <v>37.712024360109197</v>
      </c>
      <c r="I333" s="1394">
        <v>57.0507646566167</v>
      </c>
      <c r="J333" s="1394">
        <v>59.394266666666702</v>
      </c>
      <c r="K333" s="1394">
        <v>63.106515059562199</v>
      </c>
      <c r="L333" s="1394">
        <v>68.731294603268495</v>
      </c>
      <c r="M333" s="1394">
        <v>67.251314512059807</v>
      </c>
      <c r="N333" s="1394">
        <v>60.0925975940279</v>
      </c>
      <c r="O333" s="1394">
        <v>51.304844042031597</v>
      </c>
      <c r="P333" s="1394"/>
      <c r="Q333" s="1394">
        <v>62.31</v>
      </c>
      <c r="R333" s="1394">
        <v>50.830289016638297</v>
      </c>
      <c r="S333" s="1394">
        <v>63.855461836212001</v>
      </c>
      <c r="T333" s="1394">
        <v>72.211830334724795</v>
      </c>
      <c r="U333" s="1394">
        <v>71.127036354782106</v>
      </c>
      <c r="V333" s="1394"/>
      <c r="W333" s="1394">
        <v>40.424786839565797</v>
      </c>
      <c r="X333" s="1394">
        <v>49.677796349812702</v>
      </c>
      <c r="Y333" s="1394"/>
      <c r="Z333" s="1394"/>
    </row>
    <row r="334" spans="1:26" x14ac:dyDescent="0.2">
      <c r="A334" s="1345" t="s">
        <v>1144</v>
      </c>
      <c r="B334" s="1427" t="s">
        <v>261</v>
      </c>
      <c r="C334" s="1346" t="s">
        <v>1127</v>
      </c>
      <c r="D334" s="1440">
        <f t="shared" si="1"/>
        <v>26.088478989799853</v>
      </c>
      <c r="E334" s="1394">
        <v>10.325699999999999</v>
      </c>
      <c r="F334" s="1394">
        <v>3.4671369220193098</v>
      </c>
      <c r="G334" s="1394">
        <v>3</v>
      </c>
      <c r="H334" s="1394">
        <v>0</v>
      </c>
      <c r="I334" s="1394">
        <v>14.3150473280693</v>
      </c>
      <c r="J334" s="1394">
        <v>19.767600000000002</v>
      </c>
      <c r="K334" s="1394">
        <v>22.604589874357199</v>
      </c>
      <c r="L334" s="1394">
        <v>23.401247158217998</v>
      </c>
      <c r="M334" s="1394">
        <v>25.1208889888809</v>
      </c>
      <c r="N334" s="1394">
        <v>25.364511916447299</v>
      </c>
      <c r="O334" s="1394">
        <v>14.5573</v>
      </c>
      <c r="P334" s="1394"/>
      <c r="Q334" s="1394">
        <v>6.9385714285714304</v>
      </c>
      <c r="R334" s="1394">
        <v>5.6204379562043805</v>
      </c>
      <c r="S334" s="1394">
        <v>12.102189781021901</v>
      </c>
      <c r="T334" s="1394">
        <v>17.9568427275155</v>
      </c>
      <c r="U334" s="1394">
        <v>16.479591836734699</v>
      </c>
      <c r="V334" s="1394"/>
      <c r="W334" s="1394">
        <v>12.186357305808601</v>
      </c>
      <c r="X334" s="1394">
        <v>0.14418181269427</v>
      </c>
      <c r="Y334" s="1394"/>
      <c r="Z334" s="1394"/>
    </row>
    <row r="335" spans="1:26" x14ac:dyDescent="0.2">
      <c r="A335" s="1345" t="s">
        <v>1145</v>
      </c>
      <c r="B335" s="1427" t="s">
        <v>216</v>
      </c>
      <c r="C335" s="1346" t="s">
        <v>1127</v>
      </c>
      <c r="D335" s="1440">
        <f t="shared" si="1"/>
        <v>17.604217967760945</v>
      </c>
      <c r="E335" s="1394">
        <v>20.134618287679999</v>
      </c>
      <c r="F335" s="1394">
        <v>19.427922407866799</v>
      </c>
      <c r="G335" s="1394">
        <v>16.033333333333299</v>
      </c>
      <c r="H335" s="1394">
        <v>19.2920238649276</v>
      </c>
      <c r="I335" s="1394">
        <v>19.3751845915674</v>
      </c>
      <c r="J335" s="1394">
        <v>19.066666666666698</v>
      </c>
      <c r="K335" s="1394">
        <v>18.8100634977433</v>
      </c>
      <c r="L335" s="1394">
        <v>21.285006798243501</v>
      </c>
      <c r="M335" s="1394">
        <v>19.599136030317201</v>
      </c>
      <c r="N335" s="1394">
        <v>20.074724584454501</v>
      </c>
      <c r="O335" s="1394">
        <v>18.243544042031601</v>
      </c>
      <c r="P335" s="1394"/>
      <c r="Q335" s="1394">
        <v>26</v>
      </c>
      <c r="R335" s="1394">
        <v>21.9237322899153</v>
      </c>
      <c r="S335" s="1394">
        <v>28.4671532846715</v>
      </c>
      <c r="T335" s="1394">
        <v>26.340079600304801</v>
      </c>
      <c r="U335" s="1394">
        <v>26.530612244897998</v>
      </c>
      <c r="V335" s="1394"/>
      <c r="W335" s="1394">
        <v>13.985684113144</v>
      </c>
      <c r="X335" s="1394">
        <v>24.3939782939309</v>
      </c>
      <c r="Y335" s="1394"/>
      <c r="Z335" s="1394"/>
    </row>
    <row r="336" spans="1:26" x14ac:dyDescent="0.2">
      <c r="A336" s="1345" t="s">
        <v>1146</v>
      </c>
      <c r="B336" s="1427" t="s">
        <v>218</v>
      </c>
      <c r="C336" s="1346" t="s">
        <v>1127</v>
      </c>
      <c r="D336" s="1440">
        <f t="shared" si="1"/>
        <v>15.002939925517646</v>
      </c>
      <c r="E336" s="1394">
        <v>19.857533333333301</v>
      </c>
      <c r="F336" s="1394">
        <v>24.507062797023</v>
      </c>
      <c r="G336" s="1394">
        <v>14.734666666666699</v>
      </c>
      <c r="H336" s="1394">
        <v>18.420000495181601</v>
      </c>
      <c r="I336" s="1394">
        <v>23.360532736979899</v>
      </c>
      <c r="J336" s="1394">
        <v>20.56</v>
      </c>
      <c r="K336" s="1394">
        <v>21.691861687461699</v>
      </c>
      <c r="L336" s="1394">
        <v>24.045040646806999</v>
      </c>
      <c r="M336" s="1394">
        <v>22.531289492861699</v>
      </c>
      <c r="N336" s="1394">
        <v>14.653361093126101</v>
      </c>
      <c r="O336" s="1394">
        <v>18.504000000000001</v>
      </c>
      <c r="P336" s="1394"/>
      <c r="Q336" s="1394">
        <v>29.371428571428599</v>
      </c>
      <c r="R336" s="1394">
        <v>23.286118770518499</v>
      </c>
      <c r="S336" s="1394">
        <v>23.286118770518499</v>
      </c>
      <c r="T336" s="1394">
        <v>27.914908006904401</v>
      </c>
      <c r="U336" s="1394">
        <v>28.116832273149502</v>
      </c>
      <c r="V336" s="1394"/>
      <c r="W336" s="1394">
        <v>14.2527454206132</v>
      </c>
      <c r="X336" s="1394">
        <v>25.139636243187599</v>
      </c>
      <c r="Y336" s="1394"/>
      <c r="Z336" s="1394"/>
    </row>
    <row r="337" spans="1:26" x14ac:dyDescent="0.2">
      <c r="A337" s="1345" t="s">
        <v>1147</v>
      </c>
      <c r="B337" s="1427" t="s">
        <v>770</v>
      </c>
      <c r="C337" s="1346" t="s">
        <v>1127</v>
      </c>
      <c r="D337" s="1440">
        <f t="shared" si="1"/>
        <v>2.063646171739971</v>
      </c>
      <c r="E337" s="1394">
        <v>0</v>
      </c>
      <c r="F337" s="1394">
        <v>0</v>
      </c>
      <c r="G337" s="1394">
        <v>0</v>
      </c>
      <c r="H337" s="1394">
        <v>0</v>
      </c>
      <c r="I337" s="1394">
        <v>0</v>
      </c>
      <c r="J337" s="1394">
        <v>0</v>
      </c>
      <c r="K337" s="1394">
        <v>0</v>
      </c>
      <c r="L337" s="1394">
        <v>0</v>
      </c>
      <c r="M337" s="1394">
        <v>0</v>
      </c>
      <c r="N337" s="1394">
        <v>0</v>
      </c>
      <c r="O337" s="1394">
        <v>0</v>
      </c>
      <c r="P337" s="1394"/>
      <c r="Q337" s="1394">
        <v>0</v>
      </c>
      <c r="R337" s="1394">
        <v>0</v>
      </c>
      <c r="S337" s="1394">
        <v>0</v>
      </c>
      <c r="T337" s="1394">
        <v>0</v>
      </c>
      <c r="U337" s="1394">
        <v>0</v>
      </c>
      <c r="V337" s="1394"/>
      <c r="W337" s="1394">
        <v>0</v>
      </c>
      <c r="X337" s="1394">
        <v>0</v>
      </c>
      <c r="Y337" s="1394"/>
      <c r="Z337" s="1394"/>
    </row>
    <row r="338" spans="1:26" x14ac:dyDescent="0.2">
      <c r="A338" s="1345" t="s">
        <v>1148</v>
      </c>
      <c r="B338" s="1427" t="s">
        <v>1149</v>
      </c>
      <c r="C338" s="1346" t="s">
        <v>1127</v>
      </c>
      <c r="D338" s="1440">
        <f t="shared" si="1"/>
        <v>10.506750392521319</v>
      </c>
      <c r="E338" s="1394">
        <v>12.7948633333333</v>
      </c>
      <c r="F338" s="1394">
        <v>12.785964073288101</v>
      </c>
      <c r="G338" s="1394">
        <v>11.5963333333333</v>
      </c>
      <c r="H338" s="1394">
        <v>8.0554486299529398</v>
      </c>
      <c r="I338" s="1394">
        <v>14.2687121851528</v>
      </c>
      <c r="J338" s="1394">
        <v>13.0833292167101</v>
      </c>
      <c r="K338" s="1394">
        <v>12.700935812734</v>
      </c>
      <c r="L338" s="1394">
        <v>10.2166994030397</v>
      </c>
      <c r="M338" s="1394">
        <v>10.4982108538946</v>
      </c>
      <c r="N338" s="1394">
        <v>9.48901592704925</v>
      </c>
      <c r="O338" s="1394">
        <v>15.345000000000001</v>
      </c>
      <c r="P338" s="1394"/>
      <c r="Q338" s="1394">
        <v>16.441071428571401</v>
      </c>
      <c r="R338" s="1394">
        <v>15.200453735971401</v>
      </c>
      <c r="S338" s="1394">
        <v>15.200453735971401</v>
      </c>
      <c r="T338" s="1394">
        <v>16.1983199352299</v>
      </c>
      <c r="U338" s="1394">
        <v>16.213227969583301</v>
      </c>
      <c r="V338" s="1394"/>
      <c r="W338" s="1394">
        <v>24.759813737594701</v>
      </c>
      <c r="X338" s="1394">
        <v>9.6861361857681096</v>
      </c>
      <c r="Y338" s="1394"/>
      <c r="Z338" s="1394"/>
    </row>
    <row r="339" spans="1:26" x14ac:dyDescent="0.2">
      <c r="A339" s="1345" t="s">
        <v>1150</v>
      </c>
      <c r="B339" s="1427" t="s">
        <v>223</v>
      </c>
      <c r="C339" s="1346" t="s">
        <v>1127</v>
      </c>
      <c r="D339" s="1440">
        <f t="shared" si="1"/>
        <v>3.3035211320583859</v>
      </c>
      <c r="E339" s="1394">
        <v>0</v>
      </c>
      <c r="F339" s="1394">
        <v>0</v>
      </c>
      <c r="G339" s="1394">
        <v>0</v>
      </c>
      <c r="H339" s="1394">
        <v>0</v>
      </c>
      <c r="I339" s="1394">
        <v>0</v>
      </c>
      <c r="J339" s="1394">
        <v>0</v>
      </c>
      <c r="K339" s="1394">
        <v>0</v>
      </c>
      <c r="L339" s="1394">
        <v>0</v>
      </c>
      <c r="M339" s="1394">
        <v>0</v>
      </c>
      <c r="N339" s="1394">
        <v>0</v>
      </c>
      <c r="O339" s="1394">
        <v>0</v>
      </c>
      <c r="P339" s="1394"/>
      <c r="Q339" s="1394">
        <v>0</v>
      </c>
      <c r="R339" s="1394">
        <v>0</v>
      </c>
      <c r="S339" s="1394">
        <v>0</v>
      </c>
      <c r="T339" s="1394">
        <v>0</v>
      </c>
      <c r="U339" s="1394">
        <v>0</v>
      </c>
      <c r="V339" s="1394"/>
      <c r="W339" s="1394">
        <v>6.2502261716647203</v>
      </c>
      <c r="X339" s="1394">
        <v>0</v>
      </c>
      <c r="Y339" s="1394"/>
      <c r="Z339" s="1394"/>
    </row>
    <row r="340" spans="1:26" x14ac:dyDescent="0.2">
      <c r="A340" s="1345" t="s">
        <v>1151</v>
      </c>
      <c r="B340" s="1427" t="s">
        <v>224</v>
      </c>
      <c r="C340" s="1346" t="s">
        <v>1127</v>
      </c>
      <c r="D340" s="1440">
        <f t="shared" si="1"/>
        <v>7.2032292604629324</v>
      </c>
      <c r="E340" s="1394">
        <v>9.8850133333333297</v>
      </c>
      <c r="F340" s="1394">
        <v>10.222554323460001</v>
      </c>
      <c r="G340" s="1394">
        <v>8.5333333333333297</v>
      </c>
      <c r="H340" s="1394">
        <v>6.8635492827127198</v>
      </c>
      <c r="I340" s="1394">
        <v>10.1628314360951</v>
      </c>
      <c r="J340" s="1394">
        <v>8.6688988043673607</v>
      </c>
      <c r="K340" s="1394">
        <v>8.3724064982706992</v>
      </c>
      <c r="L340" s="1394">
        <v>6.9958390302647402</v>
      </c>
      <c r="M340" s="1394">
        <v>7.1847369833017298</v>
      </c>
      <c r="N340" s="1394">
        <v>5.8459816856725197</v>
      </c>
      <c r="O340" s="1394">
        <v>10.24</v>
      </c>
      <c r="P340" s="1394"/>
      <c r="Q340" s="1394">
        <v>10.9714285714286</v>
      </c>
      <c r="R340" s="1394">
        <v>9.5864099916909495</v>
      </c>
      <c r="S340" s="1394">
        <v>9.5864099916909495</v>
      </c>
      <c r="T340" s="1394">
        <v>9.9031710900362704</v>
      </c>
      <c r="U340" s="1394">
        <v>9.9122854188930596</v>
      </c>
      <c r="V340" s="1394"/>
      <c r="W340" s="1394">
        <v>13.5139412545994</v>
      </c>
      <c r="X340" s="1394">
        <v>6.6325382501412395</v>
      </c>
      <c r="Y340" s="1394"/>
      <c r="Z340" s="1394"/>
    </row>
    <row r="341" spans="1:26" x14ac:dyDescent="0.2">
      <c r="A341" s="1345" t="s">
        <v>1152</v>
      </c>
      <c r="B341" s="1427" t="s">
        <v>227</v>
      </c>
      <c r="C341" s="1346" t="s">
        <v>1127</v>
      </c>
      <c r="D341" s="1440">
        <f t="shared" si="1"/>
        <v>0</v>
      </c>
      <c r="E341" s="1394">
        <v>2.90985</v>
      </c>
      <c r="F341" s="1394">
        <v>2.5634097498281401</v>
      </c>
      <c r="G341" s="1394">
        <v>3.0630000000000002</v>
      </c>
      <c r="H341" s="1394">
        <v>1.19189934724022</v>
      </c>
      <c r="I341" s="1394">
        <v>4.10588074905775</v>
      </c>
      <c r="J341" s="1394">
        <v>4.4144304123427203</v>
      </c>
      <c r="K341" s="1394">
        <v>4.3285293144633101</v>
      </c>
      <c r="L341" s="1394">
        <v>3.2208603727749701</v>
      </c>
      <c r="M341" s="1394">
        <v>3.3134738705929001</v>
      </c>
      <c r="N341" s="1394">
        <v>3.6430342413767303</v>
      </c>
      <c r="O341" s="1394">
        <v>5.1050000000000004</v>
      </c>
      <c r="P341" s="1394"/>
      <c r="Q341" s="1394">
        <v>5.4696428571428601</v>
      </c>
      <c r="R341" s="1394">
        <v>5.6140437442804902</v>
      </c>
      <c r="S341" s="1394">
        <v>5.6140437442804902</v>
      </c>
      <c r="T341" s="1394">
        <v>6.2951488451936601</v>
      </c>
      <c r="U341" s="1394">
        <v>6.3009425506902002</v>
      </c>
      <c r="V341" s="1394"/>
      <c r="W341" s="1394">
        <v>4.99564631133057</v>
      </c>
      <c r="X341" s="1394">
        <v>3.0535979356268501</v>
      </c>
      <c r="Y341" s="1394"/>
      <c r="Z341" s="1394"/>
    </row>
    <row r="342" spans="1:26" x14ac:dyDescent="0.2">
      <c r="A342" s="1345" t="s">
        <v>1153</v>
      </c>
      <c r="B342" s="1427" t="s">
        <v>1154</v>
      </c>
      <c r="C342" s="1346" t="s">
        <v>1127</v>
      </c>
      <c r="D342" s="1440">
        <f t="shared" si="1"/>
        <v>110.6245072288349</v>
      </c>
      <c r="E342" s="1394">
        <v>57.460629509005798</v>
      </c>
      <c r="F342" s="1394">
        <v>81.551020618671402</v>
      </c>
      <c r="G342" s="1394">
        <v>61.5541281380413</v>
      </c>
      <c r="H342" s="1394">
        <v>56.040984651802098</v>
      </c>
      <c r="I342" s="1394">
        <v>56.590923032431</v>
      </c>
      <c r="J342" s="1394">
        <v>68.619704112739996</v>
      </c>
      <c r="K342" s="1394">
        <v>71.141215597997203</v>
      </c>
      <c r="L342" s="1394">
        <v>52.652714808411901</v>
      </c>
      <c r="M342" s="1394">
        <v>53.326275039895798</v>
      </c>
      <c r="N342" s="1394">
        <v>51.739127893438599</v>
      </c>
      <c r="O342" s="1394">
        <v>41.861008885239599</v>
      </c>
      <c r="P342" s="1394"/>
      <c r="Q342" s="1394">
        <v>78.917819187995704</v>
      </c>
      <c r="R342" s="1394">
        <v>98.555666627708803</v>
      </c>
      <c r="S342" s="1394">
        <v>102.77643246641099</v>
      </c>
      <c r="T342" s="1394">
        <v>89.126668881961194</v>
      </c>
      <c r="U342" s="1394">
        <v>84.5844290057113</v>
      </c>
      <c r="V342" s="1394"/>
      <c r="W342" s="1394">
        <v>56.788530266002198</v>
      </c>
      <c r="X342" s="1394">
        <v>162.15752072499399</v>
      </c>
      <c r="Y342" s="1394"/>
      <c r="Z342" s="1394"/>
    </row>
    <row r="343" spans="1:26" x14ac:dyDescent="0.2">
      <c r="A343" s="1345" t="s">
        <v>1155</v>
      </c>
      <c r="B343" s="1427" t="s">
        <v>230</v>
      </c>
      <c r="C343" s="1346" t="s">
        <v>1127</v>
      </c>
      <c r="D343" s="1440">
        <f t="shared" si="1"/>
        <v>23.720496644378152</v>
      </c>
      <c r="E343" s="1394">
        <v>29.296666666666699</v>
      </c>
      <c r="F343" s="1394">
        <v>34.419762680455499</v>
      </c>
      <c r="G343" s="1394">
        <v>26.5</v>
      </c>
      <c r="H343" s="1394">
        <v>25.277113201107799</v>
      </c>
      <c r="I343" s="1394">
        <v>25.861767479956601</v>
      </c>
      <c r="J343" s="1394">
        <v>31.041</v>
      </c>
      <c r="K343" s="1394">
        <v>32.181362579071902</v>
      </c>
      <c r="L343" s="1394">
        <v>22.159067464015099</v>
      </c>
      <c r="M343" s="1394">
        <v>21.692029696776</v>
      </c>
      <c r="N343" s="1394">
        <v>18.7123586892045</v>
      </c>
      <c r="O343" s="1394">
        <v>21.982721428568201</v>
      </c>
      <c r="P343" s="1394"/>
      <c r="Q343" s="1394">
        <v>38.767857142857103</v>
      </c>
      <c r="R343" s="1394">
        <v>55.137680650125503</v>
      </c>
      <c r="S343" s="1394">
        <v>55.137680650125603</v>
      </c>
      <c r="T343" s="1394">
        <v>42.795691360537901</v>
      </c>
      <c r="U343" s="1394">
        <v>42.8720826449388</v>
      </c>
      <c r="V343" s="1394"/>
      <c r="W343" s="1394">
        <v>32.133912580940603</v>
      </c>
      <c r="X343" s="1394">
        <v>31.363489936986699</v>
      </c>
      <c r="Y343" s="1394"/>
      <c r="Z343" s="1394"/>
    </row>
    <row r="344" spans="1:26" x14ac:dyDescent="0.2">
      <c r="A344" s="1345" t="s">
        <v>1156</v>
      </c>
      <c r="B344" s="1427" t="s">
        <v>613</v>
      </c>
      <c r="C344" s="1346" t="s">
        <v>1127</v>
      </c>
      <c r="D344" s="1440">
        <f t="shared" si="1"/>
        <v>10.938069901761029</v>
      </c>
      <c r="E344" s="1394">
        <v>18.2327044752227</v>
      </c>
      <c r="F344" s="1394">
        <v>34.739512381902898</v>
      </c>
      <c r="G344" s="1394">
        <v>23.823285158421299</v>
      </c>
      <c r="H344" s="1394">
        <v>24.445979617702701</v>
      </c>
      <c r="I344" s="1394">
        <v>19.7692819652951</v>
      </c>
      <c r="J344" s="1394">
        <v>20.752774618622102</v>
      </c>
      <c r="K344" s="1394">
        <v>20.882805840698399</v>
      </c>
      <c r="L344" s="1394">
        <v>17.523620785565999</v>
      </c>
      <c r="M344" s="1394">
        <v>16.227992295886299</v>
      </c>
      <c r="N344" s="1394">
        <v>17.596079656250499</v>
      </c>
      <c r="O344" s="1394">
        <v>10.805135111111101</v>
      </c>
      <c r="P344" s="1394"/>
      <c r="Q344" s="1394">
        <v>21.992555687907199</v>
      </c>
      <c r="R344" s="1394">
        <v>27.8361487188095</v>
      </c>
      <c r="S344" s="1394">
        <v>27.8361487188095</v>
      </c>
      <c r="T344" s="1394">
        <v>23.929626503231098</v>
      </c>
      <c r="U344" s="1394">
        <v>20.846296036196801</v>
      </c>
      <c r="V344" s="1394"/>
      <c r="W344" s="1394">
        <v>18.4662711882225</v>
      </c>
      <c r="X344" s="1394">
        <v>20.0956480741572</v>
      </c>
      <c r="Y344" s="1394"/>
      <c r="Z344" s="1394"/>
    </row>
    <row r="345" spans="1:26" x14ac:dyDescent="0.2">
      <c r="A345" s="1345" t="s">
        <v>1157</v>
      </c>
      <c r="B345" s="1427" t="s">
        <v>236</v>
      </c>
      <c r="C345" s="1346" t="s">
        <v>1127</v>
      </c>
      <c r="D345" s="1440">
        <f t="shared" si="1"/>
        <v>56.174949871095322</v>
      </c>
      <c r="E345" s="1394">
        <v>0</v>
      </c>
      <c r="F345" s="1394">
        <v>0</v>
      </c>
      <c r="G345" s="1394">
        <v>0</v>
      </c>
      <c r="H345" s="1394">
        <v>0</v>
      </c>
      <c r="I345" s="1394">
        <v>0</v>
      </c>
      <c r="J345" s="1394">
        <v>0</v>
      </c>
      <c r="K345" s="1394">
        <v>3.0726683168625102</v>
      </c>
      <c r="L345" s="1394">
        <v>0</v>
      </c>
      <c r="M345" s="1394">
        <v>2.0215884196503802</v>
      </c>
      <c r="N345" s="1394">
        <v>2.4141929827779798</v>
      </c>
      <c r="O345" s="1394">
        <v>0</v>
      </c>
      <c r="P345" s="1394"/>
      <c r="Q345" s="1394">
        <v>0</v>
      </c>
      <c r="R345" s="1394">
        <v>0</v>
      </c>
      <c r="S345" s="1394">
        <v>0</v>
      </c>
      <c r="T345" s="1394">
        <v>0</v>
      </c>
      <c r="U345" s="1394">
        <v>0</v>
      </c>
      <c r="V345" s="1394"/>
      <c r="W345" s="1394">
        <v>0</v>
      </c>
      <c r="X345" s="1394">
        <v>94.8956630549457</v>
      </c>
      <c r="Y345" s="1394"/>
      <c r="Z345" s="1394"/>
    </row>
    <row r="346" spans="1:26" x14ac:dyDescent="0.2">
      <c r="A346" s="1345" t="s">
        <v>1158</v>
      </c>
      <c r="B346" s="1427" t="s">
        <v>239</v>
      </c>
      <c r="C346" s="1346" t="s">
        <v>1127</v>
      </c>
      <c r="D346" s="1440">
        <f t="shared" si="1"/>
        <v>19.790990811600391</v>
      </c>
      <c r="E346" s="1394">
        <v>9.9312583671164401</v>
      </c>
      <c r="F346" s="1394">
        <v>12.391745556312999</v>
      </c>
      <c r="G346" s="1394">
        <v>11.23084297962</v>
      </c>
      <c r="H346" s="1394">
        <v>6.31789183299162</v>
      </c>
      <c r="I346" s="1394">
        <v>10.959873587179301</v>
      </c>
      <c r="J346" s="1394">
        <v>16.825929494117801</v>
      </c>
      <c r="K346" s="1394">
        <v>15.0043788613643</v>
      </c>
      <c r="L346" s="1394">
        <v>12.9700265588307</v>
      </c>
      <c r="M346" s="1394">
        <v>13.384664627583099</v>
      </c>
      <c r="N346" s="1394">
        <v>13.0164965652056</v>
      </c>
      <c r="O346" s="1394">
        <v>9.0731523455603007</v>
      </c>
      <c r="P346" s="1394"/>
      <c r="Q346" s="1394">
        <v>18.157406357231299</v>
      </c>
      <c r="R346" s="1394">
        <v>15.581837258773801</v>
      </c>
      <c r="S346" s="1394">
        <v>19.802603097475501</v>
      </c>
      <c r="T346" s="1394">
        <v>22.401351018192202</v>
      </c>
      <c r="U346" s="1394">
        <v>20.866050324575699</v>
      </c>
      <c r="V346" s="1394"/>
      <c r="W346" s="1394">
        <v>6.1883464968390101</v>
      </c>
      <c r="X346" s="1394">
        <v>15.8027196589045</v>
      </c>
      <c r="Y346" s="1394"/>
      <c r="Z346" s="1394"/>
    </row>
    <row r="347" spans="1:26" x14ac:dyDescent="0.2">
      <c r="A347" s="1345" t="s">
        <v>1159</v>
      </c>
      <c r="B347" s="1427" t="s">
        <v>959</v>
      </c>
      <c r="C347" s="1346" t="s">
        <v>1127</v>
      </c>
      <c r="D347" s="1440">
        <f t="shared" si="1"/>
        <v>67.06147978621739</v>
      </c>
      <c r="E347" s="1394">
        <v>100.513849094558</v>
      </c>
      <c r="F347" s="1394">
        <v>80.6255624103202</v>
      </c>
      <c r="G347" s="1394">
        <v>106.29344279395799</v>
      </c>
      <c r="H347" s="1394">
        <v>39.948510744721702</v>
      </c>
      <c r="I347" s="1394">
        <v>85.480430007914705</v>
      </c>
      <c r="J347" s="1394">
        <v>113.577445329496</v>
      </c>
      <c r="K347" s="1394">
        <v>118.396609376559</v>
      </c>
      <c r="L347" s="1394">
        <v>109.11258194763001</v>
      </c>
      <c r="M347" s="1394">
        <v>110.470536446803</v>
      </c>
      <c r="N347" s="1394">
        <v>102.152571943065</v>
      </c>
      <c r="O347" s="1394">
        <v>69.184516155884694</v>
      </c>
      <c r="P347" s="1394"/>
      <c r="Q347" s="1394">
        <v>136.91167423338999</v>
      </c>
      <c r="R347" s="1394">
        <v>110.947076135609</v>
      </c>
      <c r="S347" s="1394">
        <v>136.60448011127099</v>
      </c>
      <c r="T347" s="1394">
        <v>120.87452660830201</v>
      </c>
      <c r="U347" s="1394">
        <v>115.700700580942</v>
      </c>
      <c r="V347" s="1394"/>
      <c r="W347" s="1394">
        <v>117.591630545353</v>
      </c>
      <c r="X347" s="1394">
        <v>121.96965895277501</v>
      </c>
      <c r="Y347" s="1394"/>
      <c r="Z347" s="1394"/>
    </row>
    <row r="348" spans="1:26" x14ac:dyDescent="0.2">
      <c r="A348" s="1345" t="s">
        <v>1160</v>
      </c>
      <c r="B348" s="1427" t="s">
        <v>960</v>
      </c>
      <c r="C348" s="1346" t="s">
        <v>1127</v>
      </c>
      <c r="D348" s="1440">
        <f t="shared" si="1"/>
        <v>29.575774354632625</v>
      </c>
      <c r="E348" s="1394">
        <v>61.418515333002297</v>
      </c>
      <c r="F348" s="1394">
        <v>58.584503345973097</v>
      </c>
      <c r="G348" s="1394">
        <v>56.282401053365703</v>
      </c>
      <c r="H348" s="1394">
        <v>28.316566928807401</v>
      </c>
      <c r="I348" s="1394">
        <v>47.284531534196901</v>
      </c>
      <c r="J348" s="1394">
        <v>57.935327317093503</v>
      </c>
      <c r="K348" s="1394">
        <v>62.034749632326601</v>
      </c>
      <c r="L348" s="1394">
        <v>53.925057790378901</v>
      </c>
      <c r="M348" s="1394">
        <v>56.699401163810101</v>
      </c>
      <c r="N348" s="1394">
        <v>47.1562476980206</v>
      </c>
      <c r="O348" s="1394">
        <v>32.764910096168101</v>
      </c>
      <c r="P348" s="1394"/>
      <c r="Q348" s="1394">
        <v>64.236141373153899</v>
      </c>
      <c r="R348" s="1394">
        <v>64.385957650555895</v>
      </c>
      <c r="S348" s="1394">
        <v>90.842142860786097</v>
      </c>
      <c r="T348" s="1394">
        <v>60.256565170130202</v>
      </c>
      <c r="U348" s="1394">
        <v>60.692434874784702</v>
      </c>
      <c r="V348" s="1394"/>
      <c r="W348" s="1394">
        <v>105.752682765785</v>
      </c>
      <c r="X348" s="1394">
        <v>34.086677382810699</v>
      </c>
      <c r="Y348" s="1394"/>
      <c r="Z348" s="1394"/>
    </row>
    <row r="349" spans="1:26" x14ac:dyDescent="0.2">
      <c r="A349" s="1345" t="s">
        <v>1161</v>
      </c>
      <c r="B349" s="1427" t="s">
        <v>961</v>
      </c>
      <c r="C349" s="1346" t="s">
        <v>1127</v>
      </c>
      <c r="D349" s="1440">
        <f t="shared" si="1"/>
        <v>37.485705431584762</v>
      </c>
      <c r="E349" s="1394">
        <v>39.095333761555999</v>
      </c>
      <c r="F349" s="1394">
        <v>22.138751159512399</v>
      </c>
      <c r="G349" s="1394">
        <v>50.011041740592702</v>
      </c>
      <c r="H349" s="1394">
        <v>11.6319438159142</v>
      </c>
      <c r="I349" s="1394">
        <v>38.593095454289802</v>
      </c>
      <c r="J349" s="1394">
        <v>56.310865126535298</v>
      </c>
      <c r="K349" s="1394">
        <v>57.471901557048199</v>
      </c>
      <c r="L349" s="1394">
        <v>56.1404018462202</v>
      </c>
      <c r="M349" s="1394">
        <v>54.549934044700699</v>
      </c>
      <c r="N349" s="1394">
        <v>56.095268787178199</v>
      </c>
      <c r="O349" s="1394">
        <v>36.8364508849007</v>
      </c>
      <c r="P349" s="1394"/>
      <c r="Q349" s="1394">
        <v>73.650517472808602</v>
      </c>
      <c r="R349" s="1394">
        <v>46.5611184850531</v>
      </c>
      <c r="S349" s="1394">
        <v>46.5611184850531</v>
      </c>
      <c r="T349" s="1394">
        <v>61.543095290342599</v>
      </c>
      <c r="U349" s="1394">
        <v>55.859628139153102</v>
      </c>
      <c r="V349" s="1394"/>
      <c r="W349" s="1394">
        <v>12.171691958241899</v>
      </c>
      <c r="X349" s="1394">
        <v>87.882981569964301</v>
      </c>
      <c r="Y349" s="1394"/>
      <c r="Z349" s="1394"/>
    </row>
    <row r="350" spans="1:26" x14ac:dyDescent="0.2">
      <c r="A350" s="1345" t="s">
        <v>1162</v>
      </c>
      <c r="B350" s="1427" t="s">
        <v>962</v>
      </c>
      <c r="C350" s="1346" t="s">
        <v>1127</v>
      </c>
      <c r="D350" s="1440">
        <f t="shared" si="1"/>
        <v>73.137821513744584</v>
      </c>
      <c r="E350" s="1394">
        <v>174.020554719172</v>
      </c>
      <c r="F350" s="1394">
        <v>243.00203677626399</v>
      </c>
      <c r="G350" s="1394">
        <v>186.240557872604</v>
      </c>
      <c r="H350" s="1394">
        <v>192.91864322800001</v>
      </c>
      <c r="I350" s="1394">
        <v>205.69439644824601</v>
      </c>
      <c r="J350" s="1394">
        <v>186.28199889589499</v>
      </c>
      <c r="K350" s="1394">
        <v>215.082073684905</v>
      </c>
      <c r="L350" s="1394">
        <v>190.94405588307899</v>
      </c>
      <c r="M350" s="1394">
        <v>181.27376710076399</v>
      </c>
      <c r="N350" s="1394">
        <v>164.66071172704201</v>
      </c>
      <c r="O350" s="1394">
        <v>176.007431814726</v>
      </c>
      <c r="P350" s="1394"/>
      <c r="Q350" s="1394">
        <v>200.11433261187699</v>
      </c>
      <c r="R350" s="1394">
        <v>258.750437704945</v>
      </c>
      <c r="S350" s="1394">
        <v>259.440686696787</v>
      </c>
      <c r="T350" s="1394">
        <v>211.748851627439</v>
      </c>
      <c r="U350" s="1394">
        <v>209.63710354912101</v>
      </c>
      <c r="V350" s="1394"/>
      <c r="W350" s="1394">
        <v>105.75829195177499</v>
      </c>
      <c r="X350" s="1394">
        <v>193.52112373895901</v>
      </c>
      <c r="Y350" s="1394"/>
      <c r="Z350" s="1394"/>
    </row>
    <row r="351" spans="1:26" x14ac:dyDescent="0.2">
      <c r="A351" s="1345" t="s">
        <v>1163</v>
      </c>
      <c r="B351" s="1427" t="s">
        <v>618</v>
      </c>
      <c r="C351" s="1346" t="s">
        <v>1127</v>
      </c>
      <c r="D351" s="1440">
        <f t="shared" si="1"/>
        <v>0</v>
      </c>
      <c r="E351" s="1394">
        <v>0</v>
      </c>
      <c r="F351" s="1394">
        <v>14.9445556983591</v>
      </c>
      <c r="G351" s="1394">
        <v>11.911642579210699</v>
      </c>
      <c r="H351" s="1394">
        <v>7.7622435620593802</v>
      </c>
      <c r="I351" s="1394">
        <v>9.8846409826475803</v>
      </c>
      <c r="J351" s="1394">
        <v>10.3479151260987</v>
      </c>
      <c r="K351" s="1394">
        <v>10.4414029203492</v>
      </c>
      <c r="L351" s="1394">
        <v>8.7618103927830191</v>
      </c>
      <c r="M351" s="1394">
        <v>8.1139961479431708</v>
      </c>
      <c r="N351" s="1394">
        <v>8.7980398281252192</v>
      </c>
      <c r="O351" s="1394">
        <v>5.4025675555555601</v>
      </c>
      <c r="P351" s="1394"/>
      <c r="Q351" s="1394">
        <v>10.9962778439536</v>
      </c>
      <c r="R351" s="1394">
        <v>13.918074359404701</v>
      </c>
      <c r="S351" s="1394">
        <v>13.918074359404701</v>
      </c>
      <c r="T351" s="1394">
        <v>11.964813251615601</v>
      </c>
      <c r="U351" s="1394">
        <v>10.4231480180984</v>
      </c>
      <c r="V351" s="1394"/>
      <c r="W351" s="1394">
        <v>0</v>
      </c>
      <c r="X351" s="1394">
        <v>0</v>
      </c>
      <c r="Y351" s="1394"/>
      <c r="Z351" s="1394"/>
    </row>
    <row r="352" spans="1:26" x14ac:dyDescent="0.2">
      <c r="A352" s="1345" t="s">
        <v>1164</v>
      </c>
      <c r="B352" s="1427" t="s">
        <v>619</v>
      </c>
      <c r="C352" s="1346" t="s">
        <v>1127</v>
      </c>
      <c r="D352" s="1440">
        <f t="shared" si="1"/>
        <v>5.1848799529671394</v>
      </c>
      <c r="E352" s="1394">
        <v>9.31055471917165</v>
      </c>
      <c r="F352" s="1394">
        <v>7.7448409726956395</v>
      </c>
      <c r="G352" s="1394">
        <v>10.5289152933937</v>
      </c>
      <c r="H352" s="1394">
        <v>4.7384188747436999</v>
      </c>
      <c r="I352" s="1394">
        <v>8.2199051903844307</v>
      </c>
      <c r="J352" s="1394">
        <v>12.134083769796501</v>
      </c>
      <c r="K352" s="1394">
        <v>11.253284146023301</v>
      </c>
      <c r="L352" s="1394">
        <v>9.7275199191229795</v>
      </c>
      <c r="M352" s="1394">
        <v>10.0384984706873</v>
      </c>
      <c r="N352" s="1394">
        <v>9.7623724239041998</v>
      </c>
      <c r="O352" s="1394">
        <v>6.80486425917025</v>
      </c>
      <c r="P352" s="1394"/>
      <c r="Q352" s="1394">
        <v>13.6180547679235</v>
      </c>
      <c r="R352" s="1394">
        <v>11.6863779440803</v>
      </c>
      <c r="S352" s="1394">
        <v>12.3766269359223</v>
      </c>
      <c r="T352" s="1394">
        <v>12.000723759745799</v>
      </c>
      <c r="U352" s="1394">
        <v>11.178241245308399</v>
      </c>
      <c r="V352" s="1394"/>
      <c r="W352" s="1394">
        <v>14.6473630951927</v>
      </c>
      <c r="X352" s="1394">
        <v>11.8520397441784</v>
      </c>
      <c r="Y352" s="1394"/>
      <c r="Z352" s="1394"/>
    </row>
    <row r="353" spans="1:26" x14ac:dyDescent="0.2">
      <c r="A353" s="1345" t="s">
        <v>1165</v>
      </c>
      <c r="B353" s="1427" t="s">
        <v>711</v>
      </c>
      <c r="C353" s="1346" t="s">
        <v>1127</v>
      </c>
      <c r="D353" s="1440">
        <f t="shared" si="1"/>
        <v>67.952941560777447</v>
      </c>
      <c r="E353" s="1394">
        <v>164.71</v>
      </c>
      <c r="F353" s="1394">
        <v>220.31264010520999</v>
      </c>
      <c r="G353" s="1394">
        <v>163.80000000000001</v>
      </c>
      <c r="H353" s="1394">
        <v>180.41798079119701</v>
      </c>
      <c r="I353" s="1394">
        <v>187.58985027521399</v>
      </c>
      <c r="J353" s="1394">
        <v>163.80000000000001</v>
      </c>
      <c r="K353" s="1394">
        <v>193.38738661853299</v>
      </c>
      <c r="L353" s="1394">
        <v>172.45472557117299</v>
      </c>
      <c r="M353" s="1394">
        <v>163.121272482134</v>
      </c>
      <c r="N353" s="1394">
        <v>146.10029947501201</v>
      </c>
      <c r="O353" s="1394">
        <v>163.80000000000001</v>
      </c>
      <c r="P353" s="1394"/>
      <c r="Q353" s="1394">
        <v>175.5</v>
      </c>
      <c r="R353" s="1394">
        <v>233.14598540146</v>
      </c>
      <c r="S353" s="1394">
        <v>233.14598540146</v>
      </c>
      <c r="T353" s="1394">
        <v>187.783314616078</v>
      </c>
      <c r="U353" s="1394">
        <v>188.03571428571399</v>
      </c>
      <c r="V353" s="1394"/>
      <c r="W353" s="1394">
        <v>91.110928856582206</v>
      </c>
      <c r="X353" s="1394">
        <v>181.669083994781</v>
      </c>
      <c r="Y353" s="1394"/>
      <c r="Z353" s="1394"/>
    </row>
    <row r="354" spans="1:26" x14ac:dyDescent="0.2">
      <c r="A354" s="1345" t="s">
        <v>1166</v>
      </c>
      <c r="B354" s="1427" t="s">
        <v>712</v>
      </c>
      <c r="C354" s="1346" t="s">
        <v>1127</v>
      </c>
      <c r="D354" s="1440">
        <f t="shared" si="1"/>
        <v>21.707996735666537</v>
      </c>
      <c r="E354" s="1394">
        <v>31.0617439275821</v>
      </c>
      <c r="F354" s="1394">
        <v>35.6193008336855</v>
      </c>
      <c r="G354" s="1394">
        <v>34.759878773842303</v>
      </c>
      <c r="H354" s="1394">
        <v>41.296127822747501</v>
      </c>
      <c r="I354" s="1394">
        <v>33.413050391219898</v>
      </c>
      <c r="J354" s="1394">
        <v>43.890931445542101</v>
      </c>
      <c r="K354" s="1394">
        <v>35.793699314149201</v>
      </c>
      <c r="L354" s="1394">
        <v>24.3328151017406</v>
      </c>
      <c r="M354" s="1394">
        <v>25.083207885476899</v>
      </c>
      <c r="N354" s="1394">
        <v>27.538693597152101</v>
      </c>
      <c r="O354" s="1394">
        <v>30.4046394524124</v>
      </c>
      <c r="P354" s="1394"/>
      <c r="Q354" s="1394">
        <v>45.556652465760898</v>
      </c>
      <c r="R354" s="1394">
        <v>21.9343065693431</v>
      </c>
      <c r="S354" s="1394">
        <v>23.876098428806799</v>
      </c>
      <c r="T354" s="1394">
        <v>47.366683107452097</v>
      </c>
      <c r="U354" s="1394">
        <v>43.4555426117115</v>
      </c>
      <c r="V354" s="1394"/>
      <c r="W354" s="1394">
        <v>10.929788565589</v>
      </c>
      <c r="X354" s="1394">
        <v>39.378754177861502</v>
      </c>
      <c r="Y354" s="1394"/>
      <c r="Z354" s="1394"/>
    </row>
    <row r="355" spans="1:26" x14ac:dyDescent="0.2">
      <c r="A355" s="1345" t="s">
        <v>1167</v>
      </c>
      <c r="B355" s="1427" t="s">
        <v>963</v>
      </c>
      <c r="C355" s="1346" t="s">
        <v>1127</v>
      </c>
      <c r="D355" s="1440">
        <f t="shared" si="1"/>
        <v>442.21983675570965</v>
      </c>
      <c r="E355" s="1394">
        <v>485.48978211578498</v>
      </c>
      <c r="F355" s="1394">
        <v>511.192385530097</v>
      </c>
      <c r="G355" s="1394">
        <v>527.13140112217002</v>
      </c>
      <c r="H355" s="1394">
        <v>485.29209581920497</v>
      </c>
      <c r="I355" s="1394">
        <v>497.903584107065</v>
      </c>
      <c r="J355" s="1394">
        <v>575.44354915837403</v>
      </c>
      <c r="K355" s="1394">
        <v>527.85652822426903</v>
      </c>
      <c r="L355" s="1394">
        <v>466.65068915668797</v>
      </c>
      <c r="M355" s="1394">
        <v>464.34379592097702</v>
      </c>
      <c r="N355" s="1394">
        <v>484.50837103494399</v>
      </c>
      <c r="O355" s="1394">
        <v>444.37959330878999</v>
      </c>
      <c r="P355" s="1394"/>
      <c r="Q355" s="1394">
        <v>636.49945253573605</v>
      </c>
      <c r="R355" s="1394">
        <v>661.27039533816003</v>
      </c>
      <c r="S355" s="1394">
        <v>672.84999065283398</v>
      </c>
      <c r="T355" s="1394">
        <v>630.34019288432296</v>
      </c>
      <c r="U355" s="1394">
        <v>620.17026497139796</v>
      </c>
      <c r="V355" s="1394"/>
      <c r="W355" s="1394">
        <v>432.80545377331299</v>
      </c>
      <c r="X355" s="1394">
        <v>703.92514189966505</v>
      </c>
      <c r="Y355" s="1394"/>
      <c r="Z355" s="1394"/>
    </row>
    <row r="356" spans="1:26" x14ac:dyDescent="0.2">
      <c r="A356" s="1345" t="s">
        <v>1168</v>
      </c>
      <c r="B356" s="1427" t="s">
        <v>778</v>
      </c>
      <c r="C356" s="1346" t="s">
        <v>1127</v>
      </c>
      <c r="D356" s="1440">
        <f t="shared" si="1"/>
        <v>358.92000000000007</v>
      </c>
      <c r="E356" s="1394">
        <v>317.90390959637</v>
      </c>
      <c r="F356" s="1394">
        <v>319.94939109627398</v>
      </c>
      <c r="G356" s="1394">
        <v>315.051447757625</v>
      </c>
      <c r="H356" s="1394">
        <v>321.34809449732597</v>
      </c>
      <c r="I356" s="1394">
        <v>315.03994127459299</v>
      </c>
      <c r="J356" s="1394">
        <v>320.33592903893299</v>
      </c>
      <c r="K356" s="1394">
        <v>317.74621236783503</v>
      </c>
      <c r="L356" s="1394">
        <v>316.421108129348</v>
      </c>
      <c r="M356" s="1394">
        <v>316.55501729873799</v>
      </c>
      <c r="N356" s="1394">
        <v>322.54499257668499</v>
      </c>
      <c r="O356" s="1394">
        <v>320.52926331362403</v>
      </c>
      <c r="P356" s="1394"/>
      <c r="Q356" s="1394">
        <v>407.52105590449702</v>
      </c>
      <c r="R356" s="1394">
        <v>407.67603465798499</v>
      </c>
      <c r="S356" s="1394">
        <v>407.67603465798499</v>
      </c>
      <c r="T356" s="1394">
        <v>417.71741407821401</v>
      </c>
      <c r="U356" s="1394">
        <v>416.31680932890401</v>
      </c>
      <c r="V356" s="1394"/>
      <c r="W356" s="1394">
        <v>329.55</v>
      </c>
      <c r="X356" s="1394">
        <v>542.66977211632104</v>
      </c>
      <c r="Y356" s="1394"/>
      <c r="Z356" s="1394"/>
    </row>
    <row r="357" spans="1:26" x14ac:dyDescent="0.2">
      <c r="A357" s="1345" t="s">
        <v>1169</v>
      </c>
      <c r="B357" s="1427" t="s">
        <v>779</v>
      </c>
      <c r="C357" s="1346" t="s">
        <v>1127</v>
      </c>
      <c r="D357" s="1440">
        <f t="shared" si="1"/>
        <v>44.884035972514653</v>
      </c>
      <c r="E357" s="1394">
        <v>49.331666666666699</v>
      </c>
      <c r="F357" s="1394">
        <v>49.974594255312802</v>
      </c>
      <c r="G357" s="1394">
        <v>68.250833333333304</v>
      </c>
      <c r="H357" s="1394">
        <v>46.807833147587999</v>
      </c>
      <c r="I357" s="1394">
        <v>56.23</v>
      </c>
      <c r="J357" s="1394">
        <v>79.36</v>
      </c>
      <c r="K357" s="1394">
        <v>67.099999999999994</v>
      </c>
      <c r="L357" s="1394">
        <v>40.478251713891297</v>
      </c>
      <c r="M357" s="1394">
        <v>41.333984375</v>
      </c>
      <c r="N357" s="1394">
        <v>51.171051567191498</v>
      </c>
      <c r="O357" s="1394">
        <v>39.1816666666667</v>
      </c>
      <c r="P357" s="1394"/>
      <c r="Q357" s="1394">
        <v>69.446428571428598</v>
      </c>
      <c r="R357" s="1394">
        <v>85.328467153284706</v>
      </c>
      <c r="S357" s="1394">
        <v>85.328467153284706</v>
      </c>
      <c r="T357" s="1394">
        <v>69.770408163265301</v>
      </c>
      <c r="U357" s="1394">
        <v>67.882653061224502</v>
      </c>
      <c r="V357" s="1394"/>
      <c r="W357" s="1394">
        <v>40.540112331957602</v>
      </c>
      <c r="X357" s="1394">
        <v>61.740315831986898</v>
      </c>
      <c r="Y357" s="1394"/>
      <c r="Z357" s="1394"/>
    </row>
    <row r="358" spans="1:26" x14ac:dyDescent="0.2">
      <c r="A358" s="1345" t="s">
        <v>1170</v>
      </c>
      <c r="B358" s="1427" t="s">
        <v>1171</v>
      </c>
      <c r="C358" s="1346" t="s">
        <v>1127</v>
      </c>
      <c r="D358" s="1440">
        <f t="shared" si="1"/>
        <v>0</v>
      </c>
      <c r="E358" s="1394">
        <v>0</v>
      </c>
      <c r="F358" s="1394">
        <v>0</v>
      </c>
      <c r="G358" s="1394">
        <v>0</v>
      </c>
      <c r="H358" s="1394">
        <v>0</v>
      </c>
      <c r="I358" s="1394">
        <v>0</v>
      </c>
      <c r="J358" s="1394">
        <v>0</v>
      </c>
      <c r="K358" s="1394">
        <v>0</v>
      </c>
      <c r="L358" s="1394">
        <v>0</v>
      </c>
      <c r="M358" s="1394">
        <v>0</v>
      </c>
      <c r="N358" s="1394">
        <v>0</v>
      </c>
      <c r="O358" s="1394">
        <v>0</v>
      </c>
      <c r="P358" s="1394"/>
      <c r="Q358" s="1394">
        <v>0</v>
      </c>
      <c r="R358" s="1394">
        <v>0</v>
      </c>
      <c r="S358" s="1394">
        <v>0</v>
      </c>
      <c r="T358" s="1394">
        <v>0</v>
      </c>
      <c r="U358" s="1394">
        <v>0</v>
      </c>
      <c r="V358" s="1394"/>
      <c r="W358" s="1394">
        <v>0</v>
      </c>
      <c r="X358" s="1394">
        <v>0</v>
      </c>
      <c r="Y358" s="1394"/>
      <c r="Z358" s="1394"/>
    </row>
    <row r="359" spans="1:26" x14ac:dyDescent="0.2">
      <c r="A359" s="1345"/>
      <c r="B359" s="1427" t="s">
        <v>717</v>
      </c>
      <c r="C359" s="1346" t="s">
        <v>1127</v>
      </c>
      <c r="D359" s="1440">
        <f t="shared" si="1"/>
        <v>12.315136065719081</v>
      </c>
      <c r="E359" s="1394">
        <v>0</v>
      </c>
      <c r="F359" s="1394">
        <v>0</v>
      </c>
      <c r="G359" s="1394">
        <v>0</v>
      </c>
      <c r="H359" s="1394">
        <v>0</v>
      </c>
      <c r="I359" s="1394">
        <v>0</v>
      </c>
      <c r="J359" s="1394">
        <v>0</v>
      </c>
      <c r="K359" s="1394">
        <v>0</v>
      </c>
      <c r="L359" s="1394">
        <v>0</v>
      </c>
      <c r="M359" s="1394">
        <v>0</v>
      </c>
      <c r="N359" s="1394">
        <v>0</v>
      </c>
      <c r="O359" s="1394">
        <v>0</v>
      </c>
      <c r="P359" s="1394"/>
      <c r="Q359" s="1394">
        <v>0</v>
      </c>
      <c r="R359" s="1394">
        <v>0</v>
      </c>
      <c r="S359" s="1394">
        <v>0</v>
      </c>
      <c r="T359" s="1394">
        <v>0</v>
      </c>
      <c r="U359" s="1394">
        <v>0</v>
      </c>
      <c r="V359" s="1394"/>
      <c r="W359" s="1394">
        <v>1.0782192817988501</v>
      </c>
      <c r="X359" s="1394">
        <v>0</v>
      </c>
      <c r="Y359" s="1394"/>
      <c r="Z359" s="1394"/>
    </row>
    <row r="360" spans="1:26" x14ac:dyDescent="0.2">
      <c r="A360" s="1345" t="s">
        <v>1172</v>
      </c>
      <c r="B360" s="1427" t="s">
        <v>816</v>
      </c>
      <c r="C360" s="1346" t="s">
        <v>1127</v>
      </c>
      <c r="D360" s="1440">
        <f t="shared" si="1"/>
        <v>0</v>
      </c>
      <c r="E360" s="1394">
        <v>12.021333333333301</v>
      </c>
      <c r="F360" s="1394">
        <v>10.779209134112399</v>
      </c>
      <c r="G360" s="1394">
        <v>12.021333333333301</v>
      </c>
      <c r="H360" s="1394">
        <v>14.3544021652603</v>
      </c>
      <c r="I360" s="1394">
        <v>18.032</v>
      </c>
      <c r="J360" s="1394">
        <v>12.021333333333301</v>
      </c>
      <c r="K360" s="1394">
        <v>10.928484848484899</v>
      </c>
      <c r="L360" s="1394">
        <v>7.03182885264824</v>
      </c>
      <c r="M360" s="1394">
        <v>7.0437500000000002</v>
      </c>
      <c r="N360" s="1394">
        <v>4.29020761064558</v>
      </c>
      <c r="O360" s="1394">
        <v>6.0106666666666699</v>
      </c>
      <c r="P360" s="1394"/>
      <c r="Q360" s="1394">
        <v>12.88</v>
      </c>
      <c r="R360" s="1394">
        <v>13.1620437956204</v>
      </c>
      <c r="S360" s="1394">
        <v>13.1620437956204</v>
      </c>
      <c r="T360" s="1394">
        <v>9.1999999999999993</v>
      </c>
      <c r="U360" s="1394">
        <v>9.1999999999999993</v>
      </c>
      <c r="V360" s="1394"/>
      <c r="W360" s="1394">
        <v>2.71719756323624</v>
      </c>
      <c r="X360" s="1394">
        <v>6.6663755038540602</v>
      </c>
      <c r="Y360" s="1394"/>
      <c r="Z360" s="1394"/>
    </row>
    <row r="361" spans="1:26" x14ac:dyDescent="0.2">
      <c r="A361" s="1345" t="s">
        <v>1173</v>
      </c>
      <c r="B361" s="1427" t="s">
        <v>818</v>
      </c>
      <c r="C361" s="1346" t="s">
        <v>1127</v>
      </c>
      <c r="D361" s="1440">
        <f t="shared" si="1"/>
        <v>0</v>
      </c>
      <c r="E361" s="1394">
        <v>54.637296828573099</v>
      </c>
      <c r="F361" s="1394">
        <v>68.587061601458601</v>
      </c>
      <c r="G361" s="1394">
        <v>74.281333333333293</v>
      </c>
      <c r="H361" s="1394">
        <v>49.573494287258598</v>
      </c>
      <c r="I361" s="1394">
        <v>49.334011456144999</v>
      </c>
      <c r="J361" s="1394">
        <v>91.186666666666696</v>
      </c>
      <c r="K361" s="1394">
        <v>63.227363393939399</v>
      </c>
      <c r="L361" s="1394">
        <v>43.2009603250739</v>
      </c>
      <c r="M361" s="1394">
        <v>40.124765234374998</v>
      </c>
      <c r="N361" s="1394">
        <v>45.737048721645699</v>
      </c>
      <c r="O361" s="1394">
        <v>25.747</v>
      </c>
      <c r="P361" s="1394"/>
      <c r="Q361" s="1394">
        <v>78.834306785714304</v>
      </c>
      <c r="R361" s="1394">
        <v>87.816218978102199</v>
      </c>
      <c r="S361" s="1394">
        <v>87.816218978102199</v>
      </c>
      <c r="T361" s="1394">
        <v>66.808602040816297</v>
      </c>
      <c r="U361" s="1394">
        <v>62.766219897959203</v>
      </c>
      <c r="V361" s="1394"/>
      <c r="W361" s="1394">
        <v>0</v>
      </c>
      <c r="X361" s="1394">
        <v>44.645854567109801</v>
      </c>
      <c r="Y361" s="1394"/>
      <c r="Z361" s="1394"/>
    </row>
    <row r="362" spans="1:26" s="1394" customFormat="1" x14ac:dyDescent="0.2">
      <c r="A362" s="1390" t="s">
        <v>1174</v>
      </c>
      <c r="B362" s="1391" t="s">
        <v>820</v>
      </c>
      <c r="C362" s="1392" t="s">
        <v>1127</v>
      </c>
      <c r="D362" s="1440">
        <f t="shared" si="1"/>
        <v>26.100664717475865</v>
      </c>
      <c r="E362" s="1394">
        <v>51.595575690842097</v>
      </c>
      <c r="F362" s="1394">
        <v>61.902129442939497</v>
      </c>
      <c r="G362" s="1394">
        <v>57.5264533645447</v>
      </c>
      <c r="H362" s="1394">
        <v>53.208271721771901</v>
      </c>
      <c r="I362" s="1394">
        <v>59.267631376327301</v>
      </c>
      <c r="J362" s="1394">
        <v>72.539620119440698</v>
      </c>
      <c r="K362" s="1394">
        <v>68.854467614009195</v>
      </c>
      <c r="L362" s="1394">
        <v>59.518540135726901</v>
      </c>
      <c r="M362" s="1394">
        <v>59.286279012863602</v>
      </c>
      <c r="N362" s="1394">
        <v>60.765070558776202</v>
      </c>
      <c r="O362" s="1394">
        <v>52.910996661833003</v>
      </c>
      <c r="Q362" s="1394">
        <v>67.817661274096395</v>
      </c>
      <c r="R362" s="1394">
        <v>67.287630753167903</v>
      </c>
      <c r="S362" s="1394">
        <v>78.8672260678416</v>
      </c>
      <c r="T362" s="1394">
        <v>66.843768602026998</v>
      </c>
      <c r="U362" s="1394">
        <v>64.004582683310602</v>
      </c>
      <c r="W362" s="1394">
        <v>58.9199245963202</v>
      </c>
      <c r="X362" s="1394">
        <v>48.202823880392899</v>
      </c>
    </row>
    <row r="363" spans="1:26" x14ac:dyDescent="0.2">
      <c r="A363" s="1345"/>
      <c r="B363" s="1427"/>
      <c r="C363" s="1346"/>
      <c r="D363" s="1440"/>
      <c r="E363" s="1394"/>
      <c r="F363" s="1394"/>
      <c r="G363" s="1394"/>
      <c r="H363" s="1394"/>
      <c r="I363" s="1394"/>
      <c r="J363" s="1394"/>
      <c r="K363" s="1394"/>
      <c r="L363" s="1394"/>
      <c r="M363" s="1394"/>
      <c r="N363" s="1394"/>
      <c r="O363" s="1394"/>
      <c r="P363" s="1394"/>
      <c r="Q363" s="1394"/>
      <c r="R363" s="1394"/>
      <c r="S363" s="1394"/>
      <c r="T363" s="1394"/>
      <c r="U363" s="1394"/>
      <c r="V363" s="1394"/>
      <c r="W363" s="1394"/>
      <c r="X363" s="1394"/>
      <c r="Y363" s="1394"/>
      <c r="Z363" s="1394"/>
    </row>
    <row r="364" spans="1:26" x14ac:dyDescent="0.2">
      <c r="A364" s="1345" t="s">
        <v>1252</v>
      </c>
      <c r="B364" s="1427" t="s">
        <v>965</v>
      </c>
      <c r="C364" s="1346" t="s">
        <v>1090</v>
      </c>
      <c r="D364" s="1441">
        <f>D265</f>
        <v>2.2858864314714227</v>
      </c>
      <c r="E364" s="1408">
        <v>411.55343746130802</v>
      </c>
      <c r="F364" s="1408">
        <v>1.5</v>
      </c>
      <c r="G364" s="1408">
        <v>2</v>
      </c>
      <c r="H364" s="1408">
        <v>0.92243006703256603</v>
      </c>
      <c r="I364" s="1408">
        <v>1.5269829082231499</v>
      </c>
      <c r="J364" s="1408">
        <v>1</v>
      </c>
      <c r="K364" s="1408">
        <v>1.2986942935310499</v>
      </c>
      <c r="L364" s="1408">
        <v>1.7998882823409899</v>
      </c>
      <c r="M364" s="1408">
        <v>1.69959486184071</v>
      </c>
      <c r="N364" s="1408">
        <v>2.4992605808361601</v>
      </c>
      <c r="O364" s="1408">
        <v>2</v>
      </c>
      <c r="P364" s="1408"/>
      <c r="Q364" s="1408">
        <v>2</v>
      </c>
      <c r="R364" s="1408">
        <v>1.3</v>
      </c>
      <c r="S364" s="1408">
        <v>1.3</v>
      </c>
      <c r="T364" s="1408">
        <v>1.49798655534193</v>
      </c>
      <c r="U364" s="1408">
        <v>1.5</v>
      </c>
      <c r="V364" s="1408"/>
      <c r="W364" s="1408">
        <v>0.93619909502262411</v>
      </c>
      <c r="X364" s="1408">
        <v>3</v>
      </c>
      <c r="Y364" s="1408"/>
      <c r="Z364" s="1408"/>
    </row>
    <row r="365" spans="1:26" x14ac:dyDescent="0.2">
      <c r="A365" s="1345" t="s">
        <v>1253</v>
      </c>
      <c r="B365" s="1427" t="s">
        <v>966</v>
      </c>
      <c r="C365" s="1346" t="s">
        <v>119</v>
      </c>
      <c r="D365" s="1442">
        <f>D267</f>
        <v>321.63802622807225</v>
      </c>
      <c r="E365" s="1414">
        <v>1.7211163816911101</v>
      </c>
      <c r="F365" s="1414">
        <v>111.523333333333</v>
      </c>
      <c r="G365" s="1414">
        <v>150</v>
      </c>
      <c r="H365" s="1414">
        <v>136.18376556622499</v>
      </c>
      <c r="I365" s="1414">
        <v>130.97723551649099</v>
      </c>
      <c r="J365" s="1414">
        <v>150</v>
      </c>
      <c r="K365" s="1414">
        <v>127.05068530899401</v>
      </c>
      <c r="L365" s="1414">
        <v>142.472175921093</v>
      </c>
      <c r="M365" s="1414">
        <v>150.62413151964</v>
      </c>
      <c r="N365" s="1414">
        <v>168.172139881221</v>
      </c>
      <c r="O365" s="1414">
        <v>150</v>
      </c>
      <c r="P365" s="1414"/>
      <c r="Q365" s="1414">
        <v>140</v>
      </c>
      <c r="R365" s="1414">
        <v>105.384615384615</v>
      </c>
      <c r="S365" s="1414">
        <v>105.384615384615</v>
      </c>
      <c r="T365" s="1414">
        <v>130.842295814371</v>
      </c>
      <c r="U365" s="1414">
        <v>130.666666666667</v>
      </c>
      <c r="V365" s="1414"/>
      <c r="W365" s="1414">
        <v>269.671271145481</v>
      </c>
      <c r="X365" s="1414">
        <v>90.163937857861299</v>
      </c>
      <c r="Y365" s="1414"/>
      <c r="Z365" s="1414"/>
    </row>
    <row r="366" spans="1:26" x14ac:dyDescent="0.2">
      <c r="A366" s="1345"/>
      <c r="B366" s="1427"/>
      <c r="C366" s="1346"/>
      <c r="D366" s="1440"/>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row>
    <row r="367" spans="1:26" x14ac:dyDescent="0.2">
      <c r="A367" s="1345" t="s">
        <v>1222</v>
      </c>
      <c r="B367" s="1427" t="s">
        <v>968</v>
      </c>
      <c r="C367" s="1346" t="s">
        <v>1127</v>
      </c>
      <c r="D367" s="1440">
        <f t="shared" ref="D367:D372" si="2">D288</f>
        <v>442.21983675570965</v>
      </c>
      <c r="E367" s="1394">
        <v>485.48978211578498</v>
      </c>
      <c r="F367" s="1394">
        <v>511.192385530097</v>
      </c>
      <c r="G367" s="1394">
        <v>527.13140112217002</v>
      </c>
      <c r="H367" s="1394">
        <v>485.29209581920497</v>
      </c>
      <c r="I367" s="1394">
        <v>497.903584107065</v>
      </c>
      <c r="J367" s="1394">
        <v>575.44354915837403</v>
      </c>
      <c r="K367" s="1394">
        <v>527.85652822426903</v>
      </c>
      <c r="L367" s="1394">
        <v>466.65068915668797</v>
      </c>
      <c r="M367" s="1394">
        <v>464.34379592097702</v>
      </c>
      <c r="N367" s="1394">
        <v>484.50837103494399</v>
      </c>
      <c r="O367" s="1394">
        <v>444.37959330878999</v>
      </c>
      <c r="P367" s="1394"/>
      <c r="Q367" s="1394">
        <v>636.49945253573605</v>
      </c>
      <c r="R367" s="1394">
        <v>661.27039533816003</v>
      </c>
      <c r="S367" s="1394">
        <v>672.84999065283398</v>
      </c>
      <c r="T367" s="1394">
        <v>630.34019288432296</v>
      </c>
      <c r="U367" s="1394">
        <v>620.17026497139796</v>
      </c>
      <c r="V367" s="1394"/>
      <c r="W367" s="1394">
        <v>432.80545377331299</v>
      </c>
      <c r="X367" s="1394">
        <v>703.92514189966505</v>
      </c>
      <c r="Y367" s="1394"/>
      <c r="Z367" s="1394"/>
    </row>
    <row r="368" spans="1:26" x14ac:dyDescent="0.2">
      <c r="A368" s="1345" t="s">
        <v>1223</v>
      </c>
      <c r="B368" s="1427" t="s">
        <v>969</v>
      </c>
      <c r="C368" s="1346" t="s">
        <v>1127</v>
      </c>
      <c r="D368" s="1440">
        <f t="shared" si="2"/>
        <v>185.88352143244285</v>
      </c>
      <c r="E368" s="1394">
        <v>136.20135136507199</v>
      </c>
      <c r="F368" s="1394">
        <v>141.15700297284101</v>
      </c>
      <c r="G368" s="1394">
        <v>160.78014513988199</v>
      </c>
      <c r="H368" s="1394">
        <v>167.04966060717601</v>
      </c>
      <c r="I368" s="1394">
        <v>136.01964245341901</v>
      </c>
      <c r="J368" s="1394">
        <v>134.41619573413101</v>
      </c>
      <c r="K368" s="1394">
        <v>108.966084927183</v>
      </c>
      <c r="L368" s="1394">
        <v>122.917905403335</v>
      </c>
      <c r="M368" s="1394">
        <v>117.059477676084</v>
      </c>
      <c r="N368" s="1394">
        <v>135.76415920602301</v>
      </c>
      <c r="O368" s="1394">
        <v>136.39305637865101</v>
      </c>
      <c r="P368" s="1394"/>
      <c r="Q368" s="1394">
        <v>122.242178284733</v>
      </c>
      <c r="R368" s="1394">
        <v>195.85966221446799</v>
      </c>
      <c r="S368" s="1394">
        <v>144.16527367400201</v>
      </c>
      <c r="T368" s="1394">
        <v>118.78702734624299</v>
      </c>
      <c r="U368" s="1394">
        <v>137.780972407593</v>
      </c>
      <c r="V368" s="1394"/>
      <c r="W368" s="1394">
        <v>156.670463418406</v>
      </c>
      <c r="X368" s="1394">
        <v>163.988486801786</v>
      </c>
      <c r="Y368" s="1394"/>
      <c r="Z368" s="1394"/>
    </row>
    <row r="369" spans="1:256" x14ac:dyDescent="0.2">
      <c r="A369" s="1345" t="s">
        <v>1224</v>
      </c>
      <c r="B369" s="1427" t="s">
        <v>970</v>
      </c>
      <c r="C369" s="1346" t="s">
        <v>1127</v>
      </c>
      <c r="D369" s="1440">
        <f t="shared" si="2"/>
        <v>183.80754660024078</v>
      </c>
      <c r="E369" s="1394">
        <v>141.703830023818</v>
      </c>
      <c r="F369" s="1394">
        <v>164.96666209624101</v>
      </c>
      <c r="G369" s="1394">
        <v>130.44749726559701</v>
      </c>
      <c r="H369" s="1394">
        <v>136.78669363162001</v>
      </c>
      <c r="I369" s="1394">
        <v>150.363576678241</v>
      </c>
      <c r="J369" s="1394">
        <v>168.16230194754101</v>
      </c>
      <c r="K369" s="1394">
        <v>167.73798692307801</v>
      </c>
      <c r="L369" s="1394">
        <v>142.96349735762999</v>
      </c>
      <c r="M369" s="1394">
        <v>142.77434366374399</v>
      </c>
      <c r="N369" s="1394">
        <v>135.842938446462</v>
      </c>
      <c r="O369" s="1394">
        <v>129.842340034123</v>
      </c>
      <c r="P369" s="1394"/>
      <c r="Q369" s="1394">
        <v>185.06813672509699</v>
      </c>
      <c r="R369" s="1394">
        <v>170.938878690888</v>
      </c>
      <c r="S369" s="1394">
        <v>185.90584336992501</v>
      </c>
      <c r="T369" s="1394">
        <v>202.50215124117599</v>
      </c>
      <c r="U369" s="1394">
        <v>194.514185617213</v>
      </c>
      <c r="V369" s="1394"/>
      <c r="W369" s="1394">
        <v>126.714572911913</v>
      </c>
      <c r="X369" s="1394">
        <v>245.097487779532</v>
      </c>
      <c r="Y369" s="1394"/>
      <c r="Z369" s="1394"/>
    </row>
    <row r="370" spans="1:256" x14ac:dyDescent="0.2">
      <c r="A370" s="1345" t="s">
        <v>1225</v>
      </c>
      <c r="B370" s="1427" t="s">
        <v>971</v>
      </c>
      <c r="C370" s="1346" t="s">
        <v>1127</v>
      </c>
      <c r="D370" s="1440">
        <f t="shared" si="2"/>
        <v>72.528768723026047</v>
      </c>
      <c r="E370" s="1394">
        <v>207.58460072689499</v>
      </c>
      <c r="F370" s="1394">
        <v>205.068720461015</v>
      </c>
      <c r="G370" s="1394">
        <v>235.90375871669099</v>
      </c>
      <c r="H370" s="1394">
        <v>181.45574158040901</v>
      </c>
      <c r="I370" s="1394">
        <v>211.52036497540499</v>
      </c>
      <c r="J370" s="1394">
        <v>272.86505147670198</v>
      </c>
      <c r="K370" s="1394">
        <v>251.15245637400699</v>
      </c>
      <c r="L370" s="1394">
        <v>200.76928639572299</v>
      </c>
      <c r="M370" s="1394">
        <v>204.50997458114799</v>
      </c>
      <c r="N370" s="1394">
        <v>212.90127338245901</v>
      </c>
      <c r="O370" s="1394">
        <v>178.14419689601601</v>
      </c>
      <c r="P370" s="1394"/>
      <c r="Q370" s="1394">
        <v>329.18913752590697</v>
      </c>
      <c r="R370" s="1394">
        <v>294.471854432805</v>
      </c>
      <c r="S370" s="1394">
        <v>342.77887360890702</v>
      </c>
      <c r="T370" s="1394">
        <v>309.05101429690399</v>
      </c>
      <c r="U370" s="1394">
        <v>287.87510694659301</v>
      </c>
      <c r="V370" s="1394"/>
      <c r="W370" s="1394">
        <v>149.42041744299399</v>
      </c>
      <c r="X370" s="1394">
        <v>294.83916731834699</v>
      </c>
      <c r="Y370" s="1394"/>
      <c r="Z370" s="1394"/>
    </row>
    <row r="371" spans="1:256" x14ac:dyDescent="0.2">
      <c r="A371" s="1345" t="s">
        <v>1226</v>
      </c>
      <c r="B371" s="1427" t="s">
        <v>972</v>
      </c>
      <c r="C371" s="1346" t="s">
        <v>1127</v>
      </c>
      <c r="D371" s="1440">
        <f t="shared" si="2"/>
        <v>99.976880995297236</v>
      </c>
      <c r="E371" s="1394">
        <v>49.656291835582103</v>
      </c>
      <c r="F371" s="1394">
        <v>61.958727781565102</v>
      </c>
      <c r="G371" s="1394">
        <v>56.154214898099603</v>
      </c>
      <c r="H371" s="1394">
        <v>31.589459164958001</v>
      </c>
      <c r="I371" s="1394">
        <v>54.799367935896299</v>
      </c>
      <c r="J371" s="1394">
        <v>84.129647470589006</v>
      </c>
      <c r="K371" s="1394">
        <v>75.021894306821807</v>
      </c>
      <c r="L371" s="1394">
        <v>64.850132794153296</v>
      </c>
      <c r="M371" s="1394">
        <v>66.923323137915403</v>
      </c>
      <c r="N371" s="1394">
        <v>65.082482826027999</v>
      </c>
      <c r="O371" s="1394">
        <v>45.365761727801598</v>
      </c>
      <c r="P371" s="1394"/>
      <c r="Q371" s="1394">
        <v>90.787031786156703</v>
      </c>
      <c r="R371" s="1394">
        <v>77.909186293868999</v>
      </c>
      <c r="S371" s="1394">
        <v>82.129952132570693</v>
      </c>
      <c r="T371" s="1394">
        <v>112.00675509096099</v>
      </c>
      <c r="U371" s="1394">
        <v>104.330251622879</v>
      </c>
      <c r="V371" s="1394"/>
      <c r="W371" s="1394">
        <v>43.4729585345478</v>
      </c>
      <c r="X371" s="1394">
        <v>79.013598294522396</v>
      </c>
      <c r="Y371" s="1394"/>
      <c r="Z371" s="1394"/>
    </row>
    <row r="372" spans="1:256" x14ac:dyDescent="0.2">
      <c r="A372" s="1345" t="s">
        <v>1227</v>
      </c>
      <c r="B372" s="1427" t="s">
        <v>973</v>
      </c>
      <c r="C372" s="1346" t="s">
        <v>1127</v>
      </c>
      <c r="D372" s="1440">
        <f t="shared" si="2"/>
        <v>-27.448112272271189</v>
      </c>
      <c r="E372" s="1394">
        <v>157.92830889131301</v>
      </c>
      <c r="F372" s="1394">
        <v>143.10999267944999</v>
      </c>
      <c r="G372" s="1394">
        <v>179.749543818592</v>
      </c>
      <c r="H372" s="1394">
        <v>149.866282415451</v>
      </c>
      <c r="I372" s="1394">
        <v>156.720997039509</v>
      </c>
      <c r="J372" s="1394">
        <v>188.73540400611299</v>
      </c>
      <c r="K372" s="1394">
        <v>176.130562067185</v>
      </c>
      <c r="L372" s="1394">
        <v>135.91915360157</v>
      </c>
      <c r="M372" s="1394">
        <v>137.586651443233</v>
      </c>
      <c r="N372" s="1394">
        <v>147.818790556431</v>
      </c>
      <c r="O372" s="1394">
        <v>132.778435168214</v>
      </c>
      <c r="P372" s="1394"/>
      <c r="Q372" s="1394">
        <v>238.40210573975</v>
      </c>
      <c r="R372" s="1394">
        <v>216.562668138936</v>
      </c>
      <c r="S372" s="1394">
        <v>260.648921476336</v>
      </c>
      <c r="T372" s="1394">
        <v>197.04425920594301</v>
      </c>
      <c r="U372" s="1394">
        <v>183.54485532371399</v>
      </c>
      <c r="V372" s="1394"/>
      <c r="W372" s="1394">
        <v>105.947458908446</v>
      </c>
      <c r="X372" s="1394">
        <v>215.82556902382399</v>
      </c>
      <c r="Y372" s="1394"/>
      <c r="Z372" s="1394"/>
    </row>
    <row r="373" spans="1:256" x14ac:dyDescent="0.2">
      <c r="A373" s="1345"/>
      <c r="B373" s="1427"/>
      <c r="C373" s="1346"/>
      <c r="D373" s="1440"/>
      <c r="E373" s="1394"/>
      <c r="F373" s="1394"/>
      <c r="G373" s="1394"/>
      <c r="H373" s="1394"/>
      <c r="I373" s="1394"/>
      <c r="J373" s="1394"/>
      <c r="K373" s="1394"/>
      <c r="L373" s="1394"/>
      <c r="M373" s="1394"/>
      <c r="N373" s="1394"/>
      <c r="O373" s="1394"/>
      <c r="P373" s="1394"/>
      <c r="Q373" s="1394"/>
      <c r="R373" s="1394"/>
      <c r="S373" s="1394"/>
      <c r="T373" s="1394"/>
      <c r="U373" s="1394"/>
      <c r="V373" s="1394"/>
      <c r="W373" s="1394"/>
      <c r="X373" s="1394"/>
      <c r="Y373" s="1394"/>
      <c r="Z373" s="1394"/>
    </row>
    <row r="374" spans="1:256" x14ac:dyDescent="0.2">
      <c r="A374" s="1443" t="s">
        <v>1233</v>
      </c>
      <c r="B374" s="1444" t="s">
        <v>1234</v>
      </c>
      <c r="C374" s="1346" t="s">
        <v>1235</v>
      </c>
      <c r="D374" s="1440">
        <f t="shared" ref="D374:D379" si="3">D296</f>
        <v>153451.67792000002</v>
      </c>
      <c r="E374" s="1394">
        <v>73348.079897023505</v>
      </c>
      <c r="F374" s="1394">
        <v>57009.581957066803</v>
      </c>
      <c r="G374" s="1394">
        <v>79064.916297211807</v>
      </c>
      <c r="H374" s="1394">
        <v>66665.175908201898</v>
      </c>
      <c r="I374" s="1394">
        <v>67026.712018540202</v>
      </c>
      <c r="J374" s="1394">
        <v>86313.116584049203</v>
      </c>
      <c r="K374" s="1394">
        <v>67185.288083830106</v>
      </c>
      <c r="L374" s="1394">
        <v>66491.746725453093</v>
      </c>
      <c r="M374" s="1394">
        <v>69978.330904874994</v>
      </c>
      <c r="N374" s="1394">
        <v>81524.281904476506</v>
      </c>
      <c r="O374" s="1394">
        <v>66648.100856564401</v>
      </c>
      <c r="P374" s="1394"/>
      <c r="Q374" s="1394">
        <v>89114.420736750704</v>
      </c>
      <c r="R374" s="1394">
        <v>69687.726277944603</v>
      </c>
      <c r="S374" s="1394">
        <v>70908.037476490994</v>
      </c>
      <c r="T374" s="1394">
        <v>82825.218932583593</v>
      </c>
      <c r="U374" s="1394">
        <v>81036.336096949002</v>
      </c>
      <c r="V374" s="1394"/>
      <c r="W374" s="1394">
        <v>130677.1703</v>
      </c>
      <c r="X374" s="1394">
        <v>63468.617283345098</v>
      </c>
      <c r="Y374" s="1394"/>
      <c r="Z374" s="1394"/>
    </row>
    <row r="375" spans="1:256" x14ac:dyDescent="0.2">
      <c r="A375" s="1443" t="s">
        <v>1236</v>
      </c>
      <c r="B375" s="1444" t="s">
        <v>1237</v>
      </c>
      <c r="C375" s="1445" t="s">
        <v>316</v>
      </c>
      <c r="D375" s="1446">
        <f t="shared" si="3"/>
        <v>0.18600542511856472</v>
      </c>
      <c r="E375" s="1434">
        <v>0.42441162699749302</v>
      </c>
      <c r="F375" s="1434">
        <v>0.39728860776852803</v>
      </c>
      <c r="G375" s="1434">
        <v>0.44751524275503402</v>
      </c>
      <c r="H375" s="1434">
        <v>0.36568788228133903</v>
      </c>
      <c r="I375" s="1434">
        <v>0.41229625793392405</v>
      </c>
      <c r="J375" s="1434">
        <v>0.47282433394334505</v>
      </c>
      <c r="K375" s="1434">
        <v>0.47383520612574404</v>
      </c>
      <c r="L375" s="1434">
        <v>0.42890129350070205</v>
      </c>
      <c r="M375" s="1434">
        <v>0.43928848964561001</v>
      </c>
      <c r="N375" s="1434">
        <v>0.43777328925982301</v>
      </c>
      <c r="O375" s="1434">
        <v>0.39967863917785901</v>
      </c>
      <c r="P375" s="1434"/>
      <c r="Q375" s="1434">
        <v>0.51578267102442399</v>
      </c>
      <c r="R375" s="1434">
        <v>0.44531232081275601</v>
      </c>
      <c r="S375" s="1434">
        <v>0.50853225190779305</v>
      </c>
      <c r="T375" s="1434">
        <v>0.48960808963712704</v>
      </c>
      <c r="U375" s="1434">
        <v>0.46259417034356304</v>
      </c>
      <c r="V375" s="1434"/>
      <c r="W375" s="1434">
        <v>0.35337955508208602</v>
      </c>
      <c r="X375" s="1434">
        <v>0.41403625203027805</v>
      </c>
      <c r="Y375" s="1434"/>
      <c r="Z375" s="1434"/>
    </row>
    <row r="376" spans="1:256" x14ac:dyDescent="0.2">
      <c r="A376" s="1443" t="s">
        <v>1238</v>
      </c>
      <c r="B376" s="1444" t="s">
        <v>1239</v>
      </c>
      <c r="C376" s="1346" t="s">
        <v>1240</v>
      </c>
      <c r="D376" s="1440">
        <f t="shared" si="3"/>
        <v>34251.413504000011</v>
      </c>
      <c r="E376" s="1394">
        <v>31129.777926237901</v>
      </c>
      <c r="F376" s="1394">
        <v>22649.257445188799</v>
      </c>
      <c r="G376" s="1394">
        <v>35382.755210153198</v>
      </c>
      <c r="H376" s="1394">
        <v>24378.646999783301</v>
      </c>
      <c r="I376" s="1394">
        <v>27634.862546858902</v>
      </c>
      <c r="J376" s="1394">
        <v>40810.941859427301</v>
      </c>
      <c r="K376" s="1394">
        <v>31834.754827819099</v>
      </c>
      <c r="L376" s="1394">
        <v>28518.396177667899</v>
      </c>
      <c r="M376" s="1394">
        <v>30740.6752911232</v>
      </c>
      <c r="N376" s="1394">
        <v>35689.1530438677</v>
      </c>
      <c r="O376" s="1394">
        <v>26637.822254140399</v>
      </c>
      <c r="P376" s="1394"/>
      <c r="Q376" s="1394">
        <v>45963.673954395599</v>
      </c>
      <c r="R376" s="1394">
        <v>31032.803120995599</v>
      </c>
      <c r="S376" s="1394">
        <v>36059.023976282202</v>
      </c>
      <c r="T376" s="1394">
        <v>40551.897215359102</v>
      </c>
      <c r="U376" s="1394">
        <v>37486.936664450201</v>
      </c>
      <c r="V376" s="1394"/>
      <c r="W376" s="1394">
        <v>46178.640299999999</v>
      </c>
      <c r="X376" s="1394">
        <v>39417.462632310497</v>
      </c>
      <c r="Y376" s="1394"/>
      <c r="Z376" s="1394"/>
    </row>
    <row r="377" spans="1:256" x14ac:dyDescent="0.2">
      <c r="A377" s="1443" t="s">
        <v>1241</v>
      </c>
      <c r="B377" s="1444" t="s">
        <v>1242</v>
      </c>
      <c r="C377" s="1445" t="s">
        <v>316</v>
      </c>
      <c r="D377" s="1446">
        <f t="shared" si="3"/>
        <v>0.22101420108081929</v>
      </c>
      <c r="E377" s="1434">
        <v>0.10154926735361701</v>
      </c>
      <c r="F377" s="1434">
        <v>0.12120495562476601</v>
      </c>
      <c r="G377" s="1434">
        <v>0.10653438502422101</v>
      </c>
      <c r="H377" s="1434">
        <v>7.5371111444193603E-2</v>
      </c>
      <c r="I377" s="1434">
        <v>0.12446136245137</v>
      </c>
      <c r="J377" s="1434">
        <v>0.14620543921965701</v>
      </c>
      <c r="K377" s="1434">
        <v>0.14200474002291202</v>
      </c>
      <c r="L377" s="1434">
        <v>0.13896288688595101</v>
      </c>
      <c r="M377" s="1434">
        <v>0.14408132751592101</v>
      </c>
      <c r="N377" s="1434">
        <v>0.134292711999104</v>
      </c>
      <c r="O377" s="1434">
        <v>0.10210139781499901</v>
      </c>
      <c r="P377" s="1434"/>
      <c r="Q377" s="1434">
        <v>0.14262769532675901</v>
      </c>
      <c r="R377" s="1434">
        <v>0.11781744176529801</v>
      </c>
      <c r="S377" s="1434">
        <v>0.12206279746379101</v>
      </c>
      <c r="T377" s="1434">
        <v>0.17716876086611602</v>
      </c>
      <c r="U377" s="1434">
        <v>0.16822683340158301</v>
      </c>
      <c r="V377" s="1434"/>
      <c r="W377" s="1434">
        <v>9.4721977615396802E-2</v>
      </c>
      <c r="X377" s="1434">
        <v>0.112247240785925</v>
      </c>
      <c r="Y377" s="1434"/>
      <c r="Z377" s="1434"/>
    </row>
    <row r="378" spans="1:256" x14ac:dyDescent="0.2">
      <c r="A378" s="1345" t="s">
        <v>1243</v>
      </c>
      <c r="B378" s="1427" t="s">
        <v>1254</v>
      </c>
      <c r="C378" s="1346" t="s">
        <v>1240</v>
      </c>
      <c r="D378" s="1440">
        <f t="shared" si="3"/>
        <v>-6446.5864959999917</v>
      </c>
      <c r="E378" s="1394">
        <v>23681.334150900599</v>
      </c>
      <c r="F378" s="1394">
        <v>15739.413593896101</v>
      </c>
      <c r="G378" s="1394">
        <v>26959.6229754382</v>
      </c>
      <c r="H378" s="1394">
        <v>19354.018596959399</v>
      </c>
      <c r="I378" s="1394">
        <v>19292.626648395799</v>
      </c>
      <c r="J378" s="1394">
        <v>28191.494738838999</v>
      </c>
      <c r="K378" s="1394">
        <v>22294.125460110401</v>
      </c>
      <c r="L378" s="1394">
        <v>19278.511098609499</v>
      </c>
      <c r="M378" s="1394">
        <v>20658.104477000401</v>
      </c>
      <c r="N378" s="1394">
        <v>24741.036133136098</v>
      </c>
      <c r="O378" s="1394">
        <v>19832.9579949701</v>
      </c>
      <c r="P378" s="1394"/>
      <c r="Q378" s="1394">
        <v>33253.489504333702</v>
      </c>
      <c r="R378" s="1394">
        <v>22822.373488487799</v>
      </c>
      <c r="S378" s="1394">
        <v>27403.790559234301</v>
      </c>
      <c r="T378" s="1394">
        <v>25877.8558086085</v>
      </c>
      <c r="U378" s="1394">
        <v>23854.4504523941</v>
      </c>
      <c r="V378" s="1394"/>
      <c r="W378" s="1394">
        <v>33800.640299999999</v>
      </c>
      <c r="X378" s="1394">
        <v>28731.196882480501</v>
      </c>
      <c r="Y378" s="1394"/>
      <c r="Z378" s="1394"/>
    </row>
    <row r="379" spans="1:256" x14ac:dyDescent="0.2">
      <c r="A379" s="1345" t="s">
        <v>1245</v>
      </c>
      <c r="B379" s="1427" t="s">
        <v>1255</v>
      </c>
      <c r="C379" s="1346" t="s">
        <v>1240</v>
      </c>
      <c r="D379" s="1440">
        <f t="shared" si="3"/>
        <v>0</v>
      </c>
      <c r="E379" s="1394">
        <v>7221.7906933325603</v>
      </c>
      <c r="F379" s="1394">
        <v>1187.1208965227499</v>
      </c>
      <c r="G379" s="1394">
        <v>7193.2488418702096</v>
      </c>
      <c r="H379" s="1394">
        <v>816.63710926022804</v>
      </c>
      <c r="I379" s="1394">
        <v>731.63953182303203</v>
      </c>
      <c r="J379" s="1394">
        <v>3635.96751062976</v>
      </c>
      <c r="K379" s="1394">
        <v>5489.4720229670802</v>
      </c>
      <c r="L379" s="1394">
        <v>4642.50350762378</v>
      </c>
      <c r="M379" s="1394">
        <v>5671.9997065236203</v>
      </c>
      <c r="N379" s="1394">
        <v>6819.2724886341102</v>
      </c>
      <c r="O379" s="1394">
        <v>8043.0966354493603</v>
      </c>
      <c r="P379" s="1394"/>
      <c r="Q379" s="1394">
        <v>12717.716594212499</v>
      </c>
      <c r="R379" s="1394">
        <v>6476.8139398847698</v>
      </c>
      <c r="S379" s="1394">
        <v>9837.9198120848505</v>
      </c>
      <c r="T379" s="1394">
        <v>8353.17898224483</v>
      </c>
      <c r="U379" s="1394">
        <v>7288.9774410885502</v>
      </c>
      <c r="V379" s="1394"/>
      <c r="W379" s="1394">
        <v>14222.640299999999</v>
      </c>
      <c r="X379" s="1394">
        <v>16173.861373116501</v>
      </c>
      <c r="Y379" s="1394"/>
      <c r="Z379" s="1394"/>
    </row>
    <row r="380" spans="1:256" s="1397" customFormat="1" x14ac:dyDescent="0.2">
      <c r="A380" s="1390" t="s">
        <v>1192</v>
      </c>
      <c r="B380" s="1391" t="s">
        <v>981</v>
      </c>
      <c r="C380" s="1392" t="s">
        <v>1127</v>
      </c>
      <c r="D380" s="1440">
        <f>D272</f>
        <v>48.067492250964349</v>
      </c>
      <c r="E380" s="1397">
        <v>109.73028971712</v>
      </c>
      <c r="F380" s="1397">
        <v>130.48652925283201</v>
      </c>
      <c r="G380" s="1397">
        <v>131.77582755712001</v>
      </c>
      <c r="H380" s="1397">
        <v>136.12034746303601</v>
      </c>
      <c r="I380" s="1397">
        <v>141.711550433784</v>
      </c>
      <c r="J380" s="1397">
        <v>163.70351485472801</v>
      </c>
      <c r="K380" s="1397">
        <v>132.26731832475701</v>
      </c>
      <c r="L380" s="1397">
        <v>102.728883702118</v>
      </c>
      <c r="M380" s="1397">
        <v>99.493385417613197</v>
      </c>
      <c r="N380" s="1397">
        <v>106.567970516163</v>
      </c>
      <c r="O380" s="1397">
        <v>78.599075730138296</v>
      </c>
      <c r="Q380" s="1397">
        <v>146.684092215151</v>
      </c>
      <c r="R380" s="1397">
        <v>155.10384973127</v>
      </c>
      <c r="S380" s="1397">
        <v>166.68344504594401</v>
      </c>
      <c r="T380" s="1397">
        <v>133.937399350026</v>
      </c>
      <c r="U380" s="1397">
        <v>126.776579168155</v>
      </c>
      <c r="W380" s="1397">
        <v>72.599502041276594</v>
      </c>
      <c r="X380" s="1397">
        <v>92.848174171806804</v>
      </c>
      <c r="IO380" s="1394"/>
      <c r="IP380" s="1394"/>
      <c r="IQ380" s="1394"/>
      <c r="IR380" s="1394"/>
      <c r="IS380" s="1394"/>
      <c r="IT380" s="1394"/>
      <c r="IU380" s="1394"/>
      <c r="IV380" s="1394"/>
    </row>
    <row r="381" spans="1:256" s="1361" customFormat="1" x14ac:dyDescent="0.2">
      <c r="A381" s="1357" t="s">
        <v>341</v>
      </c>
      <c r="B381" s="1358" t="s">
        <v>982</v>
      </c>
      <c r="C381" s="1359" t="s">
        <v>1090</v>
      </c>
      <c r="D381" s="1447">
        <f>D22</f>
        <v>2.5</v>
      </c>
      <c r="E381" s="1361">
        <v>2</v>
      </c>
      <c r="F381" s="1361">
        <v>1.5</v>
      </c>
      <c r="G381" s="1361">
        <v>2</v>
      </c>
      <c r="H381" s="1361">
        <v>1.5</v>
      </c>
      <c r="I381" s="1361">
        <v>2.5</v>
      </c>
      <c r="J381" s="1361">
        <v>1</v>
      </c>
      <c r="K381" s="1361">
        <v>1.3</v>
      </c>
      <c r="L381" s="1361">
        <v>1.8</v>
      </c>
      <c r="M381" s="1361">
        <v>1.7000000000000002</v>
      </c>
      <c r="N381" s="1361">
        <v>2.5</v>
      </c>
      <c r="O381" s="1361">
        <v>2</v>
      </c>
      <c r="Q381" s="1361">
        <v>2</v>
      </c>
      <c r="R381" s="1361">
        <v>1.3</v>
      </c>
      <c r="S381" s="1361">
        <v>1.3</v>
      </c>
      <c r="T381" s="1361">
        <v>1.5</v>
      </c>
      <c r="U381" s="1361">
        <v>1.5</v>
      </c>
      <c r="W381" s="1361">
        <v>1</v>
      </c>
      <c r="X381" s="1361">
        <v>2</v>
      </c>
    </row>
    <row r="382" spans="1:256" s="1361" customFormat="1" x14ac:dyDescent="0.2">
      <c r="A382" s="1357" t="s">
        <v>342</v>
      </c>
      <c r="B382" s="1358" t="s">
        <v>1256</v>
      </c>
      <c r="C382" s="1359" t="s">
        <v>1090</v>
      </c>
      <c r="D382" s="1447">
        <f>D23</f>
        <v>0.5</v>
      </c>
      <c r="E382" s="1361">
        <v>0</v>
      </c>
      <c r="F382" s="1361">
        <v>0</v>
      </c>
      <c r="G382" s="1361">
        <v>0</v>
      </c>
      <c r="H382" s="1361">
        <v>0</v>
      </c>
      <c r="I382" s="1361">
        <v>0</v>
      </c>
      <c r="J382" s="1361">
        <v>0</v>
      </c>
      <c r="K382" s="1361">
        <v>0</v>
      </c>
      <c r="L382" s="1361">
        <v>0</v>
      </c>
      <c r="M382" s="1361">
        <v>0</v>
      </c>
      <c r="N382" s="1361">
        <v>0</v>
      </c>
      <c r="O382" s="1361">
        <v>0</v>
      </c>
      <c r="Q382" s="1361">
        <v>0</v>
      </c>
      <c r="R382" s="1361">
        <v>0</v>
      </c>
      <c r="S382" s="1361">
        <v>0</v>
      </c>
      <c r="T382" s="1361">
        <v>0</v>
      </c>
      <c r="U382" s="1361">
        <v>0</v>
      </c>
      <c r="W382" s="1361">
        <v>0</v>
      </c>
      <c r="X382" s="1361">
        <v>1</v>
      </c>
    </row>
    <row r="383" spans="1:256" s="1408" customFormat="1" x14ac:dyDescent="0.2">
      <c r="A383" s="1404" t="s">
        <v>1181</v>
      </c>
      <c r="B383" s="1405" t="s">
        <v>984</v>
      </c>
      <c r="C383" s="1406" t="s">
        <v>1090</v>
      </c>
      <c r="D383" s="1441">
        <f>UMOnsBL</f>
        <v>1.9049053595595189</v>
      </c>
      <c r="E383" s="1408">
        <v>2</v>
      </c>
      <c r="F383" s="1408">
        <v>1.5</v>
      </c>
      <c r="G383" s="1408">
        <v>2</v>
      </c>
      <c r="H383" s="1408">
        <v>0.92243006703256603</v>
      </c>
      <c r="I383" s="1408">
        <v>1.5269829082231499</v>
      </c>
      <c r="J383" s="1408">
        <v>1</v>
      </c>
      <c r="K383" s="1408">
        <v>1.2986942935310499</v>
      </c>
      <c r="L383" s="1408">
        <v>1.7998882823409899</v>
      </c>
      <c r="M383" s="1408">
        <v>1.69959486184071</v>
      </c>
      <c r="N383" s="1408">
        <v>2.4992605808361601</v>
      </c>
      <c r="O383" s="1408">
        <v>2</v>
      </c>
      <c r="Q383" s="1408">
        <v>2</v>
      </c>
      <c r="R383" s="1408">
        <v>1.3</v>
      </c>
      <c r="S383" s="1408">
        <v>1.3</v>
      </c>
      <c r="T383" s="1408">
        <v>1.49798655534193</v>
      </c>
      <c r="U383" s="1408">
        <v>1.5</v>
      </c>
      <c r="W383" s="1408">
        <v>0.93619909502262411</v>
      </c>
      <c r="X383" s="1408">
        <v>2</v>
      </c>
      <c r="IO383" s="1409"/>
      <c r="IP383" s="1409"/>
      <c r="IQ383" s="1409"/>
      <c r="IR383" s="1409"/>
      <c r="IS383" s="1409"/>
      <c r="IT383" s="1409"/>
      <c r="IU383" s="1409"/>
      <c r="IV383" s="1409"/>
    </row>
    <row r="384" spans="1:256" s="1408" customFormat="1" x14ac:dyDescent="0.2">
      <c r="A384" s="1404" t="s">
        <v>938</v>
      </c>
      <c r="B384" s="1405" t="s">
        <v>1257</v>
      </c>
      <c r="C384" s="1406" t="s">
        <v>1090</v>
      </c>
      <c r="D384" s="1441">
        <f>Cuisine!C46</f>
        <v>0.38098107191190383</v>
      </c>
      <c r="IO384" s="1409"/>
      <c r="IP384" s="1409"/>
      <c r="IQ384" s="1409"/>
      <c r="IR384" s="1409"/>
      <c r="IS384" s="1409"/>
      <c r="IT384" s="1409"/>
      <c r="IU384" s="1409"/>
      <c r="IV384" s="1409"/>
    </row>
    <row r="385" spans="1:26" s="1415" customFormat="1" x14ac:dyDescent="0.2">
      <c r="A385" s="1410" t="s">
        <v>1185</v>
      </c>
      <c r="B385" s="1411" t="s">
        <v>986</v>
      </c>
      <c r="C385" s="1412" t="s">
        <v>119</v>
      </c>
      <c r="D385" s="1442">
        <f>D268</f>
        <v>385.9656314736867</v>
      </c>
      <c r="E385" s="1414">
        <v>150</v>
      </c>
      <c r="F385" s="1414">
        <v>111.523333333333</v>
      </c>
      <c r="G385" s="1414">
        <v>150</v>
      </c>
      <c r="H385" s="1414">
        <v>136.18376556622499</v>
      </c>
      <c r="I385" s="1414">
        <v>130.97723551649099</v>
      </c>
      <c r="J385" s="1414">
        <v>150</v>
      </c>
      <c r="K385" s="1414">
        <v>127.05068530899401</v>
      </c>
      <c r="L385" s="1414">
        <v>142.472175921093</v>
      </c>
      <c r="M385" s="1414">
        <v>150.62413151964</v>
      </c>
      <c r="N385" s="1414">
        <v>168.172139881221</v>
      </c>
      <c r="O385" s="1414">
        <v>150</v>
      </c>
      <c r="P385" s="1414"/>
      <c r="Q385" s="1414">
        <v>140</v>
      </c>
      <c r="R385" s="1414">
        <v>105.384615384615</v>
      </c>
      <c r="S385" s="1414">
        <v>105.384615384615</v>
      </c>
      <c r="T385" s="1414">
        <v>130.842295814371</v>
      </c>
      <c r="U385" s="1414">
        <v>130.666666666667</v>
      </c>
      <c r="V385" s="1414"/>
      <c r="W385" s="1414">
        <v>269.671271145481</v>
      </c>
      <c r="X385" s="1414">
        <v>135.24590678679201</v>
      </c>
      <c r="Y385" s="1414"/>
      <c r="Z385" s="1414"/>
    </row>
    <row r="386" spans="1:26" s="1415" customFormat="1" x14ac:dyDescent="0.2">
      <c r="A386" s="1448"/>
      <c r="B386" s="1449"/>
      <c r="C386" s="1412"/>
      <c r="D386" s="1442"/>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row>
    <row r="387" spans="1:26" x14ac:dyDescent="0.2">
      <c r="B387" s="954" t="s">
        <v>988</v>
      </c>
      <c r="C387" s="1346" t="s">
        <v>1127</v>
      </c>
      <c r="D387" s="1442">
        <f>Calcul!C100</f>
        <v>358.92</v>
      </c>
      <c r="E387" s="1450">
        <v>317.90390959637</v>
      </c>
      <c r="F387" s="1450"/>
      <c r="G387" s="1450"/>
      <c r="H387" s="1450"/>
      <c r="I387" s="1450"/>
      <c r="J387" s="1450"/>
      <c r="K387" s="1450"/>
      <c r="L387" s="1450"/>
      <c r="M387" s="1450"/>
      <c r="N387" s="1450"/>
      <c r="O387" s="1450"/>
      <c r="P387" s="1450"/>
      <c r="Q387" s="1450"/>
      <c r="R387" s="1450"/>
      <c r="S387" s="1450"/>
      <c r="T387" s="1450"/>
      <c r="U387" s="1450"/>
      <c r="V387" s="1450"/>
      <c r="W387" s="1450">
        <v>329.55</v>
      </c>
      <c r="X387" s="1450">
        <v>330.75302233908201</v>
      </c>
    </row>
    <row r="388" spans="1:26" x14ac:dyDescent="0.2">
      <c r="A388" s="1451" t="s">
        <v>1258</v>
      </c>
      <c r="B388" s="1452" t="s">
        <v>1259</v>
      </c>
      <c r="C388" s="1346" t="s">
        <v>1127</v>
      </c>
      <c r="D388" s="1442">
        <f>'Edition Vente directe - Transfo'!E13</f>
        <v>0</v>
      </c>
      <c r="E388" s="1450">
        <v>0</v>
      </c>
      <c r="F388" s="1450"/>
      <c r="G388" s="1450"/>
      <c r="H388" s="1450"/>
      <c r="I388" s="1450"/>
      <c r="J388" s="1450"/>
      <c r="K388" s="1450"/>
      <c r="L388" s="1450"/>
      <c r="M388" s="1450"/>
      <c r="N388" s="1450"/>
      <c r="O388" s="1450"/>
      <c r="P388" s="1450"/>
      <c r="Q388" s="1450"/>
      <c r="R388" s="1450"/>
      <c r="S388" s="1450"/>
      <c r="T388" s="1450"/>
      <c r="U388" s="1450"/>
      <c r="V388" s="1450"/>
      <c r="W388" s="1450">
        <v>0</v>
      </c>
      <c r="X388" s="1450">
        <v>666.96708899938506</v>
      </c>
    </row>
    <row r="389" spans="1:26" x14ac:dyDescent="0.2">
      <c r="A389" s="1451" t="s">
        <v>1260</v>
      </c>
      <c r="B389" s="1452" t="s">
        <v>990</v>
      </c>
      <c r="C389" s="1346" t="s">
        <v>1127</v>
      </c>
      <c r="D389" s="1442">
        <f>'Edition Vente directe - Transfo'!E15</f>
        <v>0</v>
      </c>
      <c r="E389" s="1450">
        <v>0</v>
      </c>
      <c r="F389" s="1450"/>
      <c r="G389" s="1450"/>
      <c r="H389" s="1450"/>
      <c r="I389" s="1450"/>
      <c r="J389" s="1450"/>
      <c r="K389" s="1450"/>
      <c r="L389" s="1450"/>
      <c r="M389" s="1450"/>
      <c r="N389" s="1450"/>
      <c r="O389" s="1450"/>
      <c r="P389" s="1450"/>
      <c r="Q389" s="1450"/>
      <c r="R389" s="1450"/>
      <c r="S389" s="1450"/>
      <c r="T389" s="1450"/>
      <c r="U389" s="1450"/>
      <c r="V389" s="1450"/>
      <c r="W389" s="1450">
        <v>0</v>
      </c>
      <c r="X389" s="1450">
        <v>385.887314155404</v>
      </c>
    </row>
    <row r="390" spans="1:26" x14ac:dyDescent="0.2">
      <c r="A390" s="1451"/>
      <c r="B390" s="1452" t="s">
        <v>746</v>
      </c>
      <c r="C390" s="1346" t="s">
        <v>1127</v>
      </c>
      <c r="D390" s="1442">
        <f>'Edition Vente directe - Transfo'!E16</f>
        <v>0</v>
      </c>
      <c r="E390" s="1450">
        <v>0</v>
      </c>
      <c r="F390" s="1450"/>
      <c r="G390" s="1450"/>
      <c r="H390" s="1450"/>
      <c r="I390" s="1450"/>
      <c r="J390" s="1450"/>
      <c r="K390" s="1450"/>
      <c r="L390" s="1450"/>
      <c r="M390" s="1450"/>
      <c r="N390" s="1450"/>
      <c r="O390" s="1450"/>
      <c r="P390" s="1450"/>
      <c r="Q390" s="1450"/>
      <c r="R390" s="1450"/>
      <c r="S390" s="1450"/>
      <c r="T390" s="1450"/>
      <c r="U390" s="1450"/>
      <c r="V390" s="1450"/>
      <c r="W390" s="1450">
        <v>0</v>
      </c>
      <c r="X390" s="1450">
        <v>13.256653216435</v>
      </c>
    </row>
    <row r="391" spans="1:26" x14ac:dyDescent="0.2">
      <c r="A391" s="1451"/>
      <c r="B391" s="1452" t="s">
        <v>747</v>
      </c>
      <c r="C391" s="1346" t="s">
        <v>1127</v>
      </c>
      <c r="D391" s="1442">
        <f>'Edition Vente directe - Transfo'!E17</f>
        <v>0</v>
      </c>
      <c r="E391" s="1450">
        <v>0</v>
      </c>
      <c r="F391" s="1450"/>
      <c r="G391" s="1450"/>
      <c r="H391" s="1450"/>
      <c r="I391" s="1450"/>
      <c r="J391" s="1450"/>
      <c r="K391" s="1450"/>
      <c r="L391" s="1450"/>
      <c r="M391" s="1450"/>
      <c r="N391" s="1450"/>
      <c r="O391" s="1450"/>
      <c r="P391" s="1450"/>
      <c r="Q391" s="1450"/>
      <c r="R391" s="1450"/>
      <c r="S391" s="1450"/>
      <c r="T391" s="1450"/>
      <c r="U391" s="1450"/>
      <c r="V391" s="1450"/>
      <c r="W391" s="1450">
        <v>0</v>
      </c>
      <c r="X391" s="1450">
        <v>20.229684509229699</v>
      </c>
    </row>
    <row r="392" spans="1:26" x14ac:dyDescent="0.2">
      <c r="A392" s="1451"/>
      <c r="B392" s="1452" t="s">
        <v>1261</v>
      </c>
      <c r="C392" s="1346" t="s">
        <v>1127</v>
      </c>
      <c r="D392" s="1442">
        <f>'Edition Vente directe - Transfo'!E18</f>
        <v>185.88352143244285</v>
      </c>
      <c r="E392" s="1450">
        <v>0</v>
      </c>
      <c r="F392" s="1450"/>
      <c r="G392" s="1450"/>
      <c r="H392" s="1450"/>
      <c r="I392" s="1450"/>
      <c r="J392" s="1450"/>
      <c r="K392" s="1450"/>
      <c r="L392" s="1450"/>
      <c r="M392" s="1450"/>
      <c r="N392" s="1450"/>
      <c r="O392" s="1450"/>
      <c r="P392" s="1450"/>
      <c r="Q392" s="1450"/>
      <c r="R392" s="1450"/>
      <c r="S392" s="1450"/>
      <c r="T392" s="1450"/>
      <c r="U392" s="1450"/>
      <c r="V392" s="1450"/>
      <c r="W392" s="1450">
        <v>0</v>
      </c>
      <c r="X392" s="1450">
        <v>0</v>
      </c>
    </row>
    <row r="393" spans="1:26" x14ac:dyDescent="0.2">
      <c r="A393" s="1451"/>
      <c r="B393" s="1452" t="s">
        <v>1262</v>
      </c>
      <c r="C393" s="1346" t="s">
        <v>1127</v>
      </c>
      <c r="D393" s="1442">
        <f>'Edition Vente directe - Transfo'!E19</f>
        <v>126.70355318350227</v>
      </c>
      <c r="E393" s="1450">
        <v>0</v>
      </c>
      <c r="F393" s="1450"/>
      <c r="G393" s="1450"/>
      <c r="H393" s="1450"/>
      <c r="I393" s="1450"/>
      <c r="J393" s="1450"/>
      <c r="K393" s="1450"/>
      <c r="L393" s="1450"/>
      <c r="M393" s="1450"/>
      <c r="N393" s="1450"/>
      <c r="O393" s="1450"/>
      <c r="P393" s="1450"/>
      <c r="Q393" s="1450"/>
      <c r="R393" s="1450"/>
      <c r="S393" s="1450"/>
      <c r="T393" s="1450"/>
      <c r="U393" s="1450"/>
      <c r="V393" s="1450"/>
      <c r="W393" s="1450">
        <v>0</v>
      </c>
      <c r="X393" s="1450">
        <v>20.885539928116</v>
      </c>
    </row>
    <row r="394" spans="1:26" x14ac:dyDescent="0.2">
      <c r="A394" s="1451"/>
      <c r="B394" s="1452" t="s">
        <v>1263</v>
      </c>
      <c r="C394" s="1346" t="s">
        <v>1127</v>
      </c>
      <c r="D394" s="1442">
        <f>'Edition Vente directe - Transfo'!E20</f>
        <v>22.063590744275356</v>
      </c>
      <c r="E394" s="1450">
        <v>0</v>
      </c>
      <c r="F394" s="1450"/>
      <c r="G394" s="1450"/>
      <c r="H394" s="1450"/>
      <c r="I394" s="1450"/>
      <c r="J394" s="1450"/>
      <c r="K394" s="1450"/>
      <c r="L394" s="1450"/>
      <c r="M394" s="1450"/>
      <c r="N394" s="1450"/>
      <c r="O394" s="1450"/>
      <c r="P394" s="1450"/>
      <c r="Q394" s="1450"/>
      <c r="R394" s="1450"/>
      <c r="S394" s="1450"/>
      <c r="T394" s="1450"/>
      <c r="U394" s="1450"/>
      <c r="V394" s="1450"/>
      <c r="W394" s="1450">
        <v>0</v>
      </c>
      <c r="X394" s="1450">
        <v>143.02783511347599</v>
      </c>
    </row>
    <row r="395" spans="1:26" x14ac:dyDescent="0.2">
      <c r="A395" s="1451"/>
      <c r="B395" s="1452" t="s">
        <v>1264</v>
      </c>
      <c r="C395" s="1346" t="s">
        <v>1127</v>
      </c>
      <c r="D395" s="1442">
        <f>'Edition Vente directe - Transfo'!E21</f>
        <v>37.116377504665223</v>
      </c>
      <c r="E395" s="1450">
        <v>0</v>
      </c>
      <c r="F395" s="1450"/>
      <c r="G395" s="1450"/>
      <c r="H395" s="1450"/>
      <c r="I395" s="1450"/>
      <c r="J395" s="1450"/>
      <c r="K395" s="1450"/>
      <c r="L395" s="1450"/>
      <c r="M395" s="1450"/>
      <c r="N395" s="1450"/>
      <c r="O395" s="1450"/>
      <c r="P395" s="1450"/>
      <c r="Q395" s="1450"/>
      <c r="R395" s="1450"/>
      <c r="S395" s="1450"/>
      <c r="T395" s="1450"/>
      <c r="U395" s="1450"/>
      <c r="V395" s="1450"/>
      <c r="W395" s="1450">
        <v>0</v>
      </c>
      <c r="X395" s="1450">
        <v>44.375110090166899</v>
      </c>
    </row>
    <row r="396" spans="1:26" x14ac:dyDescent="0.2">
      <c r="A396" s="1451"/>
      <c r="B396" s="1452" t="s">
        <v>1265</v>
      </c>
      <c r="C396" s="1346" t="s">
        <v>1127</v>
      </c>
      <c r="D396" s="1442">
        <f>'Edition Vente directe - Transfo'!E22</f>
        <v>230.23565060579094</v>
      </c>
      <c r="E396" s="1450">
        <v>0</v>
      </c>
      <c r="F396" s="1450"/>
      <c r="G396" s="1450"/>
      <c r="H396" s="1450"/>
      <c r="I396" s="1450"/>
      <c r="J396" s="1450"/>
      <c r="K396" s="1450"/>
      <c r="L396" s="1450"/>
      <c r="M396" s="1450"/>
      <c r="N396" s="1450"/>
      <c r="O396" s="1450"/>
      <c r="P396" s="1450"/>
      <c r="Q396" s="1450"/>
      <c r="R396" s="1450"/>
      <c r="S396" s="1450"/>
      <c r="T396" s="1450"/>
      <c r="U396" s="1450"/>
      <c r="V396" s="1450"/>
      <c r="W396" s="1450">
        <v>0</v>
      </c>
      <c r="X396" s="1450">
        <v>144.11249129798</v>
      </c>
    </row>
  </sheetData>
  <sheetProtection selectLockedCells="1" selectUnlockedCells="1"/>
  <mergeCells count="3">
    <mergeCell ref="A4:C4"/>
    <mergeCell ref="A5:C5"/>
    <mergeCell ref="A6:C6"/>
  </mergeCells>
  <hyperlinks>
    <hyperlink ref="A5" location="Capitalisation!A316" display="TRES UTILE :  Cellules à Copier pour alimenter la feuille &quot;Référentiel&quot;"/>
  </hyperlinks>
  <pageMargins left="0.39374999999999999" right="0.39374999999999999" top="0.39374999999999999" bottom="0.78749999999999998" header="0.51180555555555551" footer="0.39374999999999999"/>
  <pageSetup paperSize="9" firstPageNumber="0" fitToHeight="0" orientation="portrait" horizontalDpi="300" verticalDpi="300"/>
  <headerFooter alignWithMargins="0">
    <oddFooter>&amp;C&amp;8&amp;F - Feuille &amp;A - page &amp;P / &amp;N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tabSelected="1" workbookViewId="0">
      <selection activeCell="M2" sqref="M2"/>
    </sheetView>
  </sheetViews>
  <sheetFormatPr baseColWidth="10" defaultColWidth="10.7109375" defaultRowHeight="12.75" x14ac:dyDescent="0.2"/>
  <cols>
    <col min="1" max="1" width="14.28515625" customWidth="1"/>
    <col min="2" max="2" width="14" customWidth="1"/>
  </cols>
  <sheetData>
    <row r="1" spans="1:64" s="1453" customFormat="1" ht="57" x14ac:dyDescent="0.2">
      <c r="A1" s="1453" t="s">
        <v>1266</v>
      </c>
      <c r="B1" s="1453" t="s">
        <v>1267</v>
      </c>
      <c r="C1" s="1453" t="s">
        <v>1268</v>
      </c>
      <c r="D1" s="1453" t="s">
        <v>1269</v>
      </c>
      <c r="E1" s="1453" t="s">
        <v>1270</v>
      </c>
      <c r="F1" s="1453" t="s">
        <v>1271</v>
      </c>
      <c r="G1" s="1453" t="s">
        <v>1272</v>
      </c>
      <c r="H1" s="1453" t="s">
        <v>1273</v>
      </c>
      <c r="I1" s="1453" t="s">
        <v>1274</v>
      </c>
      <c r="J1" s="1453" t="s">
        <v>1275</v>
      </c>
      <c r="K1" s="1453" t="s">
        <v>1276</v>
      </c>
      <c r="L1" s="1453" t="s">
        <v>1277</v>
      </c>
      <c r="M1" s="1453" t="s">
        <v>1278</v>
      </c>
      <c r="N1" s="1453" t="s">
        <v>1279</v>
      </c>
      <c r="O1" s="1453" t="s">
        <v>1280</v>
      </c>
      <c r="P1" s="1453" t="s">
        <v>1281</v>
      </c>
      <c r="Q1" s="1453" t="s">
        <v>1282</v>
      </c>
      <c r="R1" s="1453" t="s">
        <v>1283</v>
      </c>
      <c r="S1" s="1453" t="s">
        <v>1284</v>
      </c>
      <c r="T1" s="1453" t="s">
        <v>1285</v>
      </c>
      <c r="U1" s="1453" t="s">
        <v>1286</v>
      </c>
      <c r="V1" s="1453" t="s">
        <v>1287</v>
      </c>
      <c r="W1" s="1453" t="s">
        <v>1288</v>
      </c>
      <c r="X1" s="1453" t="s">
        <v>1289</v>
      </c>
      <c r="Y1" s="1453" t="s">
        <v>1290</v>
      </c>
      <c r="Z1" s="1453" t="s">
        <v>1291</v>
      </c>
      <c r="AA1" s="1453" t="s">
        <v>1292</v>
      </c>
      <c r="AB1" s="1453" t="s">
        <v>1293</v>
      </c>
      <c r="AC1" s="1453" t="s">
        <v>1294</v>
      </c>
      <c r="AD1" s="1453" t="s">
        <v>1295</v>
      </c>
      <c r="AE1" s="1453" t="s">
        <v>1296</v>
      </c>
      <c r="AF1" s="1453" t="s">
        <v>1297</v>
      </c>
      <c r="AG1" s="1453" t="s">
        <v>1298</v>
      </c>
      <c r="AH1" s="1453" t="s">
        <v>1299</v>
      </c>
      <c r="AI1" s="1453" t="s">
        <v>1300</v>
      </c>
      <c r="AJ1" s="1453" t="s">
        <v>1301</v>
      </c>
      <c r="AK1" s="1453" t="s">
        <v>1302</v>
      </c>
      <c r="AL1" s="1453" t="s">
        <v>1303</v>
      </c>
      <c r="AM1" s="1453" t="s">
        <v>1304</v>
      </c>
      <c r="AN1" s="1453" t="s">
        <v>1305</v>
      </c>
      <c r="AO1" s="1453" t="s">
        <v>1306</v>
      </c>
      <c r="AP1" s="1453" t="s">
        <v>1307</v>
      </c>
      <c r="AQ1" s="1453" t="s">
        <v>1308</v>
      </c>
      <c r="AR1" s="1453" t="s">
        <v>1309</v>
      </c>
      <c r="AS1" s="1453" t="s">
        <v>1310</v>
      </c>
      <c r="AT1" s="1453" t="s">
        <v>1311</v>
      </c>
      <c r="AU1" s="1453" t="s">
        <v>1312</v>
      </c>
      <c r="AV1" s="1453" t="s">
        <v>1313</v>
      </c>
      <c r="AW1" s="1453" t="s">
        <v>1314</v>
      </c>
      <c r="AX1" s="1453" t="s">
        <v>1315</v>
      </c>
      <c r="AY1" s="1453" t="s">
        <v>1316</v>
      </c>
      <c r="AZ1" s="1453" t="s">
        <v>1317</v>
      </c>
      <c r="BA1" s="1453" t="s">
        <v>1318</v>
      </c>
      <c r="BB1" s="1453" t="s">
        <v>1319</v>
      </c>
      <c r="BC1" s="1453" t="s">
        <v>1320</v>
      </c>
      <c r="BD1" s="1453" t="s">
        <v>1321</v>
      </c>
      <c r="BE1" s="1453" t="s">
        <v>1322</v>
      </c>
      <c r="BF1" s="1453" t="s">
        <v>1323</v>
      </c>
      <c r="BG1" s="1453" t="s">
        <v>1324</v>
      </c>
      <c r="BH1" s="1453" t="s">
        <v>1325</v>
      </c>
      <c r="BI1" s="1453" t="s">
        <v>1326</v>
      </c>
      <c r="BJ1" s="1453" t="s">
        <v>1327</v>
      </c>
      <c r="BK1" s="1453" t="s">
        <v>1328</v>
      </c>
      <c r="BL1" s="1453" t="s">
        <v>1329</v>
      </c>
    </row>
    <row r="2" spans="1:64" x14ac:dyDescent="0.2">
      <c r="A2" t="str">
        <f>Capitalisation!D9</f>
        <v>EARL BEL EPI</v>
      </c>
      <c r="B2" s="1454">
        <f>Capitalisation!D18-12</f>
        <v>41627</v>
      </c>
      <c r="C2" s="1455" t="s">
        <v>1330</v>
      </c>
      <c r="D2" t="s">
        <v>1330</v>
      </c>
      <c r="E2" t="s">
        <v>1330</v>
      </c>
      <c r="F2">
        <f>Capitalisation!D22</f>
        <v>2.5</v>
      </c>
      <c r="G2">
        <f>Capitalisation!D23</f>
        <v>0.5</v>
      </c>
      <c r="H2">
        <v>0</v>
      </c>
      <c r="I2">
        <f>Capitalisation!D27</f>
        <v>145.5</v>
      </c>
      <c r="J2">
        <f>Capitalisation!D27-Capitalisation!D35</f>
        <v>59.2</v>
      </c>
      <c r="K2">
        <v>0</v>
      </c>
      <c r="L2">
        <v>0</v>
      </c>
      <c r="M2">
        <f>Capitalisation!D24+Capitalisation!D25</f>
        <v>110.8</v>
      </c>
      <c r="N2">
        <v>0</v>
      </c>
      <c r="O2">
        <v>0</v>
      </c>
      <c r="P2">
        <v>0</v>
      </c>
      <c r="Q2">
        <f>Capitalisation!D19*1000</f>
        <v>735228</v>
      </c>
      <c r="R2">
        <f>Calcul!B24+Calcul!B29</f>
        <v>46381</v>
      </c>
      <c r="S2">
        <f>Calcul!B14</f>
        <v>460355.03376000002</v>
      </c>
      <c r="T2">
        <f>Calcul!B35+Calcul!B38+Calcul!B42</f>
        <v>173535.5</v>
      </c>
      <c r="U2">
        <f>Calcul!B45+Calcul!B52+Calcul!B56</f>
        <v>200332</v>
      </c>
      <c r="V2">
        <f>Calcul!B59</f>
        <v>54204</v>
      </c>
      <c r="W2">
        <f>Calcul!B58</f>
        <v>19437</v>
      </c>
      <c r="X2">
        <f>Calcul!B76+Calcul!B60</f>
        <v>101745</v>
      </c>
      <c r="Y2">
        <f>Calcul!B61</f>
        <v>65757</v>
      </c>
      <c r="Z2">
        <f>Calcul!B72</f>
        <v>21000</v>
      </c>
      <c r="AA2">
        <f>Calcul!B60</f>
        <v>20141</v>
      </c>
      <c r="AB2">
        <f>Capitalisation!D19*1000</f>
        <v>735228</v>
      </c>
      <c r="AC2">
        <f>Capitalisation!D22</f>
        <v>2.5</v>
      </c>
      <c r="AD2">
        <f>Capitalisation!D23</f>
        <v>0.5</v>
      </c>
      <c r="AE2">
        <f>'Edition éleveur'!B49</f>
        <v>358.92000000000007</v>
      </c>
      <c r="AF2">
        <f>'Edition éleveur'!B50</f>
        <v>44.884035972514653</v>
      </c>
      <c r="AG2">
        <f>'Edition éleveur'!B52</f>
        <v>12.315136065719081</v>
      </c>
      <c r="AH2">
        <f>'Edition éleveur'!B53</f>
        <v>26.100664717475865</v>
      </c>
      <c r="AI2">
        <f>'Edition éleveur'!B10</f>
        <v>126.70355318350227</v>
      </c>
      <c r="AJ2">
        <f>'Edition éleveur'!B11</f>
        <v>117.23982220481267</v>
      </c>
      <c r="AK2">
        <f>'Edition éleveur'!B13</f>
        <v>22.063590744275356</v>
      </c>
      <c r="AL2">
        <f>'Edition éleveur'!B17</f>
        <v>37.116377504665223</v>
      </c>
      <c r="AM2">
        <f>'Edition éleveur'!B22</f>
        <v>90.335057409451039</v>
      </c>
      <c r="AN2">
        <f>'Edition éleveur'!B28</f>
        <v>29.575774354632625</v>
      </c>
      <c r="AO2">
        <f>'Edition éleveur'!B29</f>
        <v>47.992455824106081</v>
      </c>
      <c r="AP2">
        <f>'Edition éleveur'!B33</f>
        <v>37.485705431584762</v>
      </c>
      <c r="AQ2">
        <f>'Edition éleveur'!B34</f>
        <v>23.720496644378152</v>
      </c>
      <c r="AR2">
        <f>'Edition éleveur'!B38</f>
        <v>10.938069901761029</v>
      </c>
      <c r="AS2">
        <f>'Edition éleveur'!B40</f>
        <v>0</v>
      </c>
      <c r="AT2">
        <f>'Edition éleveur'!B39</f>
        <v>0</v>
      </c>
      <c r="AU2">
        <f>'Edition éleveur'!B41</f>
        <v>19.790990811600391</v>
      </c>
      <c r="AV2">
        <f>'Edition éleveur'!B42</f>
        <v>5.1848799529671394</v>
      </c>
      <c r="AW2">
        <f>'Edition éleveur'!B45</f>
        <v>67.952941560777447</v>
      </c>
      <c r="AX2">
        <f>'Edition éleveur'!B44</f>
        <v>56.174949871095322</v>
      </c>
      <c r="AY2">
        <f>Capitalisation!D247</f>
        <v>67.06147978621739</v>
      </c>
      <c r="AZ2">
        <f>Capitalisation!D250</f>
        <v>73.137821513744584</v>
      </c>
      <c r="BA2">
        <f>Capitalisation!D292</f>
        <v>99.976880995297236</v>
      </c>
      <c r="BB2">
        <v>0</v>
      </c>
      <c r="BC2">
        <v>0</v>
      </c>
      <c r="BD2">
        <v>0</v>
      </c>
      <c r="BE2">
        <f>'Edition éleveur'!B23</f>
        <v>26.088478989799853</v>
      </c>
      <c r="BF2">
        <f>'Edition éleveur'!B24</f>
        <v>17.604217967760945</v>
      </c>
      <c r="BG2">
        <f>'Edition éleveur'!B25</f>
        <v>15.002939925517646</v>
      </c>
      <c r="BH2">
        <f>'Edition éleveur'!B30</f>
        <v>3.3035211320583859</v>
      </c>
      <c r="BI2">
        <f>'Edition éleveur'!B31</f>
        <v>7.2032292604629324</v>
      </c>
      <c r="BJ2">
        <f>'Edition éleveur'!B32</f>
        <v>0</v>
      </c>
      <c r="BK2">
        <f>'Edition éleveur'!B18</f>
        <v>7.1746451440913575</v>
      </c>
      <c r="BL2">
        <v>0</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5"/>
  <sheetViews>
    <sheetView zoomScale="115" zoomScaleNormal="115" workbookViewId="0">
      <pane ySplit="8" topLeftCell="A18" activePane="bottomLeft" state="frozen"/>
      <selection pane="bottomLeft" activeCell="E6" sqref="E6"/>
    </sheetView>
  </sheetViews>
  <sheetFormatPr baseColWidth="10" defaultRowHeight="15" customHeight="1" x14ac:dyDescent="0.2"/>
  <cols>
    <col min="1" max="1" width="6.7109375" style="1456" customWidth="1"/>
    <col min="2" max="2" width="17" style="1457" customWidth="1"/>
    <col min="3" max="3" width="73.42578125" style="1458" customWidth="1"/>
    <col min="4" max="4" width="7.7109375" style="1459" customWidth="1"/>
    <col min="5" max="16384" width="11.42578125" style="1459"/>
  </cols>
  <sheetData>
    <row r="1" spans="1:3" s="1461" customFormat="1" ht="30" customHeight="1" x14ac:dyDescent="0.2">
      <c r="A1" s="1460"/>
    </row>
    <row r="2" spans="1:3" s="1465" customFormat="1" ht="49.5" customHeight="1" x14ac:dyDescent="0.25">
      <c r="A2" s="1462" t="s">
        <v>1331</v>
      </c>
      <c r="B2" s="1463"/>
      <c r="C2" s="1464"/>
    </row>
    <row r="3" spans="1:3" s="1465" customFormat="1" ht="12.75" customHeight="1" x14ac:dyDescent="0.2">
      <c r="A3" s="1466"/>
      <c r="B3" s="1467"/>
      <c r="C3" s="1468" t="s">
        <v>1</v>
      </c>
    </row>
    <row r="4" spans="1:3" s="1472" customFormat="1" ht="19.5" customHeight="1" x14ac:dyDescent="0.2">
      <c r="A4" s="1469"/>
      <c r="B4" s="1470"/>
      <c r="C4" s="1471">
        <f>DATEVER</f>
        <v>41760</v>
      </c>
    </row>
    <row r="5" spans="1:3" s="1475" customFormat="1" ht="12.75" customHeight="1" x14ac:dyDescent="0.2">
      <c r="A5" s="1473" t="s">
        <v>1332</v>
      </c>
      <c r="B5" s="1474"/>
    </row>
    <row r="6" spans="1:3" s="1475" customFormat="1" ht="33.75" customHeight="1" x14ac:dyDescent="0.2">
      <c r="A6" s="1581" t="s">
        <v>1333</v>
      </c>
      <c r="B6" s="1581"/>
      <c r="C6" s="1581"/>
    </row>
    <row r="7" spans="1:3" s="1479" customFormat="1" ht="12.75" customHeight="1" x14ac:dyDescent="0.2">
      <c r="A7" s="1476"/>
      <c r="B7" s="1477"/>
      <c r="C7" s="1478"/>
    </row>
    <row r="8" spans="1:3" s="1482" customFormat="1" ht="12.75" customHeight="1" x14ac:dyDescent="0.2">
      <c r="A8" s="1480" t="s">
        <v>1334</v>
      </c>
      <c r="B8" s="1480" t="s">
        <v>1335</v>
      </c>
      <c r="C8" s="1481" t="s">
        <v>1336</v>
      </c>
    </row>
    <row r="9" spans="1:3" s="1486" customFormat="1" ht="12.75" customHeight="1" x14ac:dyDescent="0.2">
      <c r="A9" s="1483"/>
      <c r="B9" s="1484" t="s">
        <v>1337</v>
      </c>
      <c r="C9" s="1485"/>
    </row>
    <row r="10" spans="1:3" s="1479" customFormat="1" ht="24" customHeight="1" x14ac:dyDescent="0.2">
      <c r="A10" s="1487" t="s">
        <v>1011</v>
      </c>
      <c r="B10" s="1488" t="s">
        <v>762</v>
      </c>
      <c r="C10" s="1489" t="s">
        <v>1338</v>
      </c>
    </row>
    <row r="11" spans="1:3" s="1479" customFormat="1" ht="36" customHeight="1" x14ac:dyDescent="0.2">
      <c r="A11" s="1490" t="s">
        <v>1012</v>
      </c>
      <c r="B11" s="1491" t="s">
        <v>666</v>
      </c>
      <c r="C11" s="1492" t="s">
        <v>1339</v>
      </c>
    </row>
    <row r="12" spans="1:3" s="1479" customFormat="1" ht="48" customHeight="1" x14ac:dyDescent="0.2">
      <c r="A12" s="1490" t="s">
        <v>1013</v>
      </c>
      <c r="B12" s="1491" t="s">
        <v>609</v>
      </c>
      <c r="C12" s="1492" t="s">
        <v>1340</v>
      </c>
    </row>
    <row r="13" spans="1:3" s="1479" customFormat="1" ht="12" customHeight="1" x14ac:dyDescent="0.2">
      <c r="A13" s="1490"/>
      <c r="B13" s="1491"/>
      <c r="C13" s="1492"/>
    </row>
    <row r="14" spans="1:3" s="1486" customFormat="1" ht="12.75" customHeight="1" x14ac:dyDescent="0.2">
      <c r="A14" s="1483"/>
      <c r="B14" s="1484" t="s">
        <v>1341</v>
      </c>
      <c r="C14" s="1485"/>
    </row>
    <row r="15" spans="1:3" s="1479" customFormat="1" ht="12" customHeight="1" x14ac:dyDescent="0.2">
      <c r="A15" s="1487" t="s">
        <v>1014</v>
      </c>
      <c r="B15" s="1488" t="s">
        <v>686</v>
      </c>
      <c r="C15" s="1489" t="s">
        <v>1342</v>
      </c>
    </row>
    <row r="16" spans="1:3" s="1479" customFormat="1" ht="24" customHeight="1" x14ac:dyDescent="0.2">
      <c r="A16" s="1490" t="s">
        <v>1015</v>
      </c>
      <c r="B16" s="1491" t="s">
        <v>1343</v>
      </c>
      <c r="C16" s="1492" t="s">
        <v>1344</v>
      </c>
    </row>
    <row r="17" spans="1:3" s="1479" customFormat="1" ht="12" customHeight="1" x14ac:dyDescent="0.2">
      <c r="A17" s="1493" t="s">
        <v>1016</v>
      </c>
      <c r="B17" s="1494" t="s">
        <v>612</v>
      </c>
      <c r="C17" s="1495"/>
    </row>
    <row r="18" spans="1:3" s="1479" customFormat="1" ht="24" customHeight="1" x14ac:dyDescent="0.2">
      <c r="A18" s="1461" t="s">
        <v>1345</v>
      </c>
      <c r="B18" s="1469" t="s">
        <v>230</v>
      </c>
      <c r="C18" s="1495" t="s">
        <v>231</v>
      </c>
    </row>
    <row r="19" spans="1:3" s="1479" customFormat="1" ht="24" customHeight="1" x14ac:dyDescent="0.2">
      <c r="A19" s="1461" t="s">
        <v>1346</v>
      </c>
      <c r="B19" s="1469" t="s">
        <v>811</v>
      </c>
      <c r="C19" s="1495" t="s">
        <v>1347</v>
      </c>
    </row>
    <row r="20" spans="1:3" s="1479" customFormat="1" ht="24" customHeight="1" x14ac:dyDescent="0.2">
      <c r="A20" s="1461" t="s">
        <v>1348</v>
      </c>
      <c r="B20" s="1469" t="s">
        <v>236</v>
      </c>
      <c r="C20" s="1495" t="s">
        <v>237</v>
      </c>
    </row>
    <row r="21" spans="1:3" s="1479" customFormat="1" ht="24" customHeight="1" x14ac:dyDescent="0.2">
      <c r="A21" s="1461" t="s">
        <v>1018</v>
      </c>
      <c r="B21" s="1469" t="s">
        <v>239</v>
      </c>
      <c r="C21" s="1495" t="s">
        <v>240</v>
      </c>
    </row>
    <row r="22" spans="1:3" s="1486" customFormat="1" ht="12.75" customHeight="1" x14ac:dyDescent="0.2">
      <c r="A22" s="1483"/>
      <c r="B22" s="1484" t="s">
        <v>614</v>
      </c>
      <c r="C22" s="1485"/>
    </row>
    <row r="23" spans="1:3" s="1479" customFormat="1" ht="12" customHeight="1" x14ac:dyDescent="0.2">
      <c r="A23" s="1487"/>
      <c r="B23" s="1488" t="s">
        <v>615</v>
      </c>
      <c r="C23" s="1489" t="s">
        <v>1349</v>
      </c>
    </row>
    <row r="24" spans="1:3" s="1479" customFormat="1" ht="24" customHeight="1" x14ac:dyDescent="0.2">
      <c r="A24" s="1490"/>
      <c r="B24" s="1491" t="s">
        <v>1350</v>
      </c>
      <c r="C24" s="1492" t="s">
        <v>1349</v>
      </c>
    </row>
    <row r="25" spans="1:3" s="1486" customFormat="1" ht="12.75" customHeight="1" x14ac:dyDescent="0.2">
      <c r="A25" s="1483"/>
      <c r="B25" s="1484" t="s">
        <v>617</v>
      </c>
      <c r="C25" s="1485"/>
    </row>
    <row r="26" spans="1:3" s="1479" customFormat="1" ht="24" customHeight="1" x14ac:dyDescent="0.2">
      <c r="A26" s="1487" t="s">
        <v>1351</v>
      </c>
      <c r="B26" s="1488" t="s">
        <v>1352</v>
      </c>
      <c r="C26" s="1489" t="s">
        <v>1353</v>
      </c>
    </row>
    <row r="27" spans="1:3" s="1479" customFormat="1" ht="24" customHeight="1" x14ac:dyDescent="0.2">
      <c r="A27" s="1490" t="s">
        <v>413</v>
      </c>
      <c r="B27" s="1491" t="s">
        <v>254</v>
      </c>
      <c r="C27" s="1492" t="s">
        <v>255</v>
      </c>
    </row>
    <row r="28" spans="1:3" s="1479" customFormat="1" ht="41.25" customHeight="1" x14ac:dyDescent="0.2">
      <c r="A28" s="1490" t="s">
        <v>1354</v>
      </c>
      <c r="B28" s="1491" t="s">
        <v>1355</v>
      </c>
      <c r="C28" s="1492" t="s">
        <v>1356</v>
      </c>
    </row>
    <row r="29" spans="1:3" s="1486" customFormat="1" ht="12.75" customHeight="1" x14ac:dyDescent="0.2">
      <c r="A29" s="1496"/>
      <c r="B29" s="1497" t="s">
        <v>1357</v>
      </c>
      <c r="C29" s="1498"/>
    </row>
    <row r="30" spans="1:3" s="1479" customFormat="1" ht="12" customHeight="1" x14ac:dyDescent="0.2">
      <c r="A30" s="1487" t="s">
        <v>1358</v>
      </c>
      <c r="B30" s="1488" t="s">
        <v>1359</v>
      </c>
      <c r="C30" s="1489" t="s">
        <v>1360</v>
      </c>
    </row>
    <row r="31" spans="1:3" s="1479" customFormat="1" ht="36" customHeight="1" x14ac:dyDescent="0.2">
      <c r="A31" s="1490" t="s">
        <v>355</v>
      </c>
      <c r="B31" s="1491" t="s">
        <v>1361</v>
      </c>
      <c r="C31" s="1492" t="s">
        <v>1362</v>
      </c>
    </row>
    <row r="32" spans="1:3" s="1479" customFormat="1" ht="24" customHeight="1" x14ac:dyDescent="0.2">
      <c r="A32" s="1490" t="s">
        <v>362</v>
      </c>
      <c r="B32" s="1491" t="s">
        <v>1363</v>
      </c>
      <c r="C32" s="1492" t="s">
        <v>1364</v>
      </c>
    </row>
    <row r="33" spans="1:3" s="1479" customFormat="1" ht="12" customHeight="1" x14ac:dyDescent="0.2">
      <c r="A33" s="1490" t="s">
        <v>1365</v>
      </c>
      <c r="B33" s="1491" t="s">
        <v>816</v>
      </c>
      <c r="C33" s="1492" t="s">
        <v>1366</v>
      </c>
    </row>
    <row r="34" spans="1:3" s="1479" customFormat="1" ht="24" customHeight="1" x14ac:dyDescent="0.2">
      <c r="A34" s="1490" t="s">
        <v>1367</v>
      </c>
      <c r="B34" s="1491" t="s">
        <v>1368</v>
      </c>
      <c r="C34" s="1492" t="s">
        <v>1369</v>
      </c>
    </row>
    <row r="35" spans="1:3" s="1479" customFormat="1" ht="12" customHeight="1" x14ac:dyDescent="0.2">
      <c r="A35" s="1490" t="s">
        <v>367</v>
      </c>
      <c r="B35" s="1491" t="s">
        <v>1370</v>
      </c>
      <c r="C35" s="1492" t="s">
        <v>1371</v>
      </c>
    </row>
    <row r="36" spans="1:3" ht="35.25" customHeight="1" x14ac:dyDescent="0.2">
      <c r="C36" s="1499"/>
    </row>
    <row r="37" spans="1:3" s="1503" customFormat="1" ht="23.25" customHeight="1" x14ac:dyDescent="0.2">
      <c r="A37" s="1500" t="s">
        <v>1372</v>
      </c>
      <c r="B37" s="1501"/>
      <c r="C37" s="1502"/>
    </row>
    <row r="38" spans="1:3" s="1505" customFormat="1" ht="24" customHeight="1" x14ac:dyDescent="0.2">
      <c r="A38" s="1582" t="s">
        <v>689</v>
      </c>
      <c r="B38" s="1582"/>
      <c r="C38" s="1504" t="s">
        <v>1373</v>
      </c>
    </row>
    <row r="39" spans="1:3" s="1505" customFormat="1" ht="21.75" customHeight="1" x14ac:dyDescent="0.2">
      <c r="A39" s="1582" t="s">
        <v>1374</v>
      </c>
      <c r="B39" s="1582"/>
      <c r="C39" s="1504" t="s">
        <v>1375</v>
      </c>
    </row>
    <row r="40" spans="1:3" s="1505" customFormat="1" ht="23.25" customHeight="1" x14ac:dyDescent="0.2">
      <c r="A40" s="1582" t="s">
        <v>686</v>
      </c>
      <c r="B40" s="1582"/>
      <c r="C40" s="1504" t="s">
        <v>1376</v>
      </c>
    </row>
    <row r="41" spans="1:3" s="1505" customFormat="1" ht="24" customHeight="1" x14ac:dyDescent="0.2">
      <c r="A41" s="1582" t="s">
        <v>684</v>
      </c>
      <c r="B41" s="1582"/>
      <c r="C41" s="1504" t="s">
        <v>1377</v>
      </c>
    </row>
    <row r="42" spans="1:3" s="1505" customFormat="1" ht="19.5" customHeight="1" x14ac:dyDescent="0.2">
      <c r="A42" s="1582" t="s">
        <v>1378</v>
      </c>
      <c r="B42" s="1582"/>
      <c r="C42" s="1504" t="s">
        <v>1379</v>
      </c>
    </row>
    <row r="43" spans="1:3" s="1505" customFormat="1" ht="23.25" customHeight="1" x14ac:dyDescent="0.2">
      <c r="A43" s="1582" t="s">
        <v>679</v>
      </c>
      <c r="B43" s="1582"/>
      <c r="C43" s="1504" t="s">
        <v>1380</v>
      </c>
    </row>
    <row r="44" spans="1:3" ht="12" customHeight="1" x14ac:dyDescent="0.2"/>
    <row r="45" spans="1:3" ht="12" customHeight="1" x14ac:dyDescent="0.2"/>
  </sheetData>
  <sheetProtection selectLockedCells="1" selectUnlockedCells="1"/>
  <mergeCells count="7">
    <mergeCell ref="A43:B43"/>
    <mergeCell ref="A6:C6"/>
    <mergeCell ref="A38:B38"/>
    <mergeCell ref="A39:B39"/>
    <mergeCell ref="A40:B40"/>
    <mergeCell ref="A41:B41"/>
    <mergeCell ref="A42:B42"/>
  </mergeCells>
  <pageMargins left="0.39374999999999999" right="0.39374999999999999" top="0.39374999999999999" bottom="0.78749999999999998" header="0.51180555555555551" footer="0.39374999999999999"/>
  <pageSetup paperSize="9" firstPageNumber="0" fitToHeight="2" orientation="portrait" horizontalDpi="300" verticalDpi="300"/>
  <headerFooter alignWithMargins="0">
    <oddFooter>&amp;C&amp;8&amp;F - Feuille &amp;A - page &amp;P / &amp;N</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5"/>
  <sheetViews>
    <sheetView zoomScale="115" zoomScaleNormal="115" workbookViewId="0">
      <pane ySplit="7" topLeftCell="A23" activePane="bottomLeft" state="frozen"/>
      <selection pane="bottomLeft" activeCell="B11" sqref="B11"/>
    </sheetView>
  </sheetViews>
  <sheetFormatPr baseColWidth="10" defaultRowHeight="14.1" customHeight="1" x14ac:dyDescent="0.2"/>
  <cols>
    <col min="1" max="1" width="33" style="1506" customWidth="1"/>
    <col min="2" max="2" width="64" style="1310" customWidth="1"/>
    <col min="3" max="16384" width="11.42578125" style="1283"/>
  </cols>
  <sheetData>
    <row r="1" spans="1:2" s="5" customFormat="1" ht="30" customHeight="1" x14ac:dyDescent="0.2">
      <c r="A1" s="6"/>
      <c r="B1" s="45"/>
    </row>
    <row r="2" spans="1:2" s="14" customFormat="1" ht="42.75" customHeight="1" x14ac:dyDescent="0.25">
      <c r="A2" s="10" t="s">
        <v>1381</v>
      </c>
      <c r="B2" s="1507"/>
    </row>
    <row r="3" spans="1:2" s="49" customFormat="1" ht="12.75" x14ac:dyDescent="0.2">
      <c r="A3" s="302"/>
      <c r="B3" s="18" t="s">
        <v>1</v>
      </c>
    </row>
    <row r="4" spans="1:2" s="20" customFormat="1" ht="16.5" customHeight="1" x14ac:dyDescent="0.2">
      <c r="A4" s="302"/>
      <c r="B4" s="18">
        <f>DATEVER</f>
        <v>41760</v>
      </c>
    </row>
    <row r="5" spans="1:2" s="49" customFormat="1" ht="41.25" customHeight="1" x14ac:dyDescent="0.2">
      <c r="A5" s="1515" t="s">
        <v>1382</v>
      </c>
      <c r="B5" s="1515"/>
    </row>
    <row r="6" spans="1:2" s="1510" customFormat="1" ht="12.75" x14ac:dyDescent="0.2">
      <c r="A6" s="1508"/>
      <c r="B6" s="1509"/>
    </row>
    <row r="7" spans="1:2" s="1512" customFormat="1" ht="12.75" x14ac:dyDescent="0.2">
      <c r="A7" s="1511" t="s">
        <v>1383</v>
      </c>
      <c r="B7" s="527" t="s">
        <v>1384</v>
      </c>
    </row>
    <row r="8" spans="1:2" s="554" customFormat="1" ht="12" x14ac:dyDescent="0.2">
      <c r="A8" s="53" t="s">
        <v>584</v>
      </c>
      <c r="B8" s="1513" t="s">
        <v>1385</v>
      </c>
    </row>
    <row r="9" spans="1:2" s="554" customFormat="1" ht="48" x14ac:dyDescent="0.2">
      <c r="A9" s="53" t="s">
        <v>1386</v>
      </c>
      <c r="B9" s="1514" t="s">
        <v>1387</v>
      </c>
    </row>
    <row r="10" spans="1:2" s="554" customFormat="1" ht="24" x14ac:dyDescent="0.2">
      <c r="A10" s="53" t="s">
        <v>1388</v>
      </c>
      <c r="B10" s="1514" t="s">
        <v>1389</v>
      </c>
    </row>
    <row r="11" spans="1:2" s="554" customFormat="1" ht="24" x14ac:dyDescent="0.2">
      <c r="A11" s="53" t="s">
        <v>1390</v>
      </c>
      <c r="B11" s="1514" t="s">
        <v>1391</v>
      </c>
    </row>
    <row r="12" spans="1:2" s="554" customFormat="1" ht="24" x14ac:dyDescent="0.2">
      <c r="A12" s="53" t="s">
        <v>1392</v>
      </c>
      <c r="B12" s="1514" t="s">
        <v>1393</v>
      </c>
    </row>
    <row r="13" spans="1:2" s="554" customFormat="1" ht="48" x14ac:dyDescent="0.2">
      <c r="A13" s="53" t="s">
        <v>811</v>
      </c>
      <c r="B13" s="1514" t="s">
        <v>1394</v>
      </c>
    </row>
    <row r="14" spans="1:2" s="554" customFormat="1" ht="36" x14ac:dyDescent="0.2">
      <c r="A14" s="53" t="s">
        <v>239</v>
      </c>
      <c r="B14" s="1514" t="s">
        <v>1395</v>
      </c>
    </row>
    <row r="15" spans="1:2" s="554" customFormat="1" ht="48" x14ac:dyDescent="0.2">
      <c r="A15" s="53" t="s">
        <v>1396</v>
      </c>
      <c r="B15" s="1514" t="s">
        <v>1397</v>
      </c>
    </row>
    <row r="16" spans="1:2" s="554" customFormat="1" ht="24" x14ac:dyDescent="0.2">
      <c r="A16" s="53" t="s">
        <v>1398</v>
      </c>
      <c r="B16" s="1514" t="s">
        <v>1399</v>
      </c>
    </row>
    <row r="17" spans="1:2" s="554" customFormat="1" ht="48" x14ac:dyDescent="0.2">
      <c r="A17" s="53" t="s">
        <v>1400</v>
      </c>
      <c r="B17" s="1514" t="s">
        <v>1401</v>
      </c>
    </row>
    <row r="18" spans="1:2" ht="36" x14ac:dyDescent="0.2">
      <c r="A18" s="53" t="s">
        <v>1402</v>
      </c>
      <c r="B18" s="1514" t="s">
        <v>1403</v>
      </c>
    </row>
    <row r="19" spans="1:2" ht="15.75" customHeight="1" x14ac:dyDescent="0.2">
      <c r="A19" s="53" t="s">
        <v>1404</v>
      </c>
      <c r="B19" s="1514" t="s">
        <v>1405</v>
      </c>
    </row>
    <row r="20" spans="1:2" ht="14.1" customHeight="1" x14ac:dyDescent="0.2">
      <c r="A20" s="53" t="s">
        <v>1406</v>
      </c>
      <c r="B20" s="1514" t="s">
        <v>1407</v>
      </c>
    </row>
    <row r="21" spans="1:2" ht="14.1" customHeight="1" x14ac:dyDescent="0.2">
      <c r="A21" s="53" t="s">
        <v>1408</v>
      </c>
      <c r="B21" s="1514" t="s">
        <v>1409</v>
      </c>
    </row>
    <row r="22" spans="1:2" ht="41.25" customHeight="1" x14ac:dyDescent="0.2">
      <c r="A22" s="53" t="s">
        <v>1410</v>
      </c>
      <c r="B22" s="1514" t="s">
        <v>1411</v>
      </c>
    </row>
    <row r="23" spans="1:2" ht="24" customHeight="1" x14ac:dyDescent="0.2">
      <c r="A23" s="53" t="s">
        <v>641</v>
      </c>
      <c r="B23" s="1514" t="s">
        <v>1412</v>
      </c>
    </row>
    <row r="24" spans="1:2" ht="36" x14ac:dyDescent="0.2">
      <c r="A24" s="53" t="s">
        <v>1413</v>
      </c>
      <c r="B24" s="1514" t="s">
        <v>1414</v>
      </c>
    </row>
    <row r="25" spans="1:2" ht="36" x14ac:dyDescent="0.2">
      <c r="A25" s="53" t="s">
        <v>1415</v>
      </c>
      <c r="B25" s="1514" t="s">
        <v>1416</v>
      </c>
    </row>
    <row r="26" spans="1:2" ht="24" x14ac:dyDescent="0.2">
      <c r="A26" s="53" t="s">
        <v>1417</v>
      </c>
      <c r="B26" s="1514" t="s">
        <v>1418</v>
      </c>
    </row>
    <row r="27" spans="1:2" ht="24" x14ac:dyDescent="0.2">
      <c r="A27" s="53" t="s">
        <v>1419</v>
      </c>
      <c r="B27" s="1514" t="s">
        <v>1420</v>
      </c>
    </row>
    <row r="28" spans="1:2" ht="14.1" customHeight="1" x14ac:dyDescent="0.2">
      <c r="A28" s="53"/>
      <c r="B28" s="1514"/>
    </row>
    <row r="29" spans="1:2" ht="14.1" customHeight="1" x14ac:dyDescent="0.2">
      <c r="A29" s="53"/>
      <c r="B29" s="1514"/>
    </row>
    <row r="30" spans="1:2" ht="14.1" customHeight="1" x14ac:dyDescent="0.2">
      <c r="A30" s="53"/>
      <c r="B30" s="1514"/>
    </row>
    <row r="31" spans="1:2" ht="14.1" customHeight="1" x14ac:dyDescent="0.2">
      <c r="A31" s="53"/>
      <c r="B31" s="1514"/>
    </row>
    <row r="32" spans="1:2" ht="14.1" customHeight="1" x14ac:dyDescent="0.2">
      <c r="A32" s="53"/>
      <c r="B32" s="1514"/>
    </row>
    <row r="33" spans="1:2" ht="14.1" customHeight="1" x14ac:dyDescent="0.2">
      <c r="A33" s="53"/>
      <c r="B33" s="1514"/>
    </row>
    <row r="34" spans="1:2" ht="14.1" customHeight="1" x14ac:dyDescent="0.2">
      <c r="A34" s="53"/>
      <c r="B34" s="1514"/>
    </row>
    <row r="35" spans="1:2" ht="14.1" customHeight="1" x14ac:dyDescent="0.2">
      <c r="A35" s="53"/>
      <c r="B35" s="1514"/>
    </row>
    <row r="36" spans="1:2" ht="14.1" customHeight="1" x14ac:dyDescent="0.2">
      <c r="A36" s="53"/>
      <c r="B36" s="1514"/>
    </row>
    <row r="37" spans="1:2" ht="14.1" customHeight="1" x14ac:dyDescent="0.2">
      <c r="A37" s="53"/>
      <c r="B37" s="1514"/>
    </row>
    <row r="38" spans="1:2" ht="14.1" customHeight="1" x14ac:dyDescent="0.2">
      <c r="A38" s="53"/>
      <c r="B38" s="1514"/>
    </row>
    <row r="39" spans="1:2" ht="14.1" customHeight="1" x14ac:dyDescent="0.2">
      <c r="A39" s="53"/>
      <c r="B39" s="1514"/>
    </row>
    <row r="40" spans="1:2" ht="14.1" customHeight="1" x14ac:dyDescent="0.2">
      <c r="A40" s="53"/>
      <c r="B40" s="1514"/>
    </row>
    <row r="41" spans="1:2" ht="14.1" customHeight="1" x14ac:dyDescent="0.2">
      <c r="A41" s="53"/>
      <c r="B41" s="1514"/>
    </row>
    <row r="42" spans="1:2" ht="14.1" customHeight="1" x14ac:dyDescent="0.2">
      <c r="A42" s="53"/>
      <c r="B42" s="1514"/>
    </row>
    <row r="43" spans="1:2" ht="14.1" customHeight="1" x14ac:dyDescent="0.2">
      <c r="A43" s="53"/>
      <c r="B43" s="1514"/>
    </row>
    <row r="44" spans="1:2" ht="14.1" customHeight="1" x14ac:dyDescent="0.2">
      <c r="A44" s="53"/>
      <c r="B44" s="1514"/>
    </row>
    <row r="45" spans="1:2" ht="14.1" customHeight="1" x14ac:dyDescent="0.2">
      <c r="A45" s="53"/>
      <c r="B45" s="1514"/>
    </row>
  </sheetData>
  <sheetProtection selectLockedCells="1" selectUnlockedCells="1"/>
  <mergeCells count="1">
    <mergeCell ref="A5:B5"/>
  </mergeCells>
  <pageMargins left="0.39374999999999999" right="0.39374999999999999" top="0.39374999999999999" bottom="0.39374999999999999" header="0.51180555555555551" footer="0.39374999999999999"/>
  <pageSetup paperSize="9" firstPageNumber="0" fitToHeight="3" orientation="portrait" horizontalDpi="300" verticalDpi="300"/>
  <headerFooter alignWithMargins="0">
    <oddFooter>&amp;C&amp;8&amp;F - Feuille &amp;A - page &amp;P /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pane ySplit="7" topLeftCell="A8" activePane="bottomLeft" state="frozen"/>
      <selection pane="bottomLeft" activeCell="E13" sqref="E13"/>
    </sheetView>
  </sheetViews>
  <sheetFormatPr baseColWidth="10" defaultRowHeight="56.25" customHeight="1" x14ac:dyDescent="0.2"/>
  <cols>
    <col min="1" max="1" width="14.42578125" style="45" customWidth="1"/>
    <col min="2" max="2" width="59.28515625" style="45" customWidth="1"/>
    <col min="3" max="3" width="23.28515625" style="45" customWidth="1"/>
    <col min="4" max="16384" width="11.42578125" style="45"/>
  </cols>
  <sheetData>
    <row r="1" spans="1:3" ht="30" customHeight="1" x14ac:dyDescent="0.2">
      <c r="A1" s="6"/>
      <c r="B1" s="8"/>
      <c r="C1" s="9"/>
    </row>
    <row r="2" spans="1:3" s="14" customFormat="1" ht="42.75" customHeight="1" x14ac:dyDescent="0.25">
      <c r="A2" s="10" t="s">
        <v>51</v>
      </c>
      <c r="B2" s="12"/>
      <c r="C2" s="13" t="s">
        <v>1</v>
      </c>
    </row>
    <row r="3" spans="1:3" s="14" customFormat="1" ht="12.75" x14ac:dyDescent="0.2">
      <c r="A3" s="15"/>
      <c r="B3" s="17"/>
      <c r="C3" s="18">
        <f>DATEVER</f>
        <v>41760</v>
      </c>
    </row>
    <row r="4" spans="1:3" s="49" customFormat="1" ht="22.5" customHeight="1" x14ac:dyDescent="0.2">
      <c r="A4" s="46" t="s">
        <v>52</v>
      </c>
      <c r="B4" s="47"/>
      <c r="C4" s="48"/>
    </row>
    <row r="5" spans="1:3" s="20" customFormat="1" ht="64.5" customHeight="1" x14ac:dyDescent="0.2">
      <c r="A5" s="1515" t="s">
        <v>53</v>
      </c>
      <c r="B5" s="1515"/>
      <c r="C5" s="1515"/>
    </row>
    <row r="6" spans="1:3" s="20" customFormat="1" ht="13.5" customHeight="1" x14ac:dyDescent="0.2">
      <c r="A6" s="1515"/>
      <c r="B6" s="1515"/>
      <c r="C6" s="1515"/>
    </row>
    <row r="7" spans="1:3" s="20" customFormat="1" ht="12.75" x14ac:dyDescent="0.2">
      <c r="A7" s="50" t="s">
        <v>54</v>
      </c>
      <c r="B7" s="51" t="s">
        <v>55</v>
      </c>
      <c r="C7" s="52" t="s">
        <v>56</v>
      </c>
    </row>
    <row r="8" spans="1:3" s="56" customFormat="1" ht="49.5" customHeight="1" x14ac:dyDescent="0.2">
      <c r="A8" s="53" t="s">
        <v>57</v>
      </c>
      <c r="B8" s="54" t="s">
        <v>2</v>
      </c>
      <c r="C8" s="55" t="s">
        <v>58</v>
      </c>
    </row>
    <row r="9" spans="1:3" s="56" customFormat="1" ht="128.25" customHeight="1" x14ac:dyDescent="0.2">
      <c r="A9" s="57" t="s">
        <v>59</v>
      </c>
      <c r="B9" s="58" t="s">
        <v>60</v>
      </c>
      <c r="C9" s="59" t="s">
        <v>61</v>
      </c>
    </row>
    <row r="10" spans="1:3" s="56" customFormat="1" ht="88.5" customHeight="1" x14ac:dyDescent="0.2">
      <c r="A10" s="57" t="s">
        <v>62</v>
      </c>
      <c r="B10" s="58" t="s">
        <v>63</v>
      </c>
      <c r="C10" s="60" t="s">
        <v>61</v>
      </c>
    </row>
    <row r="11" spans="1:3" s="56" customFormat="1" ht="53.25" customHeight="1" x14ac:dyDescent="0.2">
      <c r="A11" s="53"/>
      <c r="B11" s="61" t="s">
        <v>64</v>
      </c>
      <c r="C11" s="55"/>
    </row>
    <row r="12" spans="1:3" s="56" customFormat="1" ht="80.25" customHeight="1" x14ac:dyDescent="0.2">
      <c r="A12" s="53" t="s">
        <v>65</v>
      </c>
      <c r="B12" s="54" t="s">
        <v>66</v>
      </c>
      <c r="C12" s="60" t="s">
        <v>67</v>
      </c>
    </row>
    <row r="13" spans="1:3" s="64" customFormat="1" ht="93.75" customHeight="1" x14ac:dyDescent="0.2">
      <c r="A13" s="62" t="s">
        <v>68</v>
      </c>
      <c r="B13" s="63" t="s">
        <v>69</v>
      </c>
      <c r="C13" s="59" t="s">
        <v>70</v>
      </c>
    </row>
    <row r="14" spans="1:3" s="56" customFormat="1" ht="69" customHeight="1" x14ac:dyDescent="0.2">
      <c r="A14" s="53" t="s">
        <v>71</v>
      </c>
      <c r="B14" s="54" t="s">
        <v>72</v>
      </c>
      <c r="C14" s="55" t="s">
        <v>73</v>
      </c>
    </row>
    <row r="15" spans="1:3" s="56" customFormat="1" ht="46.5" customHeight="1" x14ac:dyDescent="0.2">
      <c r="A15" s="53" t="s">
        <v>74</v>
      </c>
      <c r="B15" s="54" t="s">
        <v>75</v>
      </c>
      <c r="C15" s="59" t="s">
        <v>76</v>
      </c>
    </row>
    <row r="16" spans="1:3" s="56" customFormat="1" ht="66.75" customHeight="1" x14ac:dyDescent="0.2">
      <c r="A16" s="53" t="s">
        <v>77</v>
      </c>
      <c r="B16" s="54" t="s">
        <v>78</v>
      </c>
      <c r="C16" s="59" t="s">
        <v>73</v>
      </c>
    </row>
    <row r="17" spans="1:3" s="56" customFormat="1" ht="84.75" customHeight="1" x14ac:dyDescent="0.2">
      <c r="A17" s="53" t="s">
        <v>79</v>
      </c>
      <c r="B17" s="54" t="s">
        <v>80</v>
      </c>
      <c r="C17" s="59" t="s">
        <v>81</v>
      </c>
    </row>
    <row r="18" spans="1:3" s="56" customFormat="1" ht="75" customHeight="1" x14ac:dyDescent="0.2">
      <c r="A18" s="53" t="s">
        <v>82</v>
      </c>
      <c r="B18" s="54" t="s">
        <v>83</v>
      </c>
      <c r="C18" s="59" t="s">
        <v>84</v>
      </c>
    </row>
    <row r="19" spans="1:3" s="56" customFormat="1" ht="125.25" customHeight="1" x14ac:dyDescent="0.2">
      <c r="A19" s="57" t="s">
        <v>85</v>
      </c>
      <c r="B19" s="58" t="s">
        <v>86</v>
      </c>
      <c r="C19" s="60" t="s">
        <v>87</v>
      </c>
    </row>
    <row r="20" spans="1:3" s="56" customFormat="1" ht="40.5" customHeight="1" x14ac:dyDescent="0.2">
      <c r="A20" s="53"/>
      <c r="B20" s="65" t="s">
        <v>88</v>
      </c>
      <c r="C20" s="55"/>
    </row>
    <row r="21" spans="1:3" s="56" customFormat="1" ht="64.5" customHeight="1" x14ac:dyDescent="0.2">
      <c r="A21" s="53" t="s">
        <v>89</v>
      </c>
      <c r="B21" s="54" t="s">
        <v>90</v>
      </c>
      <c r="C21" s="59" t="s">
        <v>91</v>
      </c>
    </row>
    <row r="22" spans="1:3" s="56" customFormat="1" ht="39.75" customHeight="1" x14ac:dyDescent="0.2">
      <c r="A22" s="53" t="s">
        <v>92</v>
      </c>
      <c r="B22" s="54" t="s">
        <v>93</v>
      </c>
      <c r="C22" s="59" t="s">
        <v>58</v>
      </c>
    </row>
    <row r="23" spans="1:3" s="56" customFormat="1" ht="40.5" customHeight="1" x14ac:dyDescent="0.2">
      <c r="A23" s="53" t="s">
        <v>94</v>
      </c>
      <c r="B23" s="54" t="s">
        <v>95</v>
      </c>
      <c r="C23" s="59" t="s">
        <v>58</v>
      </c>
    </row>
    <row r="24" spans="1:3" s="56" customFormat="1" ht="56.25" customHeight="1" x14ac:dyDescent="0.2">
      <c r="A24" s="53" t="s">
        <v>96</v>
      </c>
      <c r="B24" s="54" t="s">
        <v>97</v>
      </c>
      <c r="C24" s="59" t="s">
        <v>98</v>
      </c>
    </row>
  </sheetData>
  <sheetProtection selectLockedCells="1" selectUnlockedCells="1"/>
  <mergeCells count="2">
    <mergeCell ref="A5:C5"/>
    <mergeCell ref="A6:C6"/>
  </mergeCells>
  <pageMargins left="0.39374999999999999" right="0.39374999999999999" top="0.39374999999999999" bottom="0.78749999999999998" header="0.51180555555555551" footer="0.39374999999999999"/>
  <pageSetup paperSize="9" firstPageNumber="0" orientation="portrait" horizontalDpi="300" verticalDpi="300"/>
  <headerFooter alignWithMargins="0">
    <oddFooter>&amp;C&amp;8&amp;F - Feuille &amp;A - page &amp;P /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B1:AJ156"/>
  <sheetViews>
    <sheetView topLeftCell="A94" zoomScale="90" zoomScaleNormal="90" workbookViewId="0">
      <selection activeCell="C94" sqref="C94"/>
    </sheetView>
  </sheetViews>
  <sheetFormatPr baseColWidth="10" defaultRowHeight="14.1" customHeight="1" outlineLevelCol="1" x14ac:dyDescent="0.2"/>
  <cols>
    <col min="1" max="1" width="3.5703125" style="66" customWidth="1"/>
    <col min="2" max="2" width="38.140625" style="67" customWidth="1"/>
    <col min="3" max="3" width="11.140625" style="68" customWidth="1"/>
    <col min="4" max="4" width="10.140625" style="69" customWidth="1"/>
    <col min="5" max="5" width="40" style="70" customWidth="1"/>
    <col min="6" max="6" width="12.5703125" style="66" customWidth="1"/>
    <col min="7" max="7" width="12.5703125" style="66" customWidth="1" outlineLevel="1"/>
    <col min="8" max="8" width="12.140625" style="66" customWidth="1"/>
    <col min="9" max="9" width="12.140625" style="66" customWidth="1" outlineLevel="1"/>
    <col min="10" max="10" width="12.140625" style="66" customWidth="1"/>
    <col min="11" max="11" width="12.140625" style="66" customWidth="1" outlineLevel="1"/>
    <col min="12" max="12" width="12.140625" style="66" customWidth="1"/>
    <col min="13" max="13" width="12.140625" style="66" customWidth="1" outlineLevel="1"/>
    <col min="14" max="14" width="12.140625" style="66" customWidth="1"/>
    <col min="15" max="15" width="0" style="66" hidden="1" customWidth="1" outlineLevel="1"/>
    <col min="16" max="16" width="12.140625" style="66" customWidth="1"/>
    <col min="17" max="17" width="0" style="66" hidden="1" customWidth="1" outlineLevel="1"/>
    <col min="18" max="18" width="12.140625" style="66" customWidth="1"/>
    <col min="19" max="19" width="0" style="66" hidden="1" customWidth="1" outlineLevel="1"/>
    <col min="20" max="20" width="12.140625" style="66" customWidth="1"/>
    <col min="21" max="21" width="0" style="66" hidden="1" customWidth="1" outlineLevel="1"/>
    <col min="22" max="22" width="12.140625" style="66" customWidth="1"/>
    <col min="23" max="23" width="0" style="66" hidden="1" customWidth="1" outlineLevel="1"/>
    <col min="24" max="24" width="12.140625" style="66" customWidth="1"/>
    <col min="25" max="25" width="0" style="66" hidden="1" customWidth="1" outlineLevel="1"/>
    <col min="26" max="26" width="12.140625" style="66" customWidth="1"/>
    <col min="27" max="27" width="0" style="66" hidden="1" customWidth="1" outlineLevel="1"/>
    <col min="28" max="28" width="12.140625" style="66" customWidth="1"/>
    <col min="29" max="29" width="0" style="66" hidden="1" customWidth="1" outlineLevel="1"/>
    <col min="30" max="30" width="12.140625" style="66" customWidth="1"/>
    <col min="31" max="31" width="0" style="66" hidden="1" customWidth="1" outlineLevel="1"/>
    <col min="32" max="32" width="12.140625" style="66" customWidth="1"/>
    <col min="33" max="33" width="0" style="66" hidden="1" customWidth="1" outlineLevel="1"/>
    <col min="34" max="34" width="12.140625" style="66" customWidth="1"/>
    <col min="35" max="35" width="0" style="66" hidden="1" customWidth="1" outlineLevel="1"/>
    <col min="36" max="36" width="12.140625" style="66" customWidth="1"/>
    <col min="37" max="16384" width="11.42578125" style="66"/>
  </cols>
  <sheetData>
    <row r="1" spans="2:36" ht="30" customHeight="1" x14ac:dyDescent="0.2">
      <c r="B1" s="71"/>
    </row>
    <row r="2" spans="2:36" s="72" customFormat="1" ht="55.5" customHeight="1" x14ac:dyDescent="0.2">
      <c r="B2" s="1520" t="s">
        <v>99</v>
      </c>
      <c r="C2" s="1520"/>
      <c r="D2" s="1520"/>
      <c r="E2" s="73" t="s">
        <v>100</v>
      </c>
      <c r="H2" s="1521" t="s">
        <v>101</v>
      </c>
      <c r="I2" s="1521"/>
      <c r="J2" s="1521"/>
      <c r="K2" s="1521"/>
      <c r="L2" s="1521"/>
      <c r="M2" s="1521"/>
      <c r="N2" s="1521"/>
      <c r="O2" s="1521"/>
      <c r="P2" s="1521"/>
      <c r="Q2" s="1521"/>
      <c r="R2" s="1521"/>
      <c r="S2" s="74"/>
    </row>
    <row r="3" spans="2:36" s="72" customFormat="1" ht="12.75" x14ac:dyDescent="0.2">
      <c r="B3" s="75" t="s">
        <v>102</v>
      </c>
      <c r="C3" s="68"/>
      <c r="D3" s="69"/>
      <c r="E3" s="76">
        <f>DATEVER</f>
        <v>41760</v>
      </c>
      <c r="H3" s="1521"/>
      <c r="I3" s="1521"/>
      <c r="J3" s="1521"/>
      <c r="K3" s="1521"/>
      <c r="L3" s="1521"/>
      <c r="M3" s="1521"/>
      <c r="N3" s="1521"/>
      <c r="O3" s="1521"/>
      <c r="P3" s="1521"/>
      <c r="Q3" s="1521"/>
      <c r="R3" s="1521"/>
      <c r="S3" s="74"/>
    </row>
    <row r="4" spans="2:36" s="72" customFormat="1" ht="12.75" x14ac:dyDescent="0.2">
      <c r="B4" s="77" t="s">
        <v>103</v>
      </c>
      <c r="C4" s="68"/>
      <c r="D4" s="69"/>
      <c r="E4" s="70"/>
      <c r="H4" s="1521"/>
      <c r="I4" s="1521"/>
      <c r="J4" s="1521"/>
      <c r="K4" s="1521"/>
      <c r="L4" s="1521"/>
      <c r="M4" s="1521"/>
      <c r="N4" s="1521"/>
      <c r="O4" s="1521"/>
      <c r="P4" s="1521"/>
      <c r="Q4" s="1521"/>
      <c r="R4" s="1521"/>
      <c r="S4" s="74"/>
    </row>
    <row r="5" spans="2:36" s="72" customFormat="1" ht="14.25" customHeight="1" x14ac:dyDescent="0.2">
      <c r="C5" s="68"/>
      <c r="D5" s="69"/>
      <c r="E5" s="70"/>
      <c r="H5" s="1521"/>
      <c r="I5" s="1521"/>
      <c r="J5" s="1521"/>
      <c r="K5" s="1521"/>
      <c r="L5" s="1521"/>
      <c r="M5" s="1521"/>
      <c r="N5" s="1521"/>
      <c r="O5" s="1521"/>
      <c r="P5" s="1521"/>
      <c r="Q5" s="1521"/>
      <c r="R5" s="1521"/>
      <c r="S5" s="74"/>
    </row>
    <row r="6" spans="2:36" s="72" customFormat="1" ht="10.5" customHeight="1" x14ac:dyDescent="0.2">
      <c r="B6" s="78"/>
      <c r="C6" s="68"/>
      <c r="D6" s="69"/>
      <c r="E6" s="70"/>
      <c r="H6" s="1521"/>
      <c r="I6" s="1521"/>
      <c r="J6" s="1521"/>
      <c r="K6" s="1521"/>
      <c r="L6" s="1521"/>
      <c r="M6" s="1521"/>
      <c r="N6" s="1521"/>
      <c r="O6" s="1521"/>
      <c r="P6" s="1521"/>
      <c r="Q6" s="1521"/>
      <c r="R6" s="1521"/>
      <c r="S6" s="74"/>
    </row>
    <row r="7" spans="2:36" ht="14.25" customHeight="1" x14ac:dyDescent="0.2">
      <c r="H7" s="1521"/>
      <c r="I7" s="1521"/>
      <c r="J7" s="1521"/>
      <c r="K7" s="1521"/>
      <c r="L7" s="1521"/>
      <c r="M7" s="1521"/>
      <c r="N7" s="1521"/>
      <c r="O7" s="1521"/>
      <c r="P7" s="1521"/>
      <c r="Q7" s="1521"/>
      <c r="R7" s="1521"/>
      <c r="S7" s="79"/>
    </row>
    <row r="8" spans="2:36" s="80" customFormat="1" ht="23.25" customHeight="1" x14ac:dyDescent="0.2">
      <c r="B8" s="81"/>
      <c r="C8" s="82"/>
      <c r="D8" s="83"/>
      <c r="E8" s="84"/>
      <c r="H8" s="1521"/>
      <c r="I8" s="1521"/>
      <c r="J8" s="1521"/>
      <c r="K8" s="1521"/>
      <c r="L8" s="1521"/>
      <c r="M8" s="1521"/>
      <c r="N8" s="1521"/>
      <c r="O8" s="1521"/>
      <c r="P8" s="1521"/>
      <c r="Q8" s="1521"/>
      <c r="R8" s="1521"/>
      <c r="S8" s="79"/>
    </row>
    <row r="9" spans="2:36" ht="15" x14ac:dyDescent="0.2">
      <c r="B9" s="85" t="s">
        <v>104</v>
      </c>
      <c r="C9" s="86">
        <f>(C17*C18+SUM(C36:C49))-C108-C50-C52-C55-C58-C61-C65-C67-C70-C76-C77-C78-C79-C81-C82-C83-C85-C86-C87-C94-C97+C107</f>
        <v>85628.53376000002</v>
      </c>
      <c r="D9" s="87"/>
      <c r="E9" s="88"/>
      <c r="H9" s="1521"/>
      <c r="I9" s="1521"/>
      <c r="J9" s="1521"/>
      <c r="K9" s="1521"/>
      <c r="L9" s="1521"/>
      <c r="M9" s="1521"/>
      <c r="N9" s="1521"/>
      <c r="O9" s="1521"/>
      <c r="P9" s="1521"/>
      <c r="Q9" s="1521"/>
      <c r="R9" s="1521"/>
      <c r="S9" s="79"/>
    </row>
    <row r="10" spans="2:36" ht="25.5" x14ac:dyDescent="0.2">
      <c r="B10" s="89" t="s">
        <v>105</v>
      </c>
      <c r="C10" s="87"/>
      <c r="D10" s="87"/>
      <c r="E10" s="88"/>
      <c r="H10" s="1521"/>
      <c r="I10" s="1521"/>
      <c r="J10" s="1521"/>
      <c r="K10" s="1521"/>
      <c r="L10" s="1521"/>
      <c r="M10" s="1521"/>
      <c r="N10" s="1521"/>
      <c r="O10" s="1521"/>
      <c r="P10" s="1521"/>
      <c r="Q10" s="1521"/>
      <c r="R10" s="1521"/>
      <c r="S10" s="90"/>
    </row>
    <row r="11" spans="2:36" ht="12.75" x14ac:dyDescent="0.2">
      <c r="B11" s="91"/>
      <c r="C11" s="92"/>
      <c r="D11" s="92"/>
      <c r="E11" s="88"/>
    </row>
    <row r="12" spans="2:36" s="93" customFormat="1" ht="25.5" x14ac:dyDescent="0.2">
      <c r="B12" s="94" t="s">
        <v>106</v>
      </c>
      <c r="C12" s="95"/>
      <c r="D12" s="96" t="s">
        <v>107</v>
      </c>
      <c r="E12" s="97" t="s">
        <v>56</v>
      </c>
      <c r="F12" s="98" t="s">
        <v>108</v>
      </c>
      <c r="G12" s="99"/>
      <c r="H12" s="99"/>
      <c r="I12" s="100"/>
      <c r="J12" s="99"/>
      <c r="K12" s="100"/>
      <c r="L12" s="99"/>
      <c r="M12" s="100"/>
      <c r="N12" s="99"/>
      <c r="O12" s="100"/>
      <c r="P12" s="99"/>
      <c r="Q12" s="100"/>
      <c r="R12" s="99"/>
      <c r="S12" s="100"/>
      <c r="T12" s="99"/>
      <c r="U12" s="100"/>
      <c r="V12" s="99"/>
      <c r="W12" s="100"/>
      <c r="X12" s="99"/>
      <c r="Y12" s="100"/>
      <c r="Z12" s="99"/>
      <c r="AA12" s="100"/>
      <c r="AB12" s="99"/>
      <c r="AC12" s="100"/>
      <c r="AD12" s="99"/>
      <c r="AE12" s="100"/>
      <c r="AF12" s="99"/>
      <c r="AG12" s="100"/>
      <c r="AH12" s="99"/>
      <c r="AI12" s="100"/>
      <c r="AJ12" s="99"/>
    </row>
    <row r="13" spans="2:36" ht="24" x14ac:dyDescent="0.2">
      <c r="B13" s="101" t="s">
        <v>109</v>
      </c>
      <c r="C13" s="102" t="s">
        <v>110</v>
      </c>
      <c r="D13" s="103"/>
      <c r="E13" s="104" t="s">
        <v>111</v>
      </c>
      <c r="F13" s="105"/>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row>
    <row r="14" spans="2:36" ht="12.75" x14ac:dyDescent="0.2">
      <c r="B14" s="106" t="s">
        <v>112</v>
      </c>
      <c r="C14" s="107"/>
      <c r="D14" s="108"/>
      <c r="E14" s="109"/>
      <c r="F14" s="110"/>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row>
    <row r="15" spans="2:36" ht="12.75" x14ac:dyDescent="0.2">
      <c r="B15" s="111" t="s">
        <v>113</v>
      </c>
      <c r="C15" s="112">
        <v>2013</v>
      </c>
      <c r="D15" s="113" t="s">
        <v>114</v>
      </c>
      <c r="E15" s="114" t="s">
        <v>115</v>
      </c>
      <c r="F15" s="115"/>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row>
    <row r="16" spans="2:36" ht="12.75" x14ac:dyDescent="0.2">
      <c r="B16" s="116" t="s">
        <v>116</v>
      </c>
      <c r="C16" s="117">
        <v>41639</v>
      </c>
      <c r="D16" s="118" t="s">
        <v>117</v>
      </c>
      <c r="E16" s="119"/>
      <c r="F16" s="120"/>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row>
    <row r="17" spans="2:36" ht="33.75" x14ac:dyDescent="0.2">
      <c r="B17" s="121" t="s">
        <v>118</v>
      </c>
      <c r="C17" s="122">
        <v>735.22799999999995</v>
      </c>
      <c r="D17" s="123" t="s">
        <v>119</v>
      </c>
      <c r="E17" s="124" t="s">
        <v>120</v>
      </c>
      <c r="F17" s="125"/>
      <c r="G17" s="126"/>
      <c r="H17" s="127"/>
      <c r="I17" s="128"/>
      <c r="J17" s="127"/>
      <c r="K17" s="129"/>
      <c r="L17" s="127"/>
      <c r="M17" s="129"/>
      <c r="N17" s="130"/>
      <c r="O17" s="131"/>
      <c r="P17" s="130"/>
      <c r="Q17" s="131"/>
      <c r="R17" s="130"/>
      <c r="S17" s="131"/>
      <c r="T17" s="130"/>
      <c r="U17" s="131"/>
      <c r="V17" s="130"/>
      <c r="W17" s="131"/>
      <c r="X17" s="130"/>
      <c r="Y17" s="131"/>
      <c r="Z17" s="130"/>
      <c r="AA17" s="131"/>
      <c r="AB17" s="130"/>
      <c r="AC17" s="131"/>
      <c r="AD17" s="130"/>
      <c r="AE17" s="131"/>
      <c r="AF17" s="130"/>
      <c r="AG17" s="131"/>
      <c r="AH17" s="130"/>
      <c r="AI17" s="131"/>
      <c r="AJ17" s="130"/>
    </row>
    <row r="18" spans="2:36" ht="12.75" x14ac:dyDescent="0.2">
      <c r="B18" s="132" t="s">
        <v>121</v>
      </c>
      <c r="C18" s="133">
        <v>358.92</v>
      </c>
      <c r="D18" s="134" t="s">
        <v>122</v>
      </c>
      <c r="E18" s="135" t="s">
        <v>123</v>
      </c>
      <c r="F18" s="136" t="s">
        <v>124</v>
      </c>
      <c r="G18" s="137"/>
      <c r="H18" s="138"/>
      <c r="I18" s="139"/>
      <c r="J18" s="138"/>
      <c r="K18" s="140"/>
      <c r="L18" s="138"/>
      <c r="M18" s="140"/>
      <c r="N18" s="141"/>
      <c r="O18" s="142"/>
      <c r="P18" s="141"/>
      <c r="Q18" s="142"/>
      <c r="R18" s="141"/>
      <c r="S18" s="142"/>
      <c r="T18" s="141"/>
      <c r="U18" s="142"/>
      <c r="V18" s="141"/>
      <c r="W18" s="142"/>
      <c r="X18" s="141"/>
      <c r="Y18" s="142"/>
      <c r="Z18" s="141"/>
      <c r="AA18" s="142"/>
      <c r="AB18" s="141"/>
      <c r="AC18" s="142"/>
      <c r="AD18" s="141"/>
      <c r="AE18" s="142"/>
      <c r="AF18" s="141"/>
      <c r="AG18" s="142"/>
      <c r="AH18" s="141"/>
      <c r="AI18" s="142"/>
      <c r="AJ18" s="141"/>
    </row>
    <row r="19" spans="2:36" ht="12.75" x14ac:dyDescent="0.2">
      <c r="B19" s="143"/>
      <c r="C19" s="144"/>
      <c r="D19" s="87"/>
      <c r="E19" s="88"/>
      <c r="F19" s="145"/>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row>
    <row r="20" spans="2:36" ht="12.75" x14ac:dyDescent="0.2">
      <c r="B20" s="146" t="s">
        <v>125</v>
      </c>
      <c r="C20" s="147">
        <v>2.5</v>
      </c>
      <c r="D20" s="148"/>
      <c r="E20" s="149" t="s">
        <v>126</v>
      </c>
      <c r="F20" s="150"/>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row>
    <row r="21" spans="2:36" ht="12.75" x14ac:dyDescent="0.2">
      <c r="B21" s="132" t="s">
        <v>127</v>
      </c>
      <c r="C21" s="151">
        <v>0.5</v>
      </c>
      <c r="D21" s="134"/>
      <c r="E21" s="152"/>
      <c r="F21" s="136"/>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row>
    <row r="22" spans="2:36" ht="12.75" x14ac:dyDescent="0.2">
      <c r="B22" s="116" t="s">
        <v>128</v>
      </c>
      <c r="C22" s="122">
        <v>110.8</v>
      </c>
      <c r="D22" s="153" t="s">
        <v>129</v>
      </c>
      <c r="E22" s="119"/>
      <c r="F22" s="120"/>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row>
    <row r="23" spans="2:36" ht="12.75" x14ac:dyDescent="0.2">
      <c r="B23" s="146" t="s">
        <v>130</v>
      </c>
      <c r="C23" s="122"/>
      <c r="D23" s="154" t="s">
        <v>129</v>
      </c>
      <c r="E23" s="149"/>
      <c r="F23" s="150"/>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row>
    <row r="24" spans="2:36" ht="12.75" x14ac:dyDescent="0.2">
      <c r="B24" s="155"/>
      <c r="C24" s="156"/>
      <c r="D24" s="157"/>
      <c r="E24" s="152"/>
      <c r="F24" s="136"/>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row>
    <row r="25" spans="2:36" ht="12.75" x14ac:dyDescent="0.2">
      <c r="B25" s="116" t="s">
        <v>131</v>
      </c>
      <c r="C25" s="158">
        <v>145.5</v>
      </c>
      <c r="D25" s="153" t="s">
        <v>132</v>
      </c>
      <c r="E25" s="119" t="s">
        <v>133</v>
      </c>
      <c r="F25" s="120"/>
      <c r="G25" s="119"/>
      <c r="H25" s="119"/>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row>
    <row r="26" spans="2:36" ht="12.75" x14ac:dyDescent="0.2">
      <c r="B26" s="159" t="s">
        <v>134</v>
      </c>
      <c r="C26" s="160"/>
      <c r="D26" s="154" t="s">
        <v>132</v>
      </c>
      <c r="E26" s="149"/>
      <c r="F26" s="150"/>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row>
    <row r="27" spans="2:36" ht="12.75" x14ac:dyDescent="0.2">
      <c r="B27" s="146" t="s">
        <v>135</v>
      </c>
      <c r="C27" s="160">
        <v>25.5</v>
      </c>
      <c r="D27" s="154" t="s">
        <v>132</v>
      </c>
      <c r="E27" s="161"/>
      <c r="F27" s="162"/>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row>
    <row r="28" spans="2:36" ht="12.75" x14ac:dyDescent="0.2">
      <c r="B28" s="159" t="s">
        <v>136</v>
      </c>
      <c r="C28" s="160">
        <v>25.5</v>
      </c>
      <c r="D28" s="163" t="str">
        <f>IF(SHBL&gt;SH,"Attention SHBL&gt;SH","ha")</f>
        <v>ha</v>
      </c>
      <c r="E28" s="149" t="s">
        <v>137</v>
      </c>
      <c r="F28" s="150"/>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row>
    <row r="29" spans="2:36" ht="12.75" x14ac:dyDescent="0.2">
      <c r="B29" s="159" t="s">
        <v>138</v>
      </c>
      <c r="C29" s="164"/>
      <c r="D29" s="154"/>
      <c r="E29" s="149" t="s">
        <v>139</v>
      </c>
      <c r="F29" s="150"/>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row>
    <row r="30" spans="2:36" ht="12.75" x14ac:dyDescent="0.2">
      <c r="B30" s="146" t="s">
        <v>140</v>
      </c>
      <c r="C30" s="160">
        <v>34</v>
      </c>
      <c r="D30" s="154" t="s">
        <v>132</v>
      </c>
      <c r="E30" s="149"/>
      <c r="F30" s="150"/>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row>
    <row r="31" spans="2:36" ht="12.75" x14ac:dyDescent="0.2">
      <c r="B31" s="159" t="s">
        <v>141</v>
      </c>
      <c r="C31" s="160">
        <v>34</v>
      </c>
      <c r="D31" s="163" t="str">
        <f>IF(CFBL&gt;CF,"Attention CFBL&gt;CF","ha")</f>
        <v>ha</v>
      </c>
      <c r="E31" s="149" t="s">
        <v>137</v>
      </c>
      <c r="F31" s="150"/>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row>
    <row r="32" spans="2:36" ht="12.75" x14ac:dyDescent="0.2">
      <c r="B32" s="159" t="s">
        <v>142</v>
      </c>
      <c r="C32" s="164"/>
      <c r="D32" s="154"/>
      <c r="E32" s="149" t="s">
        <v>143</v>
      </c>
      <c r="F32" s="150"/>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row>
    <row r="33" spans="2:36" ht="12.75" x14ac:dyDescent="0.2">
      <c r="B33" s="146" t="s">
        <v>144</v>
      </c>
      <c r="C33" s="160">
        <v>86.3</v>
      </c>
      <c r="D33" s="154" t="s">
        <v>132</v>
      </c>
      <c r="E33" s="149" t="s">
        <v>145</v>
      </c>
      <c r="F33" s="150"/>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row>
    <row r="34" spans="2:36" ht="12.75" x14ac:dyDescent="0.2">
      <c r="B34" s="159" t="s">
        <v>146</v>
      </c>
      <c r="C34" s="160">
        <v>0.7</v>
      </c>
      <c r="D34" s="148" t="str">
        <f>IF(CVBL&gt;CV,"Attention CVBL&gt;CV","ha")</f>
        <v>ha</v>
      </c>
      <c r="E34" s="149"/>
      <c r="F34" s="150"/>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row>
    <row r="35" spans="2:36" s="78" customFormat="1" ht="12" x14ac:dyDescent="0.2">
      <c r="B35" s="165" t="s">
        <v>147</v>
      </c>
      <c r="C35" s="166"/>
      <c r="D35" s="167" t="str">
        <f>IF(CVBL&gt;CV,"Attention CVBL&gt;CV","ha")</f>
        <v>ha</v>
      </c>
      <c r="E35" s="168"/>
      <c r="F35" s="169"/>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row>
    <row r="36" spans="2:36" ht="67.5" x14ac:dyDescent="0.2">
      <c r="B36" s="121" t="s">
        <v>148</v>
      </c>
      <c r="C36" s="170">
        <v>33000</v>
      </c>
      <c r="D36" s="123" t="s">
        <v>149</v>
      </c>
      <c r="E36" s="124" t="s">
        <v>150</v>
      </c>
      <c r="F36" s="125" t="s">
        <v>151</v>
      </c>
      <c r="G36" s="126"/>
      <c r="H36" s="171"/>
      <c r="I36" s="172"/>
      <c r="J36" s="171"/>
      <c r="K36" s="173"/>
      <c r="L36" s="171"/>
      <c r="M36" s="173"/>
      <c r="N36" s="171"/>
      <c r="O36" s="173"/>
      <c r="P36" s="171"/>
      <c r="Q36" s="173"/>
      <c r="R36" s="174"/>
      <c r="S36" s="175"/>
      <c r="T36" s="174"/>
      <c r="U36" s="175"/>
      <c r="V36" s="174"/>
      <c r="W36" s="175"/>
      <c r="X36" s="174"/>
      <c r="Y36" s="175"/>
      <c r="Z36" s="174"/>
      <c r="AA36" s="175"/>
      <c r="AB36" s="174"/>
      <c r="AC36" s="175"/>
      <c r="AD36" s="174"/>
      <c r="AE36" s="175"/>
      <c r="AF36" s="174"/>
      <c r="AG36" s="175"/>
      <c r="AH36" s="174"/>
      <c r="AI36" s="175"/>
      <c r="AJ36" s="174"/>
    </row>
    <row r="37" spans="2:36" ht="33.75" x14ac:dyDescent="0.2">
      <c r="B37" s="176" t="s">
        <v>152</v>
      </c>
      <c r="C37" s="177">
        <f>H37+J37++L37+N37+P37+R37+T37+V37+X37+Z37+AB37+AD37+AF37+AH37+AJ37</f>
        <v>0</v>
      </c>
      <c r="D37" s="167" t="s">
        <v>149</v>
      </c>
      <c r="E37" s="178" t="s">
        <v>153</v>
      </c>
      <c r="F37" s="179" t="s">
        <v>154</v>
      </c>
      <c r="G37" s="137"/>
      <c r="H37" s="138"/>
      <c r="I37" s="139"/>
      <c r="J37" s="138"/>
      <c r="K37" s="140"/>
      <c r="L37" s="138"/>
      <c r="M37" s="140"/>
      <c r="N37" s="138"/>
      <c r="O37" s="140"/>
      <c r="P37" s="138"/>
      <c r="Q37" s="140"/>
      <c r="R37" s="141"/>
      <c r="S37" s="142"/>
      <c r="T37" s="141"/>
      <c r="U37" s="142"/>
      <c r="V37" s="141"/>
      <c r="W37" s="142"/>
      <c r="X37" s="141"/>
      <c r="Y37" s="142"/>
      <c r="Z37" s="141"/>
      <c r="AA37" s="142"/>
      <c r="AB37" s="141"/>
      <c r="AC37" s="142"/>
      <c r="AD37" s="141"/>
      <c r="AE37" s="142"/>
      <c r="AF37" s="141"/>
      <c r="AG37" s="142"/>
      <c r="AH37" s="141"/>
      <c r="AI37" s="142"/>
      <c r="AJ37" s="141"/>
    </row>
    <row r="38" spans="2:36" ht="33.75" x14ac:dyDescent="0.2">
      <c r="B38" s="121" t="s">
        <v>155</v>
      </c>
      <c r="C38" s="170">
        <v>7689</v>
      </c>
      <c r="D38" s="123" t="s">
        <v>149</v>
      </c>
      <c r="E38" s="124" t="s">
        <v>156</v>
      </c>
      <c r="F38" s="125" t="s">
        <v>157</v>
      </c>
      <c r="G38" s="126"/>
      <c r="H38" s="180"/>
      <c r="I38" s="181"/>
      <c r="J38" s="180"/>
      <c r="K38" s="182"/>
      <c r="L38" s="180"/>
      <c r="M38" s="182"/>
      <c r="N38" s="180"/>
      <c r="O38" s="182"/>
      <c r="P38" s="180"/>
      <c r="Q38" s="182"/>
      <c r="R38" s="183"/>
      <c r="S38" s="184"/>
      <c r="T38" s="183"/>
      <c r="U38" s="184"/>
      <c r="V38" s="183"/>
      <c r="W38" s="184"/>
      <c r="X38" s="183"/>
      <c r="Y38" s="184"/>
      <c r="Z38" s="183"/>
      <c r="AA38" s="184"/>
      <c r="AB38" s="183"/>
      <c r="AC38" s="184"/>
      <c r="AD38" s="183"/>
      <c r="AE38" s="184"/>
      <c r="AF38" s="183"/>
      <c r="AG38" s="184"/>
      <c r="AH38" s="183"/>
      <c r="AI38" s="184"/>
      <c r="AJ38" s="183"/>
    </row>
    <row r="39" spans="2:36" ht="12.75" x14ac:dyDescent="0.2">
      <c r="B39" s="146" t="s">
        <v>158</v>
      </c>
      <c r="C39" s="170">
        <v>107507</v>
      </c>
      <c r="D39" s="148" t="s">
        <v>149</v>
      </c>
      <c r="E39" s="149" t="s">
        <v>159</v>
      </c>
      <c r="F39" s="150" t="s">
        <v>160</v>
      </c>
      <c r="G39" s="126"/>
      <c r="H39" s="185"/>
      <c r="I39" s="186"/>
      <c r="J39" s="185"/>
      <c r="K39" s="187"/>
      <c r="L39" s="185"/>
      <c r="M39" s="187"/>
      <c r="N39" s="185"/>
      <c r="O39" s="187"/>
      <c r="P39" s="185"/>
      <c r="Q39" s="187"/>
      <c r="R39" s="188"/>
      <c r="S39" s="189"/>
      <c r="T39" s="188"/>
      <c r="U39" s="189"/>
      <c r="V39" s="188"/>
      <c r="W39" s="189"/>
      <c r="X39" s="188"/>
      <c r="Y39" s="189"/>
      <c r="Z39" s="188"/>
      <c r="AA39" s="189"/>
      <c r="AB39" s="188"/>
      <c r="AC39" s="189"/>
      <c r="AD39" s="188"/>
      <c r="AE39" s="189"/>
      <c r="AF39" s="188"/>
      <c r="AG39" s="189"/>
      <c r="AH39" s="188"/>
      <c r="AI39" s="189"/>
      <c r="AJ39" s="188"/>
    </row>
    <row r="40" spans="2:36" ht="12.75" customHeight="1" x14ac:dyDescent="0.2">
      <c r="B40" s="146" t="s">
        <v>161</v>
      </c>
      <c r="C40" s="170">
        <f>H40+J40++L40+N40+P40+R40+T40+V40+X40+Z40+AB40+AD40+AF40+AH40+AJ40</f>
        <v>0</v>
      </c>
      <c r="D40" s="148" t="s">
        <v>149</v>
      </c>
      <c r="E40" s="149" t="s">
        <v>162</v>
      </c>
      <c r="F40" s="150" t="s">
        <v>163</v>
      </c>
      <c r="G40" s="126"/>
      <c r="H40" s="185"/>
      <c r="I40" s="186"/>
      <c r="J40" s="185"/>
      <c r="K40" s="187"/>
      <c r="L40" s="185"/>
      <c r="M40" s="187"/>
      <c r="N40" s="185"/>
      <c r="O40" s="187"/>
      <c r="P40" s="185"/>
      <c r="Q40" s="187"/>
      <c r="R40" s="188"/>
      <c r="S40" s="189"/>
      <c r="T40" s="188"/>
      <c r="U40" s="189"/>
      <c r="V40" s="188"/>
      <c r="W40" s="189"/>
      <c r="X40" s="188"/>
      <c r="Y40" s="189"/>
      <c r="Z40" s="188"/>
      <c r="AA40" s="189"/>
      <c r="AB40" s="188"/>
      <c r="AC40" s="189"/>
      <c r="AD40" s="188"/>
      <c r="AE40" s="189"/>
      <c r="AF40" s="188"/>
      <c r="AG40" s="189"/>
      <c r="AH40" s="188"/>
      <c r="AI40" s="189"/>
      <c r="AJ40" s="188"/>
    </row>
    <row r="41" spans="2:36" ht="24" customHeight="1" x14ac:dyDescent="0.2">
      <c r="B41" s="132" t="s">
        <v>164</v>
      </c>
      <c r="C41" s="190">
        <v>1890</v>
      </c>
      <c r="D41" s="134" t="s">
        <v>149</v>
      </c>
      <c r="E41" s="152" t="s">
        <v>165</v>
      </c>
      <c r="F41" s="191" t="s">
        <v>166</v>
      </c>
      <c r="G41" s="137"/>
      <c r="H41" s="138"/>
      <c r="I41" s="139"/>
      <c r="J41" s="138"/>
      <c r="K41" s="140"/>
      <c r="L41" s="138"/>
      <c r="M41" s="140"/>
      <c r="N41" s="138"/>
      <c r="O41" s="140"/>
      <c r="P41" s="138"/>
      <c r="Q41" s="140"/>
      <c r="R41" s="141"/>
      <c r="S41" s="142"/>
      <c r="T41" s="141"/>
      <c r="U41" s="142"/>
      <c r="V41" s="141"/>
      <c r="W41" s="142"/>
      <c r="X41" s="141"/>
      <c r="Y41" s="142"/>
      <c r="Z41" s="141"/>
      <c r="AA41" s="142"/>
      <c r="AB41" s="141"/>
      <c r="AC41" s="142"/>
      <c r="AD41" s="141"/>
      <c r="AE41" s="142"/>
      <c r="AF41" s="141"/>
      <c r="AG41" s="142"/>
      <c r="AH41" s="141"/>
      <c r="AI41" s="142"/>
      <c r="AJ41" s="141"/>
    </row>
    <row r="42" spans="2:36" ht="12.75" x14ac:dyDescent="0.2">
      <c r="B42" s="192" t="s">
        <v>167</v>
      </c>
      <c r="C42" s="193">
        <f>H42+J42++L42+N42+P42+R42+T42+V42+X42+Z42+AB42+AD42+AF42+AH42+AJ42</f>
        <v>0</v>
      </c>
      <c r="D42" s="194" t="s">
        <v>149</v>
      </c>
      <c r="E42" s="195" t="s">
        <v>168</v>
      </c>
      <c r="F42" s="125">
        <v>7451</v>
      </c>
      <c r="G42" s="126"/>
      <c r="H42" s="180"/>
      <c r="I42" s="181"/>
      <c r="J42" s="180"/>
      <c r="K42" s="182"/>
      <c r="L42" s="180"/>
      <c r="M42" s="182"/>
      <c r="N42" s="180"/>
      <c r="O42" s="182"/>
      <c r="P42" s="180"/>
      <c r="Q42" s="182"/>
      <c r="R42" s="183"/>
      <c r="S42" s="184"/>
      <c r="T42" s="183"/>
      <c r="U42" s="184"/>
      <c r="V42" s="183"/>
      <c r="W42" s="184"/>
      <c r="X42" s="183"/>
      <c r="Y42" s="184"/>
      <c r="Z42" s="183"/>
      <c r="AA42" s="184"/>
      <c r="AB42" s="183"/>
      <c r="AC42" s="184"/>
      <c r="AD42" s="183"/>
      <c r="AE42" s="184"/>
      <c r="AF42" s="183"/>
      <c r="AG42" s="184"/>
      <c r="AH42" s="183"/>
      <c r="AI42" s="184"/>
      <c r="AJ42" s="183"/>
    </row>
    <row r="43" spans="2:36" ht="12.75" x14ac:dyDescent="0.2">
      <c r="B43" s="146" t="s">
        <v>169</v>
      </c>
      <c r="C43" s="170">
        <f>H43+J43++L43+N43+P43+R43+T43+V43+X43+Z43+AB43+AD43+AF43+AH43+AJ43</f>
        <v>0</v>
      </c>
      <c r="D43" s="148" t="s">
        <v>149</v>
      </c>
      <c r="E43" s="149" t="s">
        <v>168</v>
      </c>
      <c r="F43" s="150">
        <v>7451</v>
      </c>
      <c r="G43" s="126"/>
      <c r="H43" s="185"/>
      <c r="I43" s="186"/>
      <c r="J43" s="185"/>
      <c r="K43" s="187"/>
      <c r="L43" s="185"/>
      <c r="M43" s="187"/>
      <c r="N43" s="185"/>
      <c r="O43" s="187"/>
      <c r="P43" s="185"/>
      <c r="Q43" s="187"/>
      <c r="R43" s="188"/>
      <c r="S43" s="189"/>
      <c r="T43" s="188"/>
      <c r="U43" s="189"/>
      <c r="V43" s="188"/>
      <c r="W43" s="189"/>
      <c r="X43" s="188"/>
      <c r="Y43" s="189"/>
      <c r="Z43" s="188"/>
      <c r="AA43" s="189"/>
      <c r="AB43" s="188"/>
      <c r="AC43" s="189"/>
      <c r="AD43" s="188"/>
      <c r="AE43" s="189"/>
      <c r="AF43" s="188"/>
      <c r="AG43" s="189"/>
      <c r="AH43" s="188"/>
      <c r="AI43" s="189"/>
      <c r="AJ43" s="188"/>
    </row>
    <row r="44" spans="2:36" ht="12.75" x14ac:dyDescent="0.2">
      <c r="B44" s="146" t="s">
        <v>170</v>
      </c>
      <c r="C44" s="170">
        <f>H44+J44++L44+N44+P44+R44+T44+V44+X44+Z44+AB44+AD44+AF44+AH44+AJ44</f>
        <v>0</v>
      </c>
      <c r="D44" s="148" t="s">
        <v>149</v>
      </c>
      <c r="E44" s="149" t="s">
        <v>171</v>
      </c>
      <c r="F44" s="150">
        <v>7454</v>
      </c>
      <c r="G44" s="126"/>
      <c r="H44" s="185"/>
      <c r="I44" s="186"/>
      <c r="J44" s="185"/>
      <c r="K44" s="187"/>
      <c r="L44" s="185"/>
      <c r="M44" s="187"/>
      <c r="N44" s="185"/>
      <c r="O44" s="187"/>
      <c r="P44" s="185"/>
      <c r="Q44" s="187"/>
      <c r="R44" s="188"/>
      <c r="S44" s="189"/>
      <c r="T44" s="188"/>
      <c r="U44" s="189"/>
      <c r="V44" s="188"/>
      <c r="W44" s="189"/>
      <c r="X44" s="188"/>
      <c r="Y44" s="189"/>
      <c r="Z44" s="188"/>
      <c r="AA44" s="189"/>
      <c r="AB44" s="188"/>
      <c r="AC44" s="189"/>
      <c r="AD44" s="188"/>
      <c r="AE44" s="189"/>
      <c r="AF44" s="188"/>
      <c r="AG44" s="189"/>
      <c r="AH44" s="188"/>
      <c r="AI44" s="189"/>
      <c r="AJ44" s="188"/>
    </row>
    <row r="45" spans="2:36" ht="12.75" x14ac:dyDescent="0.2">
      <c r="B45" s="146" t="s">
        <v>172</v>
      </c>
      <c r="C45" s="170">
        <f>H45+J45++L45+N45+P45+R45+T45+V45+X45+Z45+AB45+AD45+AF45+AH45+AJ45</f>
        <v>0</v>
      </c>
      <c r="D45" s="148" t="s">
        <v>149</v>
      </c>
      <c r="E45" s="149" t="s">
        <v>168</v>
      </c>
      <c r="F45" s="150">
        <v>7454</v>
      </c>
      <c r="G45" s="126"/>
      <c r="H45" s="185"/>
      <c r="I45" s="186"/>
      <c r="J45" s="185"/>
      <c r="K45" s="187"/>
      <c r="L45" s="185"/>
      <c r="M45" s="187"/>
      <c r="N45" s="185"/>
      <c r="O45" s="187"/>
      <c r="P45" s="185"/>
      <c r="Q45" s="187"/>
      <c r="R45" s="188"/>
      <c r="S45" s="189"/>
      <c r="T45" s="188"/>
      <c r="U45" s="189"/>
      <c r="V45" s="188"/>
      <c r="W45" s="189"/>
      <c r="X45" s="188"/>
      <c r="Y45" s="189"/>
      <c r="Z45" s="188"/>
      <c r="AA45" s="189"/>
      <c r="AB45" s="188"/>
      <c r="AC45" s="189"/>
      <c r="AD45" s="188"/>
      <c r="AE45" s="189"/>
      <c r="AF45" s="188"/>
      <c r="AG45" s="189"/>
      <c r="AH45" s="188"/>
      <c r="AI45" s="189"/>
      <c r="AJ45" s="188"/>
    </row>
    <row r="46" spans="2:36" ht="12.75" x14ac:dyDescent="0.2">
      <c r="B46" s="146" t="s">
        <v>173</v>
      </c>
      <c r="C46" s="170">
        <v>46381</v>
      </c>
      <c r="D46" s="148" t="s">
        <v>149</v>
      </c>
      <c r="E46" s="149" t="s">
        <v>174</v>
      </c>
      <c r="F46" s="150">
        <v>745</v>
      </c>
      <c r="G46" s="126"/>
      <c r="H46" s="185"/>
      <c r="I46" s="186"/>
      <c r="J46" s="185"/>
      <c r="K46" s="187"/>
      <c r="L46" s="185"/>
      <c r="M46" s="187"/>
      <c r="N46" s="185"/>
      <c r="O46" s="187"/>
      <c r="P46" s="185"/>
      <c r="Q46" s="187"/>
      <c r="R46" s="188"/>
      <c r="S46" s="189"/>
      <c r="T46" s="188"/>
      <c r="U46" s="189"/>
      <c r="V46" s="188"/>
      <c r="W46" s="189"/>
      <c r="X46" s="188"/>
      <c r="Y46" s="189"/>
      <c r="Z46" s="188"/>
      <c r="AA46" s="189"/>
      <c r="AB46" s="188"/>
      <c r="AC46" s="189"/>
      <c r="AD46" s="188"/>
      <c r="AE46" s="189"/>
      <c r="AF46" s="188"/>
      <c r="AG46" s="189"/>
      <c r="AH46" s="188"/>
      <c r="AI46" s="189"/>
      <c r="AJ46" s="188"/>
    </row>
    <row r="47" spans="2:36" ht="12.75" x14ac:dyDescent="0.2">
      <c r="B47" s="146" t="s">
        <v>175</v>
      </c>
      <c r="C47" s="170">
        <f t="shared" ref="C47:C52" si="0">H47+J47++L47+N47+P47+R47+T47+V47+X47+Z47+AB47+AD47+AF47+AH47+AJ47</f>
        <v>0</v>
      </c>
      <c r="D47" s="148" t="s">
        <v>149</v>
      </c>
      <c r="E47" s="149"/>
      <c r="F47" s="150">
        <v>745</v>
      </c>
      <c r="G47" s="126"/>
      <c r="H47" s="185"/>
      <c r="I47" s="186"/>
      <c r="J47" s="185"/>
      <c r="K47" s="187"/>
      <c r="L47" s="185"/>
      <c r="M47" s="187"/>
      <c r="N47" s="185"/>
      <c r="O47" s="187"/>
      <c r="P47" s="185"/>
      <c r="Q47" s="187"/>
      <c r="R47" s="188"/>
      <c r="S47" s="189"/>
      <c r="T47" s="188"/>
      <c r="U47" s="189"/>
      <c r="V47" s="188"/>
      <c r="W47" s="189"/>
      <c r="X47" s="188"/>
      <c r="Y47" s="189"/>
      <c r="Z47" s="188"/>
      <c r="AA47" s="189"/>
      <c r="AB47" s="188"/>
      <c r="AC47" s="189"/>
      <c r="AD47" s="188"/>
      <c r="AE47" s="189"/>
      <c r="AF47" s="188"/>
      <c r="AG47" s="189"/>
      <c r="AH47" s="188"/>
      <c r="AI47" s="189"/>
      <c r="AJ47" s="188"/>
    </row>
    <row r="48" spans="2:36" ht="12.75" x14ac:dyDescent="0.2">
      <c r="B48" s="146" t="s">
        <v>176</v>
      </c>
      <c r="C48" s="170">
        <f t="shared" si="0"/>
        <v>0</v>
      </c>
      <c r="D48" s="148" t="s">
        <v>149</v>
      </c>
      <c r="E48" s="149" t="s">
        <v>177</v>
      </c>
      <c r="F48" s="150">
        <v>7454</v>
      </c>
      <c r="G48" s="126"/>
      <c r="H48" s="185"/>
      <c r="I48" s="186"/>
      <c r="J48" s="185"/>
      <c r="K48" s="187"/>
      <c r="L48" s="185"/>
      <c r="M48" s="187"/>
      <c r="N48" s="185"/>
      <c r="O48" s="187"/>
      <c r="P48" s="185"/>
      <c r="Q48" s="187"/>
      <c r="R48" s="188"/>
      <c r="S48" s="189"/>
      <c r="T48" s="188"/>
      <c r="U48" s="189"/>
      <c r="V48" s="188"/>
      <c r="W48" s="189"/>
      <c r="X48" s="188"/>
      <c r="Y48" s="189"/>
      <c r="Z48" s="188"/>
      <c r="AA48" s="189"/>
      <c r="AB48" s="188"/>
      <c r="AC48" s="189"/>
      <c r="AD48" s="188"/>
      <c r="AE48" s="189"/>
      <c r="AF48" s="188"/>
      <c r="AG48" s="189"/>
      <c r="AH48" s="188"/>
      <c r="AI48" s="189"/>
      <c r="AJ48" s="188"/>
    </row>
    <row r="49" spans="2:36" ht="12.75" x14ac:dyDescent="0.2">
      <c r="B49" s="132" t="s">
        <v>178</v>
      </c>
      <c r="C49" s="177">
        <f t="shared" si="0"/>
        <v>0</v>
      </c>
      <c r="D49" s="196" t="s">
        <v>149</v>
      </c>
      <c r="E49" s="197"/>
      <c r="F49" s="191">
        <v>745</v>
      </c>
      <c r="G49" s="137"/>
      <c r="H49" s="138"/>
      <c r="I49" s="139"/>
      <c r="J49" s="138"/>
      <c r="K49" s="140"/>
      <c r="L49" s="138"/>
      <c r="M49" s="140"/>
      <c r="N49" s="138"/>
      <c r="O49" s="140"/>
      <c r="P49" s="138"/>
      <c r="Q49" s="140"/>
      <c r="R49" s="141"/>
      <c r="S49" s="142"/>
      <c r="T49" s="141"/>
      <c r="U49" s="142"/>
      <c r="V49" s="141"/>
      <c r="W49" s="142"/>
      <c r="X49" s="141"/>
      <c r="Y49" s="142"/>
      <c r="Z49" s="141"/>
      <c r="AA49" s="142"/>
      <c r="AB49" s="141"/>
      <c r="AC49" s="142"/>
      <c r="AD49" s="141"/>
      <c r="AE49" s="142"/>
      <c r="AF49" s="141"/>
      <c r="AG49" s="142"/>
      <c r="AH49" s="141"/>
      <c r="AI49" s="142"/>
      <c r="AJ49" s="141"/>
    </row>
    <row r="50" spans="2:36" ht="22.5" x14ac:dyDescent="0.2">
      <c r="B50" s="121" t="s">
        <v>179</v>
      </c>
      <c r="C50" s="193">
        <f t="shared" si="0"/>
        <v>84637.85</v>
      </c>
      <c r="D50" s="123" t="s">
        <v>149</v>
      </c>
      <c r="E50" s="124" t="s">
        <v>180</v>
      </c>
      <c r="F50" s="125" t="s">
        <v>181</v>
      </c>
      <c r="G50" s="126"/>
      <c r="H50" s="180">
        <v>185</v>
      </c>
      <c r="I50" s="181"/>
      <c r="J50" s="180">
        <v>10672</v>
      </c>
      <c r="K50" s="182"/>
      <c r="L50" s="180">
        <v>174.6</v>
      </c>
      <c r="M50" s="182"/>
      <c r="N50" s="180">
        <v>56872</v>
      </c>
      <c r="O50" s="182"/>
      <c r="P50" s="180">
        <v>10193</v>
      </c>
      <c r="Q50" s="182"/>
      <c r="R50" s="183">
        <v>11.25</v>
      </c>
      <c r="S50" s="184"/>
      <c r="T50" s="183">
        <v>328</v>
      </c>
      <c r="U50" s="184"/>
      <c r="V50" s="183">
        <v>6982</v>
      </c>
      <c r="W50" s="184"/>
      <c r="X50" s="183">
        <v>-780</v>
      </c>
      <c r="Y50" s="184"/>
      <c r="Z50" s="183"/>
      <c r="AA50" s="184"/>
      <c r="AB50" s="183"/>
      <c r="AC50" s="184"/>
      <c r="AD50" s="183"/>
      <c r="AE50" s="184"/>
      <c r="AF50" s="183"/>
      <c r="AG50" s="184"/>
      <c r="AH50" s="183"/>
      <c r="AI50" s="184"/>
      <c r="AJ50" s="183"/>
    </row>
    <row r="51" spans="2:36" ht="12.75" x14ac:dyDescent="0.2">
      <c r="B51" s="159" t="s">
        <v>182</v>
      </c>
      <c r="C51" s="170">
        <f t="shared" si="0"/>
        <v>86198</v>
      </c>
      <c r="D51" s="148" t="s">
        <v>149</v>
      </c>
      <c r="E51" s="198"/>
      <c r="F51" s="199"/>
      <c r="G51" s="200"/>
      <c r="H51" s="185">
        <v>86198</v>
      </c>
      <c r="I51" s="186"/>
      <c r="J51" s="185"/>
      <c r="K51" s="187"/>
      <c r="L51" s="185"/>
      <c r="M51" s="187"/>
      <c r="N51" s="185"/>
      <c r="O51" s="187"/>
      <c r="P51" s="185"/>
      <c r="Q51" s="187"/>
      <c r="R51" s="201"/>
      <c r="S51" s="202"/>
      <c r="T51" s="201"/>
      <c r="U51" s="202"/>
      <c r="V51" s="201"/>
      <c r="W51" s="202"/>
      <c r="X51" s="201"/>
      <c r="Y51" s="202"/>
      <c r="Z51" s="201"/>
      <c r="AA51" s="202"/>
      <c r="AB51" s="201"/>
      <c r="AC51" s="202"/>
      <c r="AD51" s="201"/>
      <c r="AE51" s="202"/>
      <c r="AF51" s="201"/>
      <c r="AG51" s="202"/>
      <c r="AH51" s="201"/>
      <c r="AI51" s="202"/>
      <c r="AJ51" s="201"/>
    </row>
    <row r="52" spans="2:36" ht="22.5" x14ac:dyDescent="0.2">
      <c r="B52" s="146" t="s">
        <v>183</v>
      </c>
      <c r="C52" s="170">
        <f t="shared" si="0"/>
        <v>6958</v>
      </c>
      <c r="D52" s="148" t="s">
        <v>149</v>
      </c>
      <c r="E52" s="149" t="s">
        <v>184</v>
      </c>
      <c r="F52" s="150" t="s">
        <v>185</v>
      </c>
      <c r="G52" s="126"/>
      <c r="H52" s="185">
        <v>6958</v>
      </c>
      <c r="I52" s="186"/>
      <c r="J52" s="185"/>
      <c r="K52" s="187"/>
      <c r="L52" s="185"/>
      <c r="M52" s="187"/>
      <c r="N52" s="185"/>
      <c r="O52" s="187"/>
      <c r="P52" s="185"/>
      <c r="Q52" s="187"/>
      <c r="R52" s="188"/>
      <c r="S52" s="189"/>
      <c r="T52" s="188"/>
      <c r="U52" s="189"/>
      <c r="V52" s="188"/>
      <c r="W52" s="189"/>
      <c r="X52" s="188"/>
      <c r="Y52" s="189"/>
      <c r="Z52" s="188"/>
      <c r="AA52" s="189"/>
      <c r="AB52" s="188"/>
      <c r="AC52" s="189"/>
      <c r="AD52" s="188"/>
      <c r="AE52" s="189"/>
      <c r="AF52" s="188"/>
      <c r="AG52" s="189"/>
      <c r="AH52" s="188"/>
      <c r="AI52" s="189"/>
      <c r="AJ52" s="188"/>
    </row>
    <row r="53" spans="2:36" ht="12.75" x14ac:dyDescent="0.2">
      <c r="B53" s="155" t="s">
        <v>182</v>
      </c>
      <c r="C53" s="203">
        <v>6958</v>
      </c>
      <c r="D53" s="204" t="str">
        <f>IF(ACFOUBL&gt;ACFOU,"Attention ACFOUBL&gt;ACFOU","€")</f>
        <v>€</v>
      </c>
      <c r="E53" s="205" t="s">
        <v>186</v>
      </c>
      <c r="F53" s="206"/>
      <c r="G53" s="207"/>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c r="AE53" s="205"/>
      <c r="AF53" s="205"/>
      <c r="AG53" s="205"/>
      <c r="AH53" s="205"/>
      <c r="AI53" s="205"/>
      <c r="AJ53" s="205"/>
    </row>
    <row r="54" spans="2:36" ht="12.75" x14ac:dyDescent="0.2">
      <c r="B54" s="208"/>
      <c r="C54" s="209"/>
      <c r="D54" s="103" t="s">
        <v>149</v>
      </c>
      <c r="E54" s="104"/>
      <c r="F54" s="105"/>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row>
    <row r="55" spans="2:36" ht="22.5" x14ac:dyDescent="0.2">
      <c r="B55" s="192" t="s">
        <v>187</v>
      </c>
      <c r="C55" s="170">
        <f>H55+J55++L55+N55+P55+R55+T55+V55+X55+Z55+AB55+AD55+AF55+AH55+AJ55</f>
        <v>26738</v>
      </c>
      <c r="D55" s="194" t="s">
        <v>149</v>
      </c>
      <c r="E55" s="195"/>
      <c r="F55" s="210" t="s">
        <v>188</v>
      </c>
      <c r="G55" s="126"/>
      <c r="H55" s="185">
        <v>34885</v>
      </c>
      <c r="I55" s="186"/>
      <c r="J55" s="185">
        <v>-8147</v>
      </c>
      <c r="K55" s="187"/>
      <c r="L55" s="185"/>
      <c r="M55" s="187"/>
      <c r="N55" s="185"/>
      <c r="O55" s="187"/>
      <c r="P55" s="185"/>
      <c r="Q55" s="187"/>
      <c r="R55" s="185"/>
      <c r="S55" s="187"/>
      <c r="T55" s="188"/>
      <c r="U55" s="189"/>
      <c r="V55" s="188"/>
      <c r="W55" s="189"/>
      <c r="X55" s="188"/>
      <c r="Y55" s="189"/>
      <c r="Z55" s="188"/>
      <c r="AA55" s="189"/>
      <c r="AB55" s="188"/>
      <c r="AC55" s="189"/>
      <c r="AD55" s="188"/>
      <c r="AE55" s="189"/>
      <c r="AF55" s="188"/>
      <c r="AG55" s="189"/>
      <c r="AH55" s="188"/>
      <c r="AI55" s="189"/>
      <c r="AJ55" s="188"/>
    </row>
    <row r="56" spans="2:36" ht="12.75" x14ac:dyDescent="0.2">
      <c r="B56" s="159" t="s">
        <v>189</v>
      </c>
      <c r="C56" s="211"/>
      <c r="D56" s="148" t="s">
        <v>149</v>
      </c>
      <c r="E56" s="198" t="s">
        <v>186</v>
      </c>
      <c r="F56" s="199"/>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row>
    <row r="57" spans="2:36" ht="12.75" x14ac:dyDescent="0.2">
      <c r="B57" s="159" t="s">
        <v>190</v>
      </c>
      <c r="C57" s="211"/>
      <c r="D57" s="213" t="str">
        <f>IF(ENGACF+ENGASH&gt;ENGA,"Attention ENGACF+ENGASH&gt;ENGA","€")</f>
        <v>€</v>
      </c>
      <c r="E57" s="198" t="s">
        <v>186</v>
      </c>
      <c r="F57" s="199"/>
      <c r="G57" s="198"/>
      <c r="H57" s="198"/>
      <c r="I57" s="198"/>
      <c r="J57" s="198"/>
      <c r="K57" s="198"/>
      <c r="L57" s="198"/>
      <c r="M57" s="198"/>
      <c r="N57" s="198"/>
      <c r="O57" s="198"/>
      <c r="P57" s="198"/>
      <c r="Q57" s="198"/>
      <c r="R57" s="198"/>
      <c r="S57" s="198"/>
      <c r="T57" s="198"/>
      <c r="U57" s="198"/>
      <c r="V57" s="198"/>
      <c r="W57" s="198"/>
      <c r="X57" s="198"/>
      <c r="Y57" s="198"/>
      <c r="Z57" s="198"/>
      <c r="AA57" s="198"/>
      <c r="AB57" s="198"/>
      <c r="AC57" s="198"/>
      <c r="AD57" s="198"/>
      <c r="AE57" s="198"/>
      <c r="AF57" s="198"/>
      <c r="AG57" s="198"/>
      <c r="AH57" s="198"/>
      <c r="AI57" s="198"/>
      <c r="AJ57" s="198"/>
    </row>
    <row r="58" spans="2:36" ht="22.5" x14ac:dyDescent="0.2">
      <c r="B58" s="146" t="s">
        <v>191</v>
      </c>
      <c r="C58" s="170">
        <f>H58+J58++L58+N58+P58+R58+T58+V58+X58+Z58+AB58+AD58+AF58+AH58+AJ58</f>
        <v>11142</v>
      </c>
      <c r="D58" s="148" t="s">
        <v>149</v>
      </c>
      <c r="E58" s="149"/>
      <c r="F58" s="150" t="s">
        <v>192</v>
      </c>
      <c r="G58" s="126"/>
      <c r="H58" s="185">
        <v>102</v>
      </c>
      <c r="I58" s="186"/>
      <c r="J58" s="185">
        <v>10730</v>
      </c>
      <c r="K58" s="187"/>
      <c r="L58" s="185">
        <v>310</v>
      </c>
      <c r="M58" s="187"/>
      <c r="N58" s="185"/>
      <c r="O58" s="187"/>
      <c r="P58" s="185"/>
      <c r="Q58" s="187"/>
      <c r="R58" s="185"/>
      <c r="S58" s="187"/>
      <c r="T58" s="188"/>
      <c r="U58" s="189"/>
      <c r="V58" s="188"/>
      <c r="W58" s="189"/>
      <c r="X58" s="188"/>
      <c r="Y58" s="189"/>
      <c r="Z58" s="188"/>
      <c r="AA58" s="189"/>
      <c r="AB58" s="188"/>
      <c r="AC58" s="189"/>
      <c r="AD58" s="188"/>
      <c r="AE58" s="189"/>
      <c r="AF58" s="188"/>
      <c r="AG58" s="189"/>
      <c r="AH58" s="188"/>
      <c r="AI58" s="189"/>
      <c r="AJ58" s="188"/>
    </row>
    <row r="59" spans="2:36" ht="12.75" x14ac:dyDescent="0.2">
      <c r="B59" s="159" t="s">
        <v>189</v>
      </c>
      <c r="C59" s="211"/>
      <c r="D59" s="148" t="s">
        <v>149</v>
      </c>
      <c r="E59" s="198" t="s">
        <v>186</v>
      </c>
      <c r="F59" s="199"/>
      <c r="G59" s="198"/>
      <c r="H59" s="198"/>
      <c r="I59" s="198"/>
      <c r="J59" s="198"/>
      <c r="K59" s="198"/>
      <c r="L59" s="198"/>
      <c r="M59" s="198"/>
      <c r="N59" s="198"/>
      <c r="O59" s="198"/>
      <c r="P59" s="198"/>
      <c r="Q59" s="198"/>
      <c r="R59" s="198"/>
      <c r="S59" s="198"/>
      <c r="T59" s="198"/>
      <c r="U59" s="198"/>
      <c r="V59" s="198"/>
      <c r="W59" s="198"/>
      <c r="X59" s="198"/>
      <c r="Y59" s="198"/>
      <c r="Z59" s="198"/>
      <c r="AA59" s="198"/>
      <c r="AB59" s="198"/>
      <c r="AC59" s="198"/>
      <c r="AD59" s="198"/>
      <c r="AE59" s="198"/>
      <c r="AF59" s="198"/>
      <c r="AG59" s="198"/>
      <c r="AH59" s="198"/>
      <c r="AI59" s="198"/>
      <c r="AJ59" s="198"/>
    </row>
    <row r="60" spans="2:36" ht="12.75" x14ac:dyDescent="0.2">
      <c r="B60" s="159" t="s">
        <v>190</v>
      </c>
      <c r="C60" s="211"/>
      <c r="D60" s="213" t="str">
        <f>IF(SEMCF+SEMSH&gt;SEM,"Attention SEMCF+SEMSH&gt;SEM","€")</f>
        <v>€</v>
      </c>
      <c r="E60" s="198" t="s">
        <v>186</v>
      </c>
      <c r="F60" s="199"/>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AG60" s="198"/>
      <c r="AH60" s="198"/>
      <c r="AI60" s="198"/>
      <c r="AJ60" s="198"/>
    </row>
    <row r="61" spans="2:36" ht="67.5" x14ac:dyDescent="0.2">
      <c r="B61" s="146" t="s">
        <v>193</v>
      </c>
      <c r="C61" s="170">
        <f>H61+J61++L61+N61+P61+R61+T61+V61+X61+Z61+AB61+AD61+AF61+AH61+AJ61</f>
        <v>16049.4</v>
      </c>
      <c r="D61" s="148" t="s">
        <v>149</v>
      </c>
      <c r="E61" s="149" t="s">
        <v>194</v>
      </c>
      <c r="F61" s="150" t="s">
        <v>195</v>
      </c>
      <c r="G61" s="126"/>
      <c r="H61" s="185">
        <v>15715</v>
      </c>
      <c r="I61" s="186"/>
      <c r="J61" s="185">
        <v>158.4</v>
      </c>
      <c r="K61" s="187"/>
      <c r="L61" s="185">
        <v>448</v>
      </c>
      <c r="M61" s="187"/>
      <c r="N61" s="185">
        <v>-272</v>
      </c>
      <c r="O61" s="187"/>
      <c r="P61" s="185"/>
      <c r="Q61" s="187"/>
      <c r="R61" s="185"/>
      <c r="S61" s="187"/>
      <c r="T61" s="185"/>
      <c r="U61" s="187"/>
      <c r="V61" s="185"/>
      <c r="W61" s="187"/>
      <c r="X61" s="188"/>
      <c r="Y61" s="189"/>
      <c r="Z61" s="188"/>
      <c r="AA61" s="189"/>
      <c r="AB61" s="188"/>
      <c r="AC61" s="189"/>
      <c r="AD61" s="188"/>
      <c r="AE61" s="189"/>
      <c r="AF61" s="188"/>
      <c r="AG61" s="189"/>
      <c r="AH61" s="188"/>
      <c r="AI61" s="189"/>
      <c r="AJ61" s="188"/>
    </row>
    <row r="62" spans="2:36" ht="12.75" x14ac:dyDescent="0.2">
      <c r="B62" s="159" t="s">
        <v>189</v>
      </c>
      <c r="C62" s="211"/>
      <c r="D62" s="148" t="s">
        <v>149</v>
      </c>
      <c r="E62" s="198" t="s">
        <v>186</v>
      </c>
      <c r="F62" s="199"/>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AG62" s="198"/>
      <c r="AH62" s="198"/>
      <c r="AI62" s="198"/>
      <c r="AJ62" s="198"/>
    </row>
    <row r="63" spans="2:36" ht="12.75" x14ac:dyDescent="0.2">
      <c r="B63" s="155" t="s">
        <v>190</v>
      </c>
      <c r="C63" s="203"/>
      <c r="D63" s="204" t="str">
        <f>IF(ACVEGCF+ACVEGSH&gt;ACVEG,"Attention ACVEGCF+ACVEGSH&gt;ACVEG","€")</f>
        <v>€</v>
      </c>
      <c r="E63" s="205" t="s">
        <v>186</v>
      </c>
      <c r="F63" s="206"/>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c r="AE63" s="205"/>
      <c r="AF63" s="205"/>
      <c r="AG63" s="205"/>
      <c r="AH63" s="205"/>
      <c r="AI63" s="205"/>
      <c r="AJ63" s="205"/>
    </row>
    <row r="64" spans="2:36" ht="12.75" x14ac:dyDescent="0.2">
      <c r="B64" s="208"/>
      <c r="C64" s="209"/>
      <c r="D64" s="103"/>
      <c r="E64" s="104"/>
      <c r="F64" s="105"/>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row>
    <row r="65" spans="2:36" ht="22.5" x14ac:dyDescent="0.2">
      <c r="B65" s="192" t="s">
        <v>196</v>
      </c>
      <c r="C65" s="170">
        <f>H65+J65++L65+N65+P65+R65+T65+V65+X65+Z65+AB65+AD65+AF65+AH65+AJ65</f>
        <v>5996</v>
      </c>
      <c r="D65" s="194" t="s">
        <v>149</v>
      </c>
      <c r="E65" s="195" t="s">
        <v>197</v>
      </c>
      <c r="F65" s="210" t="s">
        <v>198</v>
      </c>
      <c r="G65" s="126"/>
      <c r="H65" s="185">
        <v>3837</v>
      </c>
      <c r="I65" s="186"/>
      <c r="J65" s="185"/>
      <c r="K65" s="187"/>
      <c r="L65" s="185">
        <v>2148</v>
      </c>
      <c r="M65" s="187"/>
      <c r="N65" s="185">
        <v>11</v>
      </c>
      <c r="O65" s="187"/>
      <c r="P65" s="185"/>
      <c r="Q65" s="187"/>
      <c r="R65" s="214"/>
      <c r="S65" s="215"/>
      <c r="T65" s="216"/>
      <c r="U65" s="217"/>
      <c r="V65" s="188"/>
      <c r="W65" s="189"/>
      <c r="X65" s="188"/>
      <c r="Y65" s="189"/>
      <c r="Z65" s="188"/>
      <c r="AA65" s="189"/>
      <c r="AB65" s="188"/>
      <c r="AC65" s="189"/>
      <c r="AD65" s="188"/>
      <c r="AE65" s="189"/>
      <c r="AF65" s="188"/>
      <c r="AG65" s="189"/>
      <c r="AH65" s="188"/>
      <c r="AI65" s="189"/>
      <c r="AJ65" s="188"/>
    </row>
    <row r="66" spans="2:36" ht="12.75" x14ac:dyDescent="0.2">
      <c r="B66" s="159" t="s">
        <v>199</v>
      </c>
      <c r="C66" s="211">
        <v>5275</v>
      </c>
      <c r="D66" s="213" t="str">
        <f>IF(FELVBL&gt;FELV,"Attention FELVBL&gt;FELV","€")</f>
        <v>€</v>
      </c>
      <c r="E66" s="198" t="s">
        <v>186</v>
      </c>
      <c r="F66" s="199"/>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c r="AE66" s="198"/>
      <c r="AF66" s="198"/>
      <c r="AG66" s="198"/>
      <c r="AH66" s="198"/>
      <c r="AI66" s="198"/>
      <c r="AJ66" s="198"/>
    </row>
    <row r="67" spans="2:36" ht="90" x14ac:dyDescent="0.2">
      <c r="B67" s="146" t="s">
        <v>200</v>
      </c>
      <c r="C67" s="170">
        <f>H67+J67++L67+N67+P67+R67+T67+V67+X67+Z67+AB67+AD67+AF67+AH67+AJ67</f>
        <v>22014.25</v>
      </c>
      <c r="D67" s="148" t="s">
        <v>149</v>
      </c>
      <c r="E67" s="195" t="s">
        <v>201</v>
      </c>
      <c r="F67" s="210" t="s">
        <v>202</v>
      </c>
      <c r="G67" s="126"/>
      <c r="H67" s="185">
        <v>1428</v>
      </c>
      <c r="I67" s="186"/>
      <c r="J67" s="185">
        <v>1854</v>
      </c>
      <c r="K67" s="187"/>
      <c r="L67" s="185">
        <v>583</v>
      </c>
      <c r="M67" s="187"/>
      <c r="N67" s="185">
        <v>691</v>
      </c>
      <c r="O67" s="187"/>
      <c r="P67" s="185">
        <v>5700</v>
      </c>
      <c r="Q67" s="187"/>
      <c r="R67" s="185">
        <v>10302</v>
      </c>
      <c r="S67" s="187"/>
      <c r="T67" s="185">
        <v>260.85000000000002</v>
      </c>
      <c r="U67" s="187"/>
      <c r="V67" s="185">
        <v>1486</v>
      </c>
      <c r="W67" s="187"/>
      <c r="X67" s="188">
        <v>279</v>
      </c>
      <c r="Y67" s="189"/>
      <c r="Z67" s="188">
        <v>92.4</v>
      </c>
      <c r="AA67" s="189"/>
      <c r="AB67" s="188">
        <v>106</v>
      </c>
      <c r="AC67" s="189"/>
      <c r="AD67" s="188">
        <v>131</v>
      </c>
      <c r="AE67" s="189"/>
      <c r="AF67" s="188">
        <v>-102</v>
      </c>
      <c r="AG67" s="189"/>
      <c r="AH67" s="188">
        <v>-797</v>
      </c>
      <c r="AI67" s="189"/>
      <c r="AJ67" s="188"/>
    </row>
    <row r="68" spans="2:36" ht="12.75" x14ac:dyDescent="0.2">
      <c r="B68" s="208" t="s">
        <v>199</v>
      </c>
      <c r="C68" s="218">
        <v>22014</v>
      </c>
      <c r="D68" s="219" t="str">
        <f>IF(FELABL&gt;FELA,"Attention FELABL&gt;FELA","€")</f>
        <v>€</v>
      </c>
      <c r="E68" s="220" t="s">
        <v>186</v>
      </c>
      <c r="F68" s="221"/>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row>
    <row r="69" spans="2:36" ht="15" customHeight="1" x14ac:dyDescent="0.2">
      <c r="B69" s="155" t="s">
        <v>203</v>
      </c>
      <c r="C69" s="203"/>
      <c r="D69" s="222" t="s">
        <v>149</v>
      </c>
      <c r="E69" s="205" t="s">
        <v>204</v>
      </c>
      <c r="F69" s="206"/>
      <c r="G69" s="205"/>
      <c r="H69" s="205"/>
      <c r="I69" s="223"/>
      <c r="J69" s="205"/>
      <c r="K69" s="223"/>
      <c r="L69" s="205"/>
      <c r="M69" s="223"/>
      <c r="N69" s="205"/>
      <c r="O69" s="223"/>
      <c r="P69" s="205"/>
      <c r="Q69" s="223"/>
      <c r="R69" s="205"/>
      <c r="S69" s="223"/>
      <c r="T69" s="224"/>
      <c r="U69" s="223"/>
      <c r="V69" s="205"/>
      <c r="W69" s="225"/>
      <c r="X69" s="205"/>
      <c r="Y69" s="223"/>
      <c r="Z69" s="205"/>
      <c r="AA69" s="223"/>
      <c r="AB69" s="205"/>
      <c r="AC69" s="223"/>
      <c r="AD69" s="205"/>
      <c r="AE69" s="223"/>
      <c r="AF69" s="205"/>
      <c r="AG69" s="223"/>
      <c r="AH69" s="205"/>
      <c r="AI69" s="223"/>
      <c r="AJ69" s="205"/>
    </row>
    <row r="70" spans="2:36" ht="22.5" x14ac:dyDescent="0.2">
      <c r="B70" s="192" t="s">
        <v>205</v>
      </c>
      <c r="C70" s="193">
        <f>H70+J70++L70+N70+P70+R70+T70+V70+X70+Z70+AB70+AD70+AF70+AH70+AJ70</f>
        <v>0</v>
      </c>
      <c r="D70" s="194" t="s">
        <v>149</v>
      </c>
      <c r="E70" s="195" t="s">
        <v>206</v>
      </c>
      <c r="F70" s="210" t="s">
        <v>207</v>
      </c>
      <c r="G70" s="126"/>
      <c r="H70" s="130"/>
      <c r="I70" s="226"/>
      <c r="J70" s="130"/>
      <c r="K70" s="131"/>
      <c r="L70" s="130"/>
      <c r="M70" s="131"/>
      <c r="N70" s="130"/>
      <c r="O70" s="131"/>
      <c r="P70" s="130"/>
      <c r="Q70" s="131"/>
      <c r="R70" s="130"/>
      <c r="S70" s="131"/>
      <c r="T70" s="130"/>
      <c r="U70" s="131"/>
      <c r="V70" s="130"/>
      <c r="W70" s="131"/>
      <c r="X70" s="130"/>
      <c r="Y70" s="131"/>
      <c r="Z70" s="130"/>
      <c r="AA70" s="131"/>
      <c r="AB70" s="130"/>
      <c r="AC70" s="131"/>
      <c r="AD70" s="130"/>
      <c r="AE70" s="131"/>
      <c r="AF70" s="130"/>
      <c r="AG70" s="131"/>
      <c r="AH70" s="130"/>
      <c r="AI70" s="131"/>
      <c r="AJ70" s="130"/>
    </row>
    <row r="71" spans="2:36" ht="12.75" x14ac:dyDescent="0.2">
      <c r="B71" s="192" t="s">
        <v>208</v>
      </c>
      <c r="C71" s="190">
        <f>H71+J71++L71+N71+P71+R71+T71+V71+X71+Z71+AB71+AD71+AF71+AH71+AJ71</f>
        <v>0</v>
      </c>
      <c r="D71" s="134" t="s">
        <v>149</v>
      </c>
      <c r="E71" s="152" t="s">
        <v>209</v>
      </c>
      <c r="F71" s="136"/>
      <c r="G71" s="137"/>
      <c r="H71" s="141"/>
      <c r="I71" s="227"/>
      <c r="J71" s="141"/>
      <c r="K71" s="142"/>
      <c r="L71" s="141"/>
      <c r="M71" s="142"/>
      <c r="N71" s="141"/>
      <c r="O71" s="142"/>
      <c r="P71" s="141"/>
      <c r="Q71" s="142"/>
      <c r="R71" s="141"/>
      <c r="S71" s="142"/>
      <c r="T71" s="141"/>
      <c r="U71" s="142"/>
      <c r="V71" s="141"/>
      <c r="W71" s="142"/>
      <c r="X71" s="141"/>
      <c r="Y71" s="142"/>
      <c r="Z71" s="141"/>
      <c r="AA71" s="142"/>
      <c r="AB71" s="141"/>
      <c r="AC71" s="142"/>
      <c r="AD71" s="141"/>
      <c r="AE71" s="142"/>
      <c r="AF71" s="141"/>
      <c r="AG71" s="142"/>
      <c r="AH71" s="141"/>
      <c r="AI71" s="142"/>
      <c r="AJ71" s="141"/>
    </row>
    <row r="72" spans="2:36" ht="15.75" customHeight="1" x14ac:dyDescent="0.2">
      <c r="B72" s="116" t="s">
        <v>210</v>
      </c>
      <c r="C72" s="228"/>
      <c r="D72" s="118" t="s">
        <v>149</v>
      </c>
      <c r="E72" s="198" t="s">
        <v>186</v>
      </c>
      <c r="F72" s="199"/>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c r="AE72" s="198"/>
      <c r="AF72" s="198"/>
      <c r="AG72" s="198"/>
      <c r="AH72" s="198"/>
      <c r="AI72" s="198"/>
      <c r="AJ72" s="198"/>
    </row>
    <row r="73" spans="2:36" ht="11.25" customHeight="1" x14ac:dyDescent="0.2">
      <c r="B73" s="143"/>
      <c r="C73" s="143"/>
      <c r="D73" s="123"/>
      <c r="E73" s="198"/>
      <c r="F73" s="199"/>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c r="AE73" s="198"/>
      <c r="AF73" s="198"/>
      <c r="AG73" s="198"/>
      <c r="AH73" s="198"/>
      <c r="AI73" s="198"/>
      <c r="AJ73" s="198"/>
    </row>
    <row r="74" spans="2:36" ht="14.25" customHeight="1" x14ac:dyDescent="0.2">
      <c r="B74" s="143" t="s">
        <v>211</v>
      </c>
      <c r="C74" s="211"/>
      <c r="D74" s="148" t="s">
        <v>149</v>
      </c>
      <c r="E74" s="198" t="s">
        <v>186</v>
      </c>
      <c r="F74" s="199"/>
      <c r="G74" s="198"/>
      <c r="H74" s="198"/>
      <c r="I74" s="198"/>
      <c r="J74" s="198"/>
      <c r="K74" s="198"/>
      <c r="L74" s="198"/>
      <c r="M74" s="198"/>
      <c r="N74" s="198"/>
      <c r="O74" s="198"/>
      <c r="P74" s="198"/>
      <c r="Q74" s="198"/>
      <c r="R74" s="198"/>
      <c r="S74" s="198"/>
      <c r="T74" s="198"/>
      <c r="U74" s="198"/>
      <c r="V74" s="198"/>
      <c r="W74" s="198"/>
      <c r="X74" s="198"/>
      <c r="Y74" s="198"/>
      <c r="Z74" s="198"/>
      <c r="AA74" s="198"/>
      <c r="AB74" s="198"/>
      <c r="AC74" s="198"/>
      <c r="AD74" s="198"/>
      <c r="AE74" s="198"/>
      <c r="AF74" s="198"/>
      <c r="AG74" s="198"/>
      <c r="AH74" s="198"/>
      <c r="AI74" s="198"/>
      <c r="AJ74" s="198"/>
    </row>
    <row r="75" spans="2:36" ht="13.5" customHeight="1" x14ac:dyDescent="0.2">
      <c r="B75" s="229" t="s">
        <v>212</v>
      </c>
      <c r="C75" s="211"/>
      <c r="D75" s="213" t="s">
        <v>149</v>
      </c>
      <c r="E75" s="198" t="s">
        <v>186</v>
      </c>
      <c r="F75" s="199"/>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row>
    <row r="76" spans="2:36" ht="22.5" x14ac:dyDescent="0.2">
      <c r="B76" s="146" t="s">
        <v>213</v>
      </c>
      <c r="C76" s="170">
        <v>30328</v>
      </c>
      <c r="D76" s="148" t="s">
        <v>149</v>
      </c>
      <c r="E76" s="149" t="s">
        <v>214</v>
      </c>
      <c r="F76" s="150" t="s">
        <v>215</v>
      </c>
      <c r="G76" s="230"/>
      <c r="H76" s="127"/>
      <c r="I76" s="128"/>
      <c r="J76" s="127"/>
      <c r="K76" s="129"/>
      <c r="L76" s="127"/>
      <c r="M76" s="129"/>
      <c r="N76" s="130"/>
      <c r="O76" s="131"/>
      <c r="P76" s="130"/>
      <c r="Q76" s="131"/>
      <c r="R76" s="130"/>
      <c r="S76" s="131"/>
      <c r="T76" s="130"/>
      <c r="U76" s="131"/>
      <c r="V76" s="130"/>
      <c r="W76" s="131"/>
      <c r="X76" s="130"/>
      <c r="Y76" s="131"/>
      <c r="Z76" s="130"/>
      <c r="AA76" s="131"/>
      <c r="AB76" s="130"/>
      <c r="AC76" s="131"/>
      <c r="AD76" s="130"/>
      <c r="AE76" s="131"/>
      <c r="AF76" s="130"/>
      <c r="AG76" s="131"/>
      <c r="AH76" s="130"/>
      <c r="AI76" s="131"/>
      <c r="AJ76" s="130"/>
    </row>
    <row r="77" spans="2:36" ht="22.5" x14ac:dyDescent="0.2">
      <c r="B77" s="146" t="s">
        <v>216</v>
      </c>
      <c r="C77" s="170">
        <v>20465</v>
      </c>
      <c r="D77" s="148" t="s">
        <v>149</v>
      </c>
      <c r="E77" s="124"/>
      <c r="F77" s="125" t="s">
        <v>217</v>
      </c>
      <c r="G77" s="126"/>
      <c r="H77" s="127"/>
      <c r="I77" s="128"/>
      <c r="J77" s="127"/>
      <c r="K77" s="129"/>
      <c r="L77" s="127"/>
      <c r="M77" s="129"/>
      <c r="N77" s="127"/>
      <c r="O77" s="129"/>
      <c r="P77" s="130"/>
      <c r="Q77" s="131"/>
      <c r="R77" s="130"/>
      <c r="S77" s="131"/>
      <c r="T77" s="130"/>
      <c r="U77" s="131"/>
      <c r="V77" s="130"/>
      <c r="W77" s="131"/>
      <c r="X77" s="130"/>
      <c r="Y77" s="131"/>
      <c r="Z77" s="130"/>
      <c r="AA77" s="131"/>
      <c r="AB77" s="130"/>
      <c r="AC77" s="131"/>
      <c r="AD77" s="130"/>
      <c r="AE77" s="131"/>
      <c r="AF77" s="130"/>
      <c r="AG77" s="131"/>
      <c r="AH77" s="130"/>
      <c r="AI77" s="131"/>
      <c r="AJ77" s="188"/>
    </row>
    <row r="78" spans="2:36" ht="22.5" x14ac:dyDescent="0.2">
      <c r="B78" s="146" t="s">
        <v>218</v>
      </c>
      <c r="C78" s="170">
        <v>17441</v>
      </c>
      <c r="D78" s="148" t="s">
        <v>149</v>
      </c>
      <c r="E78" s="149"/>
      <c r="F78" s="150" t="s">
        <v>219</v>
      </c>
      <c r="G78" s="230"/>
      <c r="H78" s="127"/>
      <c r="I78" s="128"/>
      <c r="J78" s="127"/>
      <c r="K78" s="129"/>
      <c r="L78" s="127"/>
      <c r="M78" s="129"/>
      <c r="N78" s="130"/>
      <c r="O78" s="131"/>
      <c r="P78" s="130"/>
      <c r="Q78" s="131"/>
      <c r="R78" s="130"/>
      <c r="S78" s="131"/>
      <c r="T78" s="130"/>
      <c r="U78" s="131"/>
      <c r="V78" s="130"/>
      <c r="W78" s="131"/>
      <c r="X78" s="130"/>
      <c r="Y78" s="131"/>
      <c r="Z78" s="130"/>
      <c r="AA78" s="131"/>
      <c r="AB78" s="130"/>
      <c r="AC78" s="131"/>
      <c r="AD78" s="130"/>
      <c r="AE78" s="131"/>
      <c r="AF78" s="130"/>
      <c r="AG78" s="131"/>
      <c r="AH78" s="130"/>
      <c r="AI78" s="131"/>
      <c r="AJ78" s="188"/>
    </row>
    <row r="79" spans="2:36" ht="22.5" x14ac:dyDescent="0.2">
      <c r="B79" s="121" t="s">
        <v>220</v>
      </c>
      <c r="C79" s="170">
        <v>2399</v>
      </c>
      <c r="D79" s="123" t="s">
        <v>149</v>
      </c>
      <c r="E79" s="124"/>
      <c r="F79" s="125" t="s">
        <v>221</v>
      </c>
      <c r="G79" s="231"/>
      <c r="H79" s="232"/>
      <c r="I79" s="233"/>
      <c r="J79" s="232"/>
      <c r="K79" s="234"/>
      <c r="L79" s="232"/>
      <c r="M79" s="234"/>
      <c r="N79" s="235"/>
      <c r="O79" s="236"/>
      <c r="P79" s="235"/>
      <c r="Q79" s="236"/>
      <c r="R79" s="235"/>
      <c r="S79" s="236"/>
      <c r="T79" s="235"/>
      <c r="U79" s="236"/>
      <c r="V79" s="235"/>
      <c r="W79" s="236"/>
      <c r="X79" s="235"/>
      <c r="Y79" s="236"/>
      <c r="Z79" s="235"/>
      <c r="AA79" s="236"/>
      <c r="AB79" s="235"/>
      <c r="AC79" s="236"/>
      <c r="AD79" s="235"/>
      <c r="AE79" s="236"/>
      <c r="AF79" s="235"/>
      <c r="AG79" s="236"/>
      <c r="AH79" s="235"/>
      <c r="AI79" s="236"/>
      <c r="AJ79" s="235"/>
    </row>
    <row r="80" spans="2:36" ht="12.75" x14ac:dyDescent="0.2">
      <c r="B80" s="132" t="s">
        <v>222</v>
      </c>
      <c r="C80" s="190">
        <f>H80+J80++L80+N80+P80+R80+T80+V80+X80+Z80+AB80+AD80+AF80+AH80+AJ80</f>
        <v>0</v>
      </c>
      <c r="D80" s="134" t="s">
        <v>149</v>
      </c>
      <c r="E80" s="152"/>
      <c r="F80" s="237">
        <v>612</v>
      </c>
      <c r="G80" s="137"/>
      <c r="H80" s="141"/>
      <c r="I80" s="227"/>
      <c r="J80" s="141"/>
      <c r="K80" s="142"/>
      <c r="L80" s="141"/>
      <c r="M80" s="142"/>
      <c r="N80" s="141"/>
      <c r="O80" s="142"/>
      <c r="P80" s="141"/>
      <c r="Q80" s="142"/>
      <c r="R80" s="141"/>
      <c r="S80" s="142"/>
      <c r="T80" s="141"/>
      <c r="U80" s="142"/>
      <c r="V80" s="141"/>
      <c r="W80" s="142"/>
      <c r="X80" s="141"/>
      <c r="Y80" s="142"/>
      <c r="Z80" s="141"/>
      <c r="AA80" s="142"/>
      <c r="AB80" s="141"/>
      <c r="AC80" s="142"/>
      <c r="AD80" s="141"/>
      <c r="AE80" s="142"/>
      <c r="AF80" s="141"/>
      <c r="AG80" s="142"/>
      <c r="AH80" s="141"/>
      <c r="AI80" s="142"/>
      <c r="AJ80" s="141"/>
    </row>
    <row r="81" spans="2:36" ht="12.75" x14ac:dyDescent="0.2">
      <c r="B81" s="192" t="s">
        <v>223</v>
      </c>
      <c r="C81" s="193">
        <v>2765</v>
      </c>
      <c r="D81" s="194" t="s">
        <v>149</v>
      </c>
      <c r="E81" s="195"/>
      <c r="F81" s="210">
        <v>6061</v>
      </c>
      <c r="G81" s="126"/>
      <c r="H81" s="127"/>
      <c r="I81" s="128"/>
      <c r="J81" s="127"/>
      <c r="K81" s="129"/>
      <c r="L81" s="127"/>
      <c r="M81" s="129"/>
      <c r="N81" s="130"/>
      <c r="O81" s="131"/>
      <c r="P81" s="130"/>
      <c r="Q81" s="131"/>
      <c r="R81" s="130"/>
      <c r="S81" s="131"/>
      <c r="T81" s="130"/>
      <c r="U81" s="131"/>
      <c r="V81" s="130"/>
      <c r="W81" s="131"/>
      <c r="X81" s="130"/>
      <c r="Y81" s="131"/>
      <c r="Z81" s="130"/>
      <c r="AA81" s="131"/>
      <c r="AB81" s="130"/>
      <c r="AC81" s="131"/>
      <c r="AD81" s="130"/>
      <c r="AE81" s="131"/>
      <c r="AF81" s="130"/>
      <c r="AG81" s="131"/>
      <c r="AH81" s="130"/>
      <c r="AI81" s="131"/>
      <c r="AJ81" s="130"/>
    </row>
    <row r="82" spans="2:36" ht="22.5" x14ac:dyDescent="0.2">
      <c r="B82" s="146" t="s">
        <v>224</v>
      </c>
      <c r="C82" s="170">
        <v>6029</v>
      </c>
      <c r="D82" s="148" t="s">
        <v>149</v>
      </c>
      <c r="E82" s="149" t="s">
        <v>225</v>
      </c>
      <c r="F82" s="150" t="s">
        <v>226</v>
      </c>
      <c r="G82" s="230"/>
      <c r="H82" s="127"/>
      <c r="I82" s="128"/>
      <c r="J82" s="127"/>
      <c r="K82" s="129"/>
      <c r="L82" s="127"/>
      <c r="M82" s="129"/>
      <c r="N82" s="130"/>
      <c r="O82" s="131"/>
      <c r="P82" s="130"/>
      <c r="Q82" s="131"/>
      <c r="R82" s="130"/>
      <c r="S82" s="131"/>
      <c r="T82" s="130"/>
      <c r="U82" s="131"/>
      <c r="V82" s="130"/>
      <c r="W82" s="131"/>
      <c r="X82" s="130"/>
      <c r="Y82" s="131"/>
      <c r="Z82" s="130"/>
      <c r="AA82" s="131"/>
      <c r="AB82" s="130"/>
      <c r="AC82" s="131"/>
      <c r="AD82" s="130"/>
      <c r="AE82" s="131"/>
      <c r="AF82" s="130"/>
      <c r="AG82" s="131"/>
      <c r="AH82" s="130"/>
      <c r="AI82" s="131"/>
      <c r="AJ82" s="188"/>
    </row>
    <row r="83" spans="2:36" ht="33.75" x14ac:dyDescent="0.2">
      <c r="B83" s="132" t="s">
        <v>227</v>
      </c>
      <c r="C83" s="238"/>
      <c r="D83" s="134" t="s">
        <v>149</v>
      </c>
      <c r="E83" s="152" t="s">
        <v>228</v>
      </c>
      <c r="F83" s="136" t="s">
        <v>229</v>
      </c>
      <c r="G83" s="137"/>
      <c r="H83" s="138"/>
      <c r="I83" s="139"/>
      <c r="J83" s="138"/>
      <c r="K83" s="140"/>
      <c r="L83" s="141"/>
      <c r="M83" s="142"/>
      <c r="N83" s="141"/>
      <c r="O83" s="142"/>
      <c r="P83" s="141"/>
      <c r="Q83" s="142"/>
      <c r="R83" s="141"/>
      <c r="S83" s="142"/>
      <c r="T83" s="141"/>
      <c r="U83" s="142"/>
      <c r="V83" s="141"/>
      <c r="W83" s="142"/>
      <c r="X83" s="141"/>
      <c r="Y83" s="142"/>
      <c r="Z83" s="141"/>
      <c r="AA83" s="142"/>
      <c r="AB83" s="141"/>
      <c r="AC83" s="142"/>
      <c r="AD83" s="141"/>
      <c r="AE83" s="142"/>
      <c r="AF83" s="141"/>
      <c r="AG83" s="142"/>
      <c r="AH83" s="141"/>
      <c r="AI83" s="142"/>
      <c r="AJ83" s="141"/>
    </row>
    <row r="84" spans="2:36" ht="12.75" x14ac:dyDescent="0.2">
      <c r="B84" s="208"/>
      <c r="C84" s="209"/>
      <c r="D84" s="103" t="s">
        <v>149</v>
      </c>
      <c r="E84" s="104"/>
      <c r="F84" s="105"/>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row>
    <row r="85" spans="2:36" ht="67.5" x14ac:dyDescent="0.2">
      <c r="B85" s="192" t="s">
        <v>230</v>
      </c>
      <c r="C85" s="170">
        <v>27123</v>
      </c>
      <c r="D85" s="194" t="s">
        <v>149</v>
      </c>
      <c r="E85" s="149" t="s">
        <v>231</v>
      </c>
      <c r="F85" s="150" t="s">
        <v>232</v>
      </c>
      <c r="G85" s="230"/>
      <c r="H85" s="127"/>
      <c r="I85" s="128"/>
      <c r="J85" s="127"/>
      <c r="K85" s="129"/>
      <c r="L85" s="127"/>
      <c r="M85" s="129"/>
      <c r="N85" s="127"/>
      <c r="O85" s="129"/>
      <c r="P85" s="127"/>
      <c r="Q85" s="129"/>
      <c r="R85" s="127"/>
      <c r="S85" s="129"/>
      <c r="T85" s="127"/>
      <c r="U85" s="129"/>
      <c r="V85" s="127"/>
      <c r="W85" s="129"/>
      <c r="X85" s="127"/>
      <c r="Y85" s="129"/>
      <c r="Z85" s="127"/>
      <c r="AA85" s="129"/>
      <c r="AB85" s="130"/>
      <c r="AC85" s="129"/>
      <c r="AD85" s="130"/>
      <c r="AE85" s="129"/>
      <c r="AF85" s="130"/>
      <c r="AG85" s="129"/>
      <c r="AH85" s="130"/>
      <c r="AI85" s="129"/>
      <c r="AJ85" s="130"/>
    </row>
    <row r="86" spans="2:36" ht="67.5" x14ac:dyDescent="0.2">
      <c r="B86" s="146" t="s">
        <v>233</v>
      </c>
      <c r="C86" s="170">
        <v>19437</v>
      </c>
      <c r="D86" s="148" t="s">
        <v>149</v>
      </c>
      <c r="E86" s="149" t="s">
        <v>234</v>
      </c>
      <c r="F86" s="150" t="s">
        <v>235</v>
      </c>
      <c r="G86" s="230"/>
      <c r="H86" s="127"/>
      <c r="I86" s="128"/>
      <c r="J86" s="127"/>
      <c r="K86" s="129"/>
      <c r="L86" s="127"/>
      <c r="M86" s="129"/>
      <c r="N86" s="127"/>
      <c r="O86" s="129"/>
      <c r="P86" s="127"/>
      <c r="Q86" s="129"/>
      <c r="R86" s="127"/>
      <c r="S86" s="129"/>
      <c r="T86" s="127"/>
      <c r="U86" s="129"/>
      <c r="V86" s="127"/>
      <c r="W86" s="129"/>
      <c r="X86" s="127"/>
      <c r="Y86" s="129"/>
      <c r="Z86" s="130"/>
      <c r="AA86" s="131"/>
      <c r="AB86" s="130"/>
      <c r="AC86" s="131"/>
      <c r="AD86" s="130"/>
      <c r="AE86" s="131"/>
      <c r="AF86" s="130"/>
      <c r="AG86" s="131"/>
      <c r="AH86" s="130"/>
      <c r="AI86" s="131"/>
      <c r="AJ86" s="188"/>
    </row>
    <row r="87" spans="2:36" ht="33.75" x14ac:dyDescent="0.2">
      <c r="B87" s="146" t="s">
        <v>236</v>
      </c>
      <c r="C87" s="170">
        <v>54204</v>
      </c>
      <c r="D87" s="148" t="s">
        <v>149</v>
      </c>
      <c r="E87" s="149" t="s">
        <v>237</v>
      </c>
      <c r="F87" s="150" t="s">
        <v>238</v>
      </c>
      <c r="G87" s="230"/>
      <c r="H87" s="127"/>
      <c r="I87" s="128"/>
      <c r="J87" s="127"/>
      <c r="K87" s="129"/>
      <c r="L87" s="127"/>
      <c r="M87" s="129"/>
      <c r="N87" s="127"/>
      <c r="O87" s="129"/>
      <c r="P87" s="127"/>
      <c r="Q87" s="129"/>
      <c r="R87" s="127"/>
      <c r="S87" s="129"/>
      <c r="T87" s="127"/>
      <c r="U87" s="129"/>
      <c r="V87" s="127"/>
      <c r="W87" s="129"/>
      <c r="X87" s="127"/>
      <c r="Y87" s="129"/>
      <c r="Z87" s="130"/>
      <c r="AA87" s="131"/>
      <c r="AB87" s="130"/>
      <c r="AC87" s="131"/>
      <c r="AD87" s="130"/>
      <c r="AE87" s="131"/>
      <c r="AF87" s="130"/>
      <c r="AG87" s="131"/>
      <c r="AH87" s="130"/>
      <c r="AI87" s="131"/>
      <c r="AJ87" s="188"/>
    </row>
    <row r="88" spans="2:36" ht="45" x14ac:dyDescent="0.2">
      <c r="B88" s="239" t="s">
        <v>239</v>
      </c>
      <c r="C88" s="170">
        <f>H88+J88++L88+N88+P88+R88+T88+V88+X88+Z88+AB88+AD88+AF88+AH88+AJ88</f>
        <v>20141</v>
      </c>
      <c r="D88" s="87" t="s">
        <v>149</v>
      </c>
      <c r="E88" s="88" t="s">
        <v>240</v>
      </c>
      <c r="F88" s="145" t="s">
        <v>241</v>
      </c>
      <c r="G88" s="126"/>
      <c r="H88" s="127">
        <v>17459</v>
      </c>
      <c r="I88" s="128"/>
      <c r="J88" s="127">
        <v>591</v>
      </c>
      <c r="K88" s="129"/>
      <c r="L88" s="127">
        <v>537</v>
      </c>
      <c r="M88" s="129"/>
      <c r="N88" s="127">
        <v>1554</v>
      </c>
      <c r="O88" s="129"/>
      <c r="P88" s="127"/>
      <c r="Q88" s="129"/>
      <c r="R88" s="127"/>
      <c r="S88" s="129"/>
      <c r="T88" s="127"/>
      <c r="U88" s="129"/>
      <c r="V88" s="127"/>
      <c r="W88" s="129"/>
      <c r="X88" s="127"/>
      <c r="Y88" s="129"/>
      <c r="Z88" s="130"/>
      <c r="AA88" s="131"/>
      <c r="AB88" s="130"/>
      <c r="AC88" s="131"/>
      <c r="AD88" s="130"/>
      <c r="AE88" s="131"/>
      <c r="AF88" s="130"/>
      <c r="AG88" s="131"/>
      <c r="AH88" s="130"/>
      <c r="AI88" s="131"/>
      <c r="AJ88" s="188"/>
    </row>
    <row r="89" spans="2:36" ht="12.75" x14ac:dyDescent="0.2">
      <c r="B89" s="240" t="s">
        <v>242</v>
      </c>
      <c r="C89" s="238">
        <f>H89+J89++L89+N89+P89+R89+T89+V89+X89+Z89+AB89+AD89+AF89+AH89+AJ89</f>
        <v>0</v>
      </c>
      <c r="D89" s="196" t="s">
        <v>149</v>
      </c>
      <c r="E89" s="197"/>
      <c r="F89" s="191"/>
      <c r="G89" s="137"/>
      <c r="H89" s="138"/>
      <c r="I89" s="139"/>
      <c r="J89" s="138"/>
      <c r="K89" s="140"/>
      <c r="L89" s="138"/>
      <c r="M89" s="140"/>
      <c r="N89" s="138"/>
      <c r="O89" s="140"/>
      <c r="P89" s="138"/>
      <c r="Q89" s="140"/>
      <c r="R89" s="138"/>
      <c r="S89" s="140"/>
      <c r="T89" s="138"/>
      <c r="U89" s="140"/>
      <c r="V89" s="138"/>
      <c r="W89" s="140"/>
      <c r="X89" s="138"/>
      <c r="Y89" s="140"/>
      <c r="Z89" s="141"/>
      <c r="AA89" s="142"/>
      <c r="AB89" s="141"/>
      <c r="AC89" s="142"/>
      <c r="AD89" s="141"/>
      <c r="AE89" s="142"/>
      <c r="AF89" s="141"/>
      <c r="AG89" s="142"/>
      <c r="AH89" s="141"/>
      <c r="AI89" s="142"/>
      <c r="AJ89" s="141"/>
    </row>
    <row r="90" spans="2:36" ht="12.75" x14ac:dyDescent="0.2">
      <c r="B90" s="121" t="s">
        <v>243</v>
      </c>
      <c r="C90" s="193">
        <f>H90+J90++L90+N90+P90+R90+T90+V90+X90+Z90+AB90+AD90+AF90+AH90+AJ90</f>
        <v>34382</v>
      </c>
      <c r="D90" s="123" t="s">
        <v>149</v>
      </c>
      <c r="E90" s="124" t="s">
        <v>244</v>
      </c>
      <c r="F90" s="125" t="s">
        <v>245</v>
      </c>
      <c r="G90" s="126"/>
      <c r="H90" s="180">
        <v>492</v>
      </c>
      <c r="I90" s="181"/>
      <c r="J90" s="180">
        <v>33890</v>
      </c>
      <c r="K90" s="182"/>
      <c r="L90" s="180"/>
      <c r="M90" s="182"/>
      <c r="N90" s="180"/>
      <c r="O90" s="182"/>
      <c r="P90" s="180"/>
      <c r="Q90" s="182"/>
      <c r="R90" s="180"/>
      <c r="S90" s="182"/>
      <c r="T90" s="180"/>
      <c r="U90" s="182"/>
      <c r="V90" s="180"/>
      <c r="W90" s="182"/>
      <c r="X90" s="180"/>
      <c r="Y90" s="182"/>
      <c r="Z90" s="183"/>
      <c r="AA90" s="184"/>
      <c r="AB90" s="183"/>
      <c r="AC90" s="184"/>
      <c r="AD90" s="183"/>
      <c r="AE90" s="184"/>
      <c r="AF90" s="183"/>
      <c r="AG90" s="184"/>
      <c r="AH90" s="183"/>
      <c r="AI90" s="184"/>
      <c r="AJ90" s="183"/>
    </row>
    <row r="91" spans="2:36" ht="22.5" x14ac:dyDescent="0.2">
      <c r="B91" s="132" t="s">
        <v>246</v>
      </c>
      <c r="C91" s="190">
        <f>H91+J91++L91+N91+P91+R91+T91+V91+X91+Z91+AB91+AD91+AF91+AH91+AJ91</f>
        <v>31375</v>
      </c>
      <c r="D91" s="134" t="s">
        <v>149</v>
      </c>
      <c r="E91" s="152" t="s">
        <v>244</v>
      </c>
      <c r="F91" s="136" t="s">
        <v>247</v>
      </c>
      <c r="G91" s="137"/>
      <c r="H91" s="138">
        <v>-3737</v>
      </c>
      <c r="I91" s="139"/>
      <c r="J91" s="138">
        <v>492</v>
      </c>
      <c r="K91" s="140"/>
      <c r="L91" s="138">
        <v>34620</v>
      </c>
      <c r="M91" s="140"/>
      <c r="N91" s="138"/>
      <c r="O91" s="140"/>
      <c r="P91" s="138"/>
      <c r="Q91" s="140"/>
      <c r="R91" s="138"/>
      <c r="S91" s="140"/>
      <c r="T91" s="138"/>
      <c r="U91" s="140"/>
      <c r="V91" s="138"/>
      <c r="W91" s="140"/>
      <c r="X91" s="138"/>
      <c r="Y91" s="140"/>
      <c r="Z91" s="141"/>
      <c r="AA91" s="142"/>
      <c r="AB91" s="141"/>
      <c r="AC91" s="142"/>
      <c r="AD91" s="141"/>
      <c r="AE91" s="142"/>
      <c r="AF91" s="141"/>
      <c r="AG91" s="142"/>
      <c r="AH91" s="141"/>
      <c r="AI91" s="142"/>
      <c r="AJ91" s="141"/>
    </row>
    <row r="92" spans="2:36" ht="12.75" x14ac:dyDescent="0.2">
      <c r="B92" s="208"/>
      <c r="C92" s="241"/>
      <c r="D92" s="103"/>
      <c r="E92" s="104"/>
      <c r="F92" s="105"/>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row>
    <row r="93" spans="2:36" ht="22.5" x14ac:dyDescent="0.2">
      <c r="B93" s="192" t="s">
        <v>248</v>
      </c>
      <c r="C93" s="242"/>
      <c r="D93" s="194" t="s">
        <v>249</v>
      </c>
      <c r="E93" s="195" t="s">
        <v>250</v>
      </c>
      <c r="F93" s="210"/>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row>
    <row r="94" spans="2:36" ht="22.5" x14ac:dyDescent="0.2">
      <c r="B94" s="146" t="s">
        <v>251</v>
      </c>
      <c r="C94" s="242">
        <v>21000</v>
      </c>
      <c r="D94" s="148" t="s">
        <v>149</v>
      </c>
      <c r="E94" s="161" t="s">
        <v>252</v>
      </c>
      <c r="F94" s="162" t="s">
        <v>253</v>
      </c>
      <c r="G94" s="243"/>
      <c r="H94" s="127"/>
      <c r="I94" s="128"/>
      <c r="J94" s="127"/>
      <c r="K94" s="129"/>
      <c r="L94" s="127"/>
      <c r="M94" s="129"/>
      <c r="N94" s="130"/>
      <c r="O94" s="131"/>
      <c r="P94" s="130"/>
      <c r="Q94" s="131"/>
      <c r="R94" s="130"/>
      <c r="S94" s="131"/>
      <c r="T94" s="130"/>
      <c r="U94" s="131"/>
      <c r="V94" s="130"/>
      <c r="W94" s="131"/>
      <c r="X94" s="130"/>
      <c r="Y94" s="131"/>
      <c r="Z94" s="130"/>
      <c r="AA94" s="131"/>
      <c r="AB94" s="130"/>
      <c r="AC94" s="131"/>
      <c r="AD94" s="130"/>
      <c r="AE94" s="131"/>
      <c r="AF94" s="130"/>
      <c r="AG94" s="131"/>
      <c r="AH94" s="130"/>
      <c r="AI94" s="131"/>
      <c r="AJ94" s="130"/>
    </row>
    <row r="95" spans="2:36" ht="33.75" x14ac:dyDescent="0.2">
      <c r="B95" s="146" t="s">
        <v>254</v>
      </c>
      <c r="C95" s="242">
        <v>329786</v>
      </c>
      <c r="D95" s="148" t="s">
        <v>149</v>
      </c>
      <c r="E95" s="149" t="s">
        <v>255</v>
      </c>
      <c r="F95" s="150"/>
      <c r="G95" s="230"/>
      <c r="H95" s="127"/>
      <c r="I95" s="128"/>
      <c r="J95" s="127"/>
      <c r="K95" s="129"/>
      <c r="L95" s="127"/>
      <c r="M95" s="129"/>
      <c r="N95" s="130"/>
      <c r="O95" s="131"/>
      <c r="P95" s="130"/>
      <c r="Q95" s="131"/>
      <c r="R95" s="130"/>
      <c r="S95" s="131"/>
      <c r="T95" s="130"/>
      <c r="U95" s="131"/>
      <c r="V95" s="130"/>
      <c r="W95" s="131"/>
      <c r="X95" s="130"/>
      <c r="Y95" s="131"/>
      <c r="Z95" s="130"/>
      <c r="AA95" s="131"/>
      <c r="AB95" s="130"/>
      <c r="AC95" s="131"/>
      <c r="AD95" s="130"/>
      <c r="AE95" s="131"/>
      <c r="AF95" s="130"/>
      <c r="AG95" s="131"/>
      <c r="AH95" s="130"/>
      <c r="AI95" s="131"/>
      <c r="AJ95" s="188"/>
    </row>
    <row r="96" spans="2:36" ht="12.75" x14ac:dyDescent="0.2">
      <c r="B96" s="146"/>
      <c r="C96" s="244"/>
      <c r="D96" s="148"/>
      <c r="E96" s="149"/>
      <c r="F96" s="150"/>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c r="AH96" s="149"/>
      <c r="AI96" s="149"/>
      <c r="AJ96" s="149"/>
    </row>
    <row r="97" spans="2:36" ht="12.75" x14ac:dyDescent="0.2">
      <c r="B97" s="146" t="s">
        <v>256</v>
      </c>
      <c r="C97" s="242">
        <f>SUM(H97:AB97)</f>
        <v>0</v>
      </c>
      <c r="D97" s="148" t="s">
        <v>149</v>
      </c>
      <c r="E97" s="245" t="s">
        <v>257</v>
      </c>
      <c r="F97" s="246">
        <v>6352</v>
      </c>
      <c r="G97" s="247"/>
      <c r="H97" s="130"/>
      <c r="I97" s="226"/>
      <c r="J97" s="130"/>
      <c r="K97" s="131"/>
      <c r="L97" s="130"/>
      <c r="M97" s="131"/>
      <c r="N97" s="130"/>
      <c r="O97" s="131"/>
      <c r="P97" s="130"/>
      <c r="Q97" s="131"/>
      <c r="R97" s="130"/>
      <c r="S97" s="131"/>
      <c r="T97" s="130"/>
      <c r="U97" s="131"/>
      <c r="V97" s="130"/>
      <c r="W97" s="131"/>
      <c r="X97" s="130"/>
      <c r="Y97" s="131"/>
      <c r="Z97" s="130"/>
      <c r="AA97" s="131"/>
      <c r="AB97" s="130"/>
      <c r="AC97" s="131"/>
      <c r="AD97" s="130"/>
      <c r="AE97" s="131"/>
      <c r="AF97" s="130"/>
      <c r="AG97" s="131"/>
      <c r="AH97" s="130"/>
      <c r="AI97" s="131"/>
      <c r="AJ97" s="130"/>
    </row>
    <row r="98" spans="2:36" s="72" customFormat="1" ht="12.75" x14ac:dyDescent="0.2">
      <c r="B98" s="143"/>
      <c r="C98" s="248"/>
      <c r="D98" s="249"/>
      <c r="E98" s="250"/>
      <c r="F98" s="251"/>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c r="AE98" s="250"/>
      <c r="AF98" s="250"/>
      <c r="AG98" s="250"/>
      <c r="AH98" s="250"/>
      <c r="AI98" s="250"/>
      <c r="AJ98" s="250"/>
    </row>
    <row r="99" spans="2:36" ht="12.75" x14ac:dyDescent="0.2">
      <c r="B99" s="252" t="s">
        <v>258</v>
      </c>
      <c r="C99" s="253"/>
      <c r="D99" s="254"/>
      <c r="E99" s="255"/>
      <c r="F99" s="256"/>
      <c r="G99" s="255"/>
      <c r="H99" s="257"/>
      <c r="I99" s="258"/>
      <c r="J99" s="257"/>
      <c r="K99" s="258"/>
      <c r="L99" s="257"/>
      <c r="M99" s="258"/>
      <c r="N99" s="257"/>
      <c r="O99" s="258"/>
      <c r="P99" s="257"/>
      <c r="Q99" s="258"/>
      <c r="R99" s="257"/>
      <c r="S99" s="258"/>
      <c r="T99" s="257"/>
      <c r="U99" s="258"/>
      <c r="V99" s="257"/>
      <c r="W99" s="258"/>
      <c r="X99" s="257"/>
      <c r="Y99" s="258"/>
      <c r="Z99" s="257"/>
      <c r="AA99" s="258"/>
      <c r="AB99" s="257"/>
      <c r="AC99" s="258"/>
      <c r="AD99" s="257"/>
      <c r="AE99" s="258"/>
      <c r="AF99" s="257"/>
      <c r="AG99" s="258"/>
      <c r="AH99" s="257"/>
      <c r="AI99" s="258"/>
      <c r="AJ99" s="257"/>
    </row>
    <row r="100" spans="2:36" ht="12.75" x14ac:dyDescent="0.2">
      <c r="B100" s="121" t="s">
        <v>259</v>
      </c>
      <c r="C100" s="211"/>
      <c r="D100" s="123" t="s">
        <v>149</v>
      </c>
      <c r="E100" s="124" t="s">
        <v>260</v>
      </c>
      <c r="F100" s="125"/>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row>
    <row r="101" spans="2:36" ht="12.75" x14ac:dyDescent="0.2">
      <c r="B101" s="146" t="s">
        <v>191</v>
      </c>
      <c r="C101" s="211"/>
      <c r="D101" s="148" t="s">
        <v>149</v>
      </c>
      <c r="E101" s="149" t="s">
        <v>260</v>
      </c>
      <c r="F101" s="150"/>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c r="AG101" s="149"/>
      <c r="AH101" s="149"/>
      <c r="AI101" s="149"/>
      <c r="AJ101" s="149"/>
    </row>
    <row r="102" spans="2:36" ht="12.75" x14ac:dyDescent="0.2">
      <c r="B102" s="146" t="s">
        <v>193</v>
      </c>
      <c r="C102" s="211"/>
      <c r="D102" s="148" t="s">
        <v>149</v>
      </c>
      <c r="E102" s="149" t="s">
        <v>260</v>
      </c>
      <c r="F102" s="150"/>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c r="AG102" s="149"/>
      <c r="AH102" s="149"/>
      <c r="AI102" s="149"/>
      <c r="AJ102" s="149"/>
    </row>
    <row r="103" spans="2:36" ht="12.75" x14ac:dyDescent="0.2">
      <c r="B103" s="259" t="s">
        <v>261</v>
      </c>
      <c r="C103" s="211"/>
      <c r="D103" s="260" t="s">
        <v>149</v>
      </c>
      <c r="E103" s="261" t="s">
        <v>260</v>
      </c>
      <c r="F103" s="262"/>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1"/>
      <c r="AC103" s="261"/>
      <c r="AD103" s="261"/>
      <c r="AE103" s="261"/>
      <c r="AF103" s="261"/>
      <c r="AG103" s="261"/>
      <c r="AH103" s="261"/>
      <c r="AI103" s="261"/>
      <c r="AJ103" s="261"/>
    </row>
    <row r="104" spans="2:36" ht="12.75" x14ac:dyDescent="0.2">
      <c r="B104" s="252" t="s">
        <v>262</v>
      </c>
      <c r="C104" s="263"/>
      <c r="D104" s="254"/>
      <c r="E104" s="255"/>
      <c r="F104" s="256"/>
      <c r="G104" s="255"/>
      <c r="H104" s="257"/>
      <c r="I104" s="258"/>
      <c r="J104" s="257"/>
      <c r="K104" s="258"/>
      <c r="L104" s="257"/>
      <c r="M104" s="258"/>
      <c r="N104" s="257"/>
      <c r="O104" s="258"/>
      <c r="P104" s="257"/>
      <c r="Q104" s="258"/>
      <c r="R104" s="257"/>
      <c r="S104" s="258"/>
      <c r="T104" s="257"/>
      <c r="U104" s="258"/>
      <c r="V104" s="257"/>
      <c r="W104" s="258"/>
      <c r="X104" s="257"/>
      <c r="Y104" s="258"/>
      <c r="Z104" s="257"/>
      <c r="AA104" s="258"/>
      <c r="AB104" s="257"/>
      <c r="AC104" s="258"/>
      <c r="AD104" s="257"/>
      <c r="AE104" s="258"/>
      <c r="AF104" s="257"/>
      <c r="AG104" s="258"/>
      <c r="AH104" s="257"/>
      <c r="AI104" s="258"/>
      <c r="AJ104" s="257"/>
    </row>
    <row r="105" spans="2:36" ht="56.25" x14ac:dyDescent="0.2">
      <c r="B105" s="146" t="s">
        <v>263</v>
      </c>
      <c r="C105" s="211">
        <v>88325</v>
      </c>
      <c r="D105" s="148" t="s">
        <v>149</v>
      </c>
      <c r="E105" s="195" t="s">
        <v>264</v>
      </c>
      <c r="F105" s="210"/>
      <c r="G105" s="126"/>
      <c r="H105" s="127"/>
      <c r="I105" s="128"/>
      <c r="J105" s="127"/>
      <c r="K105" s="129"/>
      <c r="L105" s="127"/>
      <c r="M105" s="129"/>
      <c r="N105" s="130"/>
      <c r="O105" s="131"/>
      <c r="P105" s="130"/>
      <c r="Q105" s="131"/>
      <c r="R105" s="130"/>
      <c r="S105" s="131"/>
      <c r="T105" s="130"/>
      <c r="U105" s="131"/>
      <c r="V105" s="130"/>
      <c r="W105" s="131"/>
      <c r="X105" s="130"/>
      <c r="Y105" s="131"/>
      <c r="Z105" s="130"/>
      <c r="AA105" s="131"/>
      <c r="AB105" s="130"/>
      <c r="AC105" s="131"/>
      <c r="AD105" s="130"/>
      <c r="AE105" s="131"/>
      <c r="AF105" s="130"/>
      <c r="AG105" s="131"/>
      <c r="AH105" s="130"/>
      <c r="AI105" s="131"/>
      <c r="AJ105" s="130"/>
    </row>
    <row r="106" spans="2:36" ht="56.25" x14ac:dyDescent="0.2">
      <c r="B106" s="146" t="s">
        <v>265</v>
      </c>
      <c r="C106" s="211">
        <v>81604</v>
      </c>
      <c r="D106" s="148" t="s">
        <v>149</v>
      </c>
      <c r="E106" s="149" t="s">
        <v>266</v>
      </c>
      <c r="F106" s="150"/>
      <c r="G106" s="230"/>
      <c r="H106" s="127"/>
      <c r="I106" s="128"/>
      <c r="J106" s="127"/>
      <c r="K106" s="129"/>
      <c r="L106" s="127"/>
      <c r="M106" s="129"/>
      <c r="N106" s="130"/>
      <c r="O106" s="131"/>
      <c r="P106" s="130"/>
      <c r="Q106" s="131"/>
      <c r="R106" s="130"/>
      <c r="S106" s="131"/>
      <c r="T106" s="130"/>
      <c r="U106" s="131"/>
      <c r="V106" s="130"/>
      <c r="W106" s="131"/>
      <c r="X106" s="130"/>
      <c r="Y106" s="131"/>
      <c r="Z106" s="130"/>
      <c r="AA106" s="131"/>
      <c r="AB106" s="130"/>
      <c r="AC106" s="131"/>
      <c r="AD106" s="130"/>
      <c r="AE106" s="131"/>
      <c r="AF106" s="130"/>
      <c r="AG106" s="131"/>
      <c r="AH106" s="130"/>
      <c r="AI106" s="131"/>
      <c r="AJ106" s="188"/>
    </row>
    <row r="107" spans="2:36" ht="12.75" x14ac:dyDescent="0.2">
      <c r="B107" s="146" t="s">
        <v>267</v>
      </c>
      <c r="C107" s="242">
        <f>SUM(H107:AB107)</f>
        <v>0</v>
      </c>
      <c r="D107" s="148" t="s">
        <v>149</v>
      </c>
      <c r="E107" s="149"/>
      <c r="F107" s="150"/>
      <c r="G107" s="230"/>
      <c r="H107" s="127"/>
      <c r="I107" s="128"/>
      <c r="J107" s="127"/>
      <c r="K107" s="129"/>
      <c r="L107" s="127"/>
      <c r="M107" s="129"/>
      <c r="N107" s="130"/>
      <c r="O107" s="131"/>
      <c r="P107" s="130"/>
      <c r="Q107" s="131"/>
      <c r="R107" s="130"/>
      <c r="S107" s="131"/>
      <c r="T107" s="130"/>
      <c r="U107" s="131"/>
      <c r="V107" s="130"/>
      <c r="W107" s="131"/>
      <c r="X107" s="130"/>
      <c r="Y107" s="131"/>
      <c r="Z107" s="130"/>
      <c r="AA107" s="131"/>
      <c r="AB107" s="130"/>
      <c r="AC107" s="131"/>
      <c r="AD107" s="130"/>
      <c r="AE107" s="131"/>
      <c r="AF107" s="130"/>
      <c r="AG107" s="131"/>
      <c r="AH107" s="130"/>
      <c r="AI107" s="131"/>
      <c r="AJ107" s="188"/>
    </row>
    <row r="108" spans="2:36" ht="27.75" customHeight="1" x14ac:dyDescent="0.2">
      <c r="B108" s="159" t="s">
        <v>268</v>
      </c>
      <c r="C108" s="211">
        <f>SUM(H108:AB108)</f>
        <v>0</v>
      </c>
      <c r="D108" s="148" t="s">
        <v>149</v>
      </c>
      <c r="E108" s="149"/>
      <c r="F108" s="150"/>
      <c r="G108" s="230"/>
      <c r="H108" s="127"/>
      <c r="I108" s="128"/>
      <c r="J108" s="127"/>
      <c r="K108" s="129"/>
      <c r="L108" s="127"/>
      <c r="M108" s="129"/>
      <c r="N108" s="130"/>
      <c r="O108" s="131"/>
      <c r="P108" s="130"/>
      <c r="Q108" s="131"/>
      <c r="R108" s="130"/>
      <c r="S108" s="131"/>
      <c r="T108" s="130"/>
      <c r="U108" s="131"/>
      <c r="V108" s="130"/>
      <c r="W108" s="131"/>
      <c r="X108" s="130"/>
      <c r="Y108" s="131"/>
      <c r="Z108" s="130"/>
      <c r="AA108" s="131"/>
      <c r="AB108" s="130"/>
      <c r="AC108" s="131"/>
      <c r="AD108" s="130"/>
      <c r="AE108" s="131"/>
      <c r="AF108" s="130"/>
      <c r="AG108" s="131"/>
      <c r="AH108" s="130"/>
      <c r="AI108" s="131"/>
      <c r="AJ108" s="188"/>
    </row>
    <row r="109" spans="2:36" ht="12.75" x14ac:dyDescent="0.2">
      <c r="B109" s="264" t="s">
        <v>269</v>
      </c>
      <c r="C109" s="265"/>
      <c r="D109" s="266"/>
      <c r="E109" s="267"/>
      <c r="F109" s="268"/>
      <c r="G109" s="267"/>
      <c r="H109" s="269"/>
      <c r="I109" s="270"/>
      <c r="J109" s="269"/>
      <c r="K109" s="270"/>
      <c r="L109" s="269"/>
      <c r="M109" s="270"/>
      <c r="N109" s="269"/>
      <c r="O109" s="270"/>
      <c r="P109" s="269"/>
      <c r="Q109" s="270"/>
      <c r="R109" s="269"/>
      <c r="S109" s="270"/>
      <c r="T109" s="269"/>
      <c r="U109" s="270"/>
      <c r="V109" s="269"/>
      <c r="W109" s="270"/>
      <c r="X109" s="269"/>
      <c r="Y109" s="270"/>
      <c r="Z109" s="269"/>
      <c r="AA109" s="270"/>
      <c r="AB109" s="269"/>
      <c r="AC109" s="270"/>
      <c r="AD109" s="269"/>
      <c r="AE109" s="270"/>
      <c r="AF109" s="269"/>
      <c r="AG109" s="270"/>
      <c r="AH109" s="269"/>
      <c r="AI109" s="270"/>
      <c r="AJ109" s="269"/>
    </row>
    <row r="110" spans="2:36" ht="22.5" customHeight="1" x14ac:dyDescent="0.2">
      <c r="B110" s="159" t="s">
        <v>270</v>
      </c>
      <c r="C110" s="271"/>
      <c r="D110" s="148" t="s">
        <v>271</v>
      </c>
      <c r="E110" s="272" t="str">
        <f>ROUND(1000*C110*C111,0) &amp;" L de lait transformés et/ou vente directe."</f>
        <v>0 L de lait transformés et/ou vente directe.</v>
      </c>
      <c r="F110" s="273"/>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c r="AC110" s="272"/>
      <c r="AD110" s="272"/>
      <c r="AE110" s="272"/>
      <c r="AF110" s="272"/>
      <c r="AG110" s="272"/>
      <c r="AH110" s="272"/>
      <c r="AI110" s="272"/>
      <c r="AJ110" s="272"/>
    </row>
    <row r="111" spans="2:36" ht="22.5" x14ac:dyDescent="0.2">
      <c r="B111" s="159" t="s">
        <v>272</v>
      </c>
      <c r="C111" s="274"/>
      <c r="D111" s="148" t="s">
        <v>273</v>
      </c>
      <c r="E111" s="275" t="s">
        <v>274</v>
      </c>
      <c r="F111" s="276"/>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I111" s="275"/>
      <c r="AJ111" s="275"/>
    </row>
    <row r="112" spans="2:36" ht="24" x14ac:dyDescent="0.2">
      <c r="B112" s="159" t="s">
        <v>275</v>
      </c>
      <c r="C112" s="211"/>
      <c r="D112" s="148" t="s">
        <v>149</v>
      </c>
      <c r="E112" s="149"/>
      <c r="F112" s="150"/>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row>
    <row r="113" spans="2:36" ht="56.25" x14ac:dyDescent="0.2">
      <c r="B113" s="159" t="s">
        <v>276</v>
      </c>
      <c r="C113" s="211"/>
      <c r="D113" s="148" t="s">
        <v>149</v>
      </c>
      <c r="E113" s="149" t="s">
        <v>277</v>
      </c>
      <c r="F113" s="150" t="s">
        <v>278</v>
      </c>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49"/>
      <c r="AI113" s="149"/>
      <c r="AJ113" s="149"/>
    </row>
    <row r="114" spans="2:36" ht="45" x14ac:dyDescent="0.2">
      <c r="B114" s="159" t="s">
        <v>279</v>
      </c>
      <c r="C114" s="211"/>
      <c r="D114" s="148" t="s">
        <v>149</v>
      </c>
      <c r="E114" s="149" t="s">
        <v>280</v>
      </c>
      <c r="F114" s="150"/>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row>
    <row r="115" spans="2:36" ht="33.75" x14ac:dyDescent="0.2">
      <c r="B115" s="159" t="s">
        <v>281</v>
      </c>
      <c r="C115" s="211"/>
      <c r="D115" s="148" t="s">
        <v>149</v>
      </c>
      <c r="E115" s="149" t="s">
        <v>282</v>
      </c>
      <c r="F115" s="150">
        <v>623</v>
      </c>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row>
    <row r="116" spans="2:36" ht="33.75" x14ac:dyDescent="0.2">
      <c r="B116" s="159" t="s">
        <v>283</v>
      </c>
      <c r="C116" s="211"/>
      <c r="D116" s="148" t="s">
        <v>149</v>
      </c>
      <c r="E116" s="149" t="s">
        <v>284</v>
      </c>
      <c r="F116" s="150"/>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row>
    <row r="117" spans="2:36" ht="33.75" x14ac:dyDescent="0.2">
      <c r="B117" s="159" t="s">
        <v>285</v>
      </c>
      <c r="C117" s="211"/>
      <c r="D117" s="148" t="s">
        <v>149</v>
      </c>
      <c r="E117" s="149" t="s">
        <v>286</v>
      </c>
      <c r="F117" s="150"/>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49"/>
      <c r="AI117" s="149"/>
      <c r="AJ117" s="149"/>
    </row>
    <row r="118" spans="2:36" ht="33.75" x14ac:dyDescent="0.2">
      <c r="B118" s="159" t="s">
        <v>287</v>
      </c>
      <c r="C118" s="211"/>
      <c r="D118" s="148" t="s">
        <v>149</v>
      </c>
      <c r="E118" s="261" t="s">
        <v>288</v>
      </c>
      <c r="F118" s="262"/>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1"/>
      <c r="AC118" s="261"/>
      <c r="AD118" s="261"/>
      <c r="AE118" s="261"/>
      <c r="AF118" s="261"/>
      <c r="AG118" s="261"/>
      <c r="AH118" s="261"/>
      <c r="AI118" s="261"/>
      <c r="AJ118" s="261"/>
    </row>
    <row r="119" spans="2:36" ht="14.1" customHeight="1" x14ac:dyDescent="0.2">
      <c r="B119" s="277" t="s">
        <v>289</v>
      </c>
      <c r="C119" s="278"/>
      <c r="D119" s="254"/>
      <c r="E119" s="279" t="str">
        <f>IF(AND(C120+C122+C124=UMOns,C121+C123+C125=UMOs),"","Attention affectation INCORRECTE")</f>
        <v>Attention affectation INCORRECTE</v>
      </c>
      <c r="F119" s="280"/>
      <c r="G119" s="281"/>
      <c r="H119" s="279"/>
      <c r="I119" s="279"/>
      <c r="J119" s="279"/>
      <c r="K119" s="279"/>
      <c r="L119" s="279"/>
      <c r="M119" s="279"/>
      <c r="N119" s="279"/>
      <c r="O119" s="279"/>
      <c r="P119" s="279"/>
      <c r="Q119" s="279"/>
      <c r="R119" s="279"/>
      <c r="S119" s="279"/>
      <c r="T119" s="279"/>
      <c r="U119" s="279"/>
      <c r="V119" s="279"/>
      <c r="W119" s="279"/>
      <c r="X119" s="279"/>
      <c r="Y119" s="279"/>
      <c r="Z119" s="279"/>
      <c r="AA119" s="279"/>
      <c r="AB119" s="279"/>
      <c r="AC119" s="279"/>
      <c r="AD119" s="279"/>
      <c r="AE119" s="279"/>
      <c r="AF119" s="279"/>
      <c r="AG119" s="279"/>
      <c r="AH119" s="279"/>
      <c r="AI119" s="279"/>
      <c r="AJ119" s="279"/>
    </row>
    <row r="120" spans="2:36" ht="14.1" customHeight="1" x14ac:dyDescent="0.2">
      <c r="B120" s="282" t="s">
        <v>290</v>
      </c>
      <c r="C120" s="283"/>
      <c r="D120" s="284">
        <f>(C120+C121)/(UMOns+UMOs)</f>
        <v>0</v>
      </c>
      <c r="E120" s="285" t="s">
        <v>291</v>
      </c>
      <c r="F120" s="286"/>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row>
    <row r="121" spans="2:36" ht="14.1" customHeight="1" x14ac:dyDescent="0.2">
      <c r="B121" s="287" t="s">
        <v>292</v>
      </c>
      <c r="C121" s="288"/>
      <c r="D121" s="289"/>
      <c r="E121" s="290"/>
      <c r="F121" s="291"/>
      <c r="G121" s="290"/>
      <c r="H121" s="290"/>
      <c r="I121" s="290"/>
      <c r="J121" s="290"/>
      <c r="K121" s="290"/>
      <c r="L121" s="290"/>
      <c r="M121" s="290"/>
      <c r="N121" s="290"/>
      <c r="O121" s="290"/>
      <c r="P121" s="290"/>
      <c r="Q121" s="290"/>
      <c r="R121" s="290"/>
      <c r="S121" s="290"/>
      <c r="T121" s="290"/>
      <c r="U121" s="290"/>
      <c r="V121" s="290"/>
      <c r="W121" s="290"/>
      <c r="X121" s="290"/>
      <c r="Y121" s="290"/>
      <c r="Z121" s="290"/>
      <c r="AA121" s="290"/>
      <c r="AB121" s="290"/>
      <c r="AC121" s="290"/>
      <c r="AD121" s="290"/>
      <c r="AE121" s="290"/>
      <c r="AF121" s="290"/>
      <c r="AG121" s="290"/>
      <c r="AH121" s="290"/>
      <c r="AI121" s="290"/>
      <c r="AJ121" s="290"/>
    </row>
    <row r="122" spans="2:36" ht="24" x14ac:dyDescent="0.2">
      <c r="B122" s="282" t="s">
        <v>293</v>
      </c>
      <c r="C122" s="283"/>
      <c r="D122" s="284">
        <f>(C122+C123)/(UMOns+UMOs)</f>
        <v>0</v>
      </c>
      <c r="E122" s="285" t="s">
        <v>294</v>
      </c>
      <c r="F122" s="286"/>
      <c r="G122" s="285"/>
      <c r="H122" s="285"/>
      <c r="I122" s="285"/>
      <c r="J122" s="285"/>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row>
    <row r="123" spans="2:36" ht="24" x14ac:dyDescent="0.2">
      <c r="B123" s="287" t="s">
        <v>295</v>
      </c>
      <c r="C123" s="288"/>
      <c r="D123" s="289"/>
      <c r="E123" s="290"/>
      <c r="F123" s="291"/>
      <c r="G123" s="290"/>
      <c r="H123" s="290"/>
      <c r="I123" s="290"/>
      <c r="J123" s="290"/>
      <c r="K123" s="290"/>
      <c r="L123" s="290"/>
      <c r="M123" s="290"/>
      <c r="N123" s="290"/>
      <c r="O123" s="290"/>
      <c r="P123" s="290"/>
      <c r="Q123" s="290"/>
      <c r="R123" s="290"/>
      <c r="S123" s="290"/>
      <c r="T123" s="290"/>
      <c r="U123" s="290"/>
      <c r="V123" s="290"/>
      <c r="W123" s="290"/>
      <c r="X123" s="290"/>
      <c r="Y123" s="290"/>
      <c r="Z123" s="290"/>
      <c r="AA123" s="290"/>
      <c r="AB123" s="290"/>
      <c r="AC123" s="290"/>
      <c r="AD123" s="290"/>
      <c r="AE123" s="290"/>
      <c r="AF123" s="290"/>
      <c r="AG123" s="290"/>
      <c r="AH123" s="290"/>
      <c r="AI123" s="290"/>
      <c r="AJ123" s="290"/>
    </row>
    <row r="124" spans="2:36" ht="14.1" customHeight="1" x14ac:dyDescent="0.2">
      <c r="B124" s="282" t="s">
        <v>296</v>
      </c>
      <c r="C124" s="283"/>
      <c r="D124" s="284">
        <f>(C124+C125)/(UMOns+UMOs)</f>
        <v>0</v>
      </c>
      <c r="E124" s="285" t="s">
        <v>297</v>
      </c>
      <c r="F124" s="286"/>
      <c r="G124" s="285"/>
      <c r="H124" s="285"/>
      <c r="I124" s="285"/>
      <c r="J124" s="285"/>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row>
    <row r="125" spans="2:36" ht="14.1" customHeight="1" x14ac:dyDescent="0.2">
      <c r="B125" s="287" t="s">
        <v>298</v>
      </c>
      <c r="C125" s="288"/>
      <c r="D125" s="289"/>
      <c r="E125" s="290"/>
      <c r="F125" s="291"/>
      <c r="G125" s="290"/>
      <c r="H125" s="290"/>
      <c r="I125" s="290"/>
      <c r="J125" s="290"/>
      <c r="K125" s="290"/>
      <c r="L125" s="290"/>
      <c r="M125" s="290"/>
      <c r="N125" s="290"/>
      <c r="O125" s="290"/>
      <c r="P125" s="290"/>
      <c r="Q125" s="290"/>
      <c r="R125" s="290"/>
      <c r="S125" s="290"/>
      <c r="T125" s="290"/>
      <c r="U125" s="290"/>
      <c r="V125" s="290"/>
      <c r="W125" s="290"/>
      <c r="X125" s="290"/>
      <c r="Y125" s="290"/>
      <c r="Z125" s="290"/>
      <c r="AA125" s="290"/>
      <c r="AB125" s="290"/>
      <c r="AC125" s="290"/>
      <c r="AD125" s="290"/>
      <c r="AE125" s="290"/>
      <c r="AF125" s="290"/>
      <c r="AG125" s="290"/>
      <c r="AH125" s="290"/>
      <c r="AI125" s="290"/>
      <c r="AJ125" s="290"/>
    </row>
    <row r="126" spans="2:36" ht="14.1" customHeight="1" x14ac:dyDescent="0.2">
      <c r="B126" s="292"/>
      <c r="F126" s="145"/>
      <c r="G126" s="88"/>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row>
    <row r="127" spans="2:36" ht="14.1" customHeight="1" x14ac:dyDescent="0.2">
      <c r="B127" s="252" t="s">
        <v>299</v>
      </c>
      <c r="C127" s="253"/>
      <c r="D127" s="254"/>
      <c r="E127" s="255"/>
      <c r="F127" s="256"/>
      <c r="G127" s="255"/>
      <c r="H127" s="257"/>
      <c r="I127" s="257"/>
      <c r="J127" s="257"/>
      <c r="K127" s="257"/>
      <c r="L127" s="257"/>
      <c r="M127" s="257"/>
      <c r="N127" s="257"/>
      <c r="O127" s="257"/>
      <c r="P127" s="257"/>
      <c r="Q127" s="257"/>
      <c r="R127" s="257"/>
      <c r="S127" s="257"/>
      <c r="T127" s="257"/>
      <c r="U127" s="257"/>
      <c r="V127" s="257"/>
      <c r="W127" s="257"/>
      <c r="X127" s="257"/>
      <c r="Y127" s="257"/>
      <c r="Z127" s="257"/>
      <c r="AA127" s="257"/>
      <c r="AB127" s="257"/>
      <c r="AC127" s="257"/>
      <c r="AD127" s="257"/>
      <c r="AE127" s="257"/>
      <c r="AF127" s="257"/>
      <c r="AG127" s="257"/>
      <c r="AH127" s="257"/>
      <c r="AI127" s="257"/>
      <c r="AJ127" s="257"/>
    </row>
    <row r="128" spans="2:36" ht="14.1" customHeight="1" x14ac:dyDescent="0.2">
      <c r="B128" s="282" t="s">
        <v>300</v>
      </c>
      <c r="C128" s="283"/>
      <c r="D128" s="284" t="e">
        <f>C128/C120</f>
        <v>#DIV/0!</v>
      </c>
      <c r="E128" s="285" t="e">
        <f>IF(D128&gt;1,"Erreur","")</f>
        <v>#DIV/0!</v>
      </c>
      <c r="F128" s="286"/>
      <c r="G128" s="285"/>
      <c r="H128" s="285"/>
      <c r="I128" s="285"/>
      <c r="J128" s="285"/>
      <c r="K128" s="285"/>
      <c r="L128" s="285"/>
      <c r="M128" s="285"/>
      <c r="N128" s="285"/>
      <c r="O128" s="285"/>
      <c r="P128" s="285"/>
      <c r="Q128" s="285"/>
      <c r="R128" s="285"/>
      <c r="S128" s="285"/>
      <c r="T128" s="285"/>
      <c r="U128" s="285"/>
      <c r="V128" s="285"/>
      <c r="W128" s="285"/>
      <c r="X128" s="285"/>
      <c r="Y128" s="285"/>
      <c r="Z128" s="285"/>
      <c r="AA128" s="285"/>
      <c r="AB128" s="285"/>
      <c r="AC128" s="285"/>
      <c r="AD128" s="285"/>
      <c r="AE128" s="285"/>
      <c r="AF128" s="285"/>
      <c r="AG128" s="285"/>
      <c r="AH128" s="285"/>
      <c r="AI128" s="285"/>
      <c r="AJ128" s="285"/>
    </row>
    <row r="129" spans="2:36" ht="14.1" customHeight="1" x14ac:dyDescent="0.2">
      <c r="B129" s="282" t="s">
        <v>301</v>
      </c>
      <c r="C129" s="293"/>
      <c r="D129" s="284" t="e">
        <f>C129/C121</f>
        <v>#DIV/0!</v>
      </c>
      <c r="E129" s="285" t="e">
        <f>IF(D129&gt;1,"Erreur","")</f>
        <v>#DIV/0!</v>
      </c>
      <c r="F129" s="286"/>
      <c r="G129" s="285"/>
      <c r="H129" s="285"/>
      <c r="I129" s="285"/>
      <c r="J129" s="285"/>
      <c r="K129" s="285"/>
      <c r="L129" s="285"/>
      <c r="M129" s="285"/>
      <c r="N129" s="285"/>
      <c r="O129" s="285"/>
      <c r="P129" s="285"/>
      <c r="Q129" s="285"/>
      <c r="R129" s="285"/>
      <c r="S129" s="285"/>
      <c r="T129" s="285"/>
      <c r="U129" s="285"/>
      <c r="V129" s="285"/>
      <c r="W129" s="285"/>
      <c r="X129" s="285"/>
      <c r="Y129" s="285"/>
      <c r="Z129" s="285"/>
      <c r="AA129" s="285"/>
      <c r="AB129" s="285"/>
      <c r="AC129" s="285"/>
      <c r="AD129" s="285"/>
      <c r="AE129" s="285"/>
      <c r="AF129" s="285"/>
      <c r="AG129" s="285"/>
      <c r="AH129" s="285"/>
      <c r="AI129" s="285"/>
      <c r="AJ129" s="294"/>
    </row>
    <row r="130" spans="2:36" s="80" customFormat="1" ht="12.75" x14ac:dyDescent="0.2">
      <c r="B130" s="239"/>
      <c r="C130" s="295"/>
      <c r="D130" s="87"/>
      <c r="E130" s="296"/>
      <c r="F130" s="297"/>
    </row>
    <row r="131" spans="2:36" ht="12.75" x14ac:dyDescent="0.2">
      <c r="B131" s="252" t="s">
        <v>302</v>
      </c>
      <c r="C131" s="253"/>
      <c r="D131" s="254"/>
      <c r="E131" s="255"/>
      <c r="F131" s="256"/>
      <c r="G131" s="255"/>
      <c r="H131" s="257"/>
      <c r="I131" s="257"/>
      <c r="J131" s="257"/>
      <c r="K131" s="257"/>
      <c r="L131" s="257"/>
      <c r="M131" s="257"/>
      <c r="N131" s="257"/>
      <c r="O131" s="257"/>
      <c r="P131" s="257"/>
      <c r="Q131" s="257"/>
      <c r="R131" s="257"/>
      <c r="S131" s="257"/>
      <c r="T131" s="257"/>
      <c r="U131" s="257"/>
      <c r="V131" s="257"/>
      <c r="W131" s="257"/>
      <c r="X131" s="257"/>
      <c r="Y131" s="257"/>
      <c r="Z131" s="257"/>
      <c r="AA131" s="257"/>
      <c r="AB131" s="257"/>
      <c r="AC131" s="257"/>
      <c r="AD131" s="257"/>
      <c r="AE131" s="257"/>
      <c r="AF131" s="257"/>
      <c r="AG131" s="257"/>
      <c r="AH131" s="257"/>
      <c r="AI131" s="257"/>
      <c r="AJ131" s="257"/>
    </row>
    <row r="132" spans="2:36" ht="14.1" customHeight="1" x14ac:dyDescent="0.2">
      <c r="B132" s="159" t="s">
        <v>303</v>
      </c>
      <c r="C132" s="242"/>
      <c r="D132" s="148" t="s">
        <v>304</v>
      </c>
      <c r="E132" s="149"/>
      <c r="F132" s="150"/>
      <c r="G132" s="285"/>
      <c r="H132" s="285"/>
      <c r="I132" s="285"/>
      <c r="J132" s="285"/>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row>
    <row r="133" spans="2:36" ht="14.1" customHeight="1" x14ac:dyDescent="0.2">
      <c r="B133" s="159" t="s">
        <v>305</v>
      </c>
      <c r="C133" s="298"/>
      <c r="D133" s="148" t="s">
        <v>306</v>
      </c>
      <c r="E133" s="149"/>
      <c r="F133" s="150"/>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94"/>
    </row>
    <row r="134" spans="2:36" ht="14.1" customHeight="1" x14ac:dyDescent="0.2">
      <c r="B134" s="159" t="s">
        <v>307</v>
      </c>
      <c r="C134" s="299"/>
      <c r="D134" s="148" t="s">
        <v>304</v>
      </c>
      <c r="E134" s="149" t="s">
        <v>308</v>
      </c>
      <c r="F134" s="150"/>
      <c r="G134" s="285"/>
      <c r="H134" s="285"/>
      <c r="I134" s="285"/>
      <c r="J134" s="285"/>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94"/>
    </row>
    <row r="140" spans="2:36" ht="14.1" customHeight="1" x14ac:dyDescent="0.2">
      <c r="B140" s="300" t="s">
        <v>309</v>
      </c>
      <c r="C140" s="301" t="s">
        <v>310</v>
      </c>
      <c r="D140" s="68"/>
      <c r="E140" s="69"/>
    </row>
    <row r="141" spans="2:36" ht="14.1" customHeight="1" x14ac:dyDescent="0.2">
      <c r="B141" s="159" t="s">
        <v>311</v>
      </c>
      <c r="C141" s="211"/>
      <c r="D141" s="148" t="s">
        <v>271</v>
      </c>
    </row>
    <row r="142" spans="2:36" ht="14.1" customHeight="1" x14ac:dyDescent="0.2">
      <c r="B142" s="159" t="s">
        <v>312</v>
      </c>
      <c r="C142" s="211"/>
      <c r="D142" s="148" t="s">
        <v>273</v>
      </c>
    </row>
    <row r="143" spans="2:36" ht="14.1" customHeight="1" x14ac:dyDescent="0.2">
      <c r="B143" s="159" t="s">
        <v>313</v>
      </c>
      <c r="C143" s="211"/>
      <c r="D143" s="148" t="s">
        <v>149</v>
      </c>
    </row>
    <row r="144" spans="2:36" ht="14.1" customHeight="1" x14ac:dyDescent="0.2">
      <c r="B144" s="70"/>
      <c r="C144" s="70"/>
      <c r="D144" s="70"/>
    </row>
    <row r="145" spans="2:4" ht="14.1" customHeight="1" x14ac:dyDescent="0.2">
      <c r="B145" s="70"/>
      <c r="C145" s="70"/>
      <c r="D145" s="70"/>
    </row>
    <row r="146" spans="2:4" ht="14.1" customHeight="1" x14ac:dyDescent="0.2">
      <c r="B146" s="159" t="s">
        <v>314</v>
      </c>
      <c r="C146" s="211"/>
      <c r="D146" s="148"/>
    </row>
    <row r="147" spans="2:4" ht="14.1" customHeight="1" x14ac:dyDescent="0.2">
      <c r="B147" s="159" t="s">
        <v>311</v>
      </c>
      <c r="C147" s="211"/>
      <c r="D147" s="148"/>
    </row>
    <row r="148" spans="2:4" ht="14.1" customHeight="1" x14ac:dyDescent="0.2">
      <c r="B148" s="159" t="s">
        <v>312</v>
      </c>
      <c r="C148" s="211"/>
      <c r="D148" s="148" t="s">
        <v>273</v>
      </c>
    </row>
    <row r="149" spans="2:4" ht="14.1" customHeight="1" x14ac:dyDescent="0.2">
      <c r="B149" s="159" t="s">
        <v>315</v>
      </c>
      <c r="C149" s="211"/>
      <c r="D149" s="148" t="s">
        <v>316</v>
      </c>
    </row>
    <row r="150" spans="2:4" ht="14.1" customHeight="1" x14ac:dyDescent="0.2">
      <c r="B150" s="159" t="s">
        <v>313</v>
      </c>
      <c r="C150" s="211"/>
      <c r="D150" s="148"/>
    </row>
    <row r="151" spans="2:4" ht="14.1" customHeight="1" x14ac:dyDescent="0.2">
      <c r="B151" s="70"/>
      <c r="C151" s="70"/>
      <c r="D151" s="70"/>
    </row>
    <row r="152" spans="2:4" ht="14.1" customHeight="1" x14ac:dyDescent="0.2">
      <c r="B152" s="70"/>
      <c r="C152" s="70"/>
      <c r="D152" s="70"/>
    </row>
    <row r="153" spans="2:4" ht="14.1" customHeight="1" x14ac:dyDescent="0.2">
      <c r="B153" s="159" t="s">
        <v>317</v>
      </c>
      <c r="C153" s="211"/>
      <c r="D153" s="148" t="s">
        <v>318</v>
      </c>
    </row>
    <row r="154" spans="2:4" ht="14.1" customHeight="1" x14ac:dyDescent="0.2">
      <c r="B154" s="159" t="s">
        <v>319</v>
      </c>
      <c r="C154" s="211"/>
      <c r="D154" s="148"/>
    </row>
    <row r="155" spans="2:4" ht="14.1" customHeight="1" x14ac:dyDescent="0.2">
      <c r="B155" s="159" t="s">
        <v>312</v>
      </c>
      <c r="C155" s="211"/>
      <c r="D155" s="148"/>
    </row>
    <row r="156" spans="2:4" ht="14.1" customHeight="1" x14ac:dyDescent="0.2">
      <c r="B156" s="159" t="s">
        <v>313</v>
      </c>
      <c r="C156" s="211"/>
      <c r="D156" s="148"/>
    </row>
  </sheetData>
  <sheetProtection selectLockedCells="1" selectUnlockedCells="1"/>
  <mergeCells count="2">
    <mergeCell ref="B2:D2"/>
    <mergeCell ref="H2:R10"/>
  </mergeCells>
  <conditionalFormatting sqref="E128:AJ129 G132:G133 H132:AJ134">
    <cfRule type="expression" dxfId="2" priority="1" stopIfTrue="1">
      <formula>NOT(ISERROR(SEARCH("Erreur",E128)))</formula>
    </cfRule>
  </conditionalFormatting>
  <conditionalFormatting sqref="G134">
    <cfRule type="expression" dxfId="1" priority="2" stopIfTrue="1">
      <formula>NOT(ISERROR(SEARCH("Erreur",G134)))</formula>
    </cfRule>
  </conditionalFormatting>
  <pageMargins left="0.31527777777777777" right="0.35416666666666669" top="0.47222222222222221" bottom="0.39374999999999999" header="0.51180555555555551" footer="0.51180555555555551"/>
  <pageSetup paperSize="8" scale="75"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F156"/>
  <sheetViews>
    <sheetView topLeftCell="A96" zoomScale="120" zoomScaleNormal="120" workbookViewId="0">
      <selection activeCell="C13" sqref="C13"/>
    </sheetView>
  </sheetViews>
  <sheetFormatPr baseColWidth="10" defaultRowHeight="14.1" customHeight="1" x14ac:dyDescent="0.2"/>
  <cols>
    <col min="1" max="1" width="33.42578125" style="302" customWidth="1"/>
    <col min="2" max="2" width="13.5703125" style="303" customWidth="1"/>
    <col min="3" max="3" width="18.7109375" style="1" customWidth="1"/>
    <col min="4" max="4" width="10.140625" style="304" customWidth="1"/>
    <col min="5" max="5" width="49.85546875" style="305" customWidth="1"/>
    <col min="6" max="6" width="12" style="5" customWidth="1"/>
    <col min="7" max="7" width="11.42578125" style="5"/>
    <col min="8" max="8" width="35.85546875" style="5" customWidth="1"/>
    <col min="9" max="16384" width="11.42578125" style="5"/>
  </cols>
  <sheetData>
    <row r="1" spans="1:5" ht="30" customHeight="1" x14ac:dyDescent="0.2">
      <c r="A1" s="6"/>
    </row>
    <row r="2" spans="1:5" s="20" customFormat="1" ht="42.75" customHeight="1" x14ac:dyDescent="0.25">
      <c r="A2" s="10" t="s">
        <v>320</v>
      </c>
      <c r="B2" s="306"/>
      <c r="C2" s="1"/>
      <c r="D2" s="304"/>
      <c r="E2" s="307" t="s">
        <v>100</v>
      </c>
    </row>
    <row r="3" spans="1:5" s="20" customFormat="1" ht="12.75" x14ac:dyDescent="0.2">
      <c r="A3" s="45"/>
      <c r="B3" s="306"/>
      <c r="C3" s="1"/>
      <c r="D3" s="304"/>
      <c r="E3" s="18">
        <f>DATEVER</f>
        <v>41760</v>
      </c>
    </row>
    <row r="4" spans="1:5" s="20" customFormat="1" ht="12.75" x14ac:dyDescent="0.2">
      <c r="A4" s="308" t="s">
        <v>102</v>
      </c>
      <c r="B4" s="306"/>
      <c r="C4" s="1"/>
      <c r="D4" s="304"/>
      <c r="E4" s="305"/>
    </row>
    <row r="5" spans="1:5" s="20" customFormat="1" ht="14.25" customHeight="1" x14ac:dyDescent="0.2">
      <c r="A5" s="309" t="s">
        <v>103</v>
      </c>
      <c r="B5" s="306"/>
      <c r="C5" s="1"/>
      <c r="D5" s="304"/>
      <c r="E5" s="305"/>
    </row>
    <row r="6" spans="1:5" s="20" customFormat="1" ht="5.25" customHeight="1" x14ac:dyDescent="0.2">
      <c r="A6" s="45"/>
      <c r="B6" s="306"/>
      <c r="C6" s="1"/>
      <c r="D6" s="304"/>
      <c r="E6" s="305"/>
    </row>
    <row r="7" spans="1:5" ht="5.25" customHeight="1" x14ac:dyDescent="0.2"/>
    <row r="8" spans="1:5" ht="12.75" x14ac:dyDescent="0.2">
      <c r="A8" s="310" t="s">
        <v>321</v>
      </c>
      <c r="B8" s="311"/>
      <c r="C8" s="312"/>
      <c r="D8" s="313"/>
      <c r="E8" s="314"/>
    </row>
    <row r="9" spans="1:5" ht="12.75" x14ac:dyDescent="0.2">
      <c r="A9" s="315" t="s">
        <v>322</v>
      </c>
      <c r="B9" s="316" t="s">
        <v>323</v>
      </c>
      <c r="C9" s="317" t="s">
        <v>324</v>
      </c>
      <c r="D9" s="318"/>
      <c r="E9" s="319" t="s">
        <v>325</v>
      </c>
    </row>
    <row r="10" spans="1:5" ht="27.75" customHeight="1" x14ac:dyDescent="0.2">
      <c r="A10" s="315" t="s">
        <v>326</v>
      </c>
      <c r="B10" s="316" t="s">
        <v>327</v>
      </c>
      <c r="C10" s="317"/>
      <c r="D10" s="318"/>
      <c r="E10" s="319" t="s">
        <v>328</v>
      </c>
    </row>
    <row r="11" spans="1:5" ht="12.75" x14ac:dyDescent="0.2">
      <c r="A11" s="320" t="s">
        <v>329</v>
      </c>
      <c r="B11" s="321" t="s">
        <v>330</v>
      </c>
      <c r="C11" s="322" t="s">
        <v>331</v>
      </c>
      <c r="D11" s="323"/>
      <c r="E11" s="319" t="s">
        <v>332</v>
      </c>
    </row>
    <row r="12" spans="1:5" s="325" customFormat="1" ht="12.75" x14ac:dyDescent="0.2">
      <c r="A12" s="94" t="s">
        <v>106</v>
      </c>
      <c r="B12" s="324" t="s">
        <v>333</v>
      </c>
      <c r="C12" s="95"/>
      <c r="D12" s="96" t="s">
        <v>107</v>
      </c>
      <c r="E12" s="99" t="s">
        <v>56</v>
      </c>
    </row>
    <row r="13" spans="1:5" ht="12.75" x14ac:dyDescent="0.2">
      <c r="A13" s="326" t="s">
        <v>109</v>
      </c>
      <c r="B13" s="327" t="s">
        <v>334</v>
      </c>
      <c r="C13" s="102" t="s">
        <v>335</v>
      </c>
      <c r="D13" s="328"/>
      <c r="E13" s="329" t="s">
        <v>111</v>
      </c>
    </row>
    <row r="14" spans="1:5" ht="12.75" x14ac:dyDescent="0.2">
      <c r="A14" s="330" t="s">
        <v>112</v>
      </c>
      <c r="B14" s="331"/>
      <c r="C14" s="107"/>
      <c r="D14" s="332"/>
      <c r="E14" s="333"/>
    </row>
    <row r="15" spans="1:5" ht="12.75" x14ac:dyDescent="0.2">
      <c r="A15" s="334" t="s">
        <v>113</v>
      </c>
      <c r="B15" s="335" t="s">
        <v>336</v>
      </c>
      <c r="C15" s="112">
        <v>2013</v>
      </c>
      <c r="D15" s="336" t="s">
        <v>337</v>
      </c>
      <c r="E15" s="337" t="s">
        <v>338</v>
      </c>
    </row>
    <row r="16" spans="1:5" ht="12.75" x14ac:dyDescent="0.2">
      <c r="A16" s="338" t="s">
        <v>339</v>
      </c>
      <c r="B16" s="339"/>
      <c r="C16" s="117">
        <v>41639</v>
      </c>
      <c r="D16" s="340" t="s">
        <v>117</v>
      </c>
      <c r="E16" s="341"/>
    </row>
    <row r="17" spans="1:5" ht="33.75" x14ac:dyDescent="0.2">
      <c r="A17" s="342" t="s">
        <v>118</v>
      </c>
      <c r="B17" s="343"/>
      <c r="C17" s="122">
        <v>735.22799999999995</v>
      </c>
      <c r="D17" s="344" t="s">
        <v>119</v>
      </c>
      <c r="E17" s="345" t="s">
        <v>120</v>
      </c>
    </row>
    <row r="18" spans="1:5" ht="12.75" x14ac:dyDescent="0.2">
      <c r="A18" s="346" t="s">
        <v>121</v>
      </c>
      <c r="B18" s="347" t="s">
        <v>340</v>
      </c>
      <c r="C18" s="133">
        <v>358.92</v>
      </c>
      <c r="D18" s="348" t="s">
        <v>122</v>
      </c>
      <c r="E18" s="349"/>
    </row>
    <row r="19" spans="1:5" ht="12.75" x14ac:dyDescent="0.2">
      <c r="A19" s="350"/>
      <c r="B19" s="351"/>
      <c r="C19" s="144"/>
      <c r="D19" s="352"/>
      <c r="E19" s="353"/>
    </row>
    <row r="20" spans="1:5" ht="12.75" x14ac:dyDescent="0.2">
      <c r="A20" s="354" t="s">
        <v>125</v>
      </c>
      <c r="B20" s="355" t="s">
        <v>341</v>
      </c>
      <c r="C20" s="147">
        <v>2.5</v>
      </c>
      <c r="D20" s="356"/>
      <c r="E20" s="357" t="s">
        <v>126</v>
      </c>
    </row>
    <row r="21" spans="1:5" ht="12.75" x14ac:dyDescent="0.2">
      <c r="A21" s="346" t="s">
        <v>127</v>
      </c>
      <c r="B21" s="347" t="s">
        <v>342</v>
      </c>
      <c r="C21" s="151">
        <v>0.5</v>
      </c>
      <c r="D21" s="348"/>
      <c r="E21" s="349"/>
    </row>
    <row r="22" spans="1:5" ht="12.75" x14ac:dyDescent="0.2">
      <c r="A22" s="338" t="s">
        <v>128</v>
      </c>
      <c r="B22" s="358" t="s">
        <v>343</v>
      </c>
      <c r="C22" s="122">
        <v>110.8</v>
      </c>
      <c r="D22" s="153" t="s">
        <v>129</v>
      </c>
      <c r="E22" s="341"/>
    </row>
    <row r="23" spans="1:5" ht="12.75" x14ac:dyDescent="0.2">
      <c r="A23" s="354" t="s">
        <v>130</v>
      </c>
      <c r="B23" s="355" t="s">
        <v>344</v>
      </c>
      <c r="C23" s="122"/>
      <c r="D23" s="154" t="s">
        <v>129</v>
      </c>
      <c r="E23" s="357"/>
    </row>
    <row r="24" spans="1:5" ht="12.75" x14ac:dyDescent="0.2">
      <c r="A24" s="359"/>
      <c r="B24" s="347"/>
      <c r="C24" s="3"/>
      <c r="D24" s="157"/>
      <c r="E24" s="349"/>
    </row>
    <row r="25" spans="1:5" ht="12.75" x14ac:dyDescent="0.2">
      <c r="A25" s="338" t="s">
        <v>131</v>
      </c>
      <c r="B25" s="358" t="s">
        <v>345</v>
      </c>
      <c r="C25" s="158">
        <v>145.5</v>
      </c>
      <c r="D25" s="153" t="s">
        <v>132</v>
      </c>
      <c r="E25" s="341" t="s">
        <v>133</v>
      </c>
    </row>
    <row r="26" spans="1:5" ht="12.75" x14ac:dyDescent="0.2">
      <c r="A26" s="360" t="s">
        <v>134</v>
      </c>
      <c r="B26" s="355" t="s">
        <v>346</v>
      </c>
      <c r="C26" s="160"/>
      <c r="D26" s="154" t="s">
        <v>132</v>
      </c>
      <c r="E26" s="357"/>
    </row>
    <row r="27" spans="1:5" ht="12.75" x14ac:dyDescent="0.2">
      <c r="A27" s="354" t="s">
        <v>135</v>
      </c>
      <c r="B27" s="355" t="s">
        <v>347</v>
      </c>
      <c r="C27" s="160">
        <v>25.5</v>
      </c>
      <c r="D27" s="154" t="s">
        <v>132</v>
      </c>
      <c r="E27" s="361"/>
    </row>
    <row r="28" spans="1:5" ht="12.75" x14ac:dyDescent="0.2">
      <c r="A28" s="360" t="s">
        <v>136</v>
      </c>
      <c r="B28" s="355" t="s">
        <v>348</v>
      </c>
      <c r="C28" s="160">
        <v>25.5</v>
      </c>
      <c r="D28" s="163" t="str">
        <f>IF(SHBL&gt;SH,"Attention SHBL&gt;SH","ha")</f>
        <v>ha</v>
      </c>
      <c r="E28" s="357" t="s">
        <v>137</v>
      </c>
    </row>
    <row r="29" spans="1:5" ht="12.75" x14ac:dyDescent="0.2">
      <c r="A29" s="360" t="s">
        <v>138</v>
      </c>
      <c r="B29" s="355" t="s">
        <v>349</v>
      </c>
      <c r="C29" s="164"/>
      <c r="D29" s="154"/>
      <c r="E29" s="357" t="s">
        <v>139</v>
      </c>
    </row>
    <row r="30" spans="1:5" ht="12.75" x14ac:dyDescent="0.2">
      <c r="A30" s="354" t="s">
        <v>140</v>
      </c>
      <c r="B30" s="355" t="s">
        <v>350</v>
      </c>
      <c r="C30" s="160">
        <v>34</v>
      </c>
      <c r="D30" s="154" t="s">
        <v>132</v>
      </c>
      <c r="E30" s="357"/>
    </row>
    <row r="31" spans="1:5" ht="12.75" x14ac:dyDescent="0.2">
      <c r="A31" s="360" t="s">
        <v>141</v>
      </c>
      <c r="B31" s="355" t="s">
        <v>351</v>
      </c>
      <c r="C31" s="160">
        <v>34</v>
      </c>
      <c r="D31" s="163" t="str">
        <f>IF(CFBL&gt;CF,"Attention CFBL&gt;CF","ha")</f>
        <v>ha</v>
      </c>
      <c r="E31" s="357" t="s">
        <v>137</v>
      </c>
    </row>
    <row r="32" spans="1:5" ht="12.75" x14ac:dyDescent="0.2">
      <c r="A32" s="360" t="s">
        <v>142</v>
      </c>
      <c r="B32" s="355" t="s">
        <v>352</v>
      </c>
      <c r="C32" s="164"/>
      <c r="D32" s="154"/>
      <c r="E32" s="357" t="s">
        <v>143</v>
      </c>
    </row>
    <row r="33" spans="1:5" ht="12.75" x14ac:dyDescent="0.2">
      <c r="A33" s="354" t="s">
        <v>144</v>
      </c>
      <c r="B33" s="355" t="s">
        <v>353</v>
      </c>
      <c r="C33" s="160">
        <v>86.3</v>
      </c>
      <c r="D33" s="154" t="s">
        <v>132</v>
      </c>
      <c r="E33" s="357" t="s">
        <v>145</v>
      </c>
    </row>
    <row r="34" spans="1:5" ht="12.75" x14ac:dyDescent="0.2">
      <c r="A34" s="360" t="s">
        <v>146</v>
      </c>
      <c r="B34" s="355" t="s">
        <v>354</v>
      </c>
      <c r="C34" s="160">
        <v>0.7</v>
      </c>
      <c r="D34" s="356" t="str">
        <f>IF(CVBL&gt;CV,"Attention CVBL&gt;CV","ha")</f>
        <v>ha</v>
      </c>
      <c r="E34" s="357"/>
    </row>
    <row r="35" spans="1:5" s="45" customFormat="1" ht="12" x14ac:dyDescent="0.2">
      <c r="A35" s="362" t="s">
        <v>147</v>
      </c>
      <c r="B35" s="363"/>
      <c r="C35" s="166"/>
      <c r="D35" s="364" t="str">
        <f>IF(CVBL&gt;CV,"Attention CVBL&gt;CV","ha")</f>
        <v>ha</v>
      </c>
      <c r="E35" s="365"/>
    </row>
    <row r="36" spans="1:5" ht="56.25" x14ac:dyDescent="0.2">
      <c r="A36" s="342" t="s">
        <v>148</v>
      </c>
      <c r="B36" s="343" t="s">
        <v>355</v>
      </c>
      <c r="C36" s="170">
        <v>33000</v>
      </c>
      <c r="D36" s="344" t="s">
        <v>149</v>
      </c>
      <c r="E36" s="345" t="s">
        <v>150</v>
      </c>
    </row>
    <row r="37" spans="1:5" ht="22.5" x14ac:dyDescent="0.2">
      <c r="A37" s="366" t="s">
        <v>152</v>
      </c>
      <c r="B37" s="363" t="s">
        <v>356</v>
      </c>
      <c r="C37" s="177">
        <v>0</v>
      </c>
      <c r="D37" s="364" t="s">
        <v>149</v>
      </c>
      <c r="E37" s="367" t="s">
        <v>357</v>
      </c>
    </row>
    <row r="38" spans="1:5" ht="22.5" x14ac:dyDescent="0.2">
      <c r="A38" s="342" t="s">
        <v>155</v>
      </c>
      <c r="B38" s="343" t="s">
        <v>358</v>
      </c>
      <c r="C38" s="170">
        <v>7689</v>
      </c>
      <c r="D38" s="344" t="s">
        <v>149</v>
      </c>
      <c r="E38" s="345" t="s">
        <v>156</v>
      </c>
    </row>
    <row r="39" spans="1:5" ht="12.75" x14ac:dyDescent="0.2">
      <c r="A39" s="354" t="s">
        <v>158</v>
      </c>
      <c r="B39" s="355" t="s">
        <v>359</v>
      </c>
      <c r="C39" s="368">
        <v>107507</v>
      </c>
      <c r="D39" s="356" t="s">
        <v>149</v>
      </c>
      <c r="E39" s="357" t="s">
        <v>360</v>
      </c>
    </row>
    <row r="40" spans="1:5" ht="12.75" customHeight="1" x14ac:dyDescent="0.2">
      <c r="A40" s="354" t="s">
        <v>161</v>
      </c>
      <c r="B40" s="355" t="s">
        <v>361</v>
      </c>
      <c r="C40" s="368">
        <v>0</v>
      </c>
      <c r="D40" s="356" t="s">
        <v>149</v>
      </c>
      <c r="E40" s="357" t="s">
        <v>162</v>
      </c>
    </row>
    <row r="41" spans="1:5" ht="24.75" customHeight="1" x14ac:dyDescent="0.2">
      <c r="A41" s="346" t="s">
        <v>164</v>
      </c>
      <c r="B41" s="347" t="s">
        <v>362</v>
      </c>
      <c r="C41" s="369">
        <v>1890</v>
      </c>
      <c r="D41" s="348" t="s">
        <v>149</v>
      </c>
      <c r="E41" s="349" t="s">
        <v>165</v>
      </c>
    </row>
    <row r="42" spans="1:5" ht="12.75" x14ac:dyDescent="0.2">
      <c r="A42" s="370" t="s">
        <v>167</v>
      </c>
      <c r="B42" s="371" t="s">
        <v>363</v>
      </c>
      <c r="C42" s="372">
        <v>0</v>
      </c>
      <c r="D42" s="373" t="s">
        <v>149</v>
      </c>
      <c r="E42" s="374" t="s">
        <v>168</v>
      </c>
    </row>
    <row r="43" spans="1:5" ht="12.75" x14ac:dyDescent="0.2">
      <c r="A43" s="354" t="s">
        <v>169</v>
      </c>
      <c r="B43" s="355" t="s">
        <v>364</v>
      </c>
      <c r="C43" s="242">
        <v>0</v>
      </c>
      <c r="D43" s="356" t="s">
        <v>149</v>
      </c>
      <c r="E43" s="357" t="s">
        <v>168</v>
      </c>
    </row>
    <row r="44" spans="1:5" ht="12.75" x14ac:dyDescent="0.2">
      <c r="A44" s="354" t="s">
        <v>170</v>
      </c>
      <c r="B44" s="355" t="s">
        <v>365</v>
      </c>
      <c r="C44" s="242">
        <v>0</v>
      </c>
      <c r="D44" s="356" t="s">
        <v>149</v>
      </c>
      <c r="E44" s="357" t="s">
        <v>171</v>
      </c>
    </row>
    <row r="45" spans="1:5" ht="12.75" x14ac:dyDescent="0.2">
      <c r="A45" s="354" t="s">
        <v>172</v>
      </c>
      <c r="B45" s="355" t="s">
        <v>366</v>
      </c>
      <c r="C45" s="242">
        <v>0</v>
      </c>
      <c r="D45" s="356" t="s">
        <v>149</v>
      </c>
      <c r="E45" s="357" t="s">
        <v>168</v>
      </c>
    </row>
    <row r="46" spans="1:5" ht="12.75" x14ac:dyDescent="0.2">
      <c r="A46" s="354" t="s">
        <v>173</v>
      </c>
      <c r="B46" s="355" t="s">
        <v>367</v>
      </c>
      <c r="C46" s="242">
        <v>46381</v>
      </c>
      <c r="D46" s="356" t="s">
        <v>149</v>
      </c>
      <c r="E46" s="357" t="s">
        <v>174</v>
      </c>
    </row>
    <row r="47" spans="1:5" ht="12.75" x14ac:dyDescent="0.2">
      <c r="A47" s="354" t="s">
        <v>175</v>
      </c>
      <c r="B47" s="355" t="s">
        <v>175</v>
      </c>
      <c r="C47" s="242">
        <v>0</v>
      </c>
      <c r="D47" s="356" t="s">
        <v>149</v>
      </c>
      <c r="E47" s="357"/>
    </row>
    <row r="48" spans="1:5" ht="12.75" x14ac:dyDescent="0.2">
      <c r="A48" s="354" t="s">
        <v>176</v>
      </c>
      <c r="B48" s="355" t="s">
        <v>368</v>
      </c>
      <c r="C48" s="242">
        <v>0</v>
      </c>
      <c r="D48" s="356" t="s">
        <v>149</v>
      </c>
      <c r="E48" s="357" t="s">
        <v>177</v>
      </c>
    </row>
    <row r="49" spans="1:5" ht="12.75" x14ac:dyDescent="0.2">
      <c r="A49" s="346" t="s">
        <v>178</v>
      </c>
      <c r="B49" s="375" t="s">
        <v>369</v>
      </c>
      <c r="C49" s="376">
        <v>0</v>
      </c>
      <c r="D49" s="377" t="s">
        <v>149</v>
      </c>
      <c r="E49" s="378"/>
    </row>
    <row r="50" spans="1:5" ht="12.75" x14ac:dyDescent="0.2">
      <c r="A50" s="342" t="s">
        <v>179</v>
      </c>
      <c r="B50" s="343" t="s">
        <v>370</v>
      </c>
      <c r="C50" s="379">
        <v>84637.85</v>
      </c>
      <c r="D50" s="344" t="s">
        <v>149</v>
      </c>
      <c r="E50" s="345" t="s">
        <v>180</v>
      </c>
    </row>
    <row r="51" spans="1:5" ht="12.75" x14ac:dyDescent="0.2">
      <c r="A51" s="360" t="s">
        <v>182</v>
      </c>
      <c r="B51" s="355" t="s">
        <v>371</v>
      </c>
      <c r="C51" s="242">
        <v>86198</v>
      </c>
      <c r="D51" s="356" t="s">
        <v>149</v>
      </c>
      <c r="E51" s="380"/>
    </row>
    <row r="52" spans="1:5" ht="12.75" x14ac:dyDescent="0.2">
      <c r="A52" s="354" t="s">
        <v>183</v>
      </c>
      <c r="B52" s="355" t="s">
        <v>372</v>
      </c>
      <c r="C52" s="242">
        <v>6958</v>
      </c>
      <c r="D52" s="356" t="s">
        <v>149</v>
      </c>
      <c r="E52" s="357" t="s">
        <v>184</v>
      </c>
    </row>
    <row r="53" spans="1:5" ht="12.75" x14ac:dyDescent="0.2">
      <c r="A53" s="359" t="s">
        <v>182</v>
      </c>
      <c r="B53" s="347" t="s">
        <v>373</v>
      </c>
      <c r="C53" s="203">
        <v>6958</v>
      </c>
      <c r="D53" s="381" t="str">
        <f>IF(ACFOUBL&gt;ACFOU,"Attention ACFOUBL&gt;ACFOU","€")</f>
        <v>€</v>
      </c>
      <c r="E53" s="382" t="s">
        <v>186</v>
      </c>
    </row>
    <row r="54" spans="1:5" ht="12.75" x14ac:dyDescent="0.2">
      <c r="A54" s="383"/>
      <c r="B54" s="327"/>
      <c r="C54" s="209"/>
      <c r="D54" s="328" t="s">
        <v>149</v>
      </c>
      <c r="E54" s="329"/>
    </row>
    <row r="55" spans="1:5" ht="12.75" x14ac:dyDescent="0.2">
      <c r="A55" s="370" t="s">
        <v>187</v>
      </c>
      <c r="B55" s="371" t="s">
        <v>374</v>
      </c>
      <c r="C55" s="372">
        <v>26738</v>
      </c>
      <c r="D55" s="373" t="s">
        <v>149</v>
      </c>
      <c r="E55" s="374"/>
    </row>
    <row r="56" spans="1:5" ht="12.75" x14ac:dyDescent="0.2">
      <c r="A56" s="360" t="s">
        <v>189</v>
      </c>
      <c r="B56" s="355" t="s">
        <v>375</v>
      </c>
      <c r="C56" s="211"/>
      <c r="D56" s="356" t="s">
        <v>149</v>
      </c>
      <c r="E56" s="380" t="s">
        <v>186</v>
      </c>
    </row>
    <row r="57" spans="1:5" ht="12.75" x14ac:dyDescent="0.2">
      <c r="A57" s="360" t="s">
        <v>190</v>
      </c>
      <c r="B57" s="355" t="s">
        <v>376</v>
      </c>
      <c r="C57" s="211"/>
      <c r="D57" s="213" t="str">
        <f>IF(ENGACF+ENGASH&gt;ENGA,"Attention ENGACF+ENGASH&gt;ENGA","€")</f>
        <v>€</v>
      </c>
      <c r="E57" s="380" t="s">
        <v>186</v>
      </c>
    </row>
    <row r="58" spans="1:5" ht="12.75" x14ac:dyDescent="0.2">
      <c r="A58" s="354" t="s">
        <v>191</v>
      </c>
      <c r="B58" s="355" t="s">
        <v>377</v>
      </c>
      <c r="C58" s="242">
        <v>11142</v>
      </c>
      <c r="D58" s="356" t="s">
        <v>149</v>
      </c>
      <c r="E58" s="357"/>
    </row>
    <row r="59" spans="1:5" ht="12.75" x14ac:dyDescent="0.2">
      <c r="A59" s="360" t="s">
        <v>189</v>
      </c>
      <c r="B59" s="355" t="s">
        <v>378</v>
      </c>
      <c r="C59" s="211"/>
      <c r="D59" s="356" t="s">
        <v>149</v>
      </c>
      <c r="E59" s="380" t="s">
        <v>186</v>
      </c>
    </row>
    <row r="60" spans="1:5" ht="12.75" x14ac:dyDescent="0.2">
      <c r="A60" s="360" t="s">
        <v>190</v>
      </c>
      <c r="B60" s="355" t="s">
        <v>379</v>
      </c>
      <c r="C60" s="211"/>
      <c r="D60" s="213" t="str">
        <f>IF(SEMCF+SEMSH&gt;SEM,"Attention SEMCF+SEMSH&gt;SEM","€")</f>
        <v>€</v>
      </c>
      <c r="E60" s="380" t="s">
        <v>186</v>
      </c>
    </row>
    <row r="61" spans="1:5" ht="22.5" x14ac:dyDescent="0.2">
      <c r="A61" s="354" t="s">
        <v>193</v>
      </c>
      <c r="B61" s="355" t="s">
        <v>380</v>
      </c>
      <c r="C61" s="242">
        <v>16049.4</v>
      </c>
      <c r="D61" s="356" t="s">
        <v>149</v>
      </c>
      <c r="E61" s="357" t="s">
        <v>194</v>
      </c>
    </row>
    <row r="62" spans="1:5" ht="12.75" x14ac:dyDescent="0.2">
      <c r="A62" s="360" t="s">
        <v>189</v>
      </c>
      <c r="B62" s="355" t="s">
        <v>381</v>
      </c>
      <c r="C62" s="211"/>
      <c r="D62" s="356" t="s">
        <v>149</v>
      </c>
      <c r="E62" s="380" t="s">
        <v>186</v>
      </c>
    </row>
    <row r="63" spans="1:5" ht="12.75" x14ac:dyDescent="0.2">
      <c r="A63" s="359" t="s">
        <v>190</v>
      </c>
      <c r="B63" s="347" t="s">
        <v>382</v>
      </c>
      <c r="C63" s="203"/>
      <c r="D63" s="381" t="str">
        <f>IF(ACVEGCF+ACVEGSH&gt;ACVEG,"Attention ACVEGCF+ACVEGSH&gt;ACVEG","€")</f>
        <v>€</v>
      </c>
      <c r="E63" s="382" t="s">
        <v>186</v>
      </c>
    </row>
    <row r="64" spans="1:5" ht="12.75" x14ac:dyDescent="0.2">
      <c r="A64" s="383"/>
      <c r="B64" s="327"/>
      <c r="C64" s="209"/>
      <c r="D64" s="328" t="s">
        <v>149</v>
      </c>
      <c r="E64" s="329"/>
    </row>
    <row r="65" spans="1:6" ht="12.75" x14ac:dyDescent="0.2">
      <c r="A65" s="370" t="s">
        <v>196</v>
      </c>
      <c r="B65" s="371" t="s">
        <v>383</v>
      </c>
      <c r="C65" s="372">
        <v>5996</v>
      </c>
      <c r="D65" s="373" t="s">
        <v>149</v>
      </c>
      <c r="E65" s="374" t="s">
        <v>197</v>
      </c>
    </row>
    <row r="66" spans="1:6" ht="12.75" x14ac:dyDescent="0.2">
      <c r="A66" s="360" t="s">
        <v>199</v>
      </c>
      <c r="B66" s="355" t="s">
        <v>384</v>
      </c>
      <c r="C66" s="211">
        <v>5275</v>
      </c>
      <c r="D66" s="213" t="str">
        <f>IF(FELVBL&gt;FELV,"Attention FELVBL&gt;FELV","€")</f>
        <v>€</v>
      </c>
      <c r="E66" s="380" t="s">
        <v>186</v>
      </c>
    </row>
    <row r="67" spans="1:6" ht="45" x14ac:dyDescent="0.2">
      <c r="A67" s="354" t="s">
        <v>200</v>
      </c>
      <c r="B67" s="355" t="s">
        <v>385</v>
      </c>
      <c r="C67" s="242">
        <v>22014.25</v>
      </c>
      <c r="D67" s="356" t="s">
        <v>149</v>
      </c>
      <c r="E67" s="374" t="s">
        <v>201</v>
      </c>
      <c r="F67" s="384"/>
    </row>
    <row r="68" spans="1:6" ht="12.75" x14ac:dyDescent="0.2">
      <c r="A68" s="360" t="s">
        <v>199</v>
      </c>
      <c r="B68" s="355" t="s">
        <v>386</v>
      </c>
      <c r="C68" s="211">
        <v>22014</v>
      </c>
      <c r="D68" s="213" t="str">
        <f>IF(FELABL&gt;FELA,"Attention FELABL&gt;FELA","€")</f>
        <v>€</v>
      </c>
      <c r="E68" s="380" t="s">
        <v>186</v>
      </c>
    </row>
    <row r="69" spans="1:6" ht="15" customHeight="1" x14ac:dyDescent="0.2">
      <c r="A69" s="359" t="s">
        <v>387</v>
      </c>
      <c r="B69" s="347"/>
      <c r="C69" s="203"/>
      <c r="D69" s="381" t="str">
        <f>IF(FELABL&gt;FELA,"Attention FELABL&gt;FELA","€")</f>
        <v>€</v>
      </c>
      <c r="E69" s="382" t="s">
        <v>204</v>
      </c>
    </row>
    <row r="70" spans="1:6" ht="12.75" x14ac:dyDescent="0.2">
      <c r="A70" s="370" t="s">
        <v>205</v>
      </c>
      <c r="B70" s="371" t="s">
        <v>388</v>
      </c>
      <c r="C70" s="372">
        <v>0</v>
      </c>
      <c r="D70" s="373" t="s">
        <v>149</v>
      </c>
      <c r="E70" s="374" t="s">
        <v>206</v>
      </c>
    </row>
    <row r="71" spans="1:6" ht="12.75" x14ac:dyDescent="0.2">
      <c r="A71" s="370" t="s">
        <v>208</v>
      </c>
      <c r="B71" s="347" t="s">
        <v>389</v>
      </c>
      <c r="C71" s="385">
        <v>0</v>
      </c>
      <c r="D71" s="348" t="s">
        <v>149</v>
      </c>
      <c r="E71" s="349" t="s">
        <v>209</v>
      </c>
    </row>
    <row r="72" spans="1:6" ht="15.75" customHeight="1" x14ac:dyDescent="0.2">
      <c r="A72" s="338" t="s">
        <v>210</v>
      </c>
      <c r="B72" s="386" t="s">
        <v>390</v>
      </c>
      <c r="C72" s="387"/>
      <c r="D72" s="340" t="s">
        <v>149</v>
      </c>
      <c r="E72" s="380" t="s">
        <v>186</v>
      </c>
    </row>
    <row r="73" spans="1:6" ht="13.5" hidden="1" customHeight="1" x14ac:dyDescent="0.2">
      <c r="A73" s="388"/>
      <c r="B73" s="389"/>
      <c r="C73" s="390"/>
      <c r="D73" s="344"/>
      <c r="E73" s="380"/>
    </row>
    <row r="74" spans="1:6" ht="12.75" x14ac:dyDescent="0.2">
      <c r="A74" s="350" t="s">
        <v>211</v>
      </c>
      <c r="B74" s="391" t="s">
        <v>391</v>
      </c>
      <c r="C74" s="392"/>
      <c r="D74" s="356" t="s">
        <v>149</v>
      </c>
      <c r="E74" s="380" t="s">
        <v>186</v>
      </c>
    </row>
    <row r="75" spans="1:6" ht="13.5" customHeight="1" x14ac:dyDescent="0.2">
      <c r="A75" s="393" t="s">
        <v>212</v>
      </c>
      <c r="B75" s="391" t="s">
        <v>392</v>
      </c>
      <c r="C75" s="392"/>
      <c r="D75" s="213" t="s">
        <v>149</v>
      </c>
      <c r="E75" s="380" t="s">
        <v>186</v>
      </c>
    </row>
    <row r="76" spans="1:6" ht="22.5" x14ac:dyDescent="0.2">
      <c r="A76" s="354" t="s">
        <v>213</v>
      </c>
      <c r="B76" s="355" t="s">
        <v>393</v>
      </c>
      <c r="C76" s="242">
        <v>30328</v>
      </c>
      <c r="D76" s="356" t="s">
        <v>149</v>
      </c>
      <c r="E76" s="357" t="s">
        <v>214</v>
      </c>
    </row>
    <row r="77" spans="1:6" ht="12.75" x14ac:dyDescent="0.2">
      <c r="A77" s="354" t="s">
        <v>216</v>
      </c>
      <c r="B77" s="355" t="s">
        <v>394</v>
      </c>
      <c r="C77" s="242">
        <v>20465</v>
      </c>
      <c r="D77" s="356" t="s">
        <v>149</v>
      </c>
      <c r="E77" s="345"/>
    </row>
    <row r="78" spans="1:6" ht="12.75" x14ac:dyDescent="0.2">
      <c r="A78" s="354" t="s">
        <v>218</v>
      </c>
      <c r="B78" s="355" t="s">
        <v>395</v>
      </c>
      <c r="C78" s="242">
        <v>17441</v>
      </c>
      <c r="D78" s="356" t="s">
        <v>149</v>
      </c>
      <c r="E78" s="357"/>
    </row>
    <row r="79" spans="1:6" ht="12.75" x14ac:dyDescent="0.2">
      <c r="A79" s="354" t="s">
        <v>220</v>
      </c>
      <c r="B79" s="355" t="s">
        <v>396</v>
      </c>
      <c r="C79" s="242">
        <v>2399</v>
      </c>
      <c r="D79" s="356" t="s">
        <v>149</v>
      </c>
      <c r="E79" s="357"/>
    </row>
    <row r="80" spans="1:6" ht="12.75" x14ac:dyDescent="0.2">
      <c r="A80" s="346" t="s">
        <v>397</v>
      </c>
      <c r="B80" s="394"/>
      <c r="C80" s="385">
        <v>0</v>
      </c>
      <c r="D80" s="348" t="s">
        <v>149</v>
      </c>
      <c r="E80" s="349"/>
    </row>
    <row r="81" spans="1:5" ht="12.75" x14ac:dyDescent="0.2">
      <c r="A81" s="370" t="s">
        <v>223</v>
      </c>
      <c r="B81" s="371" t="s">
        <v>398</v>
      </c>
      <c r="C81" s="372">
        <v>2765</v>
      </c>
      <c r="D81" s="373" t="s">
        <v>149</v>
      </c>
      <c r="E81" s="374"/>
    </row>
    <row r="82" spans="1:5" ht="22.5" x14ac:dyDescent="0.2">
      <c r="A82" s="354" t="s">
        <v>224</v>
      </c>
      <c r="B82" s="355" t="s">
        <v>399</v>
      </c>
      <c r="C82" s="242">
        <v>6029</v>
      </c>
      <c r="D82" s="356" t="s">
        <v>149</v>
      </c>
      <c r="E82" s="357" t="s">
        <v>225</v>
      </c>
    </row>
    <row r="83" spans="1:5" ht="22.5" x14ac:dyDescent="0.2">
      <c r="A83" s="346" t="s">
        <v>227</v>
      </c>
      <c r="B83" s="347" t="s">
        <v>400</v>
      </c>
      <c r="C83" s="385"/>
      <c r="D83" s="348" t="s">
        <v>149</v>
      </c>
      <c r="E83" s="349" t="s">
        <v>401</v>
      </c>
    </row>
    <row r="84" spans="1:5" ht="12.75" x14ac:dyDescent="0.2">
      <c r="A84" s="383"/>
      <c r="B84" s="327"/>
      <c r="C84" s="209"/>
      <c r="D84" s="328" t="s">
        <v>149</v>
      </c>
      <c r="E84" s="329"/>
    </row>
    <row r="85" spans="1:5" ht="33.75" x14ac:dyDescent="0.2">
      <c r="A85" s="370" t="s">
        <v>230</v>
      </c>
      <c r="B85" s="371" t="s">
        <v>402</v>
      </c>
      <c r="C85" s="372">
        <v>27123</v>
      </c>
      <c r="D85" s="373" t="s">
        <v>149</v>
      </c>
      <c r="E85" s="357" t="s">
        <v>403</v>
      </c>
    </row>
    <row r="86" spans="1:5" ht="33.75" x14ac:dyDescent="0.2">
      <c r="A86" s="354" t="s">
        <v>233</v>
      </c>
      <c r="B86" s="355" t="s">
        <v>404</v>
      </c>
      <c r="C86" s="242">
        <v>19437</v>
      </c>
      <c r="D86" s="356" t="s">
        <v>149</v>
      </c>
      <c r="E86" s="357" t="s">
        <v>405</v>
      </c>
    </row>
    <row r="87" spans="1:5" ht="12.75" x14ac:dyDescent="0.2">
      <c r="A87" s="354" t="s">
        <v>236</v>
      </c>
      <c r="B87" s="355" t="s">
        <v>406</v>
      </c>
      <c r="C87" s="242">
        <v>54204</v>
      </c>
      <c r="D87" s="356" t="s">
        <v>149</v>
      </c>
      <c r="E87" s="357" t="s">
        <v>237</v>
      </c>
    </row>
    <row r="88" spans="1:5" ht="45" x14ac:dyDescent="0.2">
      <c r="A88" s="370" t="s">
        <v>239</v>
      </c>
      <c r="B88" s="371" t="s">
        <v>407</v>
      </c>
      <c r="C88" s="372">
        <v>20141</v>
      </c>
      <c r="D88" s="373" t="s">
        <v>149</v>
      </c>
      <c r="E88" s="357" t="s">
        <v>408</v>
      </c>
    </row>
    <row r="89" spans="1:5" ht="12.75" x14ac:dyDescent="0.2">
      <c r="A89" s="346" t="s">
        <v>242</v>
      </c>
      <c r="B89" s="347"/>
      <c r="C89" s="385">
        <v>0</v>
      </c>
      <c r="D89" s="348" t="s">
        <v>149</v>
      </c>
      <c r="E89" s="349"/>
    </row>
    <row r="90" spans="1:5" ht="12.75" x14ac:dyDescent="0.2">
      <c r="A90" s="370" t="s">
        <v>243</v>
      </c>
      <c r="B90" s="371" t="s">
        <v>409</v>
      </c>
      <c r="C90" s="372">
        <v>34382</v>
      </c>
      <c r="D90" s="373" t="s">
        <v>149</v>
      </c>
      <c r="E90" s="374" t="s">
        <v>244</v>
      </c>
    </row>
    <row r="91" spans="1:5" ht="24" x14ac:dyDescent="0.2">
      <c r="A91" s="346" t="s">
        <v>246</v>
      </c>
      <c r="B91" s="347" t="s">
        <v>410</v>
      </c>
      <c r="C91" s="385">
        <v>31375</v>
      </c>
      <c r="D91" s="348" t="s">
        <v>149</v>
      </c>
      <c r="E91" s="349" t="s">
        <v>244</v>
      </c>
    </row>
    <row r="92" spans="1:5" ht="12.75" x14ac:dyDescent="0.2">
      <c r="A92" s="383"/>
      <c r="B92" s="327"/>
      <c r="C92" s="395"/>
      <c r="D92" s="328" t="s">
        <v>149</v>
      </c>
      <c r="E92" s="329"/>
    </row>
    <row r="93" spans="1:5" ht="22.5" x14ac:dyDescent="0.2">
      <c r="A93" s="370" t="s">
        <v>248</v>
      </c>
      <c r="B93" s="371" t="s">
        <v>411</v>
      </c>
      <c r="C93" s="372"/>
      <c r="D93" s="373" t="s">
        <v>249</v>
      </c>
      <c r="E93" s="374" t="s">
        <v>250</v>
      </c>
    </row>
    <row r="94" spans="1:5" ht="22.5" x14ac:dyDescent="0.2">
      <c r="A94" s="354" t="s">
        <v>251</v>
      </c>
      <c r="B94" s="355" t="s">
        <v>412</v>
      </c>
      <c r="C94" s="242">
        <v>21000</v>
      </c>
      <c r="D94" s="356" t="s">
        <v>149</v>
      </c>
      <c r="E94" s="361" t="s">
        <v>252</v>
      </c>
    </row>
    <row r="95" spans="1:5" ht="22.5" x14ac:dyDescent="0.2">
      <c r="A95" s="354" t="s">
        <v>254</v>
      </c>
      <c r="B95" s="355" t="s">
        <v>413</v>
      </c>
      <c r="C95" s="242">
        <v>329786</v>
      </c>
      <c r="D95" s="356" t="s">
        <v>149</v>
      </c>
      <c r="E95" s="357" t="s">
        <v>255</v>
      </c>
    </row>
    <row r="96" spans="1:5" ht="12.75" x14ac:dyDescent="0.2">
      <c r="A96" s="354"/>
      <c r="B96" s="355"/>
      <c r="C96" s="396"/>
      <c r="D96" s="356"/>
      <c r="E96" s="357"/>
    </row>
    <row r="97" spans="1:5" ht="12.75" x14ac:dyDescent="0.2">
      <c r="A97" s="354" t="s">
        <v>256</v>
      </c>
      <c r="B97" s="355" t="s">
        <v>414</v>
      </c>
      <c r="C97" s="242">
        <v>0</v>
      </c>
      <c r="D97" s="356" t="s">
        <v>149</v>
      </c>
      <c r="E97" s="245" t="s">
        <v>257</v>
      </c>
    </row>
    <row r="98" spans="1:5" s="20" customFormat="1" ht="12.75" x14ac:dyDescent="0.2">
      <c r="A98" s="350" t="s">
        <v>415</v>
      </c>
      <c r="B98" s="351"/>
      <c r="C98" s="242"/>
      <c r="D98" s="356" t="s">
        <v>149</v>
      </c>
      <c r="E98" s="245" t="s">
        <v>416</v>
      </c>
    </row>
    <row r="99" spans="1:5" ht="12.75" x14ac:dyDescent="0.2">
      <c r="A99" s="252" t="s">
        <v>258</v>
      </c>
      <c r="B99" s="397"/>
      <c r="C99" s="253"/>
      <c r="D99" s="254"/>
      <c r="E99" s="257"/>
    </row>
    <row r="100" spans="1:5" ht="12.75" x14ac:dyDescent="0.2">
      <c r="A100" s="342" t="s">
        <v>259</v>
      </c>
      <c r="B100" s="343" t="s">
        <v>417</v>
      </c>
      <c r="C100" s="398"/>
      <c r="D100" s="344" t="s">
        <v>149</v>
      </c>
      <c r="E100" s="345" t="s">
        <v>260</v>
      </c>
    </row>
    <row r="101" spans="1:5" ht="12.75" x14ac:dyDescent="0.2">
      <c r="A101" s="354" t="s">
        <v>191</v>
      </c>
      <c r="B101" s="355" t="s">
        <v>418</v>
      </c>
      <c r="C101" s="211"/>
      <c r="D101" s="356" t="s">
        <v>149</v>
      </c>
      <c r="E101" s="357" t="s">
        <v>260</v>
      </c>
    </row>
    <row r="102" spans="1:5" ht="12.75" x14ac:dyDescent="0.2">
      <c r="A102" s="354" t="s">
        <v>193</v>
      </c>
      <c r="B102" s="355" t="s">
        <v>419</v>
      </c>
      <c r="C102" s="211"/>
      <c r="D102" s="356" t="s">
        <v>149</v>
      </c>
      <c r="E102" s="357" t="s">
        <v>260</v>
      </c>
    </row>
    <row r="103" spans="1:5" ht="12.75" x14ac:dyDescent="0.2">
      <c r="A103" s="399" t="s">
        <v>261</v>
      </c>
      <c r="B103" s="400" t="s">
        <v>420</v>
      </c>
      <c r="C103" s="401"/>
      <c r="D103" s="402" t="s">
        <v>149</v>
      </c>
      <c r="E103" s="403" t="s">
        <v>260</v>
      </c>
    </row>
    <row r="104" spans="1:5" ht="12.75" x14ac:dyDescent="0.2">
      <c r="A104" s="252" t="s">
        <v>262</v>
      </c>
      <c r="B104" s="397"/>
      <c r="C104" s="263"/>
      <c r="D104" s="254"/>
      <c r="E104" s="257"/>
    </row>
    <row r="105" spans="1:5" ht="45" x14ac:dyDescent="0.2">
      <c r="A105" s="354" t="s">
        <v>263</v>
      </c>
      <c r="B105" s="355"/>
      <c r="C105" s="211">
        <v>88325</v>
      </c>
      <c r="D105" s="356" t="s">
        <v>149</v>
      </c>
      <c r="E105" s="374" t="s">
        <v>264</v>
      </c>
    </row>
    <row r="106" spans="1:5" ht="135" x14ac:dyDescent="0.2">
      <c r="A106" s="354" t="s">
        <v>265</v>
      </c>
      <c r="B106" s="355"/>
      <c r="C106" s="211">
        <v>81604</v>
      </c>
      <c r="D106" s="356" t="s">
        <v>149</v>
      </c>
      <c r="E106" s="357" t="s">
        <v>421</v>
      </c>
    </row>
    <row r="107" spans="1:5" ht="12.75" x14ac:dyDescent="0.2">
      <c r="A107" s="360" t="s">
        <v>267</v>
      </c>
      <c r="B107" s="355"/>
      <c r="C107" s="242">
        <v>0</v>
      </c>
      <c r="D107" s="356" t="s">
        <v>149</v>
      </c>
      <c r="E107" s="357"/>
    </row>
    <row r="108" spans="1:5" ht="27.75" customHeight="1" x14ac:dyDescent="0.2">
      <c r="A108" s="360" t="s">
        <v>268</v>
      </c>
      <c r="B108" s="355"/>
      <c r="C108" s="211">
        <v>0</v>
      </c>
      <c r="D108" s="356" t="s">
        <v>149</v>
      </c>
      <c r="E108" s="357"/>
    </row>
    <row r="109" spans="1:5" ht="12.75" x14ac:dyDescent="0.2">
      <c r="A109" s="264" t="s">
        <v>269</v>
      </c>
      <c r="B109" s="404"/>
      <c r="C109" s="265"/>
      <c r="D109" s="266"/>
      <c r="E109" s="269"/>
    </row>
    <row r="110" spans="1:5" ht="22.5" customHeight="1" x14ac:dyDescent="0.2">
      <c r="A110" s="360" t="s">
        <v>270</v>
      </c>
      <c r="B110" s="355"/>
      <c r="C110" s="271"/>
      <c r="D110" s="356" t="s">
        <v>271</v>
      </c>
      <c r="E110" s="405" t="str">
        <f>ROUND(1000*C110*C111,0) &amp;" L de lait transformés et/ou vente directe."</f>
        <v>0 L de lait transformés et/ou vente directe.</v>
      </c>
    </row>
    <row r="111" spans="1:5" ht="12.75" x14ac:dyDescent="0.2">
      <c r="A111" s="360" t="s">
        <v>272</v>
      </c>
      <c r="B111" s="355"/>
      <c r="C111" s="274"/>
      <c r="D111" s="356" t="s">
        <v>273</v>
      </c>
      <c r="E111" s="406" t="s">
        <v>274</v>
      </c>
    </row>
    <row r="112" spans="1:5" ht="24" x14ac:dyDescent="0.2">
      <c r="A112" s="360" t="s">
        <v>275</v>
      </c>
      <c r="B112" s="355"/>
      <c r="C112" s="211"/>
      <c r="D112" s="356" t="s">
        <v>149</v>
      </c>
      <c r="E112" s="357"/>
    </row>
    <row r="113" spans="1:5" ht="24" x14ac:dyDescent="0.2">
      <c r="A113" s="360" t="s">
        <v>276</v>
      </c>
      <c r="B113" s="355"/>
      <c r="C113" s="211"/>
      <c r="D113" s="356" t="s">
        <v>149</v>
      </c>
      <c r="E113" s="357" t="s">
        <v>422</v>
      </c>
    </row>
    <row r="114" spans="1:5" ht="24" x14ac:dyDescent="0.2">
      <c r="A114" s="360" t="s">
        <v>279</v>
      </c>
      <c r="B114" s="355"/>
      <c r="C114" s="211"/>
      <c r="D114" s="356" t="s">
        <v>149</v>
      </c>
      <c r="E114" s="357" t="s">
        <v>423</v>
      </c>
    </row>
    <row r="115" spans="1:5" ht="33.75" x14ac:dyDescent="0.2">
      <c r="A115" s="360" t="s">
        <v>281</v>
      </c>
      <c r="B115" s="355"/>
      <c r="C115" s="211"/>
      <c r="D115" s="356" t="s">
        <v>149</v>
      </c>
      <c r="E115" s="357" t="s">
        <v>282</v>
      </c>
    </row>
    <row r="116" spans="1:5" ht="24" x14ac:dyDescent="0.2">
      <c r="A116" s="360" t="s">
        <v>283</v>
      </c>
      <c r="B116" s="355"/>
      <c r="C116" s="211"/>
      <c r="D116" s="356" t="s">
        <v>149</v>
      </c>
      <c r="E116" s="357" t="s">
        <v>284</v>
      </c>
    </row>
    <row r="117" spans="1:5" ht="24" x14ac:dyDescent="0.2">
      <c r="A117" s="360" t="s">
        <v>285</v>
      </c>
      <c r="B117" s="355"/>
      <c r="C117" s="211"/>
      <c r="D117" s="356" t="s">
        <v>149</v>
      </c>
      <c r="E117" s="357" t="s">
        <v>286</v>
      </c>
    </row>
    <row r="118" spans="1:5" ht="24" x14ac:dyDescent="0.2">
      <c r="A118" s="360" t="s">
        <v>287</v>
      </c>
      <c r="B118" s="355"/>
      <c r="C118" s="211"/>
      <c r="D118" s="356" t="s">
        <v>149</v>
      </c>
      <c r="E118" s="403" t="s">
        <v>288</v>
      </c>
    </row>
    <row r="119" spans="1:5" ht="14.1" customHeight="1" x14ac:dyDescent="0.2">
      <c r="A119" s="277" t="s">
        <v>289</v>
      </c>
      <c r="B119" s="407"/>
      <c r="C119" s="278"/>
      <c r="D119" s="254"/>
      <c r="E119" s="279" t="str">
        <f>IF(AND(C120+C122+C124=UMOns,C121+C123+C125=UMOs),"","Attention affectation INCORRECTE")</f>
        <v>Attention affectation INCORRECTE</v>
      </c>
    </row>
    <row r="120" spans="1:5" ht="14.1" customHeight="1" x14ac:dyDescent="0.2">
      <c r="A120" s="282" t="s">
        <v>290</v>
      </c>
      <c r="B120" s="408"/>
      <c r="C120" s="283"/>
      <c r="D120" s="284">
        <f>(C120+C121)/(UMOns+UMOs)</f>
        <v>0</v>
      </c>
      <c r="E120" s="285" t="s">
        <v>291</v>
      </c>
    </row>
    <row r="121" spans="1:5" ht="14.1" customHeight="1" x14ac:dyDescent="0.2">
      <c r="A121" s="287" t="s">
        <v>292</v>
      </c>
      <c r="B121" s="409"/>
      <c r="C121" s="288"/>
      <c r="D121" s="289"/>
      <c r="E121" s="290"/>
    </row>
    <row r="122" spans="1:5" ht="24" x14ac:dyDescent="0.2">
      <c r="A122" s="282" t="s">
        <v>293</v>
      </c>
      <c r="B122" s="408"/>
      <c r="C122" s="283"/>
      <c r="D122" s="284">
        <f>(C122+C123)/(UMOns+UMOs)</f>
        <v>0</v>
      </c>
      <c r="E122" s="285" t="s">
        <v>294</v>
      </c>
    </row>
    <row r="123" spans="1:5" ht="24" x14ac:dyDescent="0.2">
      <c r="A123" s="287" t="s">
        <v>295</v>
      </c>
      <c r="B123" s="409"/>
      <c r="C123" s="288"/>
      <c r="D123" s="289"/>
      <c r="E123" s="290"/>
    </row>
    <row r="124" spans="1:5" ht="14.1" customHeight="1" x14ac:dyDescent="0.2">
      <c r="A124" s="282" t="s">
        <v>296</v>
      </c>
      <c r="B124" s="408"/>
      <c r="C124" s="283"/>
      <c r="D124" s="284">
        <f>(C124+C125)/(UMOns+UMOs)</f>
        <v>0</v>
      </c>
      <c r="E124" s="285" t="s">
        <v>297</v>
      </c>
    </row>
    <row r="125" spans="1:5" ht="14.1" customHeight="1" x14ac:dyDescent="0.2">
      <c r="A125" s="410" t="s">
        <v>298</v>
      </c>
      <c r="B125" s="411"/>
      <c r="C125" s="288"/>
      <c r="D125" s="289"/>
      <c r="E125" s="290"/>
    </row>
    <row r="126" spans="1:5" ht="14.1" customHeight="1" x14ac:dyDescent="0.2">
      <c r="A126" s="412"/>
    </row>
    <row r="127" spans="1:5" ht="14.1" customHeight="1" x14ac:dyDescent="0.2">
      <c r="A127" s="252" t="s">
        <v>299</v>
      </c>
      <c r="B127" s="397"/>
      <c r="C127" s="253"/>
      <c r="D127" s="254"/>
      <c r="E127" s="257"/>
    </row>
    <row r="128" spans="1:5" ht="14.1" customHeight="1" x14ac:dyDescent="0.2">
      <c r="A128" s="282" t="s">
        <v>300</v>
      </c>
      <c r="B128" s="408"/>
      <c r="C128" s="283"/>
      <c r="D128" s="284" t="e">
        <f>C128/C120</f>
        <v>#DIV/0!</v>
      </c>
      <c r="E128" s="285" t="e">
        <f>IF(D128&gt;1,"Erreur","")</f>
        <v>#DIV/0!</v>
      </c>
    </row>
    <row r="129" spans="1:5" ht="14.1" customHeight="1" x14ac:dyDescent="0.2">
      <c r="A129" s="282" t="s">
        <v>301</v>
      </c>
      <c r="B129" s="413"/>
      <c r="C129" s="293"/>
      <c r="D129" s="284" t="e">
        <f>C129/C121</f>
        <v>#DIV/0!</v>
      </c>
      <c r="E129" s="285" t="e">
        <f>IF(D129&gt;1,"Erreur","")</f>
        <v>#DIV/0!</v>
      </c>
    </row>
    <row r="130" spans="1:5" s="418" customFormat="1" ht="12.75" x14ac:dyDescent="0.2">
      <c r="A130" s="414"/>
      <c r="B130" s="415"/>
      <c r="C130" s="416"/>
      <c r="D130" s="352"/>
      <c r="E130" s="417"/>
    </row>
    <row r="131" spans="1:5" ht="12.75" x14ac:dyDescent="0.2">
      <c r="A131" s="252" t="s">
        <v>302</v>
      </c>
      <c r="B131" s="397"/>
      <c r="C131" s="253"/>
      <c r="D131" s="254"/>
      <c r="E131" s="257"/>
    </row>
    <row r="132" spans="1:5" ht="14.1" customHeight="1" x14ac:dyDescent="0.2">
      <c r="A132" s="360" t="s">
        <v>303</v>
      </c>
      <c r="B132" s="355"/>
      <c r="C132" s="242"/>
      <c r="D132" s="356" t="s">
        <v>119</v>
      </c>
      <c r="E132" s="357"/>
    </row>
    <row r="133" spans="1:5" ht="14.1" customHeight="1" x14ac:dyDescent="0.2">
      <c r="A133" s="360" t="s">
        <v>305</v>
      </c>
      <c r="B133" s="355"/>
      <c r="C133" s="242"/>
      <c r="D133" s="356" t="s">
        <v>122</v>
      </c>
      <c r="E133" s="357"/>
    </row>
    <row r="134" spans="1:5" ht="14.1" customHeight="1" x14ac:dyDescent="0.2">
      <c r="A134" s="360" t="s">
        <v>307</v>
      </c>
      <c r="B134" s="360"/>
      <c r="C134" s="242"/>
      <c r="D134" s="356" t="s">
        <v>119</v>
      </c>
      <c r="E134" s="357" t="s">
        <v>308</v>
      </c>
    </row>
    <row r="135" spans="1:5" ht="14.1" customHeight="1" x14ac:dyDescent="0.2">
      <c r="B135" s="67"/>
      <c r="C135" s="68"/>
      <c r="D135" s="69"/>
      <c r="E135" s="70"/>
    </row>
    <row r="136" spans="1:5" ht="14.1" customHeight="1" x14ac:dyDescent="0.2">
      <c r="B136" s="67"/>
      <c r="C136" s="68"/>
      <c r="D136" s="69"/>
      <c r="E136" s="70"/>
    </row>
    <row r="137" spans="1:5" ht="14.1" customHeight="1" x14ac:dyDescent="0.2">
      <c r="B137" s="67"/>
      <c r="C137" s="68"/>
      <c r="D137" s="69"/>
      <c r="E137" s="70"/>
    </row>
    <row r="138" spans="1:5" ht="14.1" customHeight="1" x14ac:dyDescent="0.2">
      <c r="B138" s="67"/>
      <c r="C138" s="68"/>
      <c r="D138" s="69"/>
      <c r="E138" s="70"/>
    </row>
    <row r="139" spans="1:5" ht="14.1" customHeight="1" x14ac:dyDescent="0.2">
      <c r="B139" s="67"/>
      <c r="C139" s="68"/>
      <c r="D139" s="69"/>
      <c r="E139" s="70"/>
    </row>
    <row r="140" spans="1:5" ht="12.75" x14ac:dyDescent="0.2">
      <c r="A140" s="419" t="s">
        <v>309</v>
      </c>
      <c r="B140" s="420" t="s">
        <v>310</v>
      </c>
      <c r="C140" s="1" t="s">
        <v>310</v>
      </c>
      <c r="D140" s="1"/>
      <c r="E140" s="304"/>
    </row>
    <row r="141" spans="1:5" ht="14.1" customHeight="1" x14ac:dyDescent="0.2">
      <c r="B141" s="360" t="s">
        <v>311</v>
      </c>
      <c r="C141" s="211"/>
      <c r="D141" s="356" t="s">
        <v>271</v>
      </c>
      <c r="E141" s="70"/>
    </row>
    <row r="142" spans="1:5" ht="14.1" customHeight="1" x14ac:dyDescent="0.2">
      <c r="B142" s="360" t="s">
        <v>312</v>
      </c>
      <c r="C142" s="211"/>
      <c r="D142" s="356" t="s">
        <v>273</v>
      </c>
      <c r="E142" s="70"/>
    </row>
    <row r="143" spans="1:5" ht="14.1" customHeight="1" x14ac:dyDescent="0.2">
      <c r="B143" s="360" t="s">
        <v>313</v>
      </c>
      <c r="C143" s="211"/>
      <c r="D143" s="356" t="s">
        <v>149</v>
      </c>
      <c r="E143" s="70"/>
    </row>
    <row r="144" spans="1:5" ht="14.1" customHeight="1" x14ac:dyDescent="0.2">
      <c r="B144" s="70"/>
      <c r="C144" s="70"/>
      <c r="D144" s="70"/>
      <c r="E144" s="70"/>
    </row>
    <row r="145" spans="2:5" ht="14.1" customHeight="1" x14ac:dyDescent="0.2">
      <c r="B145" s="70"/>
      <c r="C145" s="70"/>
      <c r="D145" s="70"/>
      <c r="E145" s="70"/>
    </row>
    <row r="146" spans="2:5" ht="14.1" customHeight="1" x14ac:dyDescent="0.2">
      <c r="B146" s="360" t="s">
        <v>314</v>
      </c>
      <c r="C146" s="211"/>
      <c r="D146" s="356"/>
      <c r="E146" s="70"/>
    </row>
    <row r="147" spans="2:5" ht="14.1" customHeight="1" x14ac:dyDescent="0.2">
      <c r="B147" s="360" t="s">
        <v>311</v>
      </c>
      <c r="C147" s="211"/>
      <c r="D147" s="356"/>
      <c r="E147" s="70"/>
    </row>
    <row r="148" spans="2:5" ht="14.1" customHeight="1" x14ac:dyDescent="0.2">
      <c r="B148" s="360" t="s">
        <v>312</v>
      </c>
      <c r="C148" s="211"/>
      <c r="D148" s="356" t="s">
        <v>273</v>
      </c>
      <c r="E148" s="70"/>
    </row>
    <row r="149" spans="2:5" ht="14.1" customHeight="1" x14ac:dyDescent="0.2">
      <c r="B149" s="360" t="s">
        <v>315</v>
      </c>
      <c r="C149" s="211"/>
      <c r="D149" s="356" t="s">
        <v>316</v>
      </c>
      <c r="E149" s="70"/>
    </row>
    <row r="150" spans="2:5" ht="14.1" customHeight="1" x14ac:dyDescent="0.2">
      <c r="B150" s="360" t="s">
        <v>313</v>
      </c>
      <c r="C150" s="211"/>
      <c r="D150" s="356"/>
      <c r="E150" s="70"/>
    </row>
    <row r="151" spans="2:5" ht="14.1" customHeight="1" x14ac:dyDescent="0.2">
      <c r="B151" s="70"/>
      <c r="C151" s="70"/>
      <c r="D151" s="70"/>
      <c r="E151" s="70"/>
    </row>
    <row r="152" spans="2:5" ht="14.1" customHeight="1" x14ac:dyDescent="0.2">
      <c r="B152" s="70"/>
      <c r="C152" s="70"/>
      <c r="D152" s="70"/>
      <c r="E152" s="70"/>
    </row>
    <row r="153" spans="2:5" ht="14.1" customHeight="1" x14ac:dyDescent="0.2">
      <c r="B153" s="360" t="s">
        <v>317</v>
      </c>
      <c r="C153" s="211"/>
      <c r="D153" s="356" t="s">
        <v>318</v>
      </c>
      <c r="E153" s="70"/>
    </row>
    <row r="154" spans="2:5" ht="14.1" customHeight="1" x14ac:dyDescent="0.2">
      <c r="B154" s="360" t="s">
        <v>319</v>
      </c>
      <c r="C154" s="211"/>
      <c r="D154" s="356"/>
      <c r="E154" s="70"/>
    </row>
    <row r="155" spans="2:5" ht="14.1" customHeight="1" x14ac:dyDescent="0.2">
      <c r="B155" s="360" t="s">
        <v>312</v>
      </c>
      <c r="C155" s="211"/>
      <c r="D155" s="356" t="s">
        <v>273</v>
      </c>
      <c r="E155" s="70"/>
    </row>
    <row r="156" spans="2:5" ht="14.1" customHeight="1" x14ac:dyDescent="0.2">
      <c r="B156" s="360" t="s">
        <v>313</v>
      </c>
      <c r="C156" s="211"/>
      <c r="D156" s="356"/>
      <c r="E156" s="70"/>
    </row>
  </sheetData>
  <sheetProtection selectLockedCells="1" selectUnlockedCells="1"/>
  <conditionalFormatting sqref="E128:E129">
    <cfRule type="expression" dxfId="0" priority="1" stopIfTrue="1">
      <formula>NOT(ISERROR(SEARCH("Erreur",E128)))</formula>
    </cfRule>
  </conditionalFormatting>
  <dataValidations count="3">
    <dataValidation type="list" operator="equal" allowBlank="1" showErrorMessage="1" sqref="C9">
      <formula1>SysBL</formula1>
      <formula2>0</formula2>
    </dataValidation>
    <dataValidation type="list" operator="equal" allowBlank="1" showErrorMessage="1" sqref="C10">
      <formula1>SysBV</formula1>
      <formula2>0</formula2>
    </dataValidation>
    <dataValidation type="list" operator="equal" allowBlank="1" showErrorMessage="1" sqref="C11">
      <formula1>Plamont</formula1>
      <formula2>0</formula2>
    </dataValidation>
  </dataValidations>
  <pageMargins left="0.39374999999999999" right="0.39374999999999999" top="0.39374999999999999" bottom="0.78749999999999998" header="0.51180555555555551" footer="0.39374999999999999"/>
  <pageSetup paperSize="9" firstPageNumber="0" fitToHeight="5" orientation="portrait" horizontalDpi="300" verticalDpi="300"/>
  <headerFooter alignWithMargins="0">
    <oddFooter>&amp;C&amp;8&amp;F - Feuille &amp;A - page &amp;P / &amp;N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topLeftCell="A85" zoomScale="115" zoomScaleNormal="115" workbookViewId="0">
      <selection activeCell="F25" sqref="F25"/>
    </sheetView>
  </sheetViews>
  <sheetFormatPr baseColWidth="10" defaultRowHeight="12.75" x14ac:dyDescent="0.2"/>
  <cols>
    <col min="1" max="1" width="5.140625" style="421" customWidth="1"/>
    <col min="2" max="2" width="39.7109375" style="421" customWidth="1"/>
    <col min="3" max="3" width="11.42578125" style="421"/>
    <col min="4" max="4" width="13.5703125" style="421" customWidth="1"/>
    <col min="5" max="5" width="53" style="421" customWidth="1"/>
    <col min="6" max="8" width="11.42578125" style="421"/>
    <col min="9" max="9" width="29" style="421" customWidth="1"/>
    <col min="10" max="14" width="11.42578125" style="421"/>
    <col min="15" max="15" width="32.85546875" style="421" customWidth="1"/>
    <col min="16" max="16" width="6.140625" style="421" customWidth="1"/>
    <col min="17" max="16384" width="11.42578125" style="421"/>
  </cols>
  <sheetData>
    <row r="1" spans="1:16" x14ac:dyDescent="0.2">
      <c r="O1" s="422"/>
      <c r="P1" s="422"/>
    </row>
    <row r="2" spans="1:16" x14ac:dyDescent="0.2">
      <c r="O2" s="422"/>
      <c r="P2" s="422"/>
    </row>
    <row r="4" spans="1:16" x14ac:dyDescent="0.2">
      <c r="E4" s="423" t="s">
        <v>1</v>
      </c>
    </row>
    <row r="5" spans="1:16" x14ac:dyDescent="0.2">
      <c r="E5" s="424">
        <f>DATEVER</f>
        <v>41760</v>
      </c>
    </row>
    <row r="6" spans="1:16" ht="12.75" customHeight="1" x14ac:dyDescent="0.2">
      <c r="A6" s="252" t="s">
        <v>424</v>
      </c>
      <c r="B6" s="397"/>
      <c r="C6" s="253"/>
      <c r="D6" s="254"/>
      <c r="E6" s="254"/>
      <c r="H6" s="1522" t="s">
        <v>425</v>
      </c>
      <c r="I6" s="1522"/>
      <c r="J6" s="1522"/>
      <c r="K6" s="1522"/>
      <c r="L6" s="425"/>
      <c r="M6" s="426"/>
    </row>
    <row r="7" spans="1:16" x14ac:dyDescent="0.2">
      <c r="A7" s="94"/>
      <c r="B7" s="94" t="s">
        <v>106</v>
      </c>
      <c r="C7" s="95"/>
      <c r="D7" s="96" t="s">
        <v>107</v>
      </c>
      <c r="E7" s="99" t="s">
        <v>56</v>
      </c>
      <c r="H7" s="1522"/>
      <c r="I7" s="1522"/>
      <c r="J7" s="1522"/>
      <c r="K7" s="1522"/>
      <c r="L7" s="425"/>
      <c r="M7" s="426"/>
    </row>
    <row r="8" spans="1:16" x14ac:dyDescent="0.2">
      <c r="H8" s="1522"/>
      <c r="I8" s="1522"/>
      <c r="J8" s="1522"/>
      <c r="K8" s="1522"/>
      <c r="L8" s="425"/>
      <c r="M8" s="426"/>
    </row>
    <row r="9" spans="1:16" x14ac:dyDescent="0.2">
      <c r="A9" s="427" t="s">
        <v>426</v>
      </c>
      <c r="B9" s="427"/>
      <c r="C9" s="427"/>
      <c r="D9" s="427"/>
      <c r="E9" s="427"/>
      <c r="H9" s="1522"/>
      <c r="I9" s="1522"/>
      <c r="J9" s="1522"/>
      <c r="K9" s="1522"/>
      <c r="L9" s="428"/>
      <c r="M9" s="426"/>
    </row>
    <row r="10" spans="1:16" ht="13.5" customHeight="1" x14ac:dyDescent="0.2">
      <c r="B10" s="429" t="s">
        <v>427</v>
      </c>
      <c r="C10" s="430"/>
      <c r="D10" s="148" t="s">
        <v>119</v>
      </c>
      <c r="E10" s="148" t="s">
        <v>428</v>
      </c>
      <c r="H10" s="426"/>
      <c r="I10" s="428"/>
      <c r="J10" s="428"/>
      <c r="K10" s="428"/>
      <c r="L10" s="428"/>
      <c r="M10" s="426"/>
    </row>
    <row r="11" spans="1:16" ht="13.5" customHeight="1" x14ac:dyDescent="0.2">
      <c r="B11" s="429" t="s">
        <v>429</v>
      </c>
      <c r="C11" s="431">
        <f>LCB</f>
        <v>735.22799999999995</v>
      </c>
      <c r="D11" s="148" t="s">
        <v>119</v>
      </c>
      <c r="E11" s="148" t="s">
        <v>430</v>
      </c>
      <c r="H11" s="426"/>
      <c r="I11" s="428"/>
      <c r="J11" s="428"/>
      <c r="K11" s="428"/>
      <c r="L11" s="428"/>
      <c r="M11" s="426"/>
    </row>
    <row r="12" spans="1:16" ht="13.5" customHeight="1" x14ac:dyDescent="0.2">
      <c r="B12" s="432" t="s">
        <v>431</v>
      </c>
      <c r="C12" s="431">
        <f>Calcul!B102</f>
        <v>0</v>
      </c>
      <c r="D12" s="148" t="s">
        <v>119</v>
      </c>
      <c r="E12" s="148"/>
      <c r="H12" s="426"/>
      <c r="I12" s="428"/>
      <c r="J12" s="428"/>
      <c r="K12" s="428"/>
      <c r="L12" s="428"/>
      <c r="M12" s="426"/>
    </row>
    <row r="13" spans="1:16" x14ac:dyDescent="0.2">
      <c r="B13" s="429" t="s">
        <v>432</v>
      </c>
      <c r="C13" s="433"/>
      <c r="D13" s="148" t="s">
        <v>433</v>
      </c>
      <c r="E13" s="148" t="s">
        <v>434</v>
      </c>
      <c r="H13" s="426"/>
      <c r="I13" s="428"/>
      <c r="J13" s="428"/>
      <c r="K13" s="428"/>
      <c r="L13" s="428"/>
      <c r="M13" s="426"/>
    </row>
    <row r="14" spans="1:16" x14ac:dyDescent="0.2">
      <c r="B14" s="429" t="s">
        <v>435</v>
      </c>
      <c r="C14" s="433"/>
      <c r="D14" s="148"/>
      <c r="E14" s="434" t="s">
        <v>436</v>
      </c>
      <c r="H14" s="426"/>
      <c r="I14" s="428"/>
      <c r="J14" s="428"/>
      <c r="K14" s="428"/>
      <c r="L14" s="428"/>
      <c r="M14" s="426"/>
    </row>
    <row r="15" spans="1:16" x14ac:dyDescent="0.2">
      <c r="B15" s="429" t="s">
        <v>437</v>
      </c>
      <c r="C15" s="435" t="str">
        <f>IF(C10&lt;&gt;"",C10*1000/C13,"")</f>
        <v/>
      </c>
      <c r="D15" s="148" t="s">
        <v>438</v>
      </c>
      <c r="E15" s="148" t="s">
        <v>439</v>
      </c>
      <c r="H15" s="426"/>
      <c r="I15" s="426"/>
      <c r="J15" s="426"/>
      <c r="K15" s="426"/>
      <c r="L15" s="426"/>
      <c r="M15" s="426"/>
    </row>
    <row r="16" spans="1:16" x14ac:dyDescent="0.2">
      <c r="B16" s="429" t="s">
        <v>440</v>
      </c>
      <c r="C16" s="436">
        <f>UGBBL/(SHBL+CFBL)</f>
        <v>1.8621848739495799</v>
      </c>
      <c r="D16" s="148" t="s">
        <v>441</v>
      </c>
      <c r="E16" s="148" t="s">
        <v>442</v>
      </c>
      <c r="H16" s="428"/>
      <c r="I16" s="428"/>
      <c r="J16" s="428"/>
      <c r="K16" s="428"/>
      <c r="L16" s="428"/>
      <c r="M16" s="428"/>
    </row>
    <row r="17" spans="1:5" x14ac:dyDescent="0.2">
      <c r="B17" s="429" t="s">
        <v>443</v>
      </c>
      <c r="C17" s="431" t="str">
        <f>IF(C10&lt;&gt;"",C10/(CFBL+SHBL)*1000,"")</f>
        <v/>
      </c>
      <c r="D17" s="148" t="s">
        <v>444</v>
      </c>
      <c r="E17" s="437" t="s">
        <v>445</v>
      </c>
    </row>
    <row r="18" spans="1:5" x14ac:dyDescent="0.2">
      <c r="B18" s="438"/>
      <c r="C18" s="438"/>
      <c r="D18" s="87"/>
      <c r="E18" s="87"/>
    </row>
    <row r="19" spans="1:5" x14ac:dyDescent="0.2">
      <c r="B19" s="438"/>
      <c r="C19" s="438"/>
      <c r="D19" s="87"/>
      <c r="E19" s="87"/>
    </row>
    <row r="20" spans="1:5" x14ac:dyDescent="0.2">
      <c r="A20" s="427" t="s">
        <v>446</v>
      </c>
      <c r="B20" s="427"/>
      <c r="C20" s="427"/>
      <c r="D20" s="427"/>
      <c r="E20" s="427"/>
    </row>
    <row r="21" spans="1:5" x14ac:dyDescent="0.2">
      <c r="B21" s="429" t="s">
        <v>447</v>
      </c>
      <c r="C21" s="433"/>
      <c r="D21" s="148" t="s">
        <v>448</v>
      </c>
      <c r="E21" s="148" t="s">
        <v>449</v>
      </c>
    </row>
    <row r="22" spans="1:5" x14ac:dyDescent="0.2">
      <c r="B22" s="429" t="s">
        <v>447</v>
      </c>
      <c r="C22" s="435" t="str">
        <f>IF(C21&lt;&gt;"",C21/C15*1000,"")</f>
        <v/>
      </c>
      <c r="D22" s="148" t="s">
        <v>450</v>
      </c>
      <c r="E22" s="148" t="s">
        <v>449</v>
      </c>
    </row>
    <row r="23" spans="1:5" x14ac:dyDescent="0.2">
      <c r="B23" s="429" t="s">
        <v>451</v>
      </c>
      <c r="C23" s="433"/>
      <c r="D23" s="148" t="s">
        <v>452</v>
      </c>
      <c r="E23" s="148" t="s">
        <v>453</v>
      </c>
    </row>
    <row r="24" spans="1:5" ht="22.5" customHeight="1" x14ac:dyDescent="0.2">
      <c r="B24" s="439" t="s">
        <v>454</v>
      </c>
      <c r="C24" s="433"/>
      <c r="D24" s="148"/>
      <c r="E24" s="440" t="s">
        <v>455</v>
      </c>
    </row>
    <row r="25" spans="1:5" ht="22.5" x14ac:dyDescent="0.2">
      <c r="B25" s="429" t="s">
        <v>456</v>
      </c>
      <c r="C25" s="433"/>
      <c r="D25" s="148" t="s">
        <v>316</v>
      </c>
      <c r="E25" s="441" t="s">
        <v>457</v>
      </c>
    </row>
    <row r="26" spans="1:5" x14ac:dyDescent="0.2">
      <c r="B26" s="429" t="s">
        <v>458</v>
      </c>
      <c r="C26" s="433"/>
      <c r="D26" s="148" t="s">
        <v>459</v>
      </c>
      <c r="E26" s="148" t="s">
        <v>460</v>
      </c>
    </row>
    <row r="27" spans="1:5" x14ac:dyDescent="0.2">
      <c r="B27" s="429" t="s">
        <v>461</v>
      </c>
      <c r="C27" s="433"/>
      <c r="D27" s="148" t="s">
        <v>448</v>
      </c>
      <c r="E27" s="148"/>
    </row>
    <row r="28" spans="1:5" x14ac:dyDescent="0.2">
      <c r="B28" s="429" t="s">
        <v>462</v>
      </c>
      <c r="C28" s="433"/>
      <c r="D28" s="148" t="s">
        <v>463</v>
      </c>
      <c r="E28" s="148"/>
    </row>
    <row r="29" spans="1:5" x14ac:dyDescent="0.2">
      <c r="B29" s="429" t="s">
        <v>464</v>
      </c>
      <c r="C29" s="442"/>
      <c r="D29" s="148"/>
      <c r="E29" s="148" t="s">
        <v>465</v>
      </c>
    </row>
    <row r="30" spans="1:5" x14ac:dyDescent="0.2">
      <c r="B30" s="429" t="s">
        <v>466</v>
      </c>
      <c r="C30" s="433"/>
      <c r="D30" s="148" t="s">
        <v>467</v>
      </c>
      <c r="E30" s="148" t="s">
        <v>468</v>
      </c>
    </row>
    <row r="31" spans="1:5" x14ac:dyDescent="0.2">
      <c r="B31" s="429" t="s">
        <v>469</v>
      </c>
      <c r="C31" s="443"/>
      <c r="D31" s="148" t="s">
        <v>470</v>
      </c>
      <c r="E31" s="148"/>
    </row>
    <row r="32" spans="1:5" x14ac:dyDescent="0.2">
      <c r="B32" s="429" t="s">
        <v>471</v>
      </c>
      <c r="C32" s="443"/>
      <c r="D32" s="148" t="s">
        <v>470</v>
      </c>
      <c r="E32" s="148" t="s">
        <v>472</v>
      </c>
    </row>
    <row r="33" spans="1:5" x14ac:dyDescent="0.2">
      <c r="B33" s="429" t="s">
        <v>473</v>
      </c>
      <c r="C33" s="443"/>
      <c r="D33" s="148" t="s">
        <v>470</v>
      </c>
      <c r="E33" s="148" t="s">
        <v>474</v>
      </c>
    </row>
    <row r="34" spans="1:5" x14ac:dyDescent="0.2">
      <c r="B34" s="429" t="s">
        <v>475</v>
      </c>
      <c r="C34" s="443"/>
      <c r="D34" s="148" t="s">
        <v>470</v>
      </c>
      <c r="E34" s="148" t="s">
        <v>476</v>
      </c>
    </row>
    <row r="35" spans="1:5" x14ac:dyDescent="0.2">
      <c r="B35" s="429" t="s">
        <v>477</v>
      </c>
      <c r="C35" s="433"/>
      <c r="D35" s="148" t="s">
        <v>478</v>
      </c>
      <c r="E35" s="148" t="s">
        <v>479</v>
      </c>
    </row>
    <row r="36" spans="1:5" x14ac:dyDescent="0.2">
      <c r="B36" s="438"/>
      <c r="C36" s="438"/>
      <c r="D36" s="260"/>
      <c r="E36" s="260"/>
    </row>
    <row r="37" spans="1:5" x14ac:dyDescent="0.2">
      <c r="B37" s="438"/>
      <c r="C37" s="438"/>
      <c r="D37" s="87"/>
      <c r="E37" s="87"/>
    </row>
    <row r="38" spans="1:5" x14ac:dyDescent="0.2">
      <c r="B38" s="438"/>
      <c r="C38" s="438"/>
      <c r="D38" s="87"/>
      <c r="E38" s="87"/>
    </row>
    <row r="39" spans="1:5" x14ac:dyDescent="0.2">
      <c r="A39" s="427" t="s">
        <v>480</v>
      </c>
      <c r="B39" s="427"/>
      <c r="C39" s="427"/>
      <c r="D39" s="427"/>
      <c r="E39" s="427"/>
    </row>
    <row r="40" spans="1:5" x14ac:dyDescent="0.2">
      <c r="B40" s="429" t="s">
        <v>481</v>
      </c>
      <c r="C40" s="444">
        <f>CFBL/(CFBL+SHBL)</f>
        <v>0.5714285714285714</v>
      </c>
      <c r="D40" s="148" t="s">
        <v>316</v>
      </c>
      <c r="E40" s="148"/>
    </row>
    <row r="41" spans="1:5" x14ac:dyDescent="0.2">
      <c r="B41" s="429" t="s">
        <v>482</v>
      </c>
      <c r="C41" s="433"/>
      <c r="D41" s="148" t="s">
        <v>316</v>
      </c>
      <c r="E41" s="148"/>
    </row>
    <row r="42" spans="1:5" x14ac:dyDescent="0.2">
      <c r="B42" s="429" t="s">
        <v>483</v>
      </c>
      <c r="C42" s="433"/>
      <c r="D42" s="148" t="s">
        <v>484</v>
      </c>
      <c r="E42" s="148"/>
    </row>
    <row r="43" spans="1:5" x14ac:dyDescent="0.2">
      <c r="B43" s="429" t="s">
        <v>485</v>
      </c>
      <c r="C43" s="433"/>
      <c r="D43" s="148" t="s">
        <v>486</v>
      </c>
      <c r="E43" s="148" t="s">
        <v>487</v>
      </c>
    </row>
    <row r="44" spans="1:5" x14ac:dyDescent="0.2">
      <c r="B44" s="429" t="s">
        <v>488</v>
      </c>
      <c r="C44" s="433"/>
      <c r="D44" s="148" t="s">
        <v>489</v>
      </c>
      <c r="E44" s="148" t="s">
        <v>490</v>
      </c>
    </row>
    <row r="45" spans="1:5" x14ac:dyDescent="0.2">
      <c r="B45" s="429" t="s">
        <v>491</v>
      </c>
      <c r="C45" s="433"/>
      <c r="D45" s="148" t="s">
        <v>492</v>
      </c>
      <c r="E45" s="148" t="s">
        <v>493</v>
      </c>
    </row>
    <row r="46" spans="1:5" x14ac:dyDescent="0.2">
      <c r="B46" s="429" t="s">
        <v>494</v>
      </c>
      <c r="C46" s="433"/>
      <c r="D46" s="148" t="s">
        <v>495</v>
      </c>
      <c r="E46" s="148" t="s">
        <v>496</v>
      </c>
    </row>
    <row r="47" spans="1:5" x14ac:dyDescent="0.2">
      <c r="B47" s="445"/>
      <c r="C47" s="438"/>
      <c r="D47" s="87"/>
      <c r="E47" s="87"/>
    </row>
    <row r="48" spans="1:5" x14ac:dyDescent="0.2">
      <c r="B48" s="445"/>
      <c r="C48" s="438"/>
      <c r="D48" s="87"/>
      <c r="E48" s="87"/>
    </row>
    <row r="49" spans="1:5" x14ac:dyDescent="0.2">
      <c r="B49" s="445"/>
      <c r="C49" s="438"/>
      <c r="D49" s="87"/>
      <c r="E49" s="87"/>
    </row>
    <row r="50" spans="1:5" x14ac:dyDescent="0.2">
      <c r="A50" s="427" t="s">
        <v>497</v>
      </c>
      <c r="B50" s="427"/>
      <c r="C50" s="427"/>
      <c r="D50" s="427"/>
      <c r="E50" s="427"/>
    </row>
    <row r="51" spans="1:5" x14ac:dyDescent="0.2">
      <c r="B51" s="429" t="s">
        <v>498</v>
      </c>
      <c r="C51" s="433"/>
      <c r="D51" s="148" t="s">
        <v>499</v>
      </c>
      <c r="E51" s="148"/>
    </row>
    <row r="52" spans="1:5" x14ac:dyDescent="0.2">
      <c r="B52" s="429" t="s">
        <v>500</v>
      </c>
      <c r="C52" s="433"/>
      <c r="D52" s="148" t="s">
        <v>433</v>
      </c>
      <c r="E52" s="148" t="s">
        <v>501</v>
      </c>
    </row>
    <row r="53" spans="1:5" x14ac:dyDescent="0.2">
      <c r="B53" s="429" t="s">
        <v>502</v>
      </c>
      <c r="C53" s="433"/>
      <c r="D53" s="148" t="s">
        <v>503</v>
      </c>
      <c r="E53" s="148" t="s">
        <v>504</v>
      </c>
    </row>
    <row r="54" spans="1:5" x14ac:dyDescent="0.2">
      <c r="B54" s="429" t="s">
        <v>505</v>
      </c>
      <c r="C54" s="433"/>
      <c r="D54" s="148" t="s">
        <v>503</v>
      </c>
      <c r="E54" s="148" t="s">
        <v>506</v>
      </c>
    </row>
    <row r="55" spans="1:5" x14ac:dyDescent="0.2">
      <c r="B55" s="429" t="s">
        <v>507</v>
      </c>
      <c r="C55" s="433"/>
      <c r="D55" s="148" t="s">
        <v>316</v>
      </c>
      <c r="E55" s="148" t="s">
        <v>508</v>
      </c>
    </row>
    <row r="56" spans="1:5" x14ac:dyDescent="0.2">
      <c r="B56" s="429" t="s">
        <v>509</v>
      </c>
      <c r="C56" s="436">
        <f>Calcul!C43/UGBBL</f>
        <v>47.608303249097474</v>
      </c>
      <c r="D56" s="148" t="s">
        <v>510</v>
      </c>
      <c r="E56" s="148"/>
    </row>
    <row r="57" spans="1:5" x14ac:dyDescent="0.2">
      <c r="B57" s="438"/>
      <c r="C57" s="438"/>
      <c r="D57" s="87"/>
      <c r="E57" s="87"/>
    </row>
    <row r="58" spans="1:5" x14ac:dyDescent="0.2">
      <c r="B58" s="438"/>
      <c r="C58" s="438"/>
      <c r="D58" s="87"/>
      <c r="E58" s="87"/>
    </row>
    <row r="59" spans="1:5" x14ac:dyDescent="0.2">
      <c r="B59" s="438"/>
      <c r="C59" s="438"/>
      <c r="D59" s="87"/>
      <c r="E59" s="87"/>
    </row>
    <row r="60" spans="1:5" x14ac:dyDescent="0.2">
      <c r="A60" s="427" t="s">
        <v>511</v>
      </c>
      <c r="B60" s="427"/>
      <c r="C60" s="427"/>
      <c r="D60" s="427"/>
      <c r="E60" s="427"/>
    </row>
    <row r="61" spans="1:5" x14ac:dyDescent="0.2">
      <c r="B61" s="446" t="s">
        <v>512</v>
      </c>
      <c r="C61" s="447"/>
      <c r="D61" s="148" t="s">
        <v>513</v>
      </c>
      <c r="E61" s="148" t="s">
        <v>514</v>
      </c>
    </row>
    <row r="62" spans="1:5" x14ac:dyDescent="0.2">
      <c r="B62" s="446" t="s">
        <v>515</v>
      </c>
      <c r="C62" s="448" t="str">
        <f>IF(C61&lt;&gt;"",C61/SAU,"")</f>
        <v/>
      </c>
      <c r="D62" s="148" t="s">
        <v>516</v>
      </c>
      <c r="E62" s="148"/>
    </row>
    <row r="63" spans="1:5" x14ac:dyDescent="0.2">
      <c r="B63" s="446" t="s">
        <v>517</v>
      </c>
      <c r="C63" s="447"/>
      <c r="D63" s="148" t="s">
        <v>518</v>
      </c>
      <c r="E63" s="148"/>
    </row>
    <row r="64" spans="1:5" ht="25.5" x14ac:dyDescent="0.2">
      <c r="B64" s="449" t="s">
        <v>519</v>
      </c>
      <c r="C64" s="447"/>
      <c r="D64" s="148" t="s">
        <v>518</v>
      </c>
      <c r="E64" s="148"/>
    </row>
    <row r="65" spans="1:16" x14ac:dyDescent="0.2">
      <c r="B65" s="446" t="s">
        <v>520</v>
      </c>
      <c r="C65" s="447"/>
      <c r="D65" s="148" t="s">
        <v>521</v>
      </c>
      <c r="E65" s="148" t="s">
        <v>522</v>
      </c>
    </row>
    <row r="66" spans="1:16" x14ac:dyDescent="0.2">
      <c r="B66" s="446" t="s">
        <v>523</v>
      </c>
      <c r="C66" s="450" t="str">
        <f>IF(OR(C63&lt;&gt;"",C64&lt;&gt;""),(C63+C64)/SAU,"")</f>
        <v/>
      </c>
      <c r="D66" s="148" t="s">
        <v>518</v>
      </c>
      <c r="E66" s="148"/>
    </row>
    <row r="67" spans="1:16" x14ac:dyDescent="0.2">
      <c r="B67" s="451" t="s">
        <v>524</v>
      </c>
      <c r="C67" s="450" t="str">
        <f>IF(AND(C63&lt;&gt;"",C65&lt;&gt;""),C65/C63,"")</f>
        <v/>
      </c>
      <c r="D67" s="148" t="s">
        <v>525</v>
      </c>
      <c r="E67" s="148"/>
    </row>
    <row r="68" spans="1:16" x14ac:dyDescent="0.2">
      <c r="B68" s="446" t="s">
        <v>526</v>
      </c>
      <c r="C68" s="450" t="str">
        <f>IF(C65&lt;&gt;"",C65/SAU,"")</f>
        <v/>
      </c>
      <c r="D68" s="148" t="s">
        <v>527</v>
      </c>
      <c r="E68" s="148"/>
    </row>
    <row r="69" spans="1:16" x14ac:dyDescent="0.2">
      <c r="B69" s="446" t="s">
        <v>528</v>
      </c>
      <c r="C69" s="450" t="str">
        <f>IF(C66&lt;&gt;"",(Calcul!B45+Calcul!B62)/(C63+C66),"")</f>
        <v/>
      </c>
      <c r="D69" s="148" t="s">
        <v>529</v>
      </c>
      <c r="E69" s="148"/>
    </row>
    <row r="70" spans="1:16" x14ac:dyDescent="0.2">
      <c r="B70" s="446" t="s">
        <v>530</v>
      </c>
      <c r="C70" s="450">
        <f>(Calcul!B46+Calcul!B63)/(SAU)</f>
        <v>215.63573883161513</v>
      </c>
      <c r="D70" s="148" t="s">
        <v>531</v>
      </c>
      <c r="E70" s="148"/>
      <c r="O70" s="422"/>
      <c r="P70" s="422"/>
    </row>
    <row r="71" spans="1:16" x14ac:dyDescent="0.2">
      <c r="B71" s="452"/>
      <c r="C71" s="453"/>
      <c r="D71" s="87"/>
      <c r="E71" s="87"/>
      <c r="O71" s="422"/>
      <c r="P71" s="422"/>
    </row>
    <row r="72" spans="1:16" x14ac:dyDescent="0.2">
      <c r="B72" s="452"/>
      <c r="C72" s="453"/>
      <c r="D72" s="87"/>
      <c r="E72" s="87"/>
      <c r="O72" s="422"/>
      <c r="P72" s="422"/>
    </row>
    <row r="73" spans="1:16" x14ac:dyDescent="0.2">
      <c r="O73" s="422"/>
      <c r="P73" s="422"/>
    </row>
    <row r="74" spans="1:16" x14ac:dyDescent="0.2">
      <c r="A74" s="427" t="s">
        <v>532</v>
      </c>
      <c r="B74" s="427"/>
      <c r="C74" s="427"/>
      <c r="D74" s="427"/>
      <c r="E74" s="427"/>
    </row>
    <row r="75" spans="1:16" x14ac:dyDescent="0.2">
      <c r="B75" s="446" t="s">
        <v>533</v>
      </c>
      <c r="C75" s="447"/>
      <c r="D75" s="148" t="s">
        <v>521</v>
      </c>
      <c r="E75" s="148" t="s">
        <v>534</v>
      </c>
    </row>
    <row r="76" spans="1:16" x14ac:dyDescent="0.2">
      <c r="B76" s="446" t="s">
        <v>535</v>
      </c>
      <c r="C76" s="450" t="str">
        <f>IF(C75&lt;&gt;"",C75/SAU,"")</f>
        <v/>
      </c>
      <c r="D76" s="148" t="s">
        <v>527</v>
      </c>
      <c r="E76" s="148"/>
    </row>
    <row r="77" spans="1:16" x14ac:dyDescent="0.2">
      <c r="B77" s="454" t="s">
        <v>536</v>
      </c>
      <c r="C77" s="455"/>
      <c r="D77" s="437" t="s">
        <v>521</v>
      </c>
      <c r="E77" s="437" t="s">
        <v>537</v>
      </c>
    </row>
    <row r="78" spans="1:16" x14ac:dyDescent="0.2">
      <c r="B78" s="454" t="s">
        <v>538</v>
      </c>
      <c r="C78" s="456" t="str">
        <f>IF(C77&lt;&gt;"",C77/(C10/1000),"")</f>
        <v/>
      </c>
      <c r="D78" s="437" t="s">
        <v>539</v>
      </c>
      <c r="E78" s="437" t="s">
        <v>540</v>
      </c>
    </row>
    <row r="79" spans="1:16" x14ac:dyDescent="0.2">
      <c r="B79" s="446" t="s">
        <v>541</v>
      </c>
      <c r="C79" s="447"/>
      <c r="D79" s="148" t="s">
        <v>542</v>
      </c>
      <c r="E79" s="148"/>
    </row>
    <row r="80" spans="1:16" x14ac:dyDescent="0.2">
      <c r="B80" s="446" t="s">
        <v>543</v>
      </c>
      <c r="C80" s="450" t="str">
        <f>IF(C79&lt;&gt;"",C79/(C10/1000),"")</f>
        <v/>
      </c>
      <c r="D80" s="148" t="s">
        <v>544</v>
      </c>
      <c r="E80" s="148"/>
    </row>
    <row r="81" spans="1:5" x14ac:dyDescent="0.2">
      <c r="B81" s="457"/>
      <c r="C81" s="458"/>
      <c r="D81" s="87"/>
      <c r="E81" s="87"/>
    </row>
    <row r="82" spans="1:5" x14ac:dyDescent="0.2">
      <c r="B82" s="457"/>
      <c r="C82" s="458"/>
      <c r="D82" s="87"/>
      <c r="E82" s="87"/>
    </row>
    <row r="84" spans="1:5" x14ac:dyDescent="0.2">
      <c r="A84" s="427" t="s">
        <v>545</v>
      </c>
      <c r="B84" s="427"/>
      <c r="C84" s="427"/>
      <c r="D84" s="427"/>
      <c r="E84" s="427"/>
    </row>
    <row r="85" spans="1:5" x14ac:dyDescent="0.2">
      <c r="B85" s="446" t="s">
        <v>546</v>
      </c>
      <c r="C85" s="447"/>
      <c r="D85" s="148" t="s">
        <v>450</v>
      </c>
      <c r="E85" s="148" t="s">
        <v>547</v>
      </c>
    </row>
    <row r="86" spans="1:5" x14ac:dyDescent="0.2">
      <c r="B86" s="446" t="s">
        <v>548</v>
      </c>
      <c r="C86" s="447"/>
      <c r="D86" s="148" t="s">
        <v>450</v>
      </c>
      <c r="E86" s="148" t="s">
        <v>549</v>
      </c>
    </row>
    <row r="87" spans="1:5" x14ac:dyDescent="0.2">
      <c r="B87" s="454" t="s">
        <v>550</v>
      </c>
      <c r="C87" s="447"/>
      <c r="D87" s="437" t="s">
        <v>499</v>
      </c>
      <c r="E87" s="437" t="s">
        <v>551</v>
      </c>
    </row>
    <row r="88" spans="1:5" x14ac:dyDescent="0.2">
      <c r="B88" s="454" t="s">
        <v>552</v>
      </c>
      <c r="C88" s="447"/>
      <c r="D88" s="437" t="s">
        <v>499</v>
      </c>
      <c r="E88" s="437" t="s">
        <v>551</v>
      </c>
    </row>
    <row r="89" spans="1:5" x14ac:dyDescent="0.2">
      <c r="B89" s="454" t="s">
        <v>553</v>
      </c>
      <c r="C89" s="447"/>
      <c r="D89" s="437" t="s">
        <v>499</v>
      </c>
      <c r="E89" s="437" t="s">
        <v>554</v>
      </c>
    </row>
    <row r="90" spans="1:5" x14ac:dyDescent="0.2">
      <c r="B90" s="446" t="s">
        <v>555</v>
      </c>
      <c r="C90" s="447"/>
      <c r="D90" s="148" t="s">
        <v>556</v>
      </c>
      <c r="E90" s="148"/>
    </row>
    <row r="91" spans="1:5" x14ac:dyDescent="0.2">
      <c r="B91" s="446" t="s">
        <v>557</v>
      </c>
      <c r="C91" s="447"/>
      <c r="D91" s="148" t="s">
        <v>558</v>
      </c>
      <c r="E91" s="148"/>
    </row>
    <row r="92" spans="1:5" x14ac:dyDescent="0.2">
      <c r="B92" s="446" t="s">
        <v>559</v>
      </c>
      <c r="C92" s="447"/>
      <c r="D92" s="148" t="s">
        <v>560</v>
      </c>
      <c r="E92" s="148"/>
    </row>
  </sheetData>
  <sheetProtection sheet="1"/>
  <mergeCells count="1">
    <mergeCell ref="H6:K9"/>
  </mergeCells>
  <dataValidations count="2">
    <dataValidation type="list" operator="equal" allowBlank="1" showInputMessage="1" showErrorMessage="1" sqref="C14">
      <formula1>TYPE_RACIAL</formula1>
      <formula2>0</formula2>
    </dataValidation>
    <dataValidation errorStyle="warning" operator="equal" allowBlank="1" showInputMessage="1" showErrorMessage="1" errorTitle="Culture intra" error="Attention, vous n'avez pas déclaré de cultures de ventes intraconsommées" sqref="F43">
      <formula1>0</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25"/>
  <sheetViews>
    <sheetView zoomScale="85" zoomScaleNormal="85" workbookViewId="0">
      <pane ySplit="12" topLeftCell="A58" activePane="bottomLeft" state="frozen"/>
      <selection pane="bottomLeft" activeCell="B73" sqref="B73"/>
    </sheetView>
  </sheetViews>
  <sheetFormatPr baseColWidth="10" defaultRowHeight="12" x14ac:dyDescent="0.2"/>
  <cols>
    <col min="1" max="1" width="34.42578125" style="459" customWidth="1"/>
    <col min="2" max="2" width="16.7109375" style="460" customWidth="1"/>
    <col min="3" max="3" width="11.85546875" style="461" customWidth="1"/>
    <col min="4" max="4" width="20.85546875" style="462" customWidth="1"/>
    <col min="5" max="5" width="12.7109375" style="460" customWidth="1"/>
    <col min="6" max="6" width="11.85546875" style="460" customWidth="1"/>
    <col min="7" max="7" width="1.42578125" style="459" customWidth="1"/>
    <col min="8" max="8" width="24.42578125" style="463" customWidth="1"/>
    <col min="9" max="9" width="1.42578125" style="464" customWidth="1"/>
    <col min="10" max="10" width="5.7109375" style="465" customWidth="1"/>
    <col min="11" max="11" width="5.5703125" style="465" customWidth="1"/>
    <col min="12" max="12" width="5.7109375" style="465" customWidth="1"/>
    <col min="13" max="14" width="5.7109375" style="459" customWidth="1"/>
    <col min="15" max="16" width="10" style="459" customWidth="1"/>
    <col min="17" max="19" width="7.7109375" style="465" customWidth="1"/>
    <col min="20" max="20" width="2.85546875" style="459" customWidth="1"/>
    <col min="21" max="16384" width="11.42578125" style="459"/>
  </cols>
  <sheetData>
    <row r="1" spans="1:19" s="45" customFormat="1" ht="30" customHeight="1" x14ac:dyDescent="0.2">
      <c r="A1" s="8"/>
      <c r="B1" s="466"/>
      <c r="C1" s="467"/>
      <c r="D1" s="468"/>
      <c r="E1" s="466"/>
      <c r="F1" s="466"/>
      <c r="H1" s="469"/>
      <c r="I1" s="470"/>
    </row>
    <row r="2" spans="1:19" s="14" customFormat="1" ht="41.25" customHeight="1" x14ac:dyDescent="0.25">
      <c r="A2" s="10" t="s">
        <v>561</v>
      </c>
      <c r="B2" s="471" t="str">
        <f>CONCATENATE(EXP," - Campagne ",CAMP)</f>
        <v>EARL BEL EPI - Campagne 2013</v>
      </c>
      <c r="C2" s="472"/>
      <c r="D2" s="473"/>
      <c r="E2" s="474"/>
      <c r="F2" s="474"/>
      <c r="I2" s="475"/>
      <c r="O2" s="476"/>
      <c r="P2" s="476"/>
    </row>
    <row r="3" spans="1:19" s="20" customFormat="1" ht="12.75" x14ac:dyDescent="0.2">
      <c r="A3" s="477"/>
      <c r="B3" s="478"/>
      <c r="C3" s="467"/>
      <c r="D3" s="468"/>
      <c r="E3" s="479"/>
      <c r="F3" s="479"/>
      <c r="I3" s="480"/>
      <c r="O3" s="481"/>
      <c r="P3" s="481"/>
    </row>
    <row r="4" spans="1:19" s="20" customFormat="1" ht="12.75" x14ac:dyDescent="0.2">
      <c r="A4" s="482" t="s">
        <v>562</v>
      </c>
      <c r="B4" s="479"/>
      <c r="C4" s="467"/>
      <c r="D4" s="483"/>
      <c r="E4" s="479"/>
      <c r="F4" s="484" t="s">
        <v>100</v>
      </c>
      <c r="I4" s="480"/>
      <c r="M4" s="485"/>
      <c r="N4" s="485"/>
      <c r="O4" s="481"/>
      <c r="P4" s="481"/>
    </row>
    <row r="5" spans="1:19" s="20" customFormat="1" ht="12.75" x14ac:dyDescent="0.2">
      <c r="A5" s="486" t="s">
        <v>563</v>
      </c>
      <c r="B5" s="466"/>
      <c r="C5" s="467"/>
      <c r="D5" s="468"/>
      <c r="E5" s="479"/>
      <c r="F5" s="487">
        <f>DATEVER</f>
        <v>41760</v>
      </c>
      <c r="H5" s="488"/>
      <c r="I5" s="480"/>
      <c r="J5" s="489"/>
      <c r="K5" s="490" t="s">
        <v>564</v>
      </c>
      <c r="L5" s="491" t="s">
        <v>347</v>
      </c>
      <c r="M5" s="492" t="s">
        <v>350</v>
      </c>
      <c r="N5" s="492" t="s">
        <v>353</v>
      </c>
      <c r="O5" s="481"/>
      <c r="P5" s="481"/>
      <c r="Q5" s="493"/>
    </row>
    <row r="6" spans="1:19" s="20" customFormat="1" ht="12.75" x14ac:dyDescent="0.2">
      <c r="A6" s="482" t="s">
        <v>565</v>
      </c>
      <c r="B6" s="466"/>
      <c r="C6" s="467"/>
      <c r="D6" s="468"/>
      <c r="E6" s="479"/>
      <c r="F6" s="479"/>
      <c r="H6" s="463" t="s">
        <v>566</v>
      </c>
      <c r="I6" s="480"/>
      <c r="J6" s="489"/>
      <c r="K6" s="494">
        <f>SUM(L6:N6)</f>
        <v>60.2</v>
      </c>
      <c r="L6" s="495">
        <f>SHBL</f>
        <v>25.5</v>
      </c>
      <c r="M6" s="495">
        <f>CFBL</f>
        <v>34</v>
      </c>
      <c r="N6" s="495">
        <f>CVBL</f>
        <v>0.7</v>
      </c>
      <c r="O6" s="481"/>
      <c r="P6" s="481"/>
      <c r="Q6" s="493"/>
    </row>
    <row r="7" spans="1:19" s="20" customFormat="1" ht="12.75" x14ac:dyDescent="0.2">
      <c r="A7" s="486" t="s">
        <v>567</v>
      </c>
      <c r="B7" s="466"/>
      <c r="C7" s="467"/>
      <c r="D7" s="468"/>
      <c r="E7" s="479"/>
      <c r="F7" s="479"/>
      <c r="H7" s="463" t="s">
        <v>568</v>
      </c>
      <c r="I7" s="480"/>
      <c r="J7" s="489"/>
      <c r="K7" s="496">
        <f>SUM(L7:N7)</f>
        <v>0</v>
      </c>
      <c r="L7" s="497">
        <f>SH-L6</f>
        <v>0</v>
      </c>
      <c r="M7" s="497">
        <f>CF-M6</f>
        <v>0</v>
      </c>
      <c r="N7" s="497"/>
      <c r="O7" s="481"/>
      <c r="P7" s="481"/>
      <c r="Q7" s="493"/>
    </row>
    <row r="9" spans="1:19" ht="16.5" customHeight="1" x14ac:dyDescent="0.2">
      <c r="A9" s="498"/>
      <c r="B9" s="1523" t="s">
        <v>569</v>
      </c>
      <c r="C9" s="1524" t="s">
        <v>570</v>
      </c>
      <c r="D9" s="1525" t="s">
        <v>571</v>
      </c>
      <c r="E9" s="1526" t="s">
        <v>572</v>
      </c>
      <c r="F9" s="1527" t="s">
        <v>573</v>
      </c>
      <c r="H9" s="1528" t="s">
        <v>89</v>
      </c>
      <c r="I9" s="499"/>
      <c r="J9" s="1529" t="s">
        <v>574</v>
      </c>
      <c r="K9" s="1529"/>
      <c r="L9" s="1529"/>
      <c r="M9" s="1529"/>
      <c r="N9" s="1529"/>
      <c r="O9" s="500"/>
      <c r="P9" s="500"/>
      <c r="Q9" s="1530"/>
      <c r="R9" s="1530"/>
      <c r="S9" s="1530"/>
    </row>
    <row r="10" spans="1:19" ht="13.5" customHeight="1" x14ac:dyDescent="0.2">
      <c r="A10" s="501"/>
      <c r="B10" s="1523"/>
      <c r="C10" s="1524"/>
      <c r="D10" s="1525"/>
      <c r="E10" s="1526"/>
      <c r="F10" s="1527"/>
      <c r="H10" s="1528"/>
      <c r="I10" s="499"/>
      <c r="J10" s="502" t="s">
        <v>575</v>
      </c>
      <c r="K10" s="503" t="s">
        <v>576</v>
      </c>
      <c r="L10" s="504" t="s">
        <v>347</v>
      </c>
      <c r="M10" s="505" t="s">
        <v>350</v>
      </c>
      <c r="N10" s="506" t="s">
        <v>353</v>
      </c>
      <c r="O10" s="1531" t="s">
        <v>577</v>
      </c>
      <c r="P10" s="1531"/>
      <c r="Q10" s="1532" t="s">
        <v>578</v>
      </c>
      <c r="R10" s="1532"/>
      <c r="S10" s="1532"/>
    </row>
    <row r="11" spans="1:19" x14ac:dyDescent="0.2">
      <c r="A11" s="501"/>
      <c r="B11" s="1523"/>
      <c r="C11" s="1524"/>
      <c r="D11" s="1525"/>
      <c r="E11" s="1526"/>
      <c r="F11" s="1527"/>
      <c r="H11" s="1528"/>
      <c r="I11" s="499"/>
      <c r="J11" s="507">
        <f>UGBBL</f>
        <v>110.8</v>
      </c>
      <c r="K11" s="508">
        <f>UGBA</f>
        <v>0</v>
      </c>
      <c r="L11" s="507">
        <f>SH</f>
        <v>25.5</v>
      </c>
      <c r="M11" s="508">
        <f>CF</f>
        <v>34</v>
      </c>
      <c r="N11" s="509">
        <f>CV</f>
        <v>86.3</v>
      </c>
      <c r="O11" s="510" t="s">
        <v>575</v>
      </c>
      <c r="P11" s="511" t="s">
        <v>579</v>
      </c>
      <c r="Q11" s="512" t="s">
        <v>347</v>
      </c>
      <c r="R11" s="511" t="s">
        <v>350</v>
      </c>
      <c r="S11" s="513" t="s">
        <v>353</v>
      </c>
    </row>
    <row r="12" spans="1:19" ht="14.25" customHeight="1" x14ac:dyDescent="0.2">
      <c r="A12" s="514" t="s">
        <v>580</v>
      </c>
      <c r="B12" s="515" t="s">
        <v>149</v>
      </c>
      <c r="C12" s="516" t="s">
        <v>149</v>
      </c>
      <c r="D12" s="517" t="s">
        <v>149</v>
      </c>
      <c r="E12" s="518" t="s">
        <v>149</v>
      </c>
      <c r="F12" s="519" t="s">
        <v>149</v>
      </c>
      <c r="H12" s="1528"/>
      <c r="I12" s="499"/>
      <c r="J12" s="520" t="s">
        <v>129</v>
      </c>
      <c r="K12" s="521" t="s">
        <v>129</v>
      </c>
      <c r="L12" s="520" t="s">
        <v>132</v>
      </c>
      <c r="M12" s="522" t="s">
        <v>132</v>
      </c>
      <c r="N12" s="523" t="s">
        <v>132</v>
      </c>
      <c r="O12" s="524" t="s">
        <v>510</v>
      </c>
      <c r="P12" s="525" t="s">
        <v>510</v>
      </c>
      <c r="Q12" s="525" t="s">
        <v>249</v>
      </c>
      <c r="R12" s="525" t="s">
        <v>249</v>
      </c>
      <c r="S12" s="526" t="s">
        <v>249</v>
      </c>
    </row>
    <row r="13" spans="1:19" ht="5.25" customHeight="1" x14ac:dyDescent="0.2">
      <c r="A13" s="514"/>
    </row>
    <row r="14" spans="1:19" ht="14.1" customHeight="1" x14ac:dyDescent="0.2">
      <c r="A14" s="527" t="s">
        <v>581</v>
      </c>
      <c r="B14" s="528">
        <f>B15+B24+B29</f>
        <v>460355.03376000002</v>
      </c>
      <c r="C14" s="528">
        <f>C15+C24+C29</f>
        <v>324904.97762205015</v>
      </c>
      <c r="D14" s="528">
        <f>D15+D24+D29</f>
        <v>0</v>
      </c>
      <c r="E14" s="528">
        <f>E15+E24+E29</f>
        <v>135545.68706578488</v>
      </c>
      <c r="F14" s="528">
        <f>F15+F24+F29</f>
        <v>227.42851617670252</v>
      </c>
      <c r="G14" s="529"/>
      <c r="H14" s="530"/>
      <c r="J14" s="531" t="s">
        <v>582</v>
      </c>
      <c r="K14" s="532"/>
      <c r="L14" s="533">
        <f>SUM(J11:K11)</f>
        <v>110.8</v>
      </c>
      <c r="M14" s="534"/>
      <c r="N14" s="534"/>
      <c r="O14" s="534"/>
      <c r="P14" s="534"/>
      <c r="Q14" s="532"/>
      <c r="R14" s="532"/>
      <c r="S14" s="532"/>
    </row>
    <row r="15" spans="1:19" ht="14.1" customHeight="1" x14ac:dyDescent="0.2">
      <c r="A15" s="535" t="s">
        <v>583</v>
      </c>
      <c r="B15" s="536">
        <f>B16+B17+B19+B20+B21+B22+B23</f>
        <v>413974.03376000002</v>
      </c>
      <c r="C15" s="536">
        <f>C16+C17+C19+C20+C21+C22+C23</f>
        <v>305938.17693476495</v>
      </c>
      <c r="D15" s="536">
        <f>SUM(D16:D23)</f>
        <v>0</v>
      </c>
      <c r="E15" s="536">
        <f>SUM(E16:E23)</f>
        <v>108035.85682523507</v>
      </c>
      <c r="F15" s="536">
        <f>SUM(F16:F23)</f>
        <v>4.2896845615822876</v>
      </c>
      <c r="G15" s="534"/>
      <c r="H15" s="530"/>
      <c r="J15" s="532"/>
      <c r="K15" s="532"/>
      <c r="L15" s="532"/>
      <c r="M15" s="534"/>
      <c r="N15" s="534"/>
      <c r="O15" s="534"/>
      <c r="P15" s="534"/>
      <c r="Q15" s="532"/>
      <c r="R15" s="532"/>
      <c r="S15" s="532"/>
    </row>
    <row r="16" spans="1:19" s="501" customFormat="1" ht="14.1" customHeight="1" x14ac:dyDescent="0.2">
      <c r="A16" s="537" t="s">
        <v>584</v>
      </c>
      <c r="B16" s="538">
        <f>D99</f>
        <v>263888.03376000002</v>
      </c>
      <c r="C16" s="461">
        <f>B16</f>
        <v>263888.03376000002</v>
      </c>
      <c r="D16" s="539"/>
      <c r="E16" s="539"/>
      <c r="F16" s="539"/>
      <c r="H16" s="463" t="s">
        <v>585</v>
      </c>
      <c r="I16" s="464"/>
      <c r="J16" s="540">
        <v>1</v>
      </c>
      <c r="K16" s="541"/>
      <c r="L16" s="541"/>
      <c r="M16" s="541"/>
      <c r="N16" s="542"/>
      <c r="O16" s="543"/>
      <c r="P16" s="543"/>
      <c r="Q16" s="544"/>
      <c r="R16" s="544"/>
      <c r="S16" s="544"/>
    </row>
    <row r="17" spans="1:19" s="501" customFormat="1" ht="14.1" customHeight="1" x14ac:dyDescent="0.2">
      <c r="A17" s="537" t="s">
        <v>586</v>
      </c>
      <c r="B17" s="538">
        <f>PVBL-ANIBL</f>
        <v>33000</v>
      </c>
      <c r="C17" s="461">
        <f>B17</f>
        <v>33000</v>
      </c>
      <c r="D17" s="539"/>
      <c r="E17" s="539"/>
      <c r="F17" s="539"/>
      <c r="H17" s="463" t="s">
        <v>585</v>
      </c>
      <c r="I17" s="464"/>
      <c r="J17" s="545">
        <v>1</v>
      </c>
      <c r="K17" s="546"/>
      <c r="L17" s="546"/>
      <c r="M17" s="546"/>
      <c r="N17" s="547"/>
      <c r="O17" s="543"/>
      <c r="P17" s="543"/>
      <c r="Q17" s="544"/>
      <c r="R17" s="544"/>
      <c r="S17" s="544"/>
    </row>
    <row r="18" spans="1:19" s="501" customFormat="1" ht="14.1" customHeight="1" x14ac:dyDescent="0.2">
      <c r="A18" s="548"/>
      <c r="B18" s="538"/>
      <c r="C18" s="461"/>
      <c r="D18" s="539"/>
      <c r="E18" s="539"/>
      <c r="F18" s="539"/>
      <c r="H18" s="463"/>
      <c r="I18" s="464"/>
      <c r="J18" s="545"/>
      <c r="K18" s="546"/>
      <c r="L18" s="546"/>
      <c r="M18" s="546"/>
      <c r="N18" s="547"/>
      <c r="O18" s="543"/>
      <c r="P18" s="543"/>
      <c r="Q18" s="544"/>
      <c r="R18" s="544"/>
      <c r="S18" s="544"/>
    </row>
    <row r="19" spans="1:19" s="501" customFormat="1" ht="14.1" customHeight="1" x14ac:dyDescent="0.2">
      <c r="A19" s="537" t="s">
        <v>587</v>
      </c>
      <c r="B19" s="538">
        <f>IF(PAUTBL="",0,PAUTBL)</f>
        <v>0</v>
      </c>
      <c r="C19" s="461">
        <f>B19</f>
        <v>0</v>
      </c>
      <c r="D19" s="539"/>
      <c r="E19" s="539"/>
      <c r="F19" s="539"/>
      <c r="H19" s="463"/>
      <c r="I19" s="464"/>
      <c r="J19" s="545"/>
      <c r="K19" s="546"/>
      <c r="L19" s="546"/>
      <c r="M19" s="546"/>
      <c r="N19" s="547"/>
      <c r="O19" s="543"/>
      <c r="P19" s="543"/>
      <c r="Q19" s="544"/>
      <c r="R19" s="544"/>
      <c r="S19" s="544"/>
    </row>
    <row r="20" spans="1:19" ht="14.1" customHeight="1" x14ac:dyDescent="0.2">
      <c r="A20" s="537" t="s">
        <v>588</v>
      </c>
      <c r="B20" s="538">
        <f>PVBV-(ANI-ANIBL)</f>
        <v>0</v>
      </c>
      <c r="D20" s="460">
        <f>B20</f>
        <v>0</v>
      </c>
      <c r="H20" s="463" t="s">
        <v>585</v>
      </c>
      <c r="J20" s="545"/>
      <c r="K20" s="546">
        <v>1</v>
      </c>
      <c r="L20" s="546"/>
      <c r="M20" s="546"/>
      <c r="N20" s="547"/>
      <c r="O20" s="481"/>
      <c r="P20" s="481"/>
    </row>
    <row r="21" spans="1:19" ht="14.1" customHeight="1" x14ac:dyDescent="0.2">
      <c r="A21" s="537" t="s">
        <v>589</v>
      </c>
      <c r="B21" s="538">
        <f>IF(PVSF="",0,PVSF)</f>
        <v>7689</v>
      </c>
      <c r="C21" s="461">
        <f>(UGBBL)*B21/((UGBBL)+K21*(UGBA))</f>
        <v>7689</v>
      </c>
      <c r="D21" s="460">
        <f>C21*K21*(UGBA)/(UGBBL)</f>
        <v>0</v>
      </c>
      <c r="H21" s="463" t="s">
        <v>590</v>
      </c>
      <c r="J21" s="545">
        <v>1</v>
      </c>
      <c r="K21" s="546">
        <v>1</v>
      </c>
      <c r="L21" s="546"/>
      <c r="M21" s="546"/>
      <c r="N21" s="547"/>
      <c r="O21" s="481"/>
      <c r="P21" s="481"/>
    </row>
    <row r="22" spans="1:19" ht="14.1" customHeight="1" x14ac:dyDescent="0.2">
      <c r="A22" s="537" t="s">
        <v>591</v>
      </c>
      <c r="B22" s="538">
        <f>PCV</f>
        <v>107507</v>
      </c>
      <c r="D22" s="460"/>
      <c r="E22" s="460">
        <f>B22</f>
        <v>107507</v>
      </c>
      <c r="H22" s="463" t="s">
        <v>585</v>
      </c>
      <c r="J22" s="545"/>
      <c r="K22" s="546"/>
      <c r="L22" s="546">
        <v>1</v>
      </c>
      <c r="M22" s="546">
        <v>1</v>
      </c>
      <c r="N22" s="547">
        <v>1</v>
      </c>
      <c r="O22" s="481"/>
      <c r="P22" s="481"/>
    </row>
    <row r="23" spans="1:19" ht="14.1" customHeight="1" x14ac:dyDescent="0.2">
      <c r="A23" s="537" t="s">
        <v>164</v>
      </c>
      <c r="B23" s="538">
        <f>IF(PAUT="",0,PAUT)</f>
        <v>1890</v>
      </c>
      <c r="C23" s="461">
        <f>B23*UGBBL/(UGBBL+UGBA*K23+CV*N23)</f>
        <v>1361.1431747649267</v>
      </c>
      <c r="D23" s="460">
        <f>C23*K23*UGBA/UGBBL</f>
        <v>0</v>
      </c>
      <c r="E23" s="460">
        <f>C23*N23*CV/UGBBL</f>
        <v>528.85682523507342</v>
      </c>
      <c r="F23" s="460">
        <f>IF(CV&gt;0,E23*CVBL/CV,0)</f>
        <v>4.2896845615822876</v>
      </c>
      <c r="H23" s="549" t="s">
        <v>592</v>
      </c>
      <c r="J23" s="550">
        <f>Cuisine!B61</f>
        <v>1</v>
      </c>
      <c r="K23" s="551">
        <f>Cuisine!C61</f>
        <v>0</v>
      </c>
      <c r="L23" s="551">
        <f>Cuisine!D61</f>
        <v>0</v>
      </c>
      <c r="M23" s="551">
        <f>Cuisine!E61</f>
        <v>0</v>
      </c>
      <c r="N23" s="552">
        <f>Cuisine!F61</f>
        <v>0.4988422948289169</v>
      </c>
      <c r="O23" s="481"/>
      <c r="P23" s="481"/>
    </row>
    <row r="24" spans="1:19" s="501" customFormat="1" ht="14.1" customHeight="1" x14ac:dyDescent="0.2">
      <c r="A24" s="535" t="s">
        <v>593</v>
      </c>
      <c r="B24" s="536">
        <f>B25+B26+B27+B28</f>
        <v>0</v>
      </c>
      <c r="C24" s="553">
        <f>SUM(C25:C28)</f>
        <v>0</v>
      </c>
      <c r="D24" s="536">
        <f>SUM(D25:D28)</f>
        <v>0</v>
      </c>
      <c r="E24" s="536">
        <f>SUM(E25:E28)</f>
        <v>0</v>
      </c>
      <c r="F24" s="536">
        <f>SUM(F25:F28)</f>
        <v>0</v>
      </c>
      <c r="G24" s="554"/>
      <c r="H24" s="530"/>
      <c r="I24" s="464"/>
      <c r="J24" s="555"/>
      <c r="K24" s="555"/>
      <c r="L24" s="555"/>
      <c r="M24" s="555"/>
      <c r="N24" s="555"/>
      <c r="O24" s="481"/>
      <c r="P24" s="481"/>
      <c r="Q24" s="556"/>
      <c r="R24" s="556"/>
      <c r="S24" s="556"/>
    </row>
    <row r="25" spans="1:19" ht="14.1" customHeight="1" x14ac:dyDescent="0.2">
      <c r="A25" s="557" t="s">
        <v>594</v>
      </c>
      <c r="B25" s="538">
        <f>IF(CF&gt;0,ACF,0)</f>
        <v>0</v>
      </c>
      <c r="C25" s="461">
        <f>IF(CFBL&gt;0,CFBL*$B25/(CFBL+(CF-CFBL)*K25),0)</f>
        <v>0</v>
      </c>
      <c r="D25" s="460">
        <f>IF(CFBL&gt;0,(CF-CFBL)*C25*K25/CFBL,0)</f>
        <v>0</v>
      </c>
      <c r="H25" s="530" t="s">
        <v>595</v>
      </c>
      <c r="J25" s="558">
        <v>1</v>
      </c>
      <c r="K25" s="559">
        <f>IF(CFBL&gt;0,IF(UGBA&gt;0,((CF-CFBL)/UGBA)/(CFBL/UGBBL),0),"")</f>
        <v>0</v>
      </c>
      <c r="L25" s="560"/>
      <c r="M25" s="560"/>
      <c r="N25" s="561"/>
      <c r="O25" s="481"/>
      <c r="P25" s="481"/>
    </row>
    <row r="26" spans="1:19" ht="14.1" customHeight="1" x14ac:dyDescent="0.2">
      <c r="A26" s="557" t="s">
        <v>596</v>
      </c>
      <c r="B26" s="538">
        <f>ACV</f>
        <v>0</v>
      </c>
      <c r="D26" s="460"/>
      <c r="E26" s="460">
        <f>B26</f>
        <v>0</v>
      </c>
      <c r="F26" s="460">
        <f>IF(CV&gt;0,E26*CVBL/CV,0)</f>
        <v>0</v>
      </c>
      <c r="H26" s="463" t="s">
        <v>585</v>
      </c>
      <c r="J26" s="562"/>
      <c r="K26" s="563"/>
      <c r="L26" s="564">
        <v>1</v>
      </c>
      <c r="M26" s="564">
        <v>1</v>
      </c>
      <c r="N26" s="565">
        <v>1</v>
      </c>
      <c r="O26" s="481"/>
      <c r="P26" s="481"/>
    </row>
    <row r="27" spans="1:19" ht="14.1" customHeight="1" x14ac:dyDescent="0.2">
      <c r="A27" s="557" t="s">
        <v>170</v>
      </c>
      <c r="B27" s="538">
        <f>ACBL</f>
        <v>0</v>
      </c>
      <c r="C27" s="461">
        <f>B27</f>
        <v>0</v>
      </c>
      <c r="D27" s="460"/>
      <c r="H27" s="463" t="s">
        <v>585</v>
      </c>
      <c r="J27" s="562">
        <v>1</v>
      </c>
      <c r="K27" s="564"/>
      <c r="L27" s="564"/>
      <c r="M27" s="564"/>
      <c r="N27" s="565"/>
      <c r="O27" s="481"/>
      <c r="P27" s="481"/>
    </row>
    <row r="28" spans="1:19" ht="14.1" customHeight="1" x14ac:dyDescent="0.2">
      <c r="A28" s="557" t="s">
        <v>597</v>
      </c>
      <c r="B28" s="538">
        <f>ACAU</f>
        <v>0</v>
      </c>
      <c r="D28" s="460">
        <f>B28</f>
        <v>0</v>
      </c>
      <c r="H28" s="463" t="s">
        <v>585</v>
      </c>
      <c r="J28" s="566">
        <v>1</v>
      </c>
      <c r="K28" s="567"/>
      <c r="L28" s="567"/>
      <c r="M28" s="567"/>
      <c r="N28" s="568"/>
      <c r="O28" s="481"/>
      <c r="P28" s="481"/>
    </row>
    <row r="29" spans="1:19" s="501" customFormat="1" ht="14.1" customHeight="1" x14ac:dyDescent="0.2">
      <c r="A29" s="535" t="s">
        <v>598</v>
      </c>
      <c r="B29" s="536">
        <f>SUM(B30:B33)</f>
        <v>46381</v>
      </c>
      <c r="C29" s="553">
        <f>SUM(C30:C33)</f>
        <v>18966.800687285224</v>
      </c>
      <c r="D29" s="553">
        <f>SUM(D30:D33)</f>
        <v>0</v>
      </c>
      <c r="E29" s="553">
        <f>SUM(E30:E33)</f>
        <v>27509.830240549825</v>
      </c>
      <c r="F29" s="553">
        <f>SUM(F30:F33)</f>
        <v>223.13883161512024</v>
      </c>
      <c r="G29" s="554"/>
      <c r="H29" s="530"/>
      <c r="I29" s="464"/>
      <c r="J29" s="555"/>
      <c r="K29" s="555"/>
      <c r="L29" s="555"/>
      <c r="M29" s="555"/>
      <c r="N29" s="555"/>
      <c r="O29" s="481"/>
      <c r="P29" s="481"/>
      <c r="Q29" s="556"/>
      <c r="R29" s="556"/>
      <c r="S29" s="556"/>
    </row>
    <row r="30" spans="1:19" ht="14.1" customHeight="1" x14ac:dyDescent="0.2">
      <c r="A30" s="557" t="s">
        <v>599</v>
      </c>
      <c r="B30" s="538">
        <f>ADPU</f>
        <v>46381</v>
      </c>
      <c r="C30" s="461">
        <f>Q30*$L$6+R30*$M$6</f>
        <v>18966.800687285224</v>
      </c>
      <c r="D30" s="460">
        <f>P30*UGBA+Q30*$L$7+R30*$M$7</f>
        <v>0</v>
      </c>
      <c r="E30" s="460">
        <f>S30*CV</f>
        <v>27509.830240549825</v>
      </c>
      <c r="F30" s="460">
        <f>IF(CV&gt;0,E30*CVBL/CV,0)</f>
        <v>223.13883161512024</v>
      </c>
      <c r="H30" s="463" t="s">
        <v>600</v>
      </c>
      <c r="J30" s="558"/>
      <c r="K30" s="560"/>
      <c r="L30" s="560">
        <v>1</v>
      </c>
      <c r="M30" s="560">
        <v>1</v>
      </c>
      <c r="N30" s="561">
        <v>1</v>
      </c>
      <c r="O30" s="569"/>
      <c r="P30" s="570"/>
      <c r="Q30" s="571">
        <f>B30/SAU</f>
        <v>318.76975945017182</v>
      </c>
      <c r="R30" s="571">
        <f>Q30</f>
        <v>318.76975945017182</v>
      </c>
      <c r="S30" s="572">
        <f>R30</f>
        <v>318.76975945017182</v>
      </c>
    </row>
    <row r="31" spans="1:19" ht="14.1" customHeight="1" x14ac:dyDescent="0.2">
      <c r="A31" s="557" t="s">
        <v>175</v>
      </c>
      <c r="B31" s="538">
        <f>IF(PHAE="",0,PHAE)</f>
        <v>0</v>
      </c>
      <c r="C31" s="461">
        <f>(SHBL)*B31/((SHBL)+K31*(SH-SHBL))</f>
        <v>0</v>
      </c>
      <c r="D31" s="460">
        <f>C31*K31*(SH-SHBL)/(SHBL)</f>
        <v>0</v>
      </c>
      <c r="H31" s="463" t="s">
        <v>601</v>
      </c>
      <c r="J31" s="562">
        <v>1</v>
      </c>
      <c r="K31" s="564">
        <v>1</v>
      </c>
      <c r="L31" s="564"/>
      <c r="M31" s="564"/>
      <c r="N31" s="565"/>
      <c r="O31" s="481"/>
      <c r="P31" s="481"/>
    </row>
    <row r="32" spans="1:19" ht="14.1" customHeight="1" x14ac:dyDescent="0.2">
      <c r="A32" s="557" t="s">
        <v>176</v>
      </c>
      <c r="B32" s="538">
        <f>IF(CF=0,ADANI+ACF,ADANI)</f>
        <v>0</v>
      </c>
      <c r="C32" s="461">
        <f>(UGBBL)*B32/((UGBBL)+K32*(UGBA))</f>
        <v>0</v>
      </c>
      <c r="D32" s="460">
        <f>C32*K32*(UGBA)/(UGBBL)</f>
        <v>0</v>
      </c>
      <c r="H32" s="463" t="s">
        <v>590</v>
      </c>
      <c r="J32" s="566">
        <v>1</v>
      </c>
      <c r="K32" s="567">
        <v>1</v>
      </c>
      <c r="L32" s="567"/>
      <c r="M32" s="567"/>
      <c r="N32" s="568"/>
      <c r="O32" s="481"/>
      <c r="P32" s="481"/>
    </row>
    <row r="33" spans="1:19" s="45" customFormat="1" ht="16.5" customHeight="1" x14ac:dyDescent="0.2">
      <c r="A33" s="573" t="s">
        <v>602</v>
      </c>
      <c r="B33" s="574">
        <f>ADNONA</f>
        <v>0</v>
      </c>
      <c r="C33" s="461">
        <f>Q33*$L$6+R33*$M$6</f>
        <v>0</v>
      </c>
      <c r="D33" s="460">
        <f>P33*UGBA+Q33*$L$7+R33*$M$7</f>
        <v>0</v>
      </c>
      <c r="E33" s="460">
        <f>S33*CV</f>
        <v>0</v>
      </c>
      <c r="F33" s="460">
        <f>IF(CV&gt;0,E33*CVBL/CV,0)</f>
        <v>0</v>
      </c>
      <c r="G33" s="459"/>
      <c r="H33" s="463" t="s">
        <v>600</v>
      </c>
      <c r="I33" s="464"/>
      <c r="J33" s="558"/>
      <c r="K33" s="560"/>
      <c r="L33" s="560">
        <v>1</v>
      </c>
      <c r="M33" s="560">
        <v>1</v>
      </c>
      <c r="N33" s="561">
        <v>1</v>
      </c>
      <c r="O33" s="569"/>
      <c r="P33" s="570"/>
      <c r="Q33" s="571">
        <f>B33/SAU</f>
        <v>0</v>
      </c>
      <c r="R33" s="571">
        <f>Q33</f>
        <v>0</v>
      </c>
      <c r="S33" s="572">
        <f>R33</f>
        <v>0</v>
      </c>
    </row>
    <row r="34" spans="1:19" ht="14.1" customHeight="1" x14ac:dyDescent="0.2">
      <c r="A34" s="575" t="s">
        <v>603</v>
      </c>
      <c r="B34" s="576">
        <f>B35+B38+B42+B45+B52+B56</f>
        <v>373867.5</v>
      </c>
      <c r="C34" s="576">
        <f>C35+C38+C42+C45+C52+C56</f>
        <v>269544.46942446579</v>
      </c>
      <c r="D34" s="576">
        <f>D35+D38+D42+D45+D52+D56</f>
        <v>-838.89999999999418</v>
      </c>
      <c r="E34" s="576">
        <f>E35+E38+E42+E45+E52+E56</f>
        <v>105202.006864194</v>
      </c>
      <c r="F34" s="576">
        <f>F35+F38+F42+F45+F52+F56</f>
        <v>853.31871152880422</v>
      </c>
      <c r="G34" s="577"/>
      <c r="H34" s="464"/>
      <c r="J34" s="555"/>
      <c r="K34" s="555"/>
      <c r="L34" s="555"/>
      <c r="M34" s="578"/>
      <c r="N34" s="578"/>
      <c r="O34" s="577"/>
      <c r="P34" s="577"/>
      <c r="Q34" s="579"/>
      <c r="R34" s="579"/>
      <c r="S34" s="579"/>
    </row>
    <row r="35" spans="1:19" s="501" customFormat="1" ht="14.1" customHeight="1" x14ac:dyDescent="0.2">
      <c r="A35" s="580" t="s">
        <v>604</v>
      </c>
      <c r="B35" s="581">
        <f>B36+B37</f>
        <v>91595.85</v>
      </c>
      <c r="C35" s="582">
        <f>C36+C37</f>
        <v>93156</v>
      </c>
      <c r="D35" s="581">
        <f>D36+D37</f>
        <v>-1560.1499999999942</v>
      </c>
      <c r="E35" s="581"/>
      <c r="F35" s="583"/>
      <c r="H35" s="463"/>
      <c r="I35" s="464"/>
      <c r="J35" s="584"/>
      <c r="K35" s="584"/>
      <c r="L35" s="584"/>
      <c r="M35" s="584"/>
      <c r="N35" s="584"/>
      <c r="O35" s="481"/>
      <c r="P35" s="481"/>
      <c r="Q35" s="544"/>
      <c r="R35" s="544"/>
      <c r="S35" s="544"/>
    </row>
    <row r="36" spans="1:19" ht="14.1" customHeight="1" x14ac:dyDescent="0.2">
      <c r="A36" s="557" t="s">
        <v>605</v>
      </c>
      <c r="B36" s="538">
        <f>CM</f>
        <v>84637.85</v>
      </c>
      <c r="C36" s="461">
        <f>CMBL</f>
        <v>86198</v>
      </c>
      <c r="D36" s="460">
        <f>B36-C36</f>
        <v>-1560.1499999999942</v>
      </c>
      <c r="H36" s="463" t="s">
        <v>585</v>
      </c>
      <c r="J36" s="558">
        <v>1</v>
      </c>
      <c r="K36" s="560"/>
      <c r="L36" s="560"/>
      <c r="M36" s="560"/>
      <c r="N36" s="561"/>
      <c r="O36" s="481"/>
      <c r="P36" s="481"/>
    </row>
    <row r="37" spans="1:19" ht="14.1" customHeight="1" x14ac:dyDescent="0.2">
      <c r="A37" s="557" t="s">
        <v>183</v>
      </c>
      <c r="B37" s="538">
        <f>ACFOU</f>
        <v>6958</v>
      </c>
      <c r="C37" s="461">
        <f>IF(ACFOUBL&lt;&gt;"",ACFOUBL,(UGBBL)*B37/((UGBBL)+K37*(UGBA)))</f>
        <v>6958</v>
      </c>
      <c r="D37" s="460">
        <f>B37-C37</f>
        <v>0</v>
      </c>
      <c r="H37" s="463" t="s">
        <v>606</v>
      </c>
      <c r="J37" s="566">
        <v>1</v>
      </c>
      <c r="K37" s="567">
        <v>1</v>
      </c>
      <c r="L37" s="567"/>
      <c r="M37" s="567"/>
      <c r="N37" s="568"/>
      <c r="O37" s="481"/>
      <c r="P37" s="481"/>
    </row>
    <row r="38" spans="1:19" ht="14.1" customHeight="1" x14ac:dyDescent="0.2">
      <c r="A38" s="580" t="s">
        <v>607</v>
      </c>
      <c r="B38" s="581">
        <f>SUM(B39:B41)</f>
        <v>53929.4</v>
      </c>
      <c r="C38" s="582">
        <f>SUM(C39:C41)</f>
        <v>15913.41290586073</v>
      </c>
      <c r="D38" s="581">
        <f>SUM(D39:D41)</f>
        <v>0</v>
      </c>
      <c r="E38" s="581">
        <f>SUM(E39:E41)</f>
        <v>38015.987094139266</v>
      </c>
      <c r="F38" s="583">
        <f>SUM(F39:F41)</f>
        <v>308.3567898713498</v>
      </c>
      <c r="G38" s="501"/>
      <c r="H38" s="530"/>
      <c r="J38" s="584"/>
      <c r="K38" s="584"/>
      <c r="L38" s="584"/>
      <c r="M38" s="584"/>
      <c r="N38" s="584"/>
      <c r="O38" s="481"/>
      <c r="P38" s="481"/>
    </row>
    <row r="39" spans="1:19" ht="14.1" customHeight="1" x14ac:dyDescent="0.2">
      <c r="A39" s="557" t="s">
        <v>187</v>
      </c>
      <c r="B39" s="538">
        <f>ENGA</f>
        <v>26738</v>
      </c>
      <c r="C39" s="461">
        <f>Q39*SHBL+R39*CFBL</f>
        <v>7889.812129875434</v>
      </c>
      <c r="D39" s="460">
        <f>Q39*(SH-SHBL)+R39*(CF-CFBL)</f>
        <v>0</v>
      </c>
      <c r="E39" s="460">
        <f>ENGA-C39-D39</f>
        <v>18848.187870124566</v>
      </c>
      <c r="F39" s="460">
        <f>IF(ENGACINTBL&lt;&gt;"",ENGACINTBL,IF(CV&gt;0,E39*CVBL/CV,0))</f>
        <v>152.88217275883196</v>
      </c>
      <c r="H39" s="549" t="s">
        <v>608</v>
      </c>
      <c r="J39" s="540"/>
      <c r="K39" s="541"/>
      <c r="L39" s="541">
        <v>1</v>
      </c>
      <c r="M39" s="541">
        <f>VLOOKUP(Cuisine!$E$53,Cle_MF,3,0)</f>
        <v>3.5</v>
      </c>
      <c r="N39" s="542">
        <f>VLOOKUP(Cuisine!$F$53,Cle_GCU,3,0)</f>
        <v>4</v>
      </c>
      <c r="O39" s="585"/>
      <c r="P39" s="586"/>
      <c r="Q39" s="587">
        <f>IF(SH=0,0,IF(AND(ENGASH&lt;&gt;"",ENGACF&lt;&gt;""),ENGASH/SH,B39/(SH+CF*M39+CV*N39)))</f>
        <v>54.600775985297119</v>
      </c>
      <c r="R39" s="587">
        <f>IF(CF=0,0,IF(AND(ENGASH&lt;&gt;"",ENGACF&lt;&gt;""),ENGACF/CF,Q39*M39))</f>
        <v>191.10271594853992</v>
      </c>
      <c r="S39" s="572">
        <f>IF(CV=0,0,IF(AND(ENGACF&lt;&gt;"",ENGASH&lt;&gt;""),(ENGA-ENGASH-ENGACF)/CV,Q39*N39))</f>
        <v>218.40310394118848</v>
      </c>
    </row>
    <row r="40" spans="1:19" ht="14.1" customHeight="1" x14ac:dyDescent="0.2">
      <c r="A40" s="557" t="s">
        <v>191</v>
      </c>
      <c r="B40" s="538">
        <f>SEM</f>
        <v>11142</v>
      </c>
      <c r="C40" s="461">
        <f>Q40*SHBL+R40*CFBL</f>
        <v>3287.7659791709211</v>
      </c>
      <c r="D40" s="460">
        <f>B40-C40-E40</f>
        <v>0</v>
      </c>
      <c r="E40" s="460">
        <f>S40*CV</f>
        <v>7854.2340208290789</v>
      </c>
      <c r="F40" s="460">
        <f>IF(SEMCINTBL&lt;&gt;"",SEMCINTBL,IF(CV&gt;0,E40*CVBL/CV,0))</f>
        <v>63.707576066979776</v>
      </c>
      <c r="H40" s="549" t="s">
        <v>608</v>
      </c>
      <c r="J40" s="545"/>
      <c r="K40" s="546"/>
      <c r="L40" s="546">
        <f t="shared" ref="L40:N41" si="0">L39</f>
        <v>1</v>
      </c>
      <c r="M40" s="546">
        <f t="shared" si="0"/>
        <v>3.5</v>
      </c>
      <c r="N40" s="547">
        <f t="shared" si="0"/>
        <v>4</v>
      </c>
      <c r="O40" s="588"/>
      <c r="P40" s="589"/>
      <c r="Q40" s="587">
        <f>IF(SH=0,0,IF(AND(SEMSH&lt;&gt;"",SEMCF&lt;&gt;""),SEMSH/SH,B40/(SH+CF*M40+CV*N40)))</f>
        <v>22.752705738207066</v>
      </c>
      <c r="R40" s="587">
        <f>IF(CF=0,0,IF(AND(SEMSH&lt;&gt;"",SEMCF&lt;&gt;""),SEMCF/CF,Q40*M40))</f>
        <v>79.634470083724736</v>
      </c>
      <c r="S40" s="572">
        <f>IF(CV=0,0,IF(AND(SEMCF&lt;&gt;"",SEMSH&lt;&gt;""),(SEM-SEMSH-SEMCF)/CV,Q40*N40))</f>
        <v>91.010822952828264</v>
      </c>
    </row>
    <row r="41" spans="1:19" ht="14.1" customHeight="1" x14ac:dyDescent="0.2">
      <c r="A41" s="557" t="s">
        <v>193</v>
      </c>
      <c r="B41" s="538">
        <f>ACVEG</f>
        <v>16049.4</v>
      </c>
      <c r="C41" s="461">
        <f>Q41*SHBL+R41*CFBL</f>
        <v>4735.8347968143753</v>
      </c>
      <c r="D41" s="460">
        <f>B41-C41-E41</f>
        <v>0</v>
      </c>
      <c r="E41" s="460">
        <f>S41*CV</f>
        <v>11313.565203185623</v>
      </c>
      <c r="F41" s="460">
        <f>IF(ACCINTBL&lt;&gt;"",ACCINTBL,IF(CV&gt;0,E41*CVBL/CV,0))</f>
        <v>91.767041045538079</v>
      </c>
      <c r="H41" s="549" t="s">
        <v>608</v>
      </c>
      <c r="J41" s="550"/>
      <c r="K41" s="551"/>
      <c r="L41" s="551">
        <f t="shared" si="0"/>
        <v>1</v>
      </c>
      <c r="M41" s="551">
        <f t="shared" si="0"/>
        <v>3.5</v>
      </c>
      <c r="N41" s="552">
        <f t="shared" si="0"/>
        <v>4</v>
      </c>
      <c r="O41" s="590"/>
      <c r="P41" s="591"/>
      <c r="Q41" s="587">
        <f>IF(SH=0,0,IF(AND(ACVEGSH&lt;&gt;"",ACVEGCF&lt;&gt;""),ACVEGSH/SH,B41/(SH+CF*M41+CV*N41)))</f>
        <v>32.773943230549314</v>
      </c>
      <c r="R41" s="587">
        <f>IF(CF=0,0,IF(AND(ACVEGSH&lt;&gt;"",ACVEGCF&lt;&gt;""),ACVEGCF/CF,Q41*M41))</f>
        <v>114.7088013069226</v>
      </c>
      <c r="S41" s="592">
        <f>IF(CV=0,0,IF(AND(ACVEGCF&lt;&gt;"",ACVEGSH&lt;&gt;""),(ACVEG-ACVEGSH-ACVEGCF)/CV,Q41*N41))</f>
        <v>131.09577292219726</v>
      </c>
    </row>
    <row r="42" spans="1:19" ht="14.1" customHeight="1" x14ac:dyDescent="0.2">
      <c r="A42" s="580" t="s">
        <v>609</v>
      </c>
      <c r="B42" s="581">
        <f>SUM(B43:B44)</f>
        <v>28010.25</v>
      </c>
      <c r="C42" s="582">
        <f>SUM(C43:C44)</f>
        <v>27289</v>
      </c>
      <c r="D42" s="581">
        <f>SUM(D43:D44)</f>
        <v>721.25</v>
      </c>
      <c r="E42" s="581"/>
      <c r="F42" s="583"/>
      <c r="G42" s="501"/>
      <c r="H42" s="593">
        <f>$H$38</f>
        <v>0</v>
      </c>
      <c r="J42" s="555"/>
      <c r="K42" s="555"/>
      <c r="L42" s="555"/>
      <c r="M42" s="555"/>
      <c r="N42" s="555"/>
      <c r="O42" s="481"/>
      <c r="P42" s="481"/>
    </row>
    <row r="43" spans="1:19" ht="14.1" customHeight="1" x14ac:dyDescent="0.2">
      <c r="A43" s="557" t="s">
        <v>196</v>
      </c>
      <c r="B43" s="538">
        <f>FELV</f>
        <v>5996</v>
      </c>
      <c r="C43" s="461">
        <f>IF(FELVBL&lt;&gt;"",FELVBL,FELV*UGBBL/(UGBBL+UGBA*K43+CV*N43))</f>
        <v>5275</v>
      </c>
      <c r="D43" s="460">
        <f>B43-C43</f>
        <v>721</v>
      </c>
      <c r="H43" s="549" t="s">
        <v>608</v>
      </c>
      <c r="J43" s="540">
        <f>VLOOKUP(BLsys,Cle_BL,4,0)</f>
        <v>1</v>
      </c>
      <c r="K43" s="541">
        <f>IF(ISERROR(VLOOKUP(AHsys,Cle_BV,4,0)),0,VLOOKUP(AHsys,Cle_BV,4,0))</f>
        <v>0</v>
      </c>
      <c r="L43" s="541"/>
      <c r="M43" s="541"/>
      <c r="N43" s="542"/>
      <c r="O43" s="481"/>
      <c r="P43" s="481"/>
    </row>
    <row r="44" spans="1:19" ht="14.1" customHeight="1" x14ac:dyDescent="0.2">
      <c r="A44" s="537" t="s">
        <v>200</v>
      </c>
      <c r="B44" s="538">
        <f>FELA</f>
        <v>22014.25</v>
      </c>
      <c r="C44" s="461">
        <f>IF(FELABL&lt;&gt;"",FELABL,FELA*UGBBL/(UGBBL+UGBA*K44+CV*N44))</f>
        <v>22014</v>
      </c>
      <c r="D44" s="460">
        <f>B44-C44</f>
        <v>0.25</v>
      </c>
      <c r="H44" s="549" t="s">
        <v>608</v>
      </c>
      <c r="J44" s="550">
        <f>VLOOKUP(BLsys,Cle_BL,4,0)</f>
        <v>1</v>
      </c>
      <c r="K44" s="551">
        <f>K43</f>
        <v>0</v>
      </c>
      <c r="L44" s="551"/>
      <c r="M44" s="551"/>
      <c r="N44" s="552"/>
      <c r="O44" s="481"/>
      <c r="P44" s="481"/>
    </row>
    <row r="45" spans="1:19" ht="14.1" customHeight="1" x14ac:dyDescent="0.2">
      <c r="A45" s="594" t="s">
        <v>610</v>
      </c>
      <c r="B45" s="595">
        <f>SUM(B46:B50)</f>
        <v>70633</v>
      </c>
      <c r="C45" s="596">
        <f>SUM(C46:C50)</f>
        <v>44459.627660814942</v>
      </c>
      <c r="D45" s="595">
        <f>SUM(D46:D50)</f>
        <v>0</v>
      </c>
      <c r="E45" s="595">
        <f>SUM(E46:E50)</f>
        <v>26173.372339185054</v>
      </c>
      <c r="F45" s="597">
        <f>SUM(F46:F50)</f>
        <v>212.29850101308847</v>
      </c>
      <c r="G45" s="501"/>
      <c r="J45" s="598"/>
      <c r="K45" s="598"/>
      <c r="L45" s="598"/>
      <c r="M45" s="598"/>
      <c r="N45" s="598"/>
      <c r="O45" s="481"/>
      <c r="P45" s="481"/>
    </row>
    <row r="46" spans="1:19" ht="14.1" customHeight="1" x14ac:dyDescent="0.2">
      <c r="A46" s="557" t="s">
        <v>210</v>
      </c>
      <c r="B46" s="538">
        <f>TPA</f>
        <v>0</v>
      </c>
      <c r="C46" s="461">
        <f t="shared" ref="C46:C51" si="1">O46*UGBBL+Q46*$L$6+R46*$M$6</f>
        <v>0</v>
      </c>
      <c r="D46" s="460">
        <f t="shared" ref="D46:D51" si="2">P46*UGBA+Q46*$L$7+R46*$M$7</f>
        <v>0</v>
      </c>
      <c r="E46" s="460">
        <f t="shared" ref="E46:E51" si="3">S46*CV</f>
        <v>0</v>
      </c>
      <c r="F46" s="460">
        <f t="shared" ref="F46:F51" si="4">IF(CV&gt;0,E46*CVBL/CV,0)</f>
        <v>0</v>
      </c>
      <c r="H46" s="549" t="s">
        <v>608</v>
      </c>
      <c r="J46" s="540">
        <f>Cuisine!B55</f>
        <v>1</v>
      </c>
      <c r="K46" s="541">
        <f>Cuisine!C55</f>
        <v>0</v>
      </c>
      <c r="L46" s="541">
        <f>Cuisine!D55</f>
        <v>0</v>
      </c>
      <c r="M46" s="541">
        <f>Cuisine!E55</f>
        <v>1.0253968253968253</v>
      </c>
      <c r="N46" s="542">
        <f>Cuisine!F55</f>
        <v>0.99365079365079367</v>
      </c>
      <c r="O46" s="599">
        <f>IF(AND(TPTSH&lt;&gt;"",TPTCF&lt;&gt;""),0,B46/($J$11+$K$11*K46+$L$11*L46+$M$11*M46+$N$11*N46))</f>
        <v>0</v>
      </c>
      <c r="P46" s="600">
        <f t="shared" ref="P46:P51" si="5">O46*K46</f>
        <v>0</v>
      </c>
      <c r="Q46" s="600">
        <f>IF(SH=0,0,IF(AND(TPTSH&lt;&gt;"",TPTCF&lt;&gt;""),TPTSH/SH,O46*L46))</f>
        <v>0</v>
      </c>
      <c r="R46" s="600">
        <f>IF(CF=0,0,IF(AND(TPTSH&lt;&gt;"",TPTCF&lt;&gt;""),TPTCF/CF,O46*M46))</f>
        <v>0</v>
      </c>
      <c r="S46" s="601">
        <f>IF(CV=0,0,IF(AND(TPTSH&lt;&gt;"",TPTCF&lt;&gt;""),(TPA-TPTSH-TPTCF)/CV,O46*N46))</f>
        <v>0</v>
      </c>
    </row>
    <row r="47" spans="1:19" ht="14.1" customHeight="1" x14ac:dyDescent="0.2">
      <c r="A47" s="557" t="s">
        <v>213</v>
      </c>
      <c r="B47" s="538">
        <f>TPTNA</f>
        <v>30328</v>
      </c>
      <c r="C47" s="461">
        <f t="shared" si="1"/>
        <v>19089.824695216055</v>
      </c>
      <c r="D47" s="460">
        <f t="shared" si="2"/>
        <v>0</v>
      </c>
      <c r="E47" s="460">
        <f t="shared" si="3"/>
        <v>11238.175304783945</v>
      </c>
      <c r="F47" s="460">
        <f t="shared" si="4"/>
        <v>91.155535496509387</v>
      </c>
      <c r="H47" s="549" t="s">
        <v>592</v>
      </c>
      <c r="J47" s="540">
        <f>Cuisine!B55</f>
        <v>1</v>
      </c>
      <c r="K47" s="540">
        <f>Cuisine!C55</f>
        <v>0</v>
      </c>
      <c r="L47" s="540">
        <f>Cuisine!D55</f>
        <v>0</v>
      </c>
      <c r="M47" s="540">
        <f>Cuisine!E55</f>
        <v>1.0253968253968253</v>
      </c>
      <c r="N47" s="540">
        <f>Cuisine!F55</f>
        <v>0.99365079365079367</v>
      </c>
      <c r="O47" s="599">
        <f>B47/($J$11+$K$11*K47+$L$11*L47+$M$11*M47+$N$11*N47)</f>
        <v>131.05428426015729</v>
      </c>
      <c r="P47" s="600">
        <f t="shared" si="5"/>
        <v>0</v>
      </c>
      <c r="Q47" s="600">
        <f>O47*L47</f>
        <v>0</v>
      </c>
      <c r="R47" s="600">
        <f>O47*M47</f>
        <v>134.38264703501841</v>
      </c>
      <c r="S47" s="602">
        <f>O47*N47</f>
        <v>130.222193566442</v>
      </c>
    </row>
    <row r="48" spans="1:19" ht="14.1" customHeight="1" x14ac:dyDescent="0.2">
      <c r="A48" s="557" t="s">
        <v>216</v>
      </c>
      <c r="B48" s="538">
        <f>CARBU</f>
        <v>20465</v>
      </c>
      <c r="C48" s="461">
        <f t="shared" si="1"/>
        <v>12881.60321773927</v>
      </c>
      <c r="D48" s="460">
        <f t="shared" si="2"/>
        <v>0</v>
      </c>
      <c r="E48" s="460">
        <f t="shared" si="3"/>
        <v>7583.396782260731</v>
      </c>
      <c r="F48" s="460">
        <f t="shared" si="4"/>
        <v>61.510750261674531</v>
      </c>
      <c r="H48" s="549" t="s">
        <v>592</v>
      </c>
      <c r="J48" s="545">
        <f>Cuisine!B55</f>
        <v>1</v>
      </c>
      <c r="K48" s="546">
        <f>Cuisine!C55</f>
        <v>0</v>
      </c>
      <c r="L48" s="546">
        <f>Cuisine!D55</f>
        <v>0</v>
      </c>
      <c r="M48" s="546">
        <f>Cuisine!E55</f>
        <v>1.0253968253968253</v>
      </c>
      <c r="N48" s="547">
        <f>Cuisine!F55</f>
        <v>0.99365079365079367</v>
      </c>
      <c r="O48" s="603">
        <f>B48/($J$11+$K$11*K48+$L$11*L48+$M$11*M48+$N$11*N48)</f>
        <v>88.433985999212581</v>
      </c>
      <c r="P48" s="604">
        <f t="shared" si="5"/>
        <v>0</v>
      </c>
      <c r="Q48" s="604">
        <f>O48*L48</f>
        <v>0</v>
      </c>
      <c r="R48" s="604">
        <f>O48*M48</f>
        <v>90.67992850077988</v>
      </c>
      <c r="S48" s="605">
        <f>O48*N48</f>
        <v>87.872500373820756</v>
      </c>
    </row>
    <row r="49" spans="1:19" ht="14.1" customHeight="1" x14ac:dyDescent="0.2">
      <c r="A49" s="557" t="s">
        <v>218</v>
      </c>
      <c r="B49" s="538">
        <f>ENTMAT</f>
        <v>17441</v>
      </c>
      <c r="C49" s="461">
        <f t="shared" si="1"/>
        <v>10978.159869073568</v>
      </c>
      <c r="D49" s="460">
        <f t="shared" si="2"/>
        <v>0</v>
      </c>
      <c r="E49" s="460">
        <f t="shared" si="3"/>
        <v>6462.84013092643</v>
      </c>
      <c r="F49" s="460">
        <f t="shared" si="4"/>
        <v>52.421646484918895</v>
      </c>
      <c r="H49" s="549" t="s">
        <v>592</v>
      </c>
      <c r="J49" s="545">
        <f>Cuisine!B55</f>
        <v>1</v>
      </c>
      <c r="K49" s="546">
        <f>Cuisine!C55</f>
        <v>0</v>
      </c>
      <c r="L49" s="546">
        <f>Cuisine!D55</f>
        <v>0</v>
      </c>
      <c r="M49" s="546">
        <f>Cuisine!E55</f>
        <v>1.0253968253968253</v>
      </c>
      <c r="N49" s="547">
        <f>Cuisine!F55</f>
        <v>0.99365079365079367</v>
      </c>
      <c r="O49" s="603">
        <f>B49/($J$11+$K$11*K49+$L$11*L49+$M$11*M49+$N$11*N49)</f>
        <v>75.366584403238036</v>
      </c>
      <c r="P49" s="604">
        <f t="shared" si="5"/>
        <v>0</v>
      </c>
      <c r="Q49" s="604">
        <f>O49*L49</f>
        <v>0</v>
      </c>
      <c r="R49" s="604">
        <f>O49*M49</f>
        <v>77.280656388082164</v>
      </c>
      <c r="S49" s="605">
        <f>O49*N49</f>
        <v>74.888066407026997</v>
      </c>
    </row>
    <row r="50" spans="1:19" ht="14.1" customHeight="1" x14ac:dyDescent="0.2">
      <c r="A50" s="557" t="s">
        <v>220</v>
      </c>
      <c r="B50" s="538">
        <f>IF(PETIMAT="",0,PETIMAT)</f>
        <v>2399</v>
      </c>
      <c r="C50" s="461">
        <f t="shared" si="1"/>
        <v>1510.0398787860495</v>
      </c>
      <c r="D50" s="460">
        <f t="shared" si="2"/>
        <v>0</v>
      </c>
      <c r="E50" s="460">
        <f t="shared" si="3"/>
        <v>888.96012121395029</v>
      </c>
      <c r="F50" s="460">
        <f t="shared" si="4"/>
        <v>7.2105687699856915</v>
      </c>
      <c r="H50" s="549" t="s">
        <v>592</v>
      </c>
      <c r="J50" s="550">
        <f>Cuisine!B55</f>
        <v>1</v>
      </c>
      <c r="K50" s="551">
        <f>Cuisine!C55</f>
        <v>0</v>
      </c>
      <c r="L50" s="551">
        <f>Cuisine!D55</f>
        <v>0</v>
      </c>
      <c r="M50" s="551">
        <f>Cuisine!E55</f>
        <v>1.0253968253968253</v>
      </c>
      <c r="N50" s="552">
        <f>Cuisine!F55</f>
        <v>0.99365079365079367</v>
      </c>
      <c r="O50" s="606">
        <f>B50/($J$11+$K$11*K50+$L$11*L50+$M$11*M50+$N$11*N50)</f>
        <v>10.366632416912337</v>
      </c>
      <c r="P50" s="607">
        <f t="shared" si="5"/>
        <v>0</v>
      </c>
      <c r="Q50" s="607">
        <f>O50*L50</f>
        <v>0</v>
      </c>
      <c r="R50" s="607">
        <f>O50*M50</f>
        <v>10.629911970357728</v>
      </c>
      <c r="S50" s="608">
        <f>O50*N50</f>
        <v>10.300812528550988</v>
      </c>
    </row>
    <row r="51" spans="1:19" ht="14.1" customHeight="1" x14ac:dyDescent="0.2">
      <c r="A51" s="609" t="s">
        <v>222</v>
      </c>
      <c r="B51" s="538">
        <f>Saisie!C80</f>
        <v>0</v>
      </c>
      <c r="C51" s="461">
        <f t="shared" si="1"/>
        <v>0</v>
      </c>
      <c r="D51" s="460">
        <f t="shared" si="2"/>
        <v>0</v>
      </c>
      <c r="E51" s="460">
        <f t="shared" si="3"/>
        <v>0</v>
      </c>
      <c r="F51" s="460">
        <f t="shared" si="4"/>
        <v>0</v>
      </c>
      <c r="H51" s="549" t="s">
        <v>592</v>
      </c>
      <c r="J51" s="550">
        <f>Cuisine!B55</f>
        <v>1</v>
      </c>
      <c r="K51" s="551">
        <f>Cuisine!C55</f>
        <v>0</v>
      </c>
      <c r="L51" s="551">
        <f>Cuisine!D55</f>
        <v>0</v>
      </c>
      <c r="M51" s="551">
        <f>Cuisine!E55</f>
        <v>1.0253968253968253</v>
      </c>
      <c r="N51" s="552">
        <f>Cuisine!F55</f>
        <v>0.99365079365079367</v>
      </c>
      <c r="O51" s="606">
        <f>B51/($J$11+$K$11*K51+$L$11*L51+$M$11*M51+$N$11*N51)</f>
        <v>0</v>
      </c>
      <c r="P51" s="607">
        <f t="shared" si="5"/>
        <v>0</v>
      </c>
      <c r="Q51" s="607">
        <f>O51*L51</f>
        <v>0</v>
      </c>
      <c r="R51" s="607">
        <f>O51*M51</f>
        <v>0</v>
      </c>
      <c r="S51" s="601">
        <f>O51*N51</f>
        <v>0</v>
      </c>
    </row>
    <row r="52" spans="1:19" ht="14.1" customHeight="1" x14ac:dyDescent="0.2">
      <c r="A52" s="580" t="s">
        <v>611</v>
      </c>
      <c r="B52" s="581">
        <f>SUM(B53:B55)</f>
        <v>8794</v>
      </c>
      <c r="C52" s="582">
        <f>SUM(C53:C55)</f>
        <v>7716.1140864047529</v>
      </c>
      <c r="D52" s="581">
        <f>SUM(D53:D55)</f>
        <v>0</v>
      </c>
      <c r="E52" s="581">
        <f>SUM(E53:E55)</f>
        <v>1077.8859135952475</v>
      </c>
      <c r="F52" s="581">
        <f>SUM(F53:F55)</f>
        <v>8.7429911879104658</v>
      </c>
      <c r="G52" s="501"/>
      <c r="J52" s="584"/>
      <c r="K52" s="584"/>
      <c r="L52" s="584"/>
      <c r="M52" s="584"/>
      <c r="N52" s="584"/>
      <c r="O52" s="481"/>
      <c r="P52" s="481"/>
    </row>
    <row r="53" spans="1:19" ht="14.1" customHeight="1" x14ac:dyDescent="0.2">
      <c r="A53" s="610" t="s">
        <v>223</v>
      </c>
      <c r="B53" s="538">
        <f>IF(EAU="",0,EAU)</f>
        <v>2765</v>
      </c>
      <c r="C53" s="461">
        <f>O53*UGBBL+Q53*$L$6+R53*$M$6</f>
        <v>2426.0922730167322</v>
      </c>
      <c r="D53" s="460">
        <f>P53*UGBA+Q53*$L$7+R53*$M$7</f>
        <v>0</v>
      </c>
      <c r="E53" s="460">
        <f>S53*CV</f>
        <v>338.90772698326805</v>
      </c>
      <c r="F53" s="460">
        <f>IF(CV&gt;0,E53*CVBL/CV,0)</f>
        <v>2.7489618642907026</v>
      </c>
      <c r="H53" s="549" t="s">
        <v>592</v>
      </c>
      <c r="J53" s="540">
        <f>Cuisine!B57</f>
        <v>1</v>
      </c>
      <c r="K53" s="541">
        <f>Cuisine!C57</f>
        <v>0</v>
      </c>
      <c r="L53" s="541">
        <f>Cuisine!D57</f>
        <v>0</v>
      </c>
      <c r="M53" s="541">
        <f>Cuisine!E57</f>
        <v>0</v>
      </c>
      <c r="N53" s="542">
        <f>Cuisine!F57</f>
        <v>0.17935071846726983</v>
      </c>
      <c r="O53" s="599">
        <f>B53/($J$11+$K$11*K53+$L$11*L53+$M$11*M53+$N$11*N53)</f>
        <v>21.896139648165452</v>
      </c>
      <c r="P53" s="600">
        <f>O53*K53</f>
        <v>0</v>
      </c>
      <c r="Q53" s="600">
        <f>O53*L53</f>
        <v>0</v>
      </c>
      <c r="R53" s="600">
        <f>O53*M53</f>
        <v>0</v>
      </c>
      <c r="S53" s="602">
        <f>O53*N53</f>
        <v>3.9270883775581464</v>
      </c>
    </row>
    <row r="54" spans="1:19" ht="14.1" customHeight="1" x14ac:dyDescent="0.2">
      <c r="A54" s="610" t="s">
        <v>224</v>
      </c>
      <c r="B54" s="538">
        <f>IF(EDF="",0,EDF)</f>
        <v>6029</v>
      </c>
      <c r="C54" s="461">
        <f>O54*UGBBL+Q54*$L$6+R54*$M$6</f>
        <v>5290.0218133880207</v>
      </c>
      <c r="D54" s="460">
        <f>P54*UGBA+Q54*$L$7+R54*$M$7</f>
        <v>0</v>
      </c>
      <c r="E54" s="460">
        <f>S54*CV</f>
        <v>738.97818661197948</v>
      </c>
      <c r="F54" s="460">
        <f>IF(CV&gt;0,E54*CVBL/CV,0)</f>
        <v>5.9940293236197641</v>
      </c>
      <c r="H54" s="549" t="s">
        <v>592</v>
      </c>
      <c r="J54" s="545">
        <f t="shared" ref="J54:N55" si="6">J53</f>
        <v>1</v>
      </c>
      <c r="K54" s="546">
        <f t="shared" si="6"/>
        <v>0</v>
      </c>
      <c r="L54" s="546">
        <f t="shared" si="6"/>
        <v>0</v>
      </c>
      <c r="M54" s="546">
        <f t="shared" si="6"/>
        <v>0</v>
      </c>
      <c r="N54" s="547">
        <f t="shared" si="6"/>
        <v>0.17935071846726983</v>
      </c>
      <c r="O54" s="603">
        <f>B54/($J$11+$K$11*K54+$L$11*L54+$M$11*M54+$N$11*N54)</f>
        <v>47.743879182202356</v>
      </c>
      <c r="P54" s="604">
        <f>O54*K54</f>
        <v>0</v>
      </c>
      <c r="Q54" s="604">
        <f>O54*L54</f>
        <v>0</v>
      </c>
      <c r="R54" s="604">
        <f>O54*M54</f>
        <v>0</v>
      </c>
      <c r="S54" s="605">
        <f>O54*N54</f>
        <v>8.5628990337425197</v>
      </c>
    </row>
    <row r="55" spans="1:19" ht="14.1" customHeight="1" x14ac:dyDescent="0.2">
      <c r="A55" s="610" t="s">
        <v>227</v>
      </c>
      <c r="B55" s="538">
        <f>IF(ENTBAT="",0,ENTBAT)</f>
        <v>0</v>
      </c>
      <c r="C55" s="461">
        <f>O55*UGBBL+Q55*$L$6+R55*$M$6</f>
        <v>0</v>
      </c>
      <c r="D55" s="460">
        <f>P55*UGBA+Q55*$L$7+R55*$M$7</f>
        <v>0</v>
      </c>
      <c r="E55" s="460">
        <f>S55*CV</f>
        <v>0</v>
      </c>
      <c r="F55" s="460">
        <f>IF(CV&gt;0,E55*CVBL/CV,0)</f>
        <v>0</v>
      </c>
      <c r="H55" s="549" t="s">
        <v>592</v>
      </c>
      <c r="J55" s="550">
        <f t="shared" si="6"/>
        <v>1</v>
      </c>
      <c r="K55" s="551">
        <f t="shared" si="6"/>
        <v>0</v>
      </c>
      <c r="L55" s="551">
        <f t="shared" si="6"/>
        <v>0</v>
      </c>
      <c r="M55" s="551">
        <f t="shared" si="6"/>
        <v>0</v>
      </c>
      <c r="N55" s="552">
        <f t="shared" si="6"/>
        <v>0.17935071846726983</v>
      </c>
      <c r="O55" s="606">
        <f>B55/($J$11+$K$11*K55+$L$11*L55+$M$11*M55+$N$11*N55)</f>
        <v>0</v>
      </c>
      <c r="P55" s="607">
        <f>O55*K55</f>
        <v>0</v>
      </c>
      <c r="Q55" s="607">
        <f>O55*L55</f>
        <v>0</v>
      </c>
      <c r="R55" s="607">
        <f>O55*M55</f>
        <v>0</v>
      </c>
      <c r="S55" s="608">
        <f>O55*N55</f>
        <v>0</v>
      </c>
    </row>
    <row r="56" spans="1:19" ht="14.1" customHeight="1" x14ac:dyDescent="0.2">
      <c r="A56" s="580" t="s">
        <v>612</v>
      </c>
      <c r="B56" s="581">
        <f>SUM(B57:B60)</f>
        <v>120905</v>
      </c>
      <c r="C56" s="582">
        <f>SUM(C57:C60)</f>
        <v>81010.314771385369</v>
      </c>
      <c r="D56" s="581">
        <f>SUM(D57:D60)</f>
        <v>0</v>
      </c>
      <c r="E56" s="581">
        <f>SUM(E57:E60)</f>
        <v>39934.761517274441</v>
      </c>
      <c r="F56" s="583">
        <f>SUM(F57:F60)</f>
        <v>323.92042945645551</v>
      </c>
      <c r="G56" s="501"/>
      <c r="J56" s="584"/>
      <c r="K56" s="584"/>
      <c r="L56" s="584"/>
      <c r="M56" s="584"/>
      <c r="N56" s="584"/>
      <c r="O56" s="481"/>
      <c r="P56" s="481"/>
    </row>
    <row r="57" spans="1:19" ht="14.1" customHeight="1" x14ac:dyDescent="0.2">
      <c r="A57" s="610" t="s">
        <v>230</v>
      </c>
      <c r="B57" s="538">
        <f>GEST</f>
        <v>27123</v>
      </c>
      <c r="C57" s="461">
        <f>O57*UGBBL+Q57*$L$6+R57*$M$6</f>
        <v>17360.789677352823</v>
      </c>
      <c r="D57" s="460">
        <f>P57*UGBA+Q57*$L$7+R57*$M$7</f>
        <v>0</v>
      </c>
      <c r="E57" s="460">
        <f>S57*CV</f>
        <v>9762.2103226471754</v>
      </c>
      <c r="F57" s="460">
        <f>IF(CV&gt;0,E57*CVBL/CV,0)</f>
        <v>79.183629500035025</v>
      </c>
      <c r="H57" s="549" t="s">
        <v>592</v>
      </c>
      <c r="J57" s="540">
        <f>Cuisine!B59</f>
        <v>1</v>
      </c>
      <c r="K57" s="541">
        <f>Cuisine!C59</f>
        <v>0</v>
      </c>
      <c r="L57" s="541">
        <f>Cuisine!D59</f>
        <v>0</v>
      </c>
      <c r="M57" s="541">
        <f>Cuisine!E59</f>
        <v>0</v>
      </c>
      <c r="N57" s="542">
        <f>Cuisine!F59</f>
        <v>0.72195087827707238</v>
      </c>
      <c r="O57" s="599">
        <f>B57/($J$11+$K$11*K57+$L$11*L57+$M$11*M57+$N$11*N57)</f>
        <v>156.68582741293162</v>
      </c>
      <c r="P57" s="600">
        <f>O57*K57</f>
        <v>0</v>
      </c>
      <c r="Q57" s="600">
        <f>O57*L57</f>
        <v>0</v>
      </c>
      <c r="R57" s="600">
        <f>O57*M57</f>
        <v>0</v>
      </c>
      <c r="S57" s="602">
        <f>O57*N57</f>
        <v>113.11947071433576</v>
      </c>
    </row>
    <row r="58" spans="1:19" ht="14.1" customHeight="1" x14ac:dyDescent="0.2">
      <c r="A58" s="610" t="s">
        <v>613</v>
      </c>
      <c r="B58" s="538">
        <f>FERM-B65</f>
        <v>19437</v>
      </c>
      <c r="C58" s="461">
        <f>O58*UGBBL+Q58*$L$6+R58*$M$6</f>
        <v>7948.4639175257726</v>
      </c>
      <c r="D58" s="460">
        <f>P58*UGBA+Q58*$L$7+R58*$M$7</f>
        <v>0</v>
      </c>
      <c r="E58" s="460">
        <f>S58*CV</f>
        <v>11528.612371134021</v>
      </c>
      <c r="F58" s="460">
        <f>IF(CV&gt;0,E58*CVBL/CV,0)</f>
        <v>93.511340206185565</v>
      </c>
      <c r="H58" s="463" t="s">
        <v>600</v>
      </c>
      <c r="J58" s="545"/>
      <c r="K58" s="546"/>
      <c r="L58" s="546">
        <v>1</v>
      </c>
      <c r="M58" s="546">
        <v>1</v>
      </c>
      <c r="N58" s="547">
        <v>1</v>
      </c>
      <c r="O58" s="588"/>
      <c r="P58" s="589"/>
      <c r="Q58" s="611">
        <f>B58/SAU</f>
        <v>133.58762886597938</v>
      </c>
      <c r="R58" s="611">
        <f>Q58</f>
        <v>133.58762886597938</v>
      </c>
      <c r="S58" s="612">
        <f>R58</f>
        <v>133.58762886597938</v>
      </c>
    </row>
    <row r="59" spans="1:19" ht="14.1" customHeight="1" x14ac:dyDescent="0.2">
      <c r="A59" s="610" t="s">
        <v>236</v>
      </c>
      <c r="B59" s="538">
        <f>SAL</f>
        <v>54204</v>
      </c>
      <c r="C59" s="461">
        <f>IF(PAUMO&lt;&gt;"",O59*UGBBL+R59*$M$6,IF(pumosBL&lt;&gt;0,pumosBL*B59,O59*UGBBL+R59*$M$6))</f>
        <v>41195.884095585927</v>
      </c>
      <c r="D59" s="460">
        <f>IF(PAUMO&lt;&gt;"",P59*UGBA+R59*$M$7,IF(pumosaut&lt;&gt;0,pumosaut*B59,P59*UGBA+R59*$M$7))</f>
        <v>0</v>
      </c>
      <c r="E59" s="460">
        <f>IF(PAUMO&lt;&gt;"",S59*CV,IF(pumoscv&lt;&gt;0,pumoscv*B59,S59*CV))</f>
        <v>13008.115904414084</v>
      </c>
      <c r="F59" s="460">
        <f>IF(CV&gt;0,E59*CVBL/CV,0)</f>
        <v>105.51194823974343</v>
      </c>
      <c r="H59" s="549" t="s">
        <v>592</v>
      </c>
      <c r="J59" s="545">
        <f>Cuisine!B63</f>
        <v>1</v>
      </c>
      <c r="K59" s="546">
        <f>Cuisine!C63</f>
        <v>0</v>
      </c>
      <c r="L59" s="546">
        <f>Cuisine!D63</f>
        <v>0</v>
      </c>
      <c r="M59" s="546">
        <f>Cuisine!E63</f>
        <v>0</v>
      </c>
      <c r="N59" s="547">
        <f>Cuisine!F63</f>
        <v>0.40540540540540537</v>
      </c>
      <c r="O59" s="603">
        <f>B59/($J$11+$K$11*K59+$L$11*L59+$M$11*M59+$N$11*N59)</f>
        <v>371.80400808290545</v>
      </c>
      <c r="P59" s="604">
        <f>O59*K59</f>
        <v>0</v>
      </c>
      <c r="Q59" s="604">
        <f>O59*L59</f>
        <v>0</v>
      </c>
      <c r="R59" s="604">
        <f>O59*M59</f>
        <v>0</v>
      </c>
      <c r="S59" s="605">
        <f>O59*N59</f>
        <v>150.73135462820491</v>
      </c>
    </row>
    <row r="60" spans="1:19" ht="14.1" customHeight="1" x14ac:dyDescent="0.2">
      <c r="A60" s="610" t="s">
        <v>239</v>
      </c>
      <c r="B60" s="538">
        <f>FFIN</f>
        <v>20141</v>
      </c>
      <c r="C60" s="461">
        <f>O60*UGBBL+Q60*$L$6+R60*$M$6</f>
        <v>14505.177080920839</v>
      </c>
      <c r="D60" s="460">
        <f>P60*UGBA+Q60*$L$7+R60*$M$7</f>
        <v>0</v>
      </c>
      <c r="E60" s="460">
        <f>S60*CV</f>
        <v>5635.8229190791599</v>
      </c>
      <c r="F60" s="460">
        <f>IF(CV&gt;0,E60*CVBL/CV,0)</f>
        <v>45.713511510491443</v>
      </c>
      <c r="H60" s="549" t="s">
        <v>592</v>
      </c>
      <c r="J60" s="550">
        <f>Cuisine!B61</f>
        <v>1</v>
      </c>
      <c r="K60" s="551">
        <f>Cuisine!C61</f>
        <v>0</v>
      </c>
      <c r="L60" s="551">
        <f>Cuisine!D61</f>
        <v>0</v>
      </c>
      <c r="M60" s="551">
        <f>Cuisine!E61</f>
        <v>0</v>
      </c>
      <c r="N60" s="552">
        <f>Cuisine!F61</f>
        <v>0.4988422948289169</v>
      </c>
      <c r="O60" s="606">
        <f>B60/($J$11+$K$11*K60+$L$11*L60+$M$11*M60+$N$11*N60)</f>
        <v>130.91315054982707</v>
      </c>
      <c r="P60" s="607">
        <f>O60*K60</f>
        <v>0</v>
      </c>
      <c r="Q60" s="607">
        <f>O60*L60</f>
        <v>0</v>
      </c>
      <c r="R60" s="607">
        <f>O60*M60</f>
        <v>0</v>
      </c>
      <c r="S60" s="608">
        <f>O60*N60</f>
        <v>65.305016443559211</v>
      </c>
    </row>
    <row r="61" spans="1:19" ht="14.1" customHeight="1" x14ac:dyDescent="0.2">
      <c r="A61" s="613" t="s">
        <v>614</v>
      </c>
      <c r="B61" s="614">
        <f>SUM(B62:B65)</f>
        <v>65757</v>
      </c>
      <c r="C61" s="614">
        <f>SUM(C62:C65)</f>
        <v>49170.944183183732</v>
      </c>
      <c r="D61" s="614">
        <f>SUM(D62:D65)</f>
        <v>0</v>
      </c>
      <c r="E61" s="614">
        <f>SUM(E62:E65)</f>
        <v>16586.055816816268</v>
      </c>
      <c r="F61" s="614">
        <f>SUM(F62:F65)</f>
        <v>134.53347707730461</v>
      </c>
      <c r="G61" s="501"/>
      <c r="J61" s="584"/>
      <c r="K61" s="584"/>
      <c r="L61" s="584"/>
      <c r="M61" s="584"/>
      <c r="N61" s="584"/>
      <c r="O61" s="481"/>
      <c r="P61" s="481"/>
    </row>
    <row r="62" spans="1:19" ht="14.1" customHeight="1" x14ac:dyDescent="0.2">
      <c r="A62" s="610" t="s">
        <v>615</v>
      </c>
      <c r="B62" s="538">
        <f>AMORTMAT</f>
        <v>34382</v>
      </c>
      <c r="C62" s="461">
        <f>O62*UGBBL+Q62*$L$6+R62*$M$6</f>
        <v>21641.596962243413</v>
      </c>
      <c r="D62" s="460">
        <f>P62*UGBA+Q62*$L$7+R62*$M$7</f>
        <v>0</v>
      </c>
      <c r="E62" s="460">
        <f>S62*CV</f>
        <v>12740.403037756581</v>
      </c>
      <c r="F62" s="460">
        <f>IF(CV&gt;0,E62*CVBL/CV,0)</f>
        <v>103.34046496442187</v>
      </c>
      <c r="H62" s="549" t="s">
        <v>592</v>
      </c>
      <c r="J62" s="540">
        <f>Cuisine!B55</f>
        <v>1</v>
      </c>
      <c r="K62" s="541">
        <f>Cuisine!C55</f>
        <v>0</v>
      </c>
      <c r="L62" s="541">
        <f>Cuisine!D55</f>
        <v>0</v>
      </c>
      <c r="M62" s="541">
        <f>Cuisine!E55</f>
        <v>1.0253968253968253</v>
      </c>
      <c r="N62" s="542">
        <f>Cuisine!F55</f>
        <v>0.99365079365079367</v>
      </c>
      <c r="O62" s="599">
        <f>B62/($J$11+$K$11*K62+$L$11*L62+$M$11*M62+$N$11*N62)</f>
        <v>148.57255346322631</v>
      </c>
      <c r="P62" s="600">
        <f>O62*K62</f>
        <v>0</v>
      </c>
      <c r="Q62" s="600">
        <f>O62*L62</f>
        <v>0</v>
      </c>
      <c r="R62" s="600">
        <f>O62*M62</f>
        <v>152.34582466229236</v>
      </c>
      <c r="S62" s="602">
        <f>O62*N62</f>
        <v>147.62923566345981</v>
      </c>
    </row>
    <row r="63" spans="1:19" ht="14.1" customHeight="1" x14ac:dyDescent="0.2">
      <c r="A63" s="610" t="s">
        <v>611</v>
      </c>
      <c r="B63" s="538">
        <f>AMORTBAT</f>
        <v>31375</v>
      </c>
      <c r="C63" s="461">
        <f>O63*UGBBL+Q63*$L$6+R63*$M$6</f>
        <v>27529.347220940315</v>
      </c>
      <c r="D63" s="460">
        <f>P63*UGBA+Q63*$L$7+R63*$M$7</f>
        <v>0</v>
      </c>
      <c r="E63" s="460">
        <f>S63*CV</f>
        <v>3845.652779059687</v>
      </c>
      <c r="F63" s="460">
        <f>IF(CV&gt;0,E63*CVBL/CV,0)</f>
        <v>31.193012112882744</v>
      </c>
      <c r="H63" s="549" t="s">
        <v>592</v>
      </c>
      <c r="J63" s="550">
        <f>Cuisine!B57</f>
        <v>1</v>
      </c>
      <c r="K63" s="551">
        <f>Cuisine!C57</f>
        <v>0</v>
      </c>
      <c r="L63" s="551">
        <f>Cuisine!D57</f>
        <v>0</v>
      </c>
      <c r="M63" s="551">
        <f>Cuisine!E57</f>
        <v>0</v>
      </c>
      <c r="N63" s="552">
        <f>Cuisine!F57</f>
        <v>0.17935071846726983</v>
      </c>
      <c r="O63" s="606">
        <f>B63/($J$11+$K$11*K63+$L$11*L63+$M$11*M63+$N$11*N63)</f>
        <v>248.45981246336024</v>
      </c>
      <c r="P63" s="607">
        <f>O63*K63</f>
        <v>0</v>
      </c>
      <c r="Q63" s="607">
        <f>O63*L63</f>
        <v>0</v>
      </c>
      <c r="R63" s="607">
        <f>O63*M63</f>
        <v>0</v>
      </c>
      <c r="S63" s="608">
        <f>O63*N63</f>
        <v>44.561445875546781</v>
      </c>
    </row>
    <row r="64" spans="1:19" ht="14.1" customHeight="1" x14ac:dyDescent="0.2">
      <c r="A64" s="615" t="s">
        <v>415</v>
      </c>
      <c r="B64" s="538">
        <f>Saisie!C98</f>
        <v>0</v>
      </c>
      <c r="C64" s="461">
        <f>O64*UGBBL+Q64*$L$6+R64*$M$6</f>
        <v>0</v>
      </c>
      <c r="D64" s="460">
        <f>P64*UGBA+Q64*$L$7+R64*$M$7</f>
        <v>0</v>
      </c>
      <c r="E64" s="460">
        <f>S64*CV</f>
        <v>0</v>
      </c>
      <c r="F64" s="460">
        <f>IF(CV&gt;0,E64*CVBL/CV,0)</f>
        <v>0</v>
      </c>
      <c r="H64" s="463" t="s">
        <v>600</v>
      </c>
      <c r="J64" s="545"/>
      <c r="K64" s="546"/>
      <c r="L64" s="546">
        <v>1</v>
      </c>
      <c r="M64" s="546">
        <v>1</v>
      </c>
      <c r="N64" s="547">
        <v>1</v>
      </c>
      <c r="O64" s="588"/>
      <c r="P64" s="589"/>
      <c r="Q64" s="611">
        <f>B64/SAU</f>
        <v>0</v>
      </c>
      <c r="R64" s="611">
        <f>Q64</f>
        <v>0</v>
      </c>
      <c r="S64" s="612">
        <f>R64</f>
        <v>0</v>
      </c>
    </row>
    <row r="65" spans="1:19" ht="14.1" customHeight="1" x14ac:dyDescent="0.2">
      <c r="A65" s="615" t="s">
        <v>616</v>
      </c>
      <c r="B65" s="538">
        <f>Saisie!C107</f>
        <v>0</v>
      </c>
      <c r="C65" s="461">
        <f>O65*UGBBL+Q65*$L$6+R65*$M$6</f>
        <v>0</v>
      </c>
      <c r="D65" s="460">
        <f>P65*UGBA+Q65*$L$7+R65*$M$7</f>
        <v>0</v>
      </c>
      <c r="E65" s="460">
        <f>S65*CV</f>
        <v>0</v>
      </c>
      <c r="F65" s="460">
        <f>IF(CV&gt;0,E65*CVBL/CV,0)</f>
        <v>0</v>
      </c>
      <c r="H65" s="463" t="s">
        <v>600</v>
      </c>
      <c r="J65" s="545"/>
      <c r="K65" s="546"/>
      <c r="L65" s="546">
        <v>1</v>
      </c>
      <c r="M65" s="546">
        <v>1</v>
      </c>
      <c r="N65" s="547">
        <v>1</v>
      </c>
      <c r="O65" s="588"/>
      <c r="P65" s="589"/>
      <c r="Q65" s="611">
        <f>B65/SAU</f>
        <v>0</v>
      </c>
      <c r="R65" s="611">
        <f>Q65</f>
        <v>0</v>
      </c>
      <c r="S65" s="612">
        <f>R65</f>
        <v>0</v>
      </c>
    </row>
    <row r="66" spans="1:19" ht="14.1" customHeight="1" x14ac:dyDescent="0.2">
      <c r="A66" s="613" t="s">
        <v>617</v>
      </c>
      <c r="B66" s="614">
        <f>SUM(B67:B69)</f>
        <v>70845.326000000001</v>
      </c>
      <c r="C66" s="614">
        <f>SUM(C67:C69)</f>
        <v>53633.363882696372</v>
      </c>
      <c r="D66" s="614">
        <f>SUM(D67:D69)</f>
        <v>0</v>
      </c>
      <c r="E66" s="614">
        <f>SUM(E67:E69)</f>
        <v>17211.962117303636</v>
      </c>
      <c r="F66" s="616">
        <f>SUM(F67:F69)</f>
        <v>139.61035321103762</v>
      </c>
      <c r="J66" s="555"/>
      <c r="K66" s="555"/>
      <c r="L66" s="555"/>
      <c r="M66" s="555"/>
      <c r="N66" s="555"/>
      <c r="O66" s="481"/>
      <c r="P66" s="481"/>
    </row>
    <row r="67" spans="1:19" ht="14.1" customHeight="1" x14ac:dyDescent="0.2">
      <c r="A67" s="610" t="s">
        <v>618</v>
      </c>
      <c r="B67" s="538">
        <f>IF(SPRO="",0,IF(OR(FERMOP="",FERMOP&gt;PLAFERM),PLAFERM*SPRO,FERMOP*SPRO))</f>
        <v>0</v>
      </c>
      <c r="C67" s="461">
        <f>O67*UGBBL+Q67*$L$6+R67*$M$6</f>
        <v>0</v>
      </c>
      <c r="D67" s="460">
        <f>P67*UGBA+Q67*$L$7+R67*$M$7</f>
        <v>0</v>
      </c>
      <c r="E67" s="460">
        <f>S67*CV</f>
        <v>0</v>
      </c>
      <c r="F67" s="460">
        <f>IF(CV&gt;0,E67*CVBL/CV,0)</f>
        <v>0</v>
      </c>
      <c r="H67" s="463" t="s">
        <v>600</v>
      </c>
      <c r="J67" s="540"/>
      <c r="K67" s="541"/>
      <c r="L67" s="541">
        <v>1</v>
      </c>
      <c r="M67" s="541">
        <v>1</v>
      </c>
      <c r="N67" s="542">
        <v>1</v>
      </c>
      <c r="O67" s="585"/>
      <c r="P67" s="586"/>
      <c r="Q67" s="587">
        <f>B67/SAU</f>
        <v>0</v>
      </c>
      <c r="R67" s="587">
        <f>Q67</f>
        <v>0</v>
      </c>
      <c r="S67" s="592">
        <f>R67</f>
        <v>0</v>
      </c>
    </row>
    <row r="68" spans="1:19" ht="14.1" customHeight="1" x14ac:dyDescent="0.2">
      <c r="A68" s="610" t="s">
        <v>619</v>
      </c>
      <c r="B68" s="538">
        <f>CAP*ICP</f>
        <v>5276.576</v>
      </c>
      <c r="C68" s="461">
        <f>O68*UGBBL+Q68*$L$6+R68*$M$6</f>
        <v>3800.0928087451948</v>
      </c>
      <c r="D68" s="460">
        <f>P68*UGBA+Q68*$L$7+R68*$M$7</f>
        <v>0</v>
      </c>
      <c r="E68" s="460">
        <f>S68*CV</f>
        <v>1476.4831912548057</v>
      </c>
      <c r="F68" s="460">
        <f>IF(CV&gt;0,E68*CVBL/CV,0)</f>
        <v>11.976109314928898</v>
      </c>
      <c r="H68" s="549" t="s">
        <v>592</v>
      </c>
      <c r="J68" s="545">
        <f>Cuisine!B61</f>
        <v>1</v>
      </c>
      <c r="K68" s="546">
        <f>Cuisine!C61</f>
        <v>0</v>
      </c>
      <c r="L68" s="546">
        <f>Cuisine!D61</f>
        <v>0</v>
      </c>
      <c r="M68" s="546">
        <f>Cuisine!E61</f>
        <v>0</v>
      </c>
      <c r="N68" s="547">
        <f>Cuisine!F61</f>
        <v>0.4988422948289169</v>
      </c>
      <c r="O68" s="603">
        <f>B68/($J$11+$K$11*K68+$L$11*L68+$M$11*M68+$N$11*N68)</f>
        <v>34.29686650492053</v>
      </c>
      <c r="P68" s="604">
        <f>O68*K68</f>
        <v>0</v>
      </c>
      <c r="Q68" s="604">
        <f>O68*L68</f>
        <v>0</v>
      </c>
      <c r="R68" s="604">
        <f>O68*M68</f>
        <v>0</v>
      </c>
      <c r="S68" s="605">
        <f>O68*N68</f>
        <v>17.108727592755571</v>
      </c>
    </row>
    <row r="69" spans="1:19" ht="14.1" customHeight="1" x14ac:dyDescent="0.2">
      <c r="A69" s="610" t="s">
        <v>620</v>
      </c>
      <c r="B69" s="538">
        <f>UMOns*SMIC*1.5</f>
        <v>65568.75</v>
      </c>
      <c r="C69" s="461">
        <f>IF(PAUMO&lt;&gt;"",O69*UGBBL+R69*$M$6,PumonsBL*B69)</f>
        <v>49833.271073951175</v>
      </c>
      <c r="D69" s="460">
        <f>IF(PAUMO&lt;&gt;"",P69*UGBA+R69*$M$7,pumonsaut*B69)</f>
        <v>0</v>
      </c>
      <c r="E69" s="460">
        <f>IF(PAUMO&lt;&gt;"",S69*CV,pumonscv*B69)</f>
        <v>15735.478926048831</v>
      </c>
      <c r="F69" s="460">
        <f>IF(CV&gt;0,E69*CVBL/CV,0)</f>
        <v>127.63424389610871</v>
      </c>
      <c r="H69" s="549" t="s">
        <v>592</v>
      </c>
      <c r="J69" s="550">
        <f>Cuisine!B63</f>
        <v>1</v>
      </c>
      <c r="K69" s="551">
        <f>Cuisine!C63</f>
        <v>0</v>
      </c>
      <c r="L69" s="551">
        <f>Cuisine!D63</f>
        <v>0</v>
      </c>
      <c r="M69" s="551">
        <f>Cuisine!E63</f>
        <v>0</v>
      </c>
      <c r="N69" s="552">
        <f>Cuisine!F63</f>
        <v>0.40540540540540537</v>
      </c>
      <c r="O69" s="606">
        <f>B69/($J$11+$K$11*K69+$L$11*L69+$M$11*M69+$N$11*N69)</f>
        <v>449.75876420533552</v>
      </c>
      <c r="P69" s="607">
        <f>O69*K69</f>
        <v>0</v>
      </c>
      <c r="Q69" s="607">
        <f>O69*L69</f>
        <v>0</v>
      </c>
      <c r="R69" s="607">
        <f>O69*M69</f>
        <v>0</v>
      </c>
      <c r="S69" s="608">
        <f>O69*N69</f>
        <v>182.33463413729817</v>
      </c>
    </row>
    <row r="70" spans="1:19" x14ac:dyDescent="0.2">
      <c r="D70" s="460"/>
      <c r="J70" s="617"/>
      <c r="K70" s="617"/>
      <c r="L70" s="617"/>
      <c r="M70" s="618"/>
      <c r="N70" s="618"/>
    </row>
    <row r="71" spans="1:19" ht="14.1" customHeight="1" x14ac:dyDescent="0.2">
      <c r="A71" s="619" t="s">
        <v>621</v>
      </c>
      <c r="B71" s="620"/>
      <c r="C71" s="620">
        <f>C14-C34-C61-C66</f>
        <v>-47443.79986829574</v>
      </c>
      <c r="D71" s="620">
        <f>D14-D34-D61-D66</f>
        <v>838.89999999999418</v>
      </c>
      <c r="E71" s="620">
        <f>E14-E34-E61-E66</f>
        <v>-3454.3377325290276</v>
      </c>
      <c r="F71" s="621">
        <f>F14-F34-F61-F66</f>
        <v>-900.03402564044393</v>
      </c>
      <c r="J71" s="617"/>
      <c r="K71" s="617"/>
      <c r="L71" s="617"/>
      <c r="M71" s="618"/>
      <c r="N71" s="618"/>
      <c r="O71" s="534"/>
      <c r="P71" s="534"/>
    </row>
    <row r="72" spans="1:19" ht="14.1" customHeight="1" x14ac:dyDescent="0.2">
      <c r="A72" s="622" t="s">
        <v>412</v>
      </c>
      <c r="B72" s="623">
        <f>MSA</f>
        <v>21000</v>
      </c>
      <c r="C72" s="624">
        <f>IF(PAUMO&lt;&gt;"",O72*UGBBL+R72*$M$6,PumonsBL*B72)</f>
        <v>15960.327023970636</v>
      </c>
      <c r="D72" s="625">
        <f>IF(PAUMO&lt;&gt;"",P72*UGBA+R72*$M$7,pumonsaut*B72)</f>
        <v>0</v>
      </c>
      <c r="E72" s="625">
        <f>IF(PAUMO&lt;&gt;"",S72*CV,pumonscv*B72)</f>
        <v>5039.6729760293656</v>
      </c>
      <c r="F72" s="626">
        <f>IF(CV&gt;0,E72*CVBL/CV,0)</f>
        <v>40.877996329322777</v>
      </c>
      <c r="H72" s="549" t="s">
        <v>592</v>
      </c>
      <c r="J72" s="627">
        <f>J69</f>
        <v>1</v>
      </c>
      <c r="K72" s="628">
        <f>K69</f>
        <v>0</v>
      </c>
      <c r="L72" s="628">
        <f>L69</f>
        <v>0</v>
      </c>
      <c r="M72" s="628">
        <f>M69</f>
        <v>0</v>
      </c>
      <c r="N72" s="629">
        <f>N69</f>
        <v>0.40540540540540537</v>
      </c>
      <c r="O72" s="630">
        <f>B72/($J$11+$K$11*K72+$L$11*L72+$M$11*M72+$N$11*N72)</f>
        <v>144.04627277951838</v>
      </c>
      <c r="P72" s="631">
        <f>O72*K72</f>
        <v>0</v>
      </c>
      <c r="Q72" s="631">
        <f>O72*L72</f>
        <v>0</v>
      </c>
      <c r="R72" s="631">
        <f>O72*M72</f>
        <v>0</v>
      </c>
      <c r="S72" s="601">
        <f>O72*N72</f>
        <v>58.397137613318257</v>
      </c>
    </row>
    <row r="73" spans="1:19" ht="14.1" customHeight="1" x14ac:dyDescent="0.2">
      <c r="A73" s="632" t="s">
        <v>622</v>
      </c>
      <c r="B73" s="633">
        <f>B14-B34+B60-B72-IF-Saisie!C108-D101</f>
        <v>85628.53376000002</v>
      </c>
      <c r="C73" s="634"/>
      <c r="D73" s="634"/>
      <c r="E73" s="634"/>
      <c r="F73" s="635"/>
      <c r="J73" s="617"/>
      <c r="K73" s="617"/>
      <c r="L73" s="617"/>
      <c r="M73" s="618"/>
      <c r="N73" s="618"/>
      <c r="O73" s="534"/>
      <c r="P73" s="534"/>
    </row>
    <row r="74" spans="1:19" ht="14.1" customHeight="1" x14ac:dyDescent="0.2">
      <c r="A74" s="636" t="s">
        <v>623</v>
      </c>
      <c r="B74" s="637">
        <f>Saisie!C105</f>
        <v>88325</v>
      </c>
      <c r="C74" s="638"/>
      <c r="D74" s="639"/>
      <c r="E74" s="639"/>
      <c r="F74" s="640"/>
      <c r="J74" s="617"/>
      <c r="K74" s="617"/>
      <c r="L74" s="617"/>
      <c r="M74" s="618"/>
      <c r="N74" s="618"/>
      <c r="O74" s="534"/>
      <c r="P74" s="534"/>
    </row>
    <row r="75" spans="1:19" hidden="1" x14ac:dyDescent="0.2">
      <c r="D75" s="460"/>
      <c r="J75" s="617"/>
      <c r="K75" s="617"/>
      <c r="L75" s="617"/>
      <c r="M75" s="618"/>
      <c r="N75" s="618"/>
      <c r="O75" s="534"/>
      <c r="P75" s="534"/>
    </row>
    <row r="76" spans="1:19" ht="14.1" customHeight="1" x14ac:dyDescent="0.2">
      <c r="A76" s="641" t="s">
        <v>624</v>
      </c>
      <c r="B76" s="642">
        <f>Saisie!C106</f>
        <v>81604</v>
      </c>
      <c r="C76" s="643">
        <f>O76*UGBBL+Q76*$L$6+R76*$M$6</f>
        <v>58769.697160591037</v>
      </c>
      <c r="D76" s="634">
        <f>P76*UGBA+Q76*$L$7+R76*$M$7</f>
        <v>0</v>
      </c>
      <c r="E76" s="634">
        <f>S76*CV</f>
        <v>22834.30283940896</v>
      </c>
      <c r="F76" s="635">
        <f>IF(CV&gt;0,E76*CVBL/CV,0)</f>
        <v>185.21450738802167</v>
      </c>
      <c r="H76" s="549" t="s">
        <v>592</v>
      </c>
      <c r="J76" s="627">
        <f>Cuisine!B61</f>
        <v>1</v>
      </c>
      <c r="K76" s="628">
        <f>Cuisine!C61</f>
        <v>0</v>
      </c>
      <c r="L76" s="628">
        <f>Cuisine!D61</f>
        <v>0</v>
      </c>
      <c r="M76" s="628">
        <f>Cuisine!E61</f>
        <v>0</v>
      </c>
      <c r="N76" s="629">
        <f>Cuisine!F61</f>
        <v>0.4988422948289169</v>
      </c>
      <c r="O76" s="630">
        <f>B76/($J$11+$K$11*K76+$L$11*L76+$M$11*M76+$N$11*N76)</f>
        <v>530.41242924721155</v>
      </c>
      <c r="P76" s="631">
        <f>O76*K76</f>
        <v>0</v>
      </c>
      <c r="Q76" s="631">
        <f>O76*L76</f>
        <v>0</v>
      </c>
      <c r="R76" s="631">
        <f>O76*M76</f>
        <v>0</v>
      </c>
      <c r="S76" s="601">
        <f>O76*N76</f>
        <v>264.59215341145955</v>
      </c>
    </row>
    <row r="77" spans="1:19" ht="12.75" x14ac:dyDescent="0.2">
      <c r="A77" s="644" t="s">
        <v>625</v>
      </c>
      <c r="B77" s="645">
        <f>B14-B34-B61-Saisie!C89</f>
        <v>20730.53376000002</v>
      </c>
      <c r="C77" s="638"/>
      <c r="D77" s="639"/>
      <c r="E77" s="639"/>
      <c r="F77" s="640"/>
      <c r="O77" s="534"/>
      <c r="P77" s="534"/>
    </row>
    <row r="78" spans="1:19" x14ac:dyDescent="0.2">
      <c r="A78" s="557"/>
      <c r="O78" s="534"/>
      <c r="P78" s="534"/>
    </row>
    <row r="79" spans="1:19" x14ac:dyDescent="0.2">
      <c r="A79" s="646" t="s">
        <v>626</v>
      </c>
      <c r="B79" s="647"/>
      <c r="C79" s="647"/>
      <c r="D79" s="648"/>
      <c r="E79" s="648"/>
      <c r="F79" s="649"/>
      <c r="O79" s="534"/>
      <c r="P79" s="534"/>
    </row>
    <row r="80" spans="1:19" x14ac:dyDescent="0.2">
      <c r="A80" s="557"/>
      <c r="D80" s="460"/>
    </row>
    <row r="81" spans="1:12" x14ac:dyDescent="0.2">
      <c r="A81" s="650" t="s">
        <v>627</v>
      </c>
      <c r="B81" s="651">
        <f>CV-(CVBL+Saisie!C35)</f>
        <v>85.6</v>
      </c>
      <c r="C81" s="652" t="s">
        <v>628</v>
      </c>
      <c r="D81" s="460"/>
      <c r="E81" s="653">
        <f>IF(CVEN&gt;0,E14/CV,"")</f>
        <v>1570.6336855826753</v>
      </c>
      <c r="F81" s="461" t="s">
        <v>629</v>
      </c>
    </row>
    <row r="82" spans="1:12" x14ac:dyDescent="0.2">
      <c r="A82" s="650" t="s">
        <v>630</v>
      </c>
      <c r="B82" s="654">
        <f>IF(CVEN&gt;0,(UMOns+UMOs)*(E69-F69)/B69,"")</f>
        <v>0.71411356852857755</v>
      </c>
      <c r="C82" s="652" t="s">
        <v>631</v>
      </c>
      <c r="E82" s="653">
        <f>IF(CVEN&gt;0,E38/CV,"")</f>
        <v>440.50969981621398</v>
      </c>
      <c r="F82" s="461" t="s">
        <v>629</v>
      </c>
    </row>
    <row r="83" spans="1:12" x14ac:dyDescent="0.2">
      <c r="A83" s="650" t="s">
        <v>632</v>
      </c>
      <c r="B83" s="655">
        <f>IF(B81&gt;0,B81/B82,"")</f>
        <v>119.86888888888888</v>
      </c>
      <c r="C83" s="652" t="s">
        <v>633</v>
      </c>
      <c r="E83" s="653">
        <f>IF(CVEN&gt;0,((E45+E52+E56+E61+E72))/CV,"")</f>
        <v>1029.1048500915456</v>
      </c>
      <c r="F83" s="461" t="s">
        <v>629</v>
      </c>
    </row>
    <row r="84" spans="1:12" x14ac:dyDescent="0.2">
      <c r="C84" s="652" t="s">
        <v>634</v>
      </c>
      <c r="E84" s="653">
        <f>IF(CVEN&gt;0,E81-E82-E83,"")</f>
        <v>101.01913567491579</v>
      </c>
      <c r="F84" s="461" t="s">
        <v>629</v>
      </c>
    </row>
    <row r="85" spans="1:12" x14ac:dyDescent="0.2">
      <c r="A85" s="557"/>
      <c r="J85" s="459"/>
      <c r="K85" s="460"/>
      <c r="L85" s="459"/>
    </row>
    <row r="86" spans="1:12" x14ac:dyDescent="0.2">
      <c r="A86" s="501" t="s">
        <v>635</v>
      </c>
      <c r="C86" s="620">
        <f>B87+B92+B94-B96</f>
        <v>1.2241563510100868</v>
      </c>
      <c r="J86" s="459"/>
      <c r="K86" s="460"/>
      <c r="L86" s="459"/>
    </row>
    <row r="87" spans="1:12" ht="12.75" x14ac:dyDescent="0.2">
      <c r="A87" s="575" t="s">
        <v>603</v>
      </c>
      <c r="B87" s="614">
        <f>SUM(B88:B91)</f>
        <v>1.1606178104326881</v>
      </c>
      <c r="J87" s="459"/>
      <c r="K87" s="460"/>
      <c r="L87" s="459"/>
    </row>
    <row r="88" spans="1:12" ht="12.75" x14ac:dyDescent="0.2">
      <c r="A88" s="580" t="s">
        <v>607</v>
      </c>
      <c r="B88" s="656">
        <f>F38/LCB</f>
        <v>0.41940294693802443</v>
      </c>
      <c r="K88" s="460"/>
    </row>
    <row r="89" spans="1:12" ht="12.75" x14ac:dyDescent="0.2">
      <c r="A89" s="580" t="s">
        <v>610</v>
      </c>
      <c r="B89" s="656">
        <f>F45/LCB</f>
        <v>0.28875192595098187</v>
      </c>
    </row>
    <row r="90" spans="1:12" ht="12.75" x14ac:dyDescent="0.2">
      <c r="A90" s="580" t="s">
        <v>611</v>
      </c>
      <c r="B90" s="656">
        <f>F52/LCB</f>
        <v>1.1891537302592483E-2</v>
      </c>
    </row>
    <row r="91" spans="1:12" ht="12.75" x14ac:dyDescent="0.2">
      <c r="A91" s="580" t="s">
        <v>612</v>
      </c>
      <c r="B91" s="656">
        <f>F56/LCB</f>
        <v>0.44057140024108921</v>
      </c>
    </row>
    <row r="92" spans="1:12" ht="12.75" x14ac:dyDescent="0.2">
      <c r="A92" s="613" t="s">
        <v>614</v>
      </c>
      <c r="B92" s="614">
        <f>F61/LCB</f>
        <v>0.18298198256500653</v>
      </c>
    </row>
    <row r="94" spans="1:12" ht="12.75" x14ac:dyDescent="0.2">
      <c r="A94" s="613" t="s">
        <v>617</v>
      </c>
      <c r="B94" s="614">
        <f>F66/LCB</f>
        <v>0.18988715501999057</v>
      </c>
    </row>
    <row r="96" spans="1:12" ht="12.75" x14ac:dyDescent="0.2">
      <c r="A96" s="527" t="s">
        <v>581</v>
      </c>
      <c r="B96" s="528">
        <f>F14/LCB</f>
        <v>0.30933059700759835</v>
      </c>
    </row>
    <row r="98" spans="1:5" x14ac:dyDescent="0.2">
      <c r="B98" s="657" t="s">
        <v>636</v>
      </c>
      <c r="C98" s="658" t="s">
        <v>637</v>
      </c>
      <c r="D98" s="659" t="s">
        <v>638</v>
      </c>
    </row>
    <row r="99" spans="1:5" ht="15.75" x14ac:dyDescent="0.2">
      <c r="A99" s="660" t="s">
        <v>639</v>
      </c>
      <c r="B99" s="661">
        <f>SUM(B100:B102)+B106</f>
        <v>735.22799999999995</v>
      </c>
      <c r="C99" s="662">
        <f>D99/B99</f>
        <v>358.92000000000007</v>
      </c>
      <c r="D99" s="663">
        <f>SUM(D100:D102)+D106</f>
        <v>263888.03376000002</v>
      </c>
    </row>
    <row r="100" spans="1:5" ht="12.75" x14ac:dyDescent="0.2">
      <c r="A100" s="557" t="s">
        <v>640</v>
      </c>
      <c r="B100" s="664">
        <f>Saisie!C17</f>
        <v>735.22799999999995</v>
      </c>
      <c r="C100" s="665">
        <f>Saisie!C18</f>
        <v>358.92</v>
      </c>
      <c r="D100" s="666">
        <f>C100*B100</f>
        <v>263888.03376000002</v>
      </c>
    </row>
    <row r="101" spans="1:5" ht="12.75" x14ac:dyDescent="0.2">
      <c r="A101" s="557" t="s">
        <v>641</v>
      </c>
      <c r="B101" s="664">
        <f>Saisie!C132</f>
        <v>0</v>
      </c>
      <c r="C101" s="665">
        <f>Saisie!C133</f>
        <v>0</v>
      </c>
      <c r="D101" s="666">
        <f>C101*B101</f>
        <v>0</v>
      </c>
    </row>
    <row r="102" spans="1:5" ht="12.75" x14ac:dyDescent="0.2">
      <c r="A102" s="557" t="s">
        <v>642</v>
      </c>
      <c r="B102" s="664">
        <f>Saisie!C109*Saisie!C110</f>
        <v>0</v>
      </c>
      <c r="C102" s="665">
        <f>IF(B102&gt;0,D102/B102,0)</f>
        <v>0</v>
      </c>
      <c r="D102" s="666">
        <f>Saisie!C111</f>
        <v>0</v>
      </c>
    </row>
    <row r="103" spans="1:5" ht="12.75" x14ac:dyDescent="0.2">
      <c r="A103" s="667" t="s">
        <v>643</v>
      </c>
      <c r="B103" s="664">
        <f>IF(Saisie!C141&lt;&gt;"",Saisie!C141*Saisie!C142,0)</f>
        <v>0</v>
      </c>
      <c r="C103" s="461">
        <f>IF(Saisie!C143&gt;0,Saisie!C143/Calcul!B103,0)</f>
        <v>0</v>
      </c>
      <c r="D103" s="462">
        <f>C103*B103</f>
        <v>0</v>
      </c>
    </row>
    <row r="104" spans="1:5" ht="12.75" x14ac:dyDescent="0.2">
      <c r="A104" s="667" t="s">
        <v>644</v>
      </c>
      <c r="B104" s="664">
        <f>IF(Saisie!C147&lt;&gt;"",Saisie!C147*(1+Saisie!C149)*Saisie!C148,0)</f>
        <v>0</v>
      </c>
      <c r="C104" s="461">
        <f>IF(Saisie!C150&lt;&gt;"",Saisie!C150/Calcul!B104,0)</f>
        <v>0</v>
      </c>
      <c r="D104" s="462">
        <f>C104*B104</f>
        <v>0</v>
      </c>
    </row>
    <row r="105" spans="1:5" ht="12.75" x14ac:dyDescent="0.2">
      <c r="A105" s="667" t="s">
        <v>645</v>
      </c>
      <c r="B105" s="664">
        <f>IF(Saisie!C154&lt;&gt;"",Saisie!C154*Saisie!C155,0)</f>
        <v>0</v>
      </c>
      <c r="C105" s="461">
        <f>IF(Saisie!C156&lt;&gt;"",Saisie!C156/Calcul!B105,0)</f>
        <v>0</v>
      </c>
      <c r="D105" s="462">
        <f>C105*B105</f>
        <v>0</v>
      </c>
    </row>
    <row r="106" spans="1:5" ht="12.75" x14ac:dyDescent="0.2">
      <c r="A106" s="557" t="s">
        <v>646</v>
      </c>
      <c r="B106" s="664">
        <f>Saisie!C134</f>
        <v>0</v>
      </c>
      <c r="C106" s="665">
        <f>SUM(D100:D102)/SUM(B100:B102)</f>
        <v>358.92000000000007</v>
      </c>
      <c r="D106" s="666">
        <f>C106*B106</f>
        <v>0</v>
      </c>
    </row>
    <row r="110" spans="1:5" x14ac:dyDescent="0.2">
      <c r="C110" s="460"/>
      <c r="D110" s="460"/>
    </row>
    <row r="111" spans="1:5" x14ac:dyDescent="0.2">
      <c r="C111" s="460"/>
      <c r="D111" s="460"/>
    </row>
    <row r="112" spans="1:5" x14ac:dyDescent="0.2">
      <c r="A112" s="668"/>
      <c r="D112" s="669" t="s">
        <v>564</v>
      </c>
      <c r="E112" s="670" t="s">
        <v>647</v>
      </c>
    </row>
    <row r="113" spans="1:5" x14ac:dyDescent="0.2">
      <c r="A113" s="671" t="s">
        <v>648</v>
      </c>
      <c r="D113" s="672">
        <f>SUM(D114:D116)</f>
        <v>0</v>
      </c>
      <c r="E113" s="672">
        <f>SUM(E114:E116)</f>
        <v>0</v>
      </c>
    </row>
    <row r="114" spans="1:5" x14ac:dyDescent="0.2">
      <c r="A114" s="668" t="str">
        <f>Saisie!A113</f>
        <v>dont appros liés à la transformation et la vente directe.</v>
      </c>
      <c r="D114" s="462">
        <f>Saisie!C113</f>
        <v>0</v>
      </c>
    </row>
    <row r="115" spans="1:5" x14ac:dyDescent="0.2">
      <c r="A115" s="668" t="str">
        <f>Saisie!A114</f>
        <v>dont frais d'analyses et de cotisations liées à la transformation (ISN, UNPSF…)</v>
      </c>
      <c r="D115" s="462">
        <f>Saisie!C114</f>
        <v>0</v>
      </c>
    </row>
    <row r="116" spans="1:5" x14ac:dyDescent="0.2">
      <c r="A116" s="668" t="str">
        <f>Saisie!A115</f>
        <v>dont frais d'affinage et de commercialisation (hors main d'œuvre)</v>
      </c>
      <c r="D116" s="462">
        <f>Saisie!C115</f>
        <v>0</v>
      </c>
      <c r="E116" s="460">
        <f>D116</f>
        <v>0</v>
      </c>
    </row>
    <row r="117" spans="1:5" x14ac:dyDescent="0.2">
      <c r="D117" s="460"/>
    </row>
    <row r="118" spans="1:5" x14ac:dyDescent="0.2">
      <c r="A118" s="671" t="s">
        <v>649</v>
      </c>
    </row>
    <row r="119" spans="1:5" x14ac:dyDescent="0.2">
      <c r="A119" s="459" t="str">
        <f>Saisie!A116</f>
        <v>dont charges annexes de transformation et vente directe.</v>
      </c>
      <c r="D119" s="672">
        <f>Saisie!C116</f>
        <v>0</v>
      </c>
    </row>
    <row r="121" spans="1:5" x14ac:dyDescent="0.2">
      <c r="A121" s="671" t="s">
        <v>650</v>
      </c>
    </row>
    <row r="122" spans="1:5" x14ac:dyDescent="0.2">
      <c r="A122" s="459" t="str">
        <f>Saisie!A118</f>
        <v>dont amortissements transformation et vente directe.</v>
      </c>
      <c r="D122" s="672">
        <f>Saisie!C118</f>
        <v>0</v>
      </c>
    </row>
    <row r="124" spans="1:5" x14ac:dyDescent="0.2">
      <c r="A124" s="671" t="s">
        <v>651</v>
      </c>
      <c r="D124" s="672">
        <f>Saisie!C117</f>
        <v>0</v>
      </c>
    </row>
    <row r="125" spans="1:5" x14ac:dyDescent="0.2">
      <c r="A125" s="459" t="str">
        <f>Saisie!A117</f>
        <v>dont Salaires transformation et vente directe.</v>
      </c>
    </row>
  </sheetData>
  <sheetProtection sheet="1"/>
  <mergeCells count="10">
    <mergeCell ref="J9:N9"/>
    <mergeCell ref="Q9:S9"/>
    <mergeCell ref="O10:P10"/>
    <mergeCell ref="Q10:S10"/>
    <mergeCell ref="B9:B11"/>
    <mergeCell ref="C9:C11"/>
    <mergeCell ref="D9:D11"/>
    <mergeCell ref="E9:E11"/>
    <mergeCell ref="F9:F11"/>
    <mergeCell ref="H9:H12"/>
  </mergeCells>
  <dataValidations count="1">
    <dataValidation type="list" operator="equal" allowBlank="1" showErrorMessage="1" sqref="I23 I39:I41 I43:I44 I46:I51 I53:I55 I57 I59:I60 I62:I63 I66 I68:I69 I72 I76">
      <formula1>"situations"</formula1>
      <formula2>0</formula2>
    </dataValidation>
  </dataValidations>
  <printOptions horizontalCentered="1"/>
  <pageMargins left="0.39374999999999999" right="0.39374999999999999" top="0.39374999999999999" bottom="0.78749999999999998" header="0.51180555555555551" footer="0.39374999999999999"/>
  <pageSetup paperSize="9" firstPageNumber="0" fitToHeight="0" orientation="portrait" horizontalDpi="300" verticalDpi="300"/>
  <headerFooter alignWithMargins="0">
    <oddFooter>&amp;C&amp;8&amp;F - Feuille &amp;A - page &amp;P /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8"/>
    <pageSetUpPr fitToPage="1"/>
  </sheetPr>
  <dimension ref="A2:R192"/>
  <sheetViews>
    <sheetView topLeftCell="A13" zoomScale="85" zoomScaleNormal="85" workbookViewId="0">
      <selection activeCell="B9" sqref="B9"/>
    </sheetView>
  </sheetViews>
  <sheetFormatPr baseColWidth="10" defaultRowHeight="15" customHeight="1" x14ac:dyDescent="0.2"/>
  <cols>
    <col min="1" max="1" width="34.5703125" style="673" customWidth="1"/>
    <col min="2" max="2" width="12.28515625" style="534" customWidth="1"/>
    <col min="3" max="3" width="11.85546875" style="534" customWidth="1"/>
    <col min="4" max="4" width="3.140625" style="459" customWidth="1"/>
    <col min="5" max="5" width="21.85546875" style="459" customWidth="1"/>
    <col min="6" max="6" width="2.85546875" style="459" customWidth="1"/>
    <col min="7" max="7" width="1.85546875" style="459" customWidth="1"/>
    <col min="8" max="9" width="11.140625" style="459" customWidth="1"/>
    <col min="10" max="10" width="10.28515625" style="459" customWidth="1"/>
    <col min="11" max="11" width="11.42578125" style="459"/>
    <col min="12" max="12" width="6.28515625" style="674" customWidth="1"/>
    <col min="13" max="13" width="6" style="459" customWidth="1"/>
    <col min="14" max="16384" width="11.42578125" style="459"/>
  </cols>
  <sheetData>
    <row r="2" spans="1:18" ht="18" x14ac:dyDescent="0.2">
      <c r="A2" s="675"/>
      <c r="C2" s="500"/>
    </row>
    <row r="3" spans="1:18" ht="12" x14ac:dyDescent="0.2"/>
    <row r="4" spans="1:18" ht="23.25" customHeight="1" x14ac:dyDescent="0.2">
      <c r="B4" s="556"/>
      <c r="E4" s="676"/>
      <c r="F4" s="676"/>
      <c r="G4" s="676"/>
      <c r="I4" s="677" t="s">
        <v>652</v>
      </c>
      <c r="J4" s="678">
        <f>DATEVER</f>
        <v>41760</v>
      </c>
      <c r="N4" s="679"/>
    </row>
    <row r="5" spans="1:18" ht="16.5" x14ac:dyDescent="0.2">
      <c r="A5" s="680" t="str">
        <f>IF(EXP&lt;&gt;"",EXP,"")</f>
        <v>EARL BEL EPI</v>
      </c>
      <c r="B5" s="681" t="s">
        <v>653</v>
      </c>
      <c r="C5" s="682" t="s">
        <v>654</v>
      </c>
      <c r="E5" s="683" t="s">
        <v>655</v>
      </c>
      <c r="F5" s="684"/>
      <c r="G5" s="684"/>
      <c r="H5" s="685"/>
      <c r="I5" s="685"/>
      <c r="J5" s="686"/>
    </row>
    <row r="6" spans="1:18" ht="24" customHeight="1" x14ac:dyDescent="0.2">
      <c r="A6" s="687" t="str">
        <f>CONCATENATE("Campagne : ",CAMP)</f>
        <v>Campagne : 2013</v>
      </c>
      <c r="B6" s="688" t="s">
        <v>656</v>
      </c>
      <c r="C6" s="689" t="s">
        <v>657</v>
      </c>
      <c r="E6" s="690" t="str">
        <f>IF(HLOOKUP($C$6,refdata,1,0)&lt;&gt;"",HLOOKUP($C$6,refdata,1,0),"")</f>
        <v>Rosace lait 6M</v>
      </c>
      <c r="F6" s="691"/>
      <c r="G6" s="691"/>
      <c r="H6" s="692">
        <f>HLOOKUP($C$6,refdata,3,0)</f>
        <v>0</v>
      </c>
      <c r="I6" s="693" t="s">
        <v>658</v>
      </c>
      <c r="J6" s="694">
        <f>HLOOKUP($C$6,refdata,2,0)</f>
        <v>2013</v>
      </c>
    </row>
    <row r="7" spans="1:18" ht="16.5" customHeight="1" x14ac:dyDescent="0.2">
      <c r="A7" s="463" t="s">
        <v>659</v>
      </c>
      <c r="B7" s="577"/>
      <c r="C7" s="577"/>
      <c r="E7" s="695"/>
      <c r="F7" s="695"/>
      <c r="G7" s="695"/>
      <c r="H7" s="681" t="s">
        <v>653</v>
      </c>
      <c r="I7" s="682" t="s">
        <v>654</v>
      </c>
      <c r="J7" s="696"/>
    </row>
    <row r="8" spans="1:18" ht="21" customHeight="1" x14ac:dyDescent="0.2">
      <c r="A8" s="463"/>
      <c r="B8" s="577"/>
      <c r="C8" s="577"/>
      <c r="E8" s="695"/>
      <c r="F8" s="695"/>
      <c r="G8" s="695"/>
      <c r="H8" s="688" t="s">
        <v>656</v>
      </c>
      <c r="I8" s="689" t="str">
        <f>'Edition éleveur'!C6</f>
        <v>Rosace lait 6M</v>
      </c>
      <c r="J8" s="696" t="s">
        <v>660</v>
      </c>
    </row>
    <row r="9" spans="1:18" s="49" customFormat="1" ht="14.1" customHeight="1" x14ac:dyDescent="0.2">
      <c r="A9" s="697" t="s">
        <v>661</v>
      </c>
      <c r="B9" s="698">
        <f>B10+B13+B17+B22+B29+B34+B37+B43</f>
        <v>507.97336340857942</v>
      </c>
      <c r="C9" s="698">
        <f>HLOOKUP($C$6,refdata,4,0)</f>
        <v>419.55203266504299</v>
      </c>
      <c r="E9" s="699" t="s">
        <v>662</v>
      </c>
      <c r="F9" s="700"/>
      <c r="G9" s="700"/>
      <c r="H9" s="701">
        <f>H10+H11+H12</f>
        <v>507.97336340857947</v>
      </c>
      <c r="I9" s="701">
        <f>I10+I11+I12</f>
        <v>419.5520326650427</v>
      </c>
      <c r="J9" s="702">
        <f>IF(I9&lt;&gt;"",(H9-I9)/I9,"")</f>
        <v>0.21075176345082711</v>
      </c>
      <c r="L9" s="703"/>
    </row>
    <row r="10" spans="1:18" s="706" customFormat="1" ht="15" customHeight="1" x14ac:dyDescent="0.2">
      <c r="A10" s="704" t="s">
        <v>663</v>
      </c>
      <c r="B10" s="705">
        <f>B11+B12</f>
        <v>126.70355318350227</v>
      </c>
      <c r="C10" s="705">
        <f>C11+C12</f>
        <v>71.6612121502978</v>
      </c>
      <c r="E10" s="707" t="s">
        <v>603</v>
      </c>
      <c r="F10" s="708"/>
      <c r="G10" s="708"/>
      <c r="H10" s="709">
        <f>B10+B13+B17+B22-B28+B29-B33+B34+B38+B41+B44</f>
        <v>367.7740621086175</v>
      </c>
      <c r="I10" s="710">
        <f>C10+C13+C17+C22-C28+C29-C33+C34+C38+C41+C44</f>
        <v>290.02492124450191</v>
      </c>
      <c r="J10" s="711">
        <f>IF(I10&lt;&gt;"",(H10-I10)/I10,"")</f>
        <v>0.26807744841544201</v>
      </c>
      <c r="L10" s="703"/>
    </row>
    <row r="11" spans="1:18" s="706" customFormat="1" ht="12.75" x14ac:dyDescent="0.2">
      <c r="A11" s="452" t="s">
        <v>664</v>
      </c>
      <c r="B11" s="712">
        <f>Calcul!C36/LCB</f>
        <v>117.23982220481267</v>
      </c>
      <c r="C11" s="713">
        <f>HLOOKUP($C$6,refdata,7,0)</f>
        <v>71.6612121502978</v>
      </c>
      <c r="E11" s="714" t="s">
        <v>614</v>
      </c>
      <c r="F11" s="695"/>
      <c r="G11" s="695"/>
      <c r="H11" s="715">
        <f>B28+B33+B36+B40</f>
        <v>67.06147978621739</v>
      </c>
      <c r="I11" s="716">
        <f>C28+C33+C36+C40</f>
        <v>60.606416916078601</v>
      </c>
      <c r="J11" s="711">
        <f>IF(I11&lt;&gt;"",(H11-I11)/I11,"")</f>
        <v>0.10650791118500014</v>
      </c>
      <c r="L11" s="703"/>
    </row>
    <row r="12" spans="1:18" s="706" customFormat="1" ht="12.75" x14ac:dyDescent="0.2">
      <c r="A12" s="717" t="s">
        <v>665</v>
      </c>
      <c r="B12" s="712">
        <f>Calcul!C37/LCB</f>
        <v>9.463730978689604</v>
      </c>
      <c r="C12" s="713">
        <f>HLOOKUP($C$6,refdata,8,0)</f>
        <v>0</v>
      </c>
      <c r="E12" s="718" t="s">
        <v>617</v>
      </c>
      <c r="F12" s="719"/>
      <c r="G12" s="719"/>
      <c r="H12" s="720">
        <f>B39+B42+B45</f>
        <v>73.137821513744584</v>
      </c>
      <c r="I12" s="721">
        <f>C39+C42+C45</f>
        <v>68.92069450446219</v>
      </c>
      <c r="J12" s="722">
        <f>IF(I12&lt;&gt;"",(H12-I12)/I12,"")</f>
        <v>6.118810960341324E-2</v>
      </c>
      <c r="L12" s="703"/>
    </row>
    <row r="13" spans="1:18" s="706" customFormat="1" ht="12.75" x14ac:dyDescent="0.2">
      <c r="A13" s="704" t="s">
        <v>666</v>
      </c>
      <c r="B13" s="705">
        <f>B14+B15+B16</f>
        <v>22.063590744275356</v>
      </c>
      <c r="C13" s="705">
        <f>C14+C15+C16</f>
        <v>33.96263056652441</v>
      </c>
      <c r="E13" s="459"/>
      <c r="F13" s="459"/>
      <c r="G13" s="459"/>
      <c r="H13" s="459"/>
      <c r="I13" s="459"/>
      <c r="J13" s="459"/>
      <c r="L13" s="703"/>
    </row>
    <row r="14" spans="1:18" s="706" customFormat="1" ht="12.75" x14ac:dyDescent="0.2">
      <c r="A14" s="452" t="s">
        <v>667</v>
      </c>
      <c r="B14" s="712">
        <f>(Calcul!C39+Calcul!F39)/LCB</f>
        <v>10.93904789076894</v>
      </c>
      <c r="C14" s="713">
        <f>HLOOKUP($C$6,refdata,10,0)</f>
        <v>14.4543622548626</v>
      </c>
      <c r="E14" s="459"/>
      <c r="F14" s="459"/>
      <c r="G14" s="459"/>
      <c r="H14" s="459"/>
      <c r="I14" s="459"/>
      <c r="J14" s="459"/>
      <c r="L14" s="703"/>
    </row>
    <row r="15" spans="1:18" s="706" customFormat="1" ht="12.75" customHeight="1" x14ac:dyDescent="0.2">
      <c r="A15" s="452" t="s">
        <v>668</v>
      </c>
      <c r="B15" s="712">
        <f>(Calcul!C40+Calcul!F40)/LCB</f>
        <v>4.5584139277039251</v>
      </c>
      <c r="C15" s="713">
        <f>HLOOKUP($C$6,refdata,11,0)</f>
        <v>9.6480359154863002</v>
      </c>
      <c r="E15" s="723" t="s">
        <v>669</v>
      </c>
      <c r="F15" s="724"/>
      <c r="G15" s="724"/>
      <c r="H15" s="725" t="s">
        <v>653</v>
      </c>
      <c r="I15" s="1533" t="s">
        <v>654</v>
      </c>
      <c r="J15" s="1534" t="s">
        <v>670</v>
      </c>
      <c r="L15" s="703"/>
      <c r="O15" s="726" t="s">
        <v>671</v>
      </c>
      <c r="P15" s="727"/>
      <c r="Q15" s="727"/>
      <c r="R15" s="727"/>
    </row>
    <row r="16" spans="1:18" s="49" customFormat="1" ht="13.5" x14ac:dyDescent="0.2">
      <c r="A16" s="452" t="s">
        <v>672</v>
      </c>
      <c r="B16" s="712">
        <f>(Calcul!C41+Calcul!F41)/LCB</f>
        <v>6.5661289258024915</v>
      </c>
      <c r="C16" s="713">
        <f>HLOOKUP($C$6,refdata,12,0)</f>
        <v>9.8602323961755101</v>
      </c>
      <c r="E16" s="728" t="s">
        <v>673</v>
      </c>
      <c r="F16" s="729"/>
      <c r="G16" s="729"/>
      <c r="H16" s="688" t="s">
        <v>656</v>
      </c>
      <c r="I16" s="1533"/>
      <c r="J16" s="1534"/>
      <c r="L16" s="703"/>
      <c r="O16" s="730" t="s">
        <v>674</v>
      </c>
      <c r="P16" s="731"/>
      <c r="Q16" s="731"/>
      <c r="R16" s="731"/>
    </row>
    <row r="17" spans="1:13" s="706" customFormat="1" ht="12.75" x14ac:dyDescent="0.2">
      <c r="A17" s="704" t="s">
        <v>609</v>
      </c>
      <c r="B17" s="705">
        <f>SUM(B18:B21)</f>
        <v>37.116377504665223</v>
      </c>
      <c r="C17" s="705">
        <f>SUM(C18:C21)</f>
        <v>46.3686894925305</v>
      </c>
      <c r="D17" s="49"/>
      <c r="E17" s="732"/>
      <c r="F17" s="733"/>
      <c r="G17" s="733"/>
      <c r="H17" s="734"/>
      <c r="I17" s="734"/>
      <c r="J17" s="735"/>
      <c r="L17" s="703"/>
    </row>
    <row r="18" spans="1:13" s="49" customFormat="1" ht="12.75" x14ac:dyDescent="0.2">
      <c r="A18" s="452" t="s">
        <v>675</v>
      </c>
      <c r="B18" s="712">
        <f>Calcul!C43/LCB</f>
        <v>7.1746451440913575</v>
      </c>
      <c r="C18" s="713">
        <f>HLOOKUP($C$6,refdata,14,0)</f>
        <v>13.0084395534001</v>
      </c>
      <c r="E18" s="736" t="s">
        <v>676</v>
      </c>
      <c r="F18" s="737"/>
      <c r="G18" s="737"/>
      <c r="H18" s="738">
        <f>SUM(H20:H26)</f>
        <v>507.97336340857942</v>
      </c>
      <c r="I18" s="738">
        <f>SUM(I20:I26)</f>
        <v>419.55203266504276</v>
      </c>
      <c r="J18" s="739">
        <f>(H18-I18)/I18</f>
        <v>0.21075176345082683</v>
      </c>
      <c r="L18" s="703"/>
      <c r="M18" s="706"/>
    </row>
    <row r="19" spans="1:13" s="49" customFormat="1" ht="12.75" x14ac:dyDescent="0.2">
      <c r="A19" s="452" t="s">
        <v>677</v>
      </c>
      <c r="B19" s="712">
        <f>Calcul!C44/LCB</f>
        <v>29.941732360573866</v>
      </c>
      <c r="C19" s="713">
        <f>HLOOKUP($C$6,refdata,15,0)</f>
        <v>33.360249939130398</v>
      </c>
      <c r="E19" s="740"/>
      <c r="F19" s="741"/>
      <c r="G19" s="741"/>
      <c r="H19" s="742"/>
      <c r="I19" s="742"/>
      <c r="J19" s="743"/>
      <c r="L19" s="703"/>
      <c r="M19" s="706"/>
    </row>
    <row r="20" spans="1:13" s="49" customFormat="1" ht="12.75" x14ac:dyDescent="0.2">
      <c r="A20" s="452" t="s">
        <v>678</v>
      </c>
      <c r="B20" s="712">
        <f>Saisie!C69/LCB</f>
        <v>0</v>
      </c>
      <c r="C20" s="713"/>
      <c r="E20" s="744" t="s">
        <v>679</v>
      </c>
      <c r="F20" s="745"/>
      <c r="G20" s="746"/>
      <c r="H20" s="747">
        <f>B43</f>
        <v>124.12789143187277</v>
      </c>
      <c r="I20" s="748">
        <f>C43</f>
        <v>92.7912312138223</v>
      </c>
      <c r="J20" s="711">
        <f t="shared" ref="J20:J26" si="0">IF(I20&lt;&gt;"",(H20-I20)/I20,"")</f>
        <v>0.33771143898112777</v>
      </c>
      <c r="L20" s="703"/>
      <c r="M20" s="706"/>
    </row>
    <row r="21" spans="1:13" s="49" customFormat="1" ht="12.75" x14ac:dyDescent="0.2">
      <c r="A21" s="452" t="s">
        <v>680</v>
      </c>
      <c r="B21" s="712">
        <f>Calcul!D113/LCB</f>
        <v>0</v>
      </c>
      <c r="C21" s="713"/>
      <c r="E21" s="744" t="s">
        <v>681</v>
      </c>
      <c r="F21" s="749"/>
      <c r="G21" s="746"/>
      <c r="H21" s="747">
        <f>B37</f>
        <v>35.913940666328557</v>
      </c>
      <c r="I21" s="748">
        <f>C37</f>
        <v>30.828210383755579</v>
      </c>
      <c r="J21" s="711">
        <f t="shared" si="0"/>
        <v>0.16497001348001766</v>
      </c>
      <c r="L21" s="703"/>
    </row>
    <row r="22" spans="1:13" s="49" customFormat="1" ht="12.75" x14ac:dyDescent="0.2">
      <c r="A22" s="704" t="s">
        <v>682</v>
      </c>
      <c r="B22" s="705">
        <f>SUM(B23:B28)</f>
        <v>90.335057409451039</v>
      </c>
      <c r="C22" s="705">
        <f>SUM(C23:C28)</f>
        <v>82.464889226085702</v>
      </c>
      <c r="E22" s="744" t="s">
        <v>230</v>
      </c>
      <c r="F22" s="750"/>
      <c r="G22" s="746"/>
      <c r="H22" s="747">
        <f>B34</f>
        <v>23.720496644378152</v>
      </c>
      <c r="I22" s="748">
        <f>C34</f>
        <v>18.4603812038659</v>
      </c>
      <c r="J22" s="711">
        <f t="shared" si="0"/>
        <v>0.2849407811476124</v>
      </c>
      <c r="L22" s="703"/>
    </row>
    <row r="23" spans="1:13" s="49" customFormat="1" ht="12.75" x14ac:dyDescent="0.2">
      <c r="A23" s="452" t="s">
        <v>683</v>
      </c>
      <c r="B23" s="712">
        <f>(Calcul!C46+Calcul!F46+Calcul!C47+Calcul!F47)/LCB</f>
        <v>26.088478989799853</v>
      </c>
      <c r="C23" s="713">
        <f>HLOOKUP($C$6,refdata,18,0)</f>
        <v>14.194614043448301</v>
      </c>
      <c r="E23" s="744" t="s">
        <v>684</v>
      </c>
      <c r="F23" s="751"/>
      <c r="G23" s="746"/>
      <c r="H23" s="747">
        <f>B29</f>
        <v>47.992455824106081</v>
      </c>
      <c r="I23" s="748">
        <f>C29</f>
        <v>43.014788428160571</v>
      </c>
      <c r="J23" s="711">
        <f t="shared" si="0"/>
        <v>0.11571990884620441</v>
      </c>
      <c r="L23" s="703"/>
    </row>
    <row r="24" spans="1:13" s="49" customFormat="1" ht="12.75" x14ac:dyDescent="0.2">
      <c r="A24" s="452" t="s">
        <v>685</v>
      </c>
      <c r="B24" s="712">
        <f>(Calcul!C48+Calcul!F48)/LCB</f>
        <v>17.604217967760945</v>
      </c>
      <c r="C24" s="713">
        <f>HLOOKUP($C$6,refdata,19,0)</f>
        <v>20.151625868839101</v>
      </c>
      <c r="E24" s="744" t="s">
        <v>686</v>
      </c>
      <c r="F24" s="752"/>
      <c r="G24" s="746"/>
      <c r="H24" s="747">
        <f>B22</f>
        <v>90.335057409451039</v>
      </c>
      <c r="I24" s="748">
        <f>C22</f>
        <v>82.464889226085702</v>
      </c>
      <c r="J24" s="711">
        <f t="shared" si="0"/>
        <v>9.5436594376407724E-2</v>
      </c>
      <c r="L24" s="703"/>
    </row>
    <row r="25" spans="1:13" s="49" customFormat="1" ht="12.75" x14ac:dyDescent="0.2">
      <c r="A25" s="452" t="s">
        <v>687</v>
      </c>
      <c r="B25" s="712">
        <f>(Calcul!C49+Calcul!F49)/LCB</f>
        <v>15.002939925517646</v>
      </c>
      <c r="C25" s="713">
        <f>HLOOKUP($C$6,refdata,20,0)</f>
        <v>17.171886285711199</v>
      </c>
      <c r="E25" s="744" t="s">
        <v>609</v>
      </c>
      <c r="F25" s="753"/>
      <c r="G25" s="746"/>
      <c r="H25" s="747">
        <f>B17</f>
        <v>37.116377504665223</v>
      </c>
      <c r="I25" s="748">
        <f>C17</f>
        <v>46.3686894925305</v>
      </c>
      <c r="J25" s="711">
        <f t="shared" si="0"/>
        <v>-0.19953792287693886</v>
      </c>
      <c r="L25" s="703"/>
    </row>
    <row r="26" spans="1:13" ht="12.75" x14ac:dyDescent="0.2">
      <c r="A26" s="452" t="s">
        <v>688</v>
      </c>
      <c r="B26" s="712">
        <f>(Calcul!C50+Calcul!F50)/LCB</f>
        <v>2.063646171739971</v>
      </c>
      <c r="C26" s="713" t="str">
        <f>IF(HLOOKUP($C$6,refdata,21,0)=0,"",HLOOKUP($C$6,refdata,21,0))</f>
        <v/>
      </c>
      <c r="E26" s="744" t="s">
        <v>689</v>
      </c>
      <c r="F26" s="754"/>
      <c r="G26" s="746"/>
      <c r="H26" s="747">
        <f>B13+B10</f>
        <v>148.76714392777762</v>
      </c>
      <c r="I26" s="748">
        <f>C13+C10</f>
        <v>105.62384271682221</v>
      </c>
      <c r="J26" s="711">
        <f t="shared" si="0"/>
        <v>0.40846176489358293</v>
      </c>
    </row>
    <row r="27" spans="1:13" ht="12.75" x14ac:dyDescent="0.2">
      <c r="A27" s="755" t="s">
        <v>690</v>
      </c>
      <c r="B27" s="712">
        <f>(Calcul!C51+Calcul!F51)/LCB</f>
        <v>0</v>
      </c>
      <c r="C27" s="713"/>
      <c r="E27" s="756"/>
      <c r="F27" s="731"/>
      <c r="G27" s="731"/>
      <c r="H27" s="731"/>
      <c r="I27" s="731"/>
      <c r="J27" s="757"/>
    </row>
    <row r="28" spans="1:13" ht="12.75" x14ac:dyDescent="0.2">
      <c r="A28" s="758" t="s">
        <v>691</v>
      </c>
      <c r="B28" s="759">
        <f>(Calcul!C62+Calcul!F62)/LCB</f>
        <v>29.575774354632625</v>
      </c>
      <c r="C28" s="760">
        <f>HLOOKUP($C$6,refdata,32,0)</f>
        <v>30.946763028087101</v>
      </c>
      <c r="E28" s="736" t="s">
        <v>692</v>
      </c>
      <c r="F28" s="737"/>
      <c r="G28" s="737"/>
      <c r="H28" s="738">
        <f>SUM(H30:H33)</f>
        <v>442.21983675570965</v>
      </c>
      <c r="I28" s="738">
        <f>SUM(I30:I33)</f>
        <v>440.50096503397845</v>
      </c>
      <c r="J28" s="739">
        <f>(H28-I28)/I28</f>
        <v>3.9020838957722101E-3</v>
      </c>
    </row>
    <row r="29" spans="1:13" x14ac:dyDescent="0.2">
      <c r="A29" s="704" t="s">
        <v>693</v>
      </c>
      <c r="B29" s="761">
        <f>SUM(B30:B33)</f>
        <v>47.992455824106081</v>
      </c>
      <c r="C29" s="761">
        <f>SUM(C30:C33)</f>
        <v>43.014788428160571</v>
      </c>
      <c r="E29" s="756"/>
      <c r="F29" s="731"/>
      <c r="G29" s="731"/>
      <c r="H29" s="731"/>
      <c r="I29" s="731"/>
      <c r="J29" s="757"/>
    </row>
    <row r="30" spans="1:13" ht="12.75" x14ac:dyDescent="0.2">
      <c r="A30" s="452" t="s">
        <v>694</v>
      </c>
      <c r="B30" s="712">
        <f>(Calcul!C53+Calcul!F53)/LCB</f>
        <v>3.3035211320583859</v>
      </c>
      <c r="C30" s="713" t="str">
        <f>IF(HLOOKUP($C$6,refdata,23,0)=0,"",HLOOKUP($C$6,refdata,23,0))</f>
        <v/>
      </c>
      <c r="E30" s="744" t="s">
        <v>695</v>
      </c>
      <c r="F30" s="762"/>
      <c r="G30" s="746"/>
      <c r="H30" s="747">
        <f>B49</f>
        <v>358.92000000000007</v>
      </c>
      <c r="I30" s="748">
        <f>C49</f>
        <v>359.671099271336</v>
      </c>
      <c r="J30" s="711">
        <f>IF(I30&lt;&gt;"",(H30-I30)/I30,"")</f>
        <v>-2.0882947583433773E-3</v>
      </c>
    </row>
    <row r="31" spans="1:13" ht="12.75" x14ac:dyDescent="0.2">
      <c r="A31" s="452" t="s">
        <v>696</v>
      </c>
      <c r="B31" s="712">
        <f>(Calcul!C54+Calcul!F54)/LCB</f>
        <v>7.2032292604629324</v>
      </c>
      <c r="C31" s="713">
        <f>HLOOKUP($C$6,refdata,24,0)</f>
        <v>11.7275595049532</v>
      </c>
      <c r="E31" s="744" t="s">
        <v>697</v>
      </c>
      <c r="F31" s="763"/>
      <c r="G31" s="746"/>
      <c r="H31" s="747">
        <f>B50</f>
        <v>44.884035972514653</v>
      </c>
      <c r="I31" s="748">
        <f>C50</f>
        <v>38.055072463768099</v>
      </c>
      <c r="J31" s="711">
        <f>IF(I31&lt;&gt;"",(H31-I31)/I31,"")</f>
        <v>0.17944949428879292</v>
      </c>
    </row>
    <row r="32" spans="1:13" ht="12.75" x14ac:dyDescent="0.2">
      <c r="A32" s="452" t="s">
        <v>698</v>
      </c>
      <c r="B32" s="712">
        <f>(Calcul!C55+Calcul!F55)/LCB</f>
        <v>0</v>
      </c>
      <c r="C32" s="713">
        <f>HLOOKUP($C$6,refdata,25,0)</f>
        <v>1.62757503521587</v>
      </c>
      <c r="E32" s="744" t="s">
        <v>699</v>
      </c>
      <c r="F32" s="764"/>
      <c r="G32" s="746"/>
      <c r="H32" s="747">
        <f>B52</f>
        <v>12.315136065719081</v>
      </c>
      <c r="I32" s="748">
        <f>C52</f>
        <v>0</v>
      </c>
      <c r="J32" s="711" t="e">
        <f>IF(I32&lt;&gt;"",(H32-I32)/I32,"")</f>
        <v>#DIV/0!</v>
      </c>
    </row>
    <row r="33" spans="1:12" ht="12.75" x14ac:dyDescent="0.2">
      <c r="A33" s="758" t="s">
        <v>700</v>
      </c>
      <c r="B33" s="759">
        <f>(Calcul!C63+Calcul!F63)/LCB</f>
        <v>37.485705431584762</v>
      </c>
      <c r="C33" s="760">
        <f>HLOOKUP($C$6,refdata,33,0)</f>
        <v>29.659653887991499</v>
      </c>
      <c r="E33" s="765" t="s">
        <v>701</v>
      </c>
      <c r="F33" s="766"/>
      <c r="G33" s="767"/>
      <c r="H33" s="768">
        <f>B53</f>
        <v>26.100664717475865</v>
      </c>
      <c r="I33" s="769">
        <f>C53</f>
        <v>42.7747932988743</v>
      </c>
      <c r="J33" s="722">
        <f>IF(I33&lt;&gt;"",(H33-I33)/I33,"")</f>
        <v>-0.38981202001126319</v>
      </c>
    </row>
    <row r="34" spans="1:12" x14ac:dyDescent="0.2">
      <c r="A34" s="704" t="s">
        <v>230</v>
      </c>
      <c r="B34" s="761">
        <f>B35+B36</f>
        <v>23.720496644378152</v>
      </c>
      <c r="C34" s="761">
        <f>C35+C36</f>
        <v>18.4603812038659</v>
      </c>
    </row>
    <row r="35" spans="1:12" ht="12.75" x14ac:dyDescent="0.2">
      <c r="A35" s="755" t="s">
        <v>702</v>
      </c>
      <c r="B35" s="712">
        <f>(Calcul!C57+Calcul!F57)/LCB</f>
        <v>23.720496644378152</v>
      </c>
      <c r="C35" s="713">
        <f>HLOOKUP($C$6,refdata,27,0)</f>
        <v>18.4603812038659</v>
      </c>
      <c r="E35" s="770"/>
      <c r="F35" s="771"/>
      <c r="G35" s="771"/>
      <c r="H35" s="772"/>
      <c r="I35" s="772"/>
      <c r="J35" s="773"/>
    </row>
    <row r="36" spans="1:12" ht="12.75" x14ac:dyDescent="0.2">
      <c r="A36" s="758" t="s">
        <v>703</v>
      </c>
      <c r="B36" s="759">
        <f>(Calcul!C64+Calcul!F64)/LCB</f>
        <v>0</v>
      </c>
      <c r="C36" s="760"/>
      <c r="E36" s="774"/>
      <c r="F36" s="679"/>
      <c r="G36" s="679"/>
      <c r="H36" s="679"/>
      <c r="I36" s="679"/>
      <c r="J36" s="775"/>
    </row>
    <row r="37" spans="1:12" x14ac:dyDescent="0.2">
      <c r="A37" s="704" t="s">
        <v>704</v>
      </c>
      <c r="B37" s="761">
        <f>SUM(B38:B42)</f>
        <v>35.913940666328557</v>
      </c>
      <c r="C37" s="761">
        <f>SUM(C38:C42)</f>
        <v>30.828210383755579</v>
      </c>
      <c r="E37" s="774"/>
      <c r="F37" s="679"/>
      <c r="G37" s="679"/>
      <c r="H37" s="679"/>
      <c r="I37" s="679"/>
      <c r="J37" s="775"/>
    </row>
    <row r="38" spans="1:12" ht="12.75" x14ac:dyDescent="0.2">
      <c r="A38" s="452" t="s">
        <v>705</v>
      </c>
      <c r="B38" s="712">
        <f>(Calcul!C58+Calcul!F58)/LCB</f>
        <v>10.938069901761029</v>
      </c>
      <c r="C38" s="713">
        <f>HLOOKUP($C$6,refdata,28,0)</f>
        <v>14.9790768262126</v>
      </c>
      <c r="E38" s="774"/>
      <c r="F38" s="679"/>
      <c r="G38" s="679"/>
      <c r="H38" s="679"/>
      <c r="I38" s="679"/>
      <c r="J38" s="775"/>
    </row>
    <row r="39" spans="1:12" ht="12.75" x14ac:dyDescent="0.2">
      <c r="A39" s="776" t="s">
        <v>706</v>
      </c>
      <c r="B39" s="777">
        <f>(Calcul!C67+Calcul!F67)/LCB</f>
        <v>0</v>
      </c>
      <c r="C39" s="778">
        <f>HLOOKUP($C$6,refdata,35,0)</f>
        <v>0</v>
      </c>
      <c r="E39" s="779"/>
      <c r="F39" s="780"/>
      <c r="G39" s="780"/>
      <c r="H39" s="781"/>
      <c r="I39" s="781"/>
      <c r="J39" s="782"/>
    </row>
    <row r="40" spans="1:12" ht="12.75" x14ac:dyDescent="0.2">
      <c r="A40" s="758" t="s">
        <v>707</v>
      </c>
      <c r="B40" s="759">
        <f>(Calcul!C65+Calcul!F65)/LCB</f>
        <v>0</v>
      </c>
      <c r="C40" s="760"/>
      <c r="E40" s="1535"/>
      <c r="F40" s="1535"/>
      <c r="G40" s="1535"/>
      <c r="H40" s="1535"/>
      <c r="I40" s="1535"/>
      <c r="J40" s="1535"/>
    </row>
    <row r="41" spans="1:12" ht="12.75" x14ac:dyDescent="0.2">
      <c r="A41" s="452" t="s">
        <v>708</v>
      </c>
      <c r="B41" s="712">
        <f>(Calcul!C60+Calcul!F60)/LCB</f>
        <v>19.790990811600391</v>
      </c>
      <c r="C41" s="713">
        <f>HLOOKUP($C$6,refdata,30,0)</f>
        <v>9.5094801345257896</v>
      </c>
      <c r="E41" s="1535"/>
      <c r="F41" s="1535"/>
      <c r="G41" s="1535"/>
      <c r="H41" s="1535"/>
      <c r="I41" s="1535"/>
      <c r="J41" s="1535"/>
    </row>
    <row r="42" spans="1:12" s="49" customFormat="1" ht="12.75" x14ac:dyDescent="0.2">
      <c r="A42" s="783" t="s">
        <v>709</v>
      </c>
      <c r="B42" s="784">
        <f>(Calcul!C68+Calcul!F68)/LCB</f>
        <v>5.1848799529671394</v>
      </c>
      <c r="C42" s="785">
        <f>HLOOKUP($C$6,refdata,36,0)</f>
        <v>6.3396534230171904</v>
      </c>
      <c r="E42" s="774"/>
      <c r="F42" s="679"/>
      <c r="G42" s="679"/>
      <c r="H42" s="679"/>
      <c r="I42" s="679"/>
      <c r="J42" s="775"/>
      <c r="L42" s="703"/>
    </row>
    <row r="43" spans="1:12" s="45" customFormat="1" ht="13.5" customHeight="1" x14ac:dyDescent="0.2">
      <c r="A43" s="704" t="s">
        <v>679</v>
      </c>
      <c r="B43" s="761">
        <f>B44+B45</f>
        <v>124.12789143187277</v>
      </c>
      <c r="C43" s="761">
        <f>C44+C45</f>
        <v>92.7912312138223</v>
      </c>
      <c r="E43" s="774"/>
      <c r="F43" s="679"/>
      <c r="G43" s="679"/>
      <c r="H43" s="679"/>
      <c r="I43" s="679"/>
      <c r="J43" s="775"/>
      <c r="L43" s="786"/>
    </row>
    <row r="44" spans="1:12" ht="12.75" x14ac:dyDescent="0.2">
      <c r="A44" s="755" t="s">
        <v>710</v>
      </c>
      <c r="B44" s="712">
        <f>(Calcul!C59+Calcul!F59)/LCB</f>
        <v>56.174949871095322</v>
      </c>
      <c r="C44" s="713">
        <f>HLOOKUP($C$6,refdata,29,0)</f>
        <v>30.210190132377299</v>
      </c>
      <c r="E44" s="774"/>
      <c r="F44" s="679"/>
      <c r="G44" s="679"/>
      <c r="H44" s="679"/>
      <c r="I44" s="679"/>
      <c r="J44" s="775"/>
    </row>
    <row r="45" spans="1:12" s="788" customFormat="1" ht="14.25" x14ac:dyDescent="0.2">
      <c r="A45" s="787" t="s">
        <v>711</v>
      </c>
      <c r="B45" s="784">
        <f>(Calcul!C69+Calcul!F69)/LCB</f>
        <v>67.952941560777447</v>
      </c>
      <c r="C45" s="785">
        <f>HLOOKUP($C$6,refdata,37,0)</f>
        <v>62.581041081445001</v>
      </c>
      <c r="E45" s="774"/>
      <c r="F45" s="679"/>
      <c r="G45" s="679"/>
      <c r="H45" s="679"/>
      <c r="I45" s="679"/>
      <c r="J45" s="775"/>
      <c r="L45" s="789"/>
    </row>
    <row r="46" spans="1:12" s="14" customFormat="1" ht="12.75" x14ac:dyDescent="0.2">
      <c r="A46" s="790" t="s">
        <v>712</v>
      </c>
      <c r="B46" s="791">
        <f>MSABL/LCB</f>
        <v>21.707996735666537</v>
      </c>
      <c r="C46" s="792">
        <f>HLOOKUP($C$6,refdata,38,0)</f>
        <v>23.893707317557599</v>
      </c>
      <c r="E46" s="774"/>
      <c r="F46" s="679"/>
      <c r="G46" s="679"/>
      <c r="H46" s="679"/>
      <c r="I46" s="679"/>
      <c r="J46" s="775"/>
      <c r="L46" s="793"/>
    </row>
    <row r="47" spans="1:12" s="20" customFormat="1" ht="10.5" customHeight="1" x14ac:dyDescent="0.2">
      <c r="B47" s="794"/>
      <c r="C47" s="794"/>
      <c r="E47" s="774"/>
      <c r="F47" s="679"/>
      <c r="G47" s="679"/>
      <c r="H47" s="679"/>
      <c r="I47" s="679"/>
      <c r="J47" s="775"/>
      <c r="L47" s="795"/>
    </row>
    <row r="48" spans="1:12" s="20" customFormat="1" x14ac:dyDescent="0.2">
      <c r="A48" s="796" t="s">
        <v>713</v>
      </c>
      <c r="B48" s="797">
        <f>B49+B50+B52+B53</f>
        <v>442.21983675570965</v>
      </c>
      <c r="C48" s="797">
        <f>C49+C50+C52+C53</f>
        <v>440.50096503397845</v>
      </c>
      <c r="E48" s="774"/>
      <c r="F48" s="679"/>
      <c r="G48" s="679"/>
      <c r="H48" s="679"/>
      <c r="I48" s="679"/>
      <c r="J48" s="775"/>
      <c r="L48" s="795"/>
    </row>
    <row r="49" spans="1:12" s="20" customFormat="1" ht="12.75" x14ac:dyDescent="0.2">
      <c r="A49" s="798" t="s">
        <v>714</v>
      </c>
      <c r="B49" s="799">
        <f>PML</f>
        <v>358.92000000000007</v>
      </c>
      <c r="C49" s="800">
        <f>HLOOKUP($C$6,refdata,40,0)</f>
        <v>359.671099271336</v>
      </c>
      <c r="E49" s="774"/>
      <c r="F49" s="679"/>
      <c r="G49" s="679"/>
      <c r="H49" s="679"/>
      <c r="I49" s="679"/>
      <c r="J49" s="775"/>
      <c r="L49" s="795"/>
    </row>
    <row r="50" spans="1:12" s="20" customFormat="1" ht="12.75" x14ac:dyDescent="0.2">
      <c r="A50" s="801" t="s">
        <v>715</v>
      </c>
      <c r="B50" s="802">
        <f>(Calcul!C17)/LCB</f>
        <v>44.884035972514653</v>
      </c>
      <c r="C50" s="803">
        <f>HLOOKUP($C$6,refdata,41,0)</f>
        <v>38.055072463768099</v>
      </c>
      <c r="E50" s="774"/>
      <c r="F50" s="679"/>
      <c r="G50" s="679"/>
      <c r="H50" s="679"/>
      <c r="I50" s="679"/>
      <c r="J50" s="775"/>
      <c r="L50" s="795"/>
    </row>
    <row r="51" spans="1:12" s="20" customFormat="1" ht="12.75" x14ac:dyDescent="0.2">
      <c r="A51" s="804" t="s">
        <v>716</v>
      </c>
      <c r="B51" s="805">
        <f>ANIBL/LCB</f>
        <v>0</v>
      </c>
      <c r="C51" s="806">
        <f>HLOOKUP($C$6,refdata,42,0)</f>
        <v>0</v>
      </c>
      <c r="E51" s="774"/>
      <c r="F51" s="679"/>
      <c r="G51" s="679"/>
      <c r="H51" s="679"/>
      <c r="I51" s="679"/>
      <c r="J51" s="775"/>
      <c r="L51" s="795"/>
    </row>
    <row r="52" spans="1:12" s="20" customFormat="1" ht="12.75" x14ac:dyDescent="0.2">
      <c r="A52" s="798" t="s">
        <v>717</v>
      </c>
      <c r="B52" s="807">
        <f>(Calcul!C19+Calcul!C21+Calcul!C23+Calcul!F23)/LCB</f>
        <v>12.315136065719081</v>
      </c>
      <c r="C52" s="800">
        <f>HLOOKUP($C$6,refdata,43,0)</f>
        <v>0</v>
      </c>
      <c r="E52" s="774"/>
      <c r="F52" s="679"/>
      <c r="G52" s="679"/>
      <c r="H52" s="679"/>
      <c r="I52" s="679"/>
      <c r="J52" s="775"/>
      <c r="L52" s="795"/>
    </row>
    <row r="53" spans="1:12" s="20" customFormat="1" ht="12.75" x14ac:dyDescent="0.2">
      <c r="A53" s="808" t="s">
        <v>701</v>
      </c>
      <c r="B53" s="809">
        <f>SUM(B54:B56)</f>
        <v>26.100664717475865</v>
      </c>
      <c r="C53" s="803">
        <f>SUM(C54:C56)</f>
        <v>42.7747932988743</v>
      </c>
      <c r="E53" s="774"/>
      <c r="F53" s="679"/>
      <c r="G53" s="679"/>
      <c r="H53" s="679"/>
      <c r="I53" s="679"/>
      <c r="J53" s="775"/>
      <c r="L53" s="795"/>
    </row>
    <row r="54" spans="1:12" s="14" customFormat="1" ht="12.75" x14ac:dyDescent="0.2">
      <c r="A54" s="810" t="s">
        <v>718</v>
      </c>
      <c r="B54" s="747">
        <f>(Calcul!C24+Calcul!F24)/LCB</f>
        <v>0</v>
      </c>
      <c r="C54" s="748">
        <f>HLOOKUP($C$6,refdata,44,0)</f>
        <v>0</v>
      </c>
      <c r="E54" s="774"/>
      <c r="F54" s="679"/>
      <c r="G54" s="679"/>
      <c r="H54" s="679"/>
      <c r="I54" s="679"/>
      <c r="J54" s="775"/>
      <c r="L54" s="793"/>
    </row>
    <row r="55" spans="1:12" s="49" customFormat="1" ht="12.75" customHeight="1" x14ac:dyDescent="0.2">
      <c r="A55" s="811" t="s">
        <v>719</v>
      </c>
      <c r="B55" s="812">
        <f>((Calcul!C29+Calcul!F29)/LCB)-B56</f>
        <v>26.100664717475865</v>
      </c>
      <c r="C55" s="806">
        <f>HLOOKUP($C$6,refdata,46,0)</f>
        <v>42.7747932988743</v>
      </c>
      <c r="E55" s="774"/>
      <c r="F55" s="679"/>
      <c r="G55" s="679"/>
      <c r="H55" s="679"/>
      <c r="I55" s="679"/>
      <c r="J55" s="775"/>
      <c r="L55" s="703"/>
    </row>
    <row r="56" spans="1:12" s="20" customFormat="1" ht="12.75" x14ac:dyDescent="0.2">
      <c r="A56" s="810" t="s">
        <v>720</v>
      </c>
      <c r="B56" s="805">
        <f>(Calcul!C32+Calcul!C31+Calcul!C33+Calcul!F33)/LCB</f>
        <v>0</v>
      </c>
      <c r="C56" s="813">
        <f>HLOOKUP($C$6,refdata,45,0)</f>
        <v>0</v>
      </c>
      <c r="D56" s="814"/>
      <c r="E56" s="815"/>
      <c r="F56" s="816"/>
      <c r="G56" s="816"/>
      <c r="H56" s="816"/>
      <c r="I56" s="816"/>
      <c r="J56" s="817"/>
      <c r="K56" s="814"/>
      <c r="L56" s="795"/>
    </row>
    <row r="57" spans="1:12" s="20" customFormat="1" ht="12.75" x14ac:dyDescent="0.2">
      <c r="B57" s="794"/>
      <c r="C57" s="794"/>
      <c r="D57" s="814"/>
      <c r="E57" s="679"/>
      <c r="F57" s="679"/>
      <c r="G57" s="679"/>
      <c r="H57" s="679"/>
      <c r="I57" s="679"/>
      <c r="J57" s="679"/>
      <c r="K57" s="814"/>
      <c r="L57" s="795"/>
    </row>
    <row r="58" spans="1:12" s="489" customFormat="1" ht="47.25" customHeight="1" x14ac:dyDescent="0.2">
      <c r="A58" s="818" t="s">
        <v>721</v>
      </c>
      <c r="B58" s="819">
        <f>B9-B50-B52-B53</f>
        <v>424.67352665286984</v>
      </c>
      <c r="C58" s="819">
        <f>C9-C50-C52-C53</f>
        <v>338.72216690240055</v>
      </c>
      <c r="D58" s="820"/>
      <c r="E58" s="1536" t="s">
        <v>722</v>
      </c>
      <c r="F58" s="1536"/>
      <c r="G58" s="1536"/>
      <c r="H58" s="1536"/>
      <c r="I58" s="1536"/>
      <c r="J58" s="1536"/>
      <c r="K58" s="820"/>
      <c r="L58" s="821"/>
    </row>
    <row r="59" spans="1:12" s="489" customFormat="1" ht="47.25" customHeight="1" x14ac:dyDescent="0.2">
      <c r="A59" s="1537" t="s">
        <v>723</v>
      </c>
      <c r="B59" s="1537"/>
      <c r="C59" s="1537"/>
      <c r="D59" s="820"/>
      <c r="E59" s="1538" t="s">
        <v>724</v>
      </c>
      <c r="F59" s="1538"/>
      <c r="G59" s="1538"/>
      <c r="H59" s="822">
        <f>'Edition Compléments'!F60</f>
        <v>153451.67792000002</v>
      </c>
      <c r="I59" s="823">
        <f>HLOOKUP($C$6,refdata,58,0)</f>
        <v>128754.700899074</v>
      </c>
      <c r="J59" s="824">
        <f>IF(I59&lt;&gt;"",(H59-I59)/I59,"")</f>
        <v>0.19181417725699237</v>
      </c>
      <c r="K59" s="820"/>
      <c r="L59" s="821"/>
    </row>
    <row r="60" spans="1:12" s="20" customFormat="1" ht="26.25" customHeight="1" x14ac:dyDescent="0.2">
      <c r="A60" s="825" t="s">
        <v>725</v>
      </c>
      <c r="B60" s="826">
        <f>(B48-B9+B45)*Cuisine!C$44/SMIC</f>
        <v>4.8550103734814318E-2</v>
      </c>
      <c r="C60" s="827">
        <f>(C48-C9+C45)*Cuisine!D44/SMIC</f>
        <v>2.0021232950168977</v>
      </c>
      <c r="D60" s="814"/>
      <c r="E60" s="1539" t="s">
        <v>726</v>
      </c>
      <c r="F60" s="1539"/>
      <c r="G60" s="1539"/>
      <c r="H60" s="828">
        <f>'Edition Compléments'!F61</f>
        <v>0.18600542511856472</v>
      </c>
      <c r="I60" s="829">
        <f>HLOOKUP($C$6,refdata,59,0)</f>
        <v>0.30510037970075998</v>
      </c>
      <c r="J60" s="830">
        <f>IF(I60&lt;&gt;"",(H60-I60)/I60,"")</f>
        <v>-0.39034679241960513</v>
      </c>
      <c r="K60" s="814"/>
      <c r="L60" s="795"/>
    </row>
    <row r="61" spans="1:12" s="20" customFormat="1" ht="20.25" customHeight="1" x14ac:dyDescent="0.2">
      <c r="A61" s="831"/>
      <c r="B61" s="831"/>
      <c r="C61" s="831"/>
      <c r="D61" s="831"/>
      <c r="E61" s="1540" t="s">
        <v>727</v>
      </c>
      <c r="F61" s="1540"/>
      <c r="G61" s="1540"/>
      <c r="H61" s="822">
        <f>'Edition Compléments'!F64</f>
        <v>-6446.5864959999917</v>
      </c>
      <c r="I61" s="832">
        <f>HLOOKUP($C$6,refdata,62,0)</f>
        <v>31295.477952078902</v>
      </c>
      <c r="J61" s="824">
        <f>IF(I61&lt;&gt;"",(H61-I61)/I61,"")</f>
        <v>-1.2059909903236277</v>
      </c>
      <c r="K61" s="814"/>
      <c r="L61" s="795"/>
    </row>
    <row r="62" spans="1:12" s="814" customFormat="1" ht="41.25" customHeight="1" x14ac:dyDescent="0.2">
      <c r="A62" s="833" t="s">
        <v>728</v>
      </c>
      <c r="B62" s="834">
        <f>B58-B41-H11-H12+B45+'Edition Compléments'!F53</f>
        <v>432.61305709738212</v>
      </c>
      <c r="C62" s="834">
        <f>C58-C41-I11-I12+C45+'Edition Compléments'!G53</f>
        <v>325.66315065895083</v>
      </c>
      <c r="E62" s="835" t="s">
        <v>729</v>
      </c>
      <c r="F62" s="1541"/>
      <c r="G62" s="1541"/>
      <c r="H62" s="1541"/>
      <c r="I62" s="1541"/>
      <c r="J62" s="1541"/>
      <c r="L62" s="836"/>
    </row>
    <row r="63" spans="1:12" s="814" customFormat="1" ht="41.25" customHeight="1" x14ac:dyDescent="0.2">
      <c r="A63" s="1542" t="s">
        <v>730</v>
      </c>
      <c r="B63" s="1542"/>
      <c r="C63" s="1542"/>
      <c r="E63" s="1543"/>
      <c r="F63" s="1543"/>
      <c r="G63" s="1543"/>
      <c r="H63" s="1543"/>
      <c r="I63" s="1543"/>
      <c r="J63" s="1543"/>
      <c r="L63" s="836"/>
    </row>
    <row r="64" spans="1:12" s="814" customFormat="1" ht="28.5" customHeight="1" x14ac:dyDescent="0.2">
      <c r="A64" s="825" t="s">
        <v>731</v>
      </c>
      <c r="B64" s="826">
        <f>(B48-H10+B41-'Edition Compléments'!F53)*Cuisine!C$44/SMIC</f>
        <v>-0.12670788205991132</v>
      </c>
      <c r="C64" s="827">
        <f>(C48-I10+C41-'Edition Compléments'!G53)*Cuisine!D$44/SMIC</f>
        <v>2.3151338174797917</v>
      </c>
      <c r="D64" s="837"/>
      <c r="E64" s="1544"/>
      <c r="F64" s="1544"/>
      <c r="G64" s="1544"/>
      <c r="H64" s="1544"/>
      <c r="I64" s="1544"/>
      <c r="J64" s="1544"/>
      <c r="L64" s="836"/>
    </row>
    <row r="65" spans="1:12" s="840" customFormat="1" ht="12.75" x14ac:dyDescent="0.2">
      <c r="A65" s="814"/>
      <c r="B65" s="838"/>
      <c r="C65" s="838"/>
      <c r="D65" s="839"/>
      <c r="E65" s="20"/>
      <c r="F65" s="20"/>
      <c r="G65" s="20"/>
      <c r="H65" s="20"/>
      <c r="I65" s="20"/>
      <c r="J65" s="20"/>
      <c r="L65" s="841"/>
    </row>
    <row r="66" spans="1:12" s="814" customFormat="1" ht="12.75" customHeight="1" x14ac:dyDescent="0.2">
      <c r="B66" s="838"/>
      <c r="C66" s="838"/>
      <c r="D66" s="842"/>
      <c r="E66" s="20"/>
      <c r="F66" s="20"/>
      <c r="G66" s="20"/>
      <c r="H66" s="20"/>
      <c r="I66" s="20"/>
      <c r="J66" s="20"/>
      <c r="L66" s="836"/>
    </row>
    <row r="67" spans="1:12" s="814" customFormat="1" ht="12.75" x14ac:dyDescent="0.2">
      <c r="B67" s="838"/>
      <c r="C67" s="838"/>
      <c r="E67" s="20"/>
      <c r="F67" s="20"/>
      <c r="G67" s="20"/>
      <c r="H67" s="20"/>
      <c r="I67" s="20"/>
      <c r="J67" s="20"/>
      <c r="L67" s="836"/>
    </row>
    <row r="68" spans="1:12" s="814" customFormat="1" ht="15" customHeight="1" x14ac:dyDescent="0.2">
      <c r="B68" s="838"/>
      <c r="C68" s="838"/>
      <c r="E68" s="20"/>
      <c r="F68" s="20"/>
      <c r="G68" s="20"/>
      <c r="H68" s="20"/>
      <c r="I68" s="20"/>
      <c r="J68" s="20"/>
      <c r="L68" s="836"/>
    </row>
    <row r="69" spans="1:12" s="814" customFormat="1" ht="15" customHeight="1" x14ac:dyDescent="0.2">
      <c r="B69" s="838"/>
      <c r="C69" s="838"/>
      <c r="E69" s="20"/>
      <c r="F69" s="20"/>
      <c r="G69" s="20"/>
      <c r="H69" s="20"/>
      <c r="I69" s="20"/>
      <c r="J69" s="20"/>
      <c r="L69" s="836"/>
    </row>
    <row r="70" spans="1:12" s="814" customFormat="1" ht="15" customHeight="1" x14ac:dyDescent="0.2">
      <c r="B70" s="838"/>
      <c r="C70" s="838"/>
      <c r="E70" s="20"/>
      <c r="F70" s="20"/>
      <c r="G70" s="20"/>
      <c r="H70" s="20"/>
      <c r="I70" s="20"/>
      <c r="J70" s="20"/>
      <c r="L70" s="836"/>
    </row>
    <row r="71" spans="1:12" s="49" customFormat="1" ht="15" customHeight="1" x14ac:dyDescent="0.2">
      <c r="A71" s="814"/>
      <c r="B71" s="838"/>
      <c r="C71" s="838"/>
      <c r="D71" s="814"/>
      <c r="E71" s="840"/>
      <c r="F71" s="840"/>
      <c r="G71" s="840"/>
      <c r="H71" s="840"/>
      <c r="I71" s="840"/>
      <c r="J71" s="840"/>
      <c r="L71" s="703"/>
    </row>
    <row r="72" spans="1:12" s="49" customFormat="1" ht="15" customHeight="1" x14ac:dyDescent="0.2">
      <c r="A72" s="814"/>
      <c r="B72" s="838"/>
      <c r="C72" s="838"/>
      <c r="D72" s="814"/>
      <c r="E72" s="814"/>
      <c r="F72" s="814"/>
      <c r="G72" s="814"/>
      <c r="H72" s="814"/>
      <c r="I72" s="814"/>
      <c r="J72" s="814"/>
      <c r="L72" s="703"/>
    </row>
    <row r="73" spans="1:12" s="49" customFormat="1" ht="15" customHeight="1" x14ac:dyDescent="0.2">
      <c r="A73" s="814"/>
      <c r="B73" s="838"/>
      <c r="C73" s="838"/>
      <c r="D73" s="814"/>
      <c r="E73" s="814"/>
      <c r="F73" s="814"/>
      <c r="G73" s="814"/>
      <c r="H73" s="814"/>
      <c r="I73" s="814"/>
      <c r="J73" s="814"/>
      <c r="L73" s="703"/>
    </row>
    <row r="74" spans="1:12" s="49" customFormat="1" ht="15" customHeight="1" x14ac:dyDescent="0.2">
      <c r="A74" s="838"/>
      <c r="B74" s="838"/>
      <c r="C74" s="838"/>
      <c r="E74" s="814"/>
      <c r="F74" s="814"/>
      <c r="G74" s="814"/>
      <c r="H74" s="814"/>
      <c r="I74" s="814"/>
      <c r="J74" s="814"/>
      <c r="L74" s="703"/>
    </row>
    <row r="75" spans="1:12" s="49" customFormat="1" ht="15" customHeight="1" x14ac:dyDescent="0.2">
      <c r="A75" s="843"/>
      <c r="B75" s="844"/>
      <c r="C75" s="844"/>
      <c r="L75" s="703"/>
    </row>
    <row r="76" spans="1:12" s="49" customFormat="1" ht="15" customHeight="1" x14ac:dyDescent="0.2">
      <c r="A76" s="843"/>
      <c r="B76" s="845"/>
      <c r="C76" s="845"/>
      <c r="F76" s="731"/>
      <c r="L76" s="703"/>
    </row>
    <row r="77" spans="1:12" s="49" customFormat="1" ht="15" customHeight="1" x14ac:dyDescent="0.2">
      <c r="A77" s="814"/>
      <c r="B77" s="838"/>
      <c r="C77" s="838"/>
      <c r="F77" s="731"/>
      <c r="L77" s="703"/>
    </row>
    <row r="78" spans="1:12" s="49" customFormat="1" ht="15" customHeight="1" x14ac:dyDescent="0.2">
      <c r="A78" s="814"/>
      <c r="B78" s="838"/>
      <c r="C78" s="838"/>
      <c r="F78" s="731"/>
      <c r="L78" s="703"/>
    </row>
    <row r="79" spans="1:12" s="49" customFormat="1" ht="15" customHeight="1" x14ac:dyDescent="0.2">
      <c r="A79" s="814"/>
      <c r="B79" s="838"/>
      <c r="C79" s="838"/>
      <c r="L79" s="703"/>
    </row>
    <row r="80" spans="1:12" s="49" customFormat="1" ht="15" customHeight="1" x14ac:dyDescent="0.2">
      <c r="A80" s="814"/>
      <c r="B80" s="838"/>
      <c r="C80" s="838"/>
      <c r="L80" s="703"/>
    </row>
    <row r="81" spans="1:12" s="49" customFormat="1" ht="15" customHeight="1" x14ac:dyDescent="0.2">
      <c r="A81" s="814"/>
      <c r="B81" s="838"/>
      <c r="C81" s="838"/>
      <c r="L81" s="703"/>
    </row>
    <row r="82" spans="1:12" s="49" customFormat="1" ht="15" customHeight="1" x14ac:dyDescent="0.2">
      <c r="A82" s="814"/>
      <c r="B82" s="838"/>
      <c r="C82" s="838"/>
      <c r="L82" s="703"/>
    </row>
    <row r="83" spans="1:12" s="49" customFormat="1" ht="15" customHeight="1" x14ac:dyDescent="0.2">
      <c r="A83" s="846"/>
      <c r="B83" s="847"/>
      <c r="C83" s="847"/>
      <c r="L83" s="703"/>
    </row>
    <row r="84" spans="1:12" s="49" customFormat="1" ht="15" customHeight="1" x14ac:dyDescent="0.2">
      <c r="A84" s="846"/>
      <c r="B84" s="847"/>
      <c r="C84" s="847"/>
      <c r="L84" s="703"/>
    </row>
    <row r="85" spans="1:12" s="49" customFormat="1" ht="15" customHeight="1" x14ac:dyDescent="0.2">
      <c r="A85" s="846"/>
      <c r="B85" s="847"/>
      <c r="C85" s="847"/>
      <c r="L85" s="703"/>
    </row>
    <row r="86" spans="1:12" s="49" customFormat="1" ht="15" customHeight="1" x14ac:dyDescent="0.2">
      <c r="A86" s="846"/>
      <c r="B86" s="847"/>
      <c r="C86" s="847"/>
      <c r="L86" s="703"/>
    </row>
    <row r="87" spans="1:12" s="49" customFormat="1" ht="15" customHeight="1" x14ac:dyDescent="0.2">
      <c r="A87" s="846"/>
      <c r="B87" s="847"/>
      <c r="C87" s="847"/>
      <c r="L87" s="703"/>
    </row>
    <row r="88" spans="1:12" s="49" customFormat="1" ht="15" customHeight="1" x14ac:dyDescent="0.2">
      <c r="A88" s="846"/>
      <c r="B88" s="847"/>
      <c r="C88" s="847"/>
      <c r="L88" s="703"/>
    </row>
    <row r="89" spans="1:12" s="49" customFormat="1" ht="15" customHeight="1" x14ac:dyDescent="0.2">
      <c r="A89" s="846"/>
      <c r="B89" s="847"/>
      <c r="C89" s="847"/>
      <c r="L89" s="703"/>
    </row>
    <row r="90" spans="1:12" s="49" customFormat="1" ht="15" customHeight="1" x14ac:dyDescent="0.2">
      <c r="A90" s="846"/>
      <c r="B90" s="847"/>
      <c r="C90" s="847"/>
      <c r="L90" s="703"/>
    </row>
    <row r="91" spans="1:12" s="49" customFormat="1" ht="15" customHeight="1" x14ac:dyDescent="0.2">
      <c r="A91" s="846"/>
      <c r="B91" s="847"/>
      <c r="C91" s="847"/>
      <c r="L91" s="703"/>
    </row>
    <row r="92" spans="1:12" s="49" customFormat="1" ht="15" customHeight="1" x14ac:dyDescent="0.2">
      <c r="A92" s="846"/>
      <c r="B92" s="847"/>
      <c r="C92" s="847"/>
      <c r="L92" s="703"/>
    </row>
    <row r="93" spans="1:12" s="49" customFormat="1" ht="15" customHeight="1" x14ac:dyDescent="0.2">
      <c r="A93" s="846"/>
      <c r="B93" s="847"/>
      <c r="C93" s="847"/>
      <c r="L93" s="703"/>
    </row>
    <row r="94" spans="1:12" s="49" customFormat="1" ht="15" customHeight="1" x14ac:dyDescent="0.2">
      <c r="A94" s="846"/>
      <c r="B94" s="847"/>
      <c r="C94" s="847"/>
      <c r="L94" s="703"/>
    </row>
    <row r="95" spans="1:12" s="49" customFormat="1" ht="15" customHeight="1" x14ac:dyDescent="0.2">
      <c r="A95" s="846"/>
      <c r="B95" s="847"/>
      <c r="C95" s="847"/>
      <c r="L95" s="703"/>
    </row>
    <row r="96" spans="1:12" s="49" customFormat="1" ht="15" customHeight="1" x14ac:dyDescent="0.2">
      <c r="A96" s="846"/>
      <c r="B96" s="847"/>
      <c r="C96" s="847"/>
      <c r="L96" s="703"/>
    </row>
    <row r="97" spans="1:12" s="49" customFormat="1" ht="15" customHeight="1" x14ac:dyDescent="0.2">
      <c r="A97" s="846"/>
      <c r="B97" s="847"/>
      <c r="C97" s="847"/>
      <c r="L97" s="703"/>
    </row>
    <row r="98" spans="1:12" s="49" customFormat="1" ht="15" customHeight="1" x14ac:dyDescent="0.2">
      <c r="A98" s="846"/>
      <c r="B98" s="847"/>
      <c r="C98" s="847"/>
      <c r="L98" s="703"/>
    </row>
    <row r="99" spans="1:12" s="49" customFormat="1" ht="15" customHeight="1" x14ac:dyDescent="0.2">
      <c r="A99" s="846"/>
      <c r="B99" s="847"/>
      <c r="C99" s="847"/>
      <c r="L99" s="703"/>
    </row>
    <row r="100" spans="1:12" s="49" customFormat="1" ht="15" customHeight="1" x14ac:dyDescent="0.2">
      <c r="A100" s="846"/>
      <c r="B100" s="847"/>
      <c r="C100" s="847"/>
      <c r="L100" s="703"/>
    </row>
    <row r="101" spans="1:12" s="49" customFormat="1" ht="15" customHeight="1" x14ac:dyDescent="0.2">
      <c r="A101" s="846"/>
      <c r="B101" s="847"/>
      <c r="C101" s="847"/>
      <c r="L101" s="703"/>
    </row>
    <row r="102" spans="1:12" s="49" customFormat="1" ht="15" customHeight="1" x14ac:dyDescent="0.2">
      <c r="A102" s="846"/>
      <c r="B102" s="847"/>
      <c r="C102" s="847"/>
      <c r="L102" s="703"/>
    </row>
    <row r="103" spans="1:12" s="49" customFormat="1" ht="15" customHeight="1" x14ac:dyDescent="0.2">
      <c r="A103" s="846"/>
      <c r="B103" s="847"/>
      <c r="C103" s="847"/>
      <c r="L103" s="703"/>
    </row>
    <row r="104" spans="1:12" s="49" customFormat="1" ht="15" customHeight="1" x14ac:dyDescent="0.2">
      <c r="A104" s="846"/>
      <c r="B104" s="847"/>
      <c r="C104" s="847"/>
      <c r="L104" s="703"/>
    </row>
    <row r="105" spans="1:12" s="49" customFormat="1" ht="15" customHeight="1" x14ac:dyDescent="0.2">
      <c r="A105" s="846"/>
      <c r="B105" s="847"/>
      <c r="C105" s="847"/>
      <c r="L105" s="703"/>
    </row>
    <row r="106" spans="1:12" s="49" customFormat="1" ht="15" customHeight="1" x14ac:dyDescent="0.2">
      <c r="A106" s="846"/>
      <c r="B106" s="847"/>
      <c r="C106" s="847"/>
      <c r="L106" s="703"/>
    </row>
    <row r="107" spans="1:12" s="49" customFormat="1" ht="15" customHeight="1" x14ac:dyDescent="0.2">
      <c r="A107" s="846"/>
      <c r="B107" s="847"/>
      <c r="C107" s="847"/>
      <c r="L107" s="703"/>
    </row>
    <row r="108" spans="1:12" s="49" customFormat="1" ht="15" customHeight="1" x14ac:dyDescent="0.2">
      <c r="A108" s="846"/>
      <c r="B108" s="847"/>
      <c r="C108" s="847"/>
      <c r="L108" s="703"/>
    </row>
    <row r="109" spans="1:12" s="49" customFormat="1" ht="15" customHeight="1" x14ac:dyDescent="0.2">
      <c r="A109" s="846"/>
      <c r="B109" s="847"/>
      <c r="C109" s="847"/>
      <c r="L109" s="703"/>
    </row>
    <row r="110" spans="1:12" s="49" customFormat="1" ht="15" customHeight="1" x14ac:dyDescent="0.2">
      <c r="A110" s="846"/>
      <c r="B110" s="847"/>
      <c r="C110" s="847"/>
      <c r="L110" s="703"/>
    </row>
    <row r="111" spans="1:12" s="49" customFormat="1" ht="15" customHeight="1" x14ac:dyDescent="0.2">
      <c r="A111" s="846"/>
      <c r="B111" s="847"/>
      <c r="C111" s="847"/>
      <c r="L111" s="703"/>
    </row>
    <row r="112" spans="1:12" s="49" customFormat="1" ht="15" customHeight="1" x14ac:dyDescent="0.2">
      <c r="A112" s="846"/>
      <c r="B112" s="847"/>
      <c r="C112" s="847"/>
      <c r="L112" s="703"/>
    </row>
    <row r="113" spans="1:12" s="49" customFormat="1" ht="15" customHeight="1" x14ac:dyDescent="0.2">
      <c r="A113" s="846"/>
      <c r="B113" s="847"/>
      <c r="C113" s="847"/>
      <c r="L113" s="703"/>
    </row>
    <row r="114" spans="1:12" s="49" customFormat="1" ht="15" customHeight="1" x14ac:dyDescent="0.2">
      <c r="A114" s="846"/>
      <c r="B114" s="847"/>
      <c r="C114" s="847"/>
      <c r="L114" s="703"/>
    </row>
    <row r="115" spans="1:12" s="49" customFormat="1" ht="15" customHeight="1" x14ac:dyDescent="0.2">
      <c r="A115" s="846"/>
      <c r="B115" s="847"/>
      <c r="C115" s="847"/>
      <c r="L115" s="703"/>
    </row>
    <row r="116" spans="1:12" s="49" customFormat="1" ht="15" customHeight="1" x14ac:dyDescent="0.2">
      <c r="A116" s="846"/>
      <c r="B116" s="847"/>
      <c r="C116" s="847"/>
      <c r="L116" s="703"/>
    </row>
    <row r="117" spans="1:12" s="49" customFormat="1" ht="15" customHeight="1" x14ac:dyDescent="0.2">
      <c r="A117" s="846"/>
      <c r="B117" s="847"/>
      <c r="C117" s="847"/>
      <c r="L117" s="703"/>
    </row>
    <row r="118" spans="1:12" s="49" customFormat="1" ht="15" customHeight="1" x14ac:dyDescent="0.2">
      <c r="A118" s="846"/>
      <c r="B118" s="847"/>
      <c r="C118" s="847"/>
      <c r="L118" s="703"/>
    </row>
    <row r="119" spans="1:12" s="49" customFormat="1" ht="15" customHeight="1" x14ac:dyDescent="0.2">
      <c r="A119" s="846"/>
      <c r="B119" s="847"/>
      <c r="C119" s="847"/>
      <c r="L119" s="703"/>
    </row>
    <row r="120" spans="1:12" s="49" customFormat="1" ht="15" customHeight="1" x14ac:dyDescent="0.2">
      <c r="A120" s="846"/>
      <c r="B120" s="847"/>
      <c r="C120" s="847"/>
      <c r="L120" s="703"/>
    </row>
    <row r="121" spans="1:12" s="49" customFormat="1" ht="15" customHeight="1" x14ac:dyDescent="0.2">
      <c r="A121" s="846"/>
      <c r="B121" s="847"/>
      <c r="C121" s="847"/>
      <c r="L121" s="703"/>
    </row>
    <row r="122" spans="1:12" s="49" customFormat="1" ht="15" customHeight="1" x14ac:dyDescent="0.2">
      <c r="A122" s="846"/>
      <c r="B122" s="847"/>
      <c r="C122" s="847"/>
      <c r="L122" s="703"/>
    </row>
    <row r="123" spans="1:12" s="49" customFormat="1" ht="15" customHeight="1" x14ac:dyDescent="0.2">
      <c r="A123" s="846"/>
      <c r="B123" s="847"/>
      <c r="C123" s="847"/>
      <c r="L123" s="703"/>
    </row>
    <row r="124" spans="1:12" s="49" customFormat="1" ht="15" customHeight="1" x14ac:dyDescent="0.2">
      <c r="A124" s="846"/>
      <c r="B124" s="847"/>
      <c r="C124" s="847"/>
      <c r="L124" s="703"/>
    </row>
    <row r="125" spans="1:12" s="49" customFormat="1" ht="15" customHeight="1" x14ac:dyDescent="0.2">
      <c r="A125" s="846"/>
      <c r="B125" s="847"/>
      <c r="C125" s="847"/>
      <c r="L125" s="703"/>
    </row>
    <row r="126" spans="1:12" s="49" customFormat="1" ht="15" customHeight="1" x14ac:dyDescent="0.2">
      <c r="A126" s="846"/>
      <c r="B126" s="847"/>
      <c r="C126" s="847"/>
      <c r="L126" s="703"/>
    </row>
    <row r="127" spans="1:12" s="49" customFormat="1" ht="15" customHeight="1" x14ac:dyDescent="0.2">
      <c r="A127" s="846"/>
      <c r="B127" s="847"/>
      <c r="C127" s="847"/>
      <c r="L127" s="703"/>
    </row>
    <row r="128" spans="1:12" s="49" customFormat="1" ht="15" customHeight="1" x14ac:dyDescent="0.2">
      <c r="A128" s="846"/>
      <c r="B128" s="847"/>
      <c r="C128" s="847"/>
      <c r="L128" s="703"/>
    </row>
    <row r="129" spans="1:12" s="49" customFormat="1" ht="15" customHeight="1" x14ac:dyDescent="0.2">
      <c r="A129" s="846"/>
      <c r="B129" s="847"/>
      <c r="C129" s="847"/>
      <c r="L129" s="703"/>
    </row>
    <row r="130" spans="1:12" s="49" customFormat="1" ht="15" customHeight="1" x14ac:dyDescent="0.2">
      <c r="A130" s="846"/>
      <c r="B130" s="847"/>
      <c r="C130" s="847"/>
      <c r="L130" s="703"/>
    </row>
    <row r="131" spans="1:12" s="49" customFormat="1" ht="15" customHeight="1" x14ac:dyDescent="0.2">
      <c r="A131" s="846"/>
      <c r="B131" s="847"/>
      <c r="C131" s="847"/>
      <c r="L131" s="703"/>
    </row>
    <row r="132" spans="1:12" s="49" customFormat="1" ht="15" customHeight="1" x14ac:dyDescent="0.2">
      <c r="A132" s="846"/>
      <c r="B132" s="847"/>
      <c r="C132" s="847"/>
      <c r="L132" s="703"/>
    </row>
    <row r="133" spans="1:12" s="49" customFormat="1" ht="15" customHeight="1" x14ac:dyDescent="0.2">
      <c r="A133" s="846"/>
      <c r="B133" s="847"/>
      <c r="C133" s="847"/>
      <c r="L133" s="703"/>
    </row>
    <row r="134" spans="1:12" s="49" customFormat="1" ht="15" customHeight="1" x14ac:dyDescent="0.2">
      <c r="A134" s="846"/>
      <c r="B134" s="847"/>
      <c r="C134" s="847"/>
      <c r="L134" s="703"/>
    </row>
    <row r="135" spans="1:12" s="49" customFormat="1" ht="15" customHeight="1" x14ac:dyDescent="0.2">
      <c r="A135" s="846"/>
      <c r="B135" s="847"/>
      <c r="C135" s="847"/>
      <c r="L135" s="703"/>
    </row>
    <row r="136" spans="1:12" s="49" customFormat="1" ht="15" customHeight="1" x14ac:dyDescent="0.2">
      <c r="A136" s="846"/>
      <c r="B136" s="847"/>
      <c r="C136" s="847"/>
      <c r="L136" s="703"/>
    </row>
    <row r="137" spans="1:12" s="49" customFormat="1" ht="15" customHeight="1" x14ac:dyDescent="0.2">
      <c r="A137" s="846"/>
      <c r="B137" s="847"/>
      <c r="C137" s="847"/>
      <c r="L137" s="703"/>
    </row>
    <row r="138" spans="1:12" s="49" customFormat="1" ht="15" customHeight="1" x14ac:dyDescent="0.2">
      <c r="A138" s="846"/>
      <c r="B138" s="847"/>
      <c r="C138" s="847"/>
      <c r="L138" s="703"/>
    </row>
    <row r="139" spans="1:12" s="49" customFormat="1" ht="15" customHeight="1" x14ac:dyDescent="0.2">
      <c r="A139" s="846"/>
      <c r="B139" s="847"/>
      <c r="C139" s="847"/>
      <c r="L139" s="703"/>
    </row>
    <row r="140" spans="1:12" s="49" customFormat="1" ht="15" customHeight="1" x14ac:dyDescent="0.2">
      <c r="A140" s="846"/>
      <c r="B140" s="847"/>
      <c r="C140" s="847"/>
      <c r="L140" s="703"/>
    </row>
    <row r="141" spans="1:12" s="49" customFormat="1" ht="15" customHeight="1" x14ac:dyDescent="0.2">
      <c r="A141" s="846"/>
      <c r="B141" s="847"/>
      <c r="C141" s="847"/>
      <c r="L141" s="703"/>
    </row>
    <row r="142" spans="1:12" s="49" customFormat="1" ht="15" customHeight="1" x14ac:dyDescent="0.2">
      <c r="A142" s="846"/>
      <c r="B142" s="847"/>
      <c r="C142" s="847"/>
      <c r="L142" s="703"/>
    </row>
    <row r="143" spans="1:12" s="49" customFormat="1" ht="15" customHeight="1" x14ac:dyDescent="0.2">
      <c r="A143" s="846"/>
      <c r="B143" s="847"/>
      <c r="C143" s="847"/>
      <c r="L143" s="703"/>
    </row>
    <row r="144" spans="1:12" s="49" customFormat="1" ht="15" customHeight="1" x14ac:dyDescent="0.2">
      <c r="A144" s="846"/>
      <c r="B144" s="847"/>
      <c r="C144" s="847"/>
      <c r="L144" s="703"/>
    </row>
    <row r="145" spans="1:12" s="49" customFormat="1" ht="15" customHeight="1" x14ac:dyDescent="0.2">
      <c r="A145" s="846"/>
      <c r="B145" s="847"/>
      <c r="C145" s="847"/>
      <c r="L145" s="703"/>
    </row>
    <row r="146" spans="1:12" s="49" customFormat="1" ht="15" customHeight="1" x14ac:dyDescent="0.2">
      <c r="A146" s="846"/>
      <c r="B146" s="847"/>
      <c r="C146" s="847"/>
      <c r="L146" s="703"/>
    </row>
    <row r="147" spans="1:12" s="49" customFormat="1" ht="15" customHeight="1" x14ac:dyDescent="0.2">
      <c r="A147" s="846"/>
      <c r="B147" s="847"/>
      <c r="C147" s="847"/>
      <c r="L147" s="703"/>
    </row>
    <row r="148" spans="1:12" s="49" customFormat="1" ht="15" customHeight="1" x14ac:dyDescent="0.2">
      <c r="A148" s="846"/>
      <c r="B148" s="847"/>
      <c r="C148" s="847"/>
      <c r="L148" s="703"/>
    </row>
    <row r="149" spans="1:12" s="49" customFormat="1" ht="15" customHeight="1" x14ac:dyDescent="0.2">
      <c r="A149" s="846"/>
      <c r="B149" s="847"/>
      <c r="C149" s="847"/>
      <c r="L149" s="703"/>
    </row>
    <row r="150" spans="1:12" s="49" customFormat="1" ht="15" customHeight="1" x14ac:dyDescent="0.2">
      <c r="A150" s="846"/>
      <c r="B150" s="847"/>
      <c r="C150" s="847"/>
      <c r="L150" s="703"/>
    </row>
    <row r="151" spans="1:12" s="49" customFormat="1" ht="15" customHeight="1" x14ac:dyDescent="0.2">
      <c r="A151" s="846"/>
      <c r="B151" s="847"/>
      <c r="C151" s="847"/>
      <c r="L151" s="703"/>
    </row>
    <row r="152" spans="1:12" s="49" customFormat="1" ht="15" customHeight="1" x14ac:dyDescent="0.2">
      <c r="A152" s="846"/>
      <c r="B152" s="847"/>
      <c r="C152" s="847"/>
      <c r="L152" s="703"/>
    </row>
    <row r="153" spans="1:12" s="49" customFormat="1" ht="15" customHeight="1" x14ac:dyDescent="0.2">
      <c r="A153" s="846"/>
      <c r="B153" s="847"/>
      <c r="C153" s="847"/>
      <c r="L153" s="703"/>
    </row>
    <row r="154" spans="1:12" s="49" customFormat="1" ht="15" customHeight="1" x14ac:dyDescent="0.2">
      <c r="A154" s="846"/>
      <c r="B154" s="847"/>
      <c r="C154" s="847"/>
      <c r="L154" s="703"/>
    </row>
    <row r="155" spans="1:12" s="49" customFormat="1" ht="15" customHeight="1" x14ac:dyDescent="0.2">
      <c r="A155" s="846"/>
      <c r="B155" s="847"/>
      <c r="C155" s="847"/>
      <c r="L155" s="703"/>
    </row>
    <row r="156" spans="1:12" s="49" customFormat="1" ht="15" customHeight="1" x14ac:dyDescent="0.2">
      <c r="A156" s="846"/>
      <c r="B156" s="847"/>
      <c r="C156" s="847"/>
      <c r="L156" s="703"/>
    </row>
    <row r="157" spans="1:12" s="49" customFormat="1" ht="15" customHeight="1" x14ac:dyDescent="0.2">
      <c r="A157" s="846"/>
      <c r="B157" s="847"/>
      <c r="C157" s="847"/>
      <c r="L157" s="703"/>
    </row>
    <row r="158" spans="1:12" s="49" customFormat="1" ht="15" customHeight="1" x14ac:dyDescent="0.2">
      <c r="A158" s="846"/>
      <c r="B158" s="847"/>
      <c r="C158" s="847"/>
      <c r="L158" s="703"/>
    </row>
    <row r="159" spans="1:12" s="49" customFormat="1" ht="15" customHeight="1" x14ac:dyDescent="0.2">
      <c r="A159" s="846"/>
      <c r="B159" s="847"/>
      <c r="C159" s="847"/>
      <c r="L159" s="703"/>
    </row>
    <row r="160" spans="1:12" s="49" customFormat="1" ht="15" customHeight="1" x14ac:dyDescent="0.2">
      <c r="A160" s="846"/>
      <c r="B160" s="847"/>
      <c r="C160" s="847"/>
      <c r="L160" s="703"/>
    </row>
    <row r="161" spans="1:12" s="49" customFormat="1" ht="15" customHeight="1" x14ac:dyDescent="0.2">
      <c r="A161" s="846"/>
      <c r="B161" s="847"/>
      <c r="C161" s="847"/>
      <c r="L161" s="703"/>
    </row>
    <row r="162" spans="1:12" s="49" customFormat="1" ht="15" customHeight="1" x14ac:dyDescent="0.2">
      <c r="A162" s="846"/>
      <c r="B162" s="847"/>
      <c r="C162" s="847"/>
      <c r="L162" s="703"/>
    </row>
    <row r="163" spans="1:12" s="49" customFormat="1" ht="15" customHeight="1" x14ac:dyDescent="0.2">
      <c r="A163" s="846"/>
      <c r="B163" s="847"/>
      <c r="C163" s="847"/>
      <c r="L163" s="703"/>
    </row>
    <row r="164" spans="1:12" s="49" customFormat="1" ht="15" customHeight="1" x14ac:dyDescent="0.2">
      <c r="A164" s="846"/>
      <c r="B164" s="847"/>
      <c r="C164" s="847"/>
      <c r="L164" s="703"/>
    </row>
    <row r="165" spans="1:12" s="49" customFormat="1" ht="15" customHeight="1" x14ac:dyDescent="0.2">
      <c r="A165" s="846"/>
      <c r="B165" s="847"/>
      <c r="C165" s="847"/>
      <c r="L165" s="703"/>
    </row>
    <row r="166" spans="1:12" s="49" customFormat="1" ht="15" customHeight="1" x14ac:dyDescent="0.2">
      <c r="A166" s="846"/>
      <c r="B166" s="847"/>
      <c r="C166" s="847"/>
      <c r="L166" s="703"/>
    </row>
    <row r="167" spans="1:12" s="49" customFormat="1" ht="15" customHeight="1" x14ac:dyDescent="0.2">
      <c r="A167" s="846"/>
      <c r="B167" s="847"/>
      <c r="C167" s="847"/>
      <c r="L167" s="703"/>
    </row>
    <row r="168" spans="1:12" s="49" customFormat="1" ht="15" customHeight="1" x14ac:dyDescent="0.2">
      <c r="A168" s="846"/>
      <c r="B168" s="847"/>
      <c r="C168" s="847"/>
      <c r="L168" s="703"/>
    </row>
    <row r="169" spans="1:12" s="49" customFormat="1" ht="15" customHeight="1" x14ac:dyDescent="0.2">
      <c r="A169" s="846"/>
      <c r="B169" s="847"/>
      <c r="C169" s="847"/>
      <c r="L169" s="703"/>
    </row>
    <row r="170" spans="1:12" s="49" customFormat="1" ht="15" customHeight="1" x14ac:dyDescent="0.2">
      <c r="A170" s="846"/>
      <c r="B170" s="847"/>
      <c r="C170" s="847"/>
      <c r="L170" s="703"/>
    </row>
    <row r="171" spans="1:12" s="49" customFormat="1" ht="15" customHeight="1" x14ac:dyDescent="0.2">
      <c r="A171" s="846"/>
      <c r="B171" s="847"/>
      <c r="C171" s="847"/>
      <c r="L171" s="703"/>
    </row>
    <row r="172" spans="1:12" s="49" customFormat="1" ht="15" customHeight="1" x14ac:dyDescent="0.2">
      <c r="A172" s="846"/>
      <c r="B172" s="847"/>
      <c r="C172" s="847"/>
      <c r="L172" s="703"/>
    </row>
    <row r="173" spans="1:12" s="49" customFormat="1" ht="15" customHeight="1" x14ac:dyDescent="0.2">
      <c r="A173" s="846"/>
      <c r="B173" s="847"/>
      <c r="C173" s="847"/>
      <c r="L173" s="703"/>
    </row>
    <row r="174" spans="1:12" s="49" customFormat="1" ht="15" customHeight="1" x14ac:dyDescent="0.2">
      <c r="A174" s="846"/>
      <c r="B174" s="847"/>
      <c r="C174" s="847"/>
      <c r="L174" s="703"/>
    </row>
    <row r="175" spans="1:12" s="49" customFormat="1" ht="15" customHeight="1" x14ac:dyDescent="0.2">
      <c r="A175" s="846"/>
      <c r="B175" s="847"/>
      <c r="C175" s="847"/>
      <c r="L175" s="703"/>
    </row>
    <row r="176" spans="1:12" s="49" customFormat="1" ht="15" customHeight="1" x14ac:dyDescent="0.2">
      <c r="A176" s="846"/>
      <c r="B176" s="847"/>
      <c r="C176" s="847"/>
      <c r="L176" s="703"/>
    </row>
    <row r="177" spans="1:12" s="49" customFormat="1" ht="15" customHeight="1" x14ac:dyDescent="0.2">
      <c r="A177" s="846"/>
      <c r="B177" s="847"/>
      <c r="C177" s="847"/>
      <c r="L177" s="703"/>
    </row>
    <row r="178" spans="1:12" s="49" customFormat="1" ht="15" customHeight="1" x14ac:dyDescent="0.2">
      <c r="A178" s="846"/>
      <c r="B178" s="847"/>
      <c r="C178" s="847"/>
      <c r="L178" s="703"/>
    </row>
    <row r="179" spans="1:12" s="49" customFormat="1" ht="15" customHeight="1" x14ac:dyDescent="0.2">
      <c r="A179" s="846"/>
      <c r="B179" s="847"/>
      <c r="C179" s="847"/>
      <c r="L179" s="703"/>
    </row>
    <row r="180" spans="1:12" s="49" customFormat="1" ht="15" customHeight="1" x14ac:dyDescent="0.2">
      <c r="A180" s="846"/>
      <c r="B180" s="847"/>
      <c r="C180" s="847"/>
      <c r="L180" s="703"/>
    </row>
    <row r="181" spans="1:12" s="49" customFormat="1" ht="15" customHeight="1" x14ac:dyDescent="0.2">
      <c r="A181" s="846"/>
      <c r="B181" s="847"/>
      <c r="C181" s="847"/>
      <c r="L181" s="703"/>
    </row>
    <row r="182" spans="1:12" s="49" customFormat="1" ht="15" customHeight="1" x14ac:dyDescent="0.2">
      <c r="A182" s="846"/>
      <c r="B182" s="847"/>
      <c r="C182" s="847"/>
      <c r="L182" s="703"/>
    </row>
    <row r="183" spans="1:12" s="49" customFormat="1" ht="15" customHeight="1" x14ac:dyDescent="0.2">
      <c r="A183" s="846"/>
      <c r="B183" s="847"/>
      <c r="C183" s="847"/>
      <c r="L183" s="703"/>
    </row>
    <row r="184" spans="1:12" s="49" customFormat="1" ht="15" customHeight="1" x14ac:dyDescent="0.2">
      <c r="A184" s="846"/>
      <c r="B184" s="847"/>
      <c r="C184" s="847"/>
      <c r="L184" s="703"/>
    </row>
    <row r="185" spans="1:12" s="49" customFormat="1" ht="15" customHeight="1" x14ac:dyDescent="0.2">
      <c r="A185" s="846"/>
      <c r="B185" s="847"/>
      <c r="C185" s="847"/>
      <c r="L185" s="703"/>
    </row>
    <row r="186" spans="1:12" s="49" customFormat="1" ht="15" customHeight="1" x14ac:dyDescent="0.2">
      <c r="A186" s="846"/>
      <c r="B186" s="847"/>
      <c r="C186" s="847"/>
      <c r="L186" s="703"/>
    </row>
    <row r="187" spans="1:12" s="49" customFormat="1" ht="15" customHeight="1" x14ac:dyDescent="0.2">
      <c r="A187" s="846"/>
      <c r="B187" s="847"/>
      <c r="C187" s="847"/>
      <c r="L187" s="703"/>
    </row>
    <row r="188" spans="1:12" s="49" customFormat="1" ht="15" customHeight="1" x14ac:dyDescent="0.2">
      <c r="A188" s="846"/>
      <c r="B188" s="847"/>
      <c r="C188" s="847"/>
      <c r="L188" s="703"/>
    </row>
    <row r="189" spans="1:12" s="49" customFormat="1" ht="15" customHeight="1" x14ac:dyDescent="0.2">
      <c r="A189" s="846"/>
      <c r="B189" s="847"/>
      <c r="C189" s="847"/>
      <c r="L189" s="703"/>
    </row>
    <row r="190" spans="1:12" s="49" customFormat="1" ht="15" customHeight="1" x14ac:dyDescent="0.2">
      <c r="A190" s="846"/>
      <c r="B190" s="847"/>
      <c r="C190" s="847"/>
      <c r="L190" s="703"/>
    </row>
    <row r="191" spans="1:12" s="49" customFormat="1" ht="15" customHeight="1" x14ac:dyDescent="0.2">
      <c r="A191" s="846"/>
      <c r="B191" s="847"/>
      <c r="C191" s="847"/>
      <c r="L191" s="703"/>
    </row>
    <row r="192" spans="1:12" s="49" customFormat="1" ht="15" customHeight="1" x14ac:dyDescent="0.2">
      <c r="A192" s="846"/>
      <c r="B192" s="847"/>
      <c r="C192" s="847"/>
      <c r="L192" s="703"/>
    </row>
  </sheetData>
  <sheetProtection selectLockedCells="1" selectUnlockedCells="1"/>
  <mergeCells count="12">
    <mergeCell ref="E60:G60"/>
    <mergeCell ref="E61:G61"/>
    <mergeCell ref="F62:J62"/>
    <mergeCell ref="A63:C63"/>
    <mergeCell ref="E63:J63"/>
    <mergeCell ref="E64:J64"/>
    <mergeCell ref="I15:I16"/>
    <mergeCell ref="J15:J16"/>
    <mergeCell ref="E40:J41"/>
    <mergeCell ref="E58:J58"/>
    <mergeCell ref="A59:C59"/>
    <mergeCell ref="E59:G59"/>
  </mergeCells>
  <dataValidations count="2">
    <dataValidation type="list" operator="equal" allowBlank="1" showErrorMessage="1" sqref="C6">
      <formula1>NUMREF</formula1>
      <formula2>0</formula2>
    </dataValidation>
    <dataValidation operator="equal" allowBlank="1" showErrorMessage="1" sqref="I8">
      <formula1>0</formula1>
      <formula2>0</formula2>
    </dataValidation>
  </dataValidations>
  <printOptions horizontalCentered="1"/>
  <pageMargins left="0.39374999999999999" right="0.39374999999999999" top="0.39374999999999999" bottom="0.39374999999999993" header="0.51180555555555551" footer="0.51180555555555551"/>
  <pageSetup paperSize="9" firstPageNumber="0" orientation="portrait" horizontalDpi="300" verticalDpi="300"/>
  <headerFooter alignWithMargins="0">
    <oddFooter>&amp;C&amp;D</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83"/>
  <sheetViews>
    <sheetView topLeftCell="A4" zoomScale="85" zoomScaleNormal="85" workbookViewId="0">
      <selection activeCell="I27" sqref="I27"/>
    </sheetView>
  </sheetViews>
  <sheetFormatPr baseColWidth="10" defaultColWidth="10.7109375" defaultRowHeight="12.75" x14ac:dyDescent="0.2"/>
  <cols>
    <col min="1" max="1" width="3.85546875" style="421" customWidth="1"/>
    <col min="2" max="2" width="34.7109375" customWidth="1"/>
    <col min="3" max="3" width="9.42578125" customWidth="1"/>
    <col min="4" max="4" width="3" customWidth="1"/>
    <col min="5" max="5" width="14" customWidth="1"/>
    <col min="8" max="36" width="11.42578125" style="421" customWidth="1"/>
  </cols>
  <sheetData>
    <row r="1" spans="2:9" s="421" customFormat="1" x14ac:dyDescent="0.2"/>
    <row r="2" spans="2:9" s="421" customFormat="1" x14ac:dyDescent="0.2"/>
    <row r="3" spans="2:9" s="421" customFormat="1" x14ac:dyDescent="0.2"/>
    <row r="4" spans="2:9" s="421" customFormat="1" x14ac:dyDescent="0.2"/>
    <row r="5" spans="2:9" s="421" customFormat="1" x14ac:dyDescent="0.2"/>
    <row r="6" spans="2:9" ht="12.75" customHeight="1" x14ac:dyDescent="0.2">
      <c r="B6" s="848" t="str">
        <f>'Edition éleveur'!A5</f>
        <v>EARL BEL EPI</v>
      </c>
      <c r="C6" s="421"/>
      <c r="D6" s="421"/>
      <c r="E6" s="849" t="s">
        <v>653</v>
      </c>
      <c r="F6" s="682" t="s">
        <v>654</v>
      </c>
      <c r="G6" s="1545" t="s">
        <v>670</v>
      </c>
    </row>
    <row r="7" spans="2:9" ht="36.75" customHeight="1" x14ac:dyDescent="0.2">
      <c r="B7" s="850" t="str">
        <f>'Edition éleveur'!A6</f>
        <v>Campagne : 2013</v>
      </c>
      <c r="C7" s="421"/>
      <c r="D7" s="421"/>
      <c r="E7" s="851" t="s">
        <v>656</v>
      </c>
      <c r="F7" s="852" t="str">
        <f>'Edition éleveur'!C6</f>
        <v>Rosace lait 6M</v>
      </c>
      <c r="G7" s="1545"/>
    </row>
    <row r="8" spans="2:9" x14ac:dyDescent="0.2">
      <c r="B8" s="853" t="s">
        <v>732</v>
      </c>
      <c r="C8" s="421"/>
      <c r="D8" s="421"/>
      <c r="E8" s="421"/>
      <c r="F8" s="421"/>
      <c r="G8" s="421"/>
    </row>
    <row r="9" spans="2:9" ht="15" x14ac:dyDescent="0.2">
      <c r="B9" s="854" t="s">
        <v>733</v>
      </c>
      <c r="C9" s="855"/>
      <c r="D9" s="855"/>
      <c r="E9" s="856" t="s">
        <v>734</v>
      </c>
      <c r="F9" s="856"/>
      <c r="G9" s="855"/>
    </row>
    <row r="10" spans="2:9" ht="15" x14ac:dyDescent="0.2">
      <c r="B10" s="857" t="s">
        <v>735</v>
      </c>
      <c r="C10" s="858">
        <f>IF(Calcul!B100&gt;0,Calcul!B100*1000,"")</f>
        <v>735228</v>
      </c>
      <c r="D10" s="858" t="s">
        <v>736</v>
      </c>
      <c r="E10" s="859">
        <f>IF(Calcul!C100&gt;0,Calcul!C100,'Edition Vente directe - Transfo'!F10)</f>
        <v>358.92</v>
      </c>
      <c r="F10" s="860">
        <f>HLOOKUP('Edition éleveur'!$C$6,refdata,71,0)</f>
        <v>359.671099271336</v>
      </c>
      <c r="G10" s="861">
        <f>IF(F10&gt;0,(E10-F10)/F10,"")</f>
        <v>-2.0882947583435352E-3</v>
      </c>
    </row>
    <row r="11" spans="2:9" s="421" customFormat="1" x14ac:dyDescent="0.2">
      <c r="B11" s="862" t="s">
        <v>737</v>
      </c>
      <c r="C11" s="863">
        <f>IF(Calcul!B103&lt;&gt;"",Calcul!B103*1000,"")</f>
        <v>0</v>
      </c>
      <c r="D11" s="863" t="s">
        <v>736</v>
      </c>
      <c r="E11" s="864">
        <f>IF(Calcul!C104&lt;&gt;"",Calcul!C104,"")</f>
        <v>0</v>
      </c>
      <c r="F11" s="860"/>
      <c r="G11" s="861" t="str">
        <f>IF(F11&gt;0,(E11-F11)/F11,"")</f>
        <v/>
      </c>
      <c r="I11" s="865"/>
    </row>
    <row r="12" spans="2:9" x14ac:dyDescent="0.2">
      <c r="B12" s="857" t="s">
        <v>738</v>
      </c>
      <c r="C12" s="866">
        <f>IF(Calcul!B104&lt;&gt;"",Calcul!B104*1000,"")</f>
        <v>0</v>
      </c>
      <c r="D12" s="858" t="s">
        <v>736</v>
      </c>
      <c r="E12" s="864">
        <f>IF(Calcul!C104&lt;&gt;"",Calcul!C104,"")</f>
        <v>0</v>
      </c>
      <c r="F12" s="860"/>
      <c r="G12" s="861" t="str">
        <f>IF(F12&gt;0,(E12-F12)/F12,"")</f>
        <v/>
      </c>
    </row>
    <row r="13" spans="2:9" ht="16.5" customHeight="1" x14ac:dyDescent="0.2">
      <c r="B13" s="857" t="str">
        <f>IF(Saisie!C153&lt;&gt;"",Saisie!C153,"")</f>
        <v/>
      </c>
      <c r="C13" s="858">
        <f>IF(Calcul!B105&lt;&gt;"",Calcul!B105*1000,"")</f>
        <v>0</v>
      </c>
      <c r="D13" s="858" t="s">
        <v>736</v>
      </c>
      <c r="E13" s="864">
        <f>IF(Calcul!C105&lt;&gt;"",Calcul!C105,"")</f>
        <v>0</v>
      </c>
      <c r="F13" s="860"/>
      <c r="G13" s="861" t="str">
        <f>IF(F13&gt;0,(E13-F13)/F13,"")</f>
        <v/>
      </c>
    </row>
    <row r="14" spans="2:9" s="421" customFormat="1" ht="16.5" customHeight="1" x14ac:dyDescent="0.2">
      <c r="B14" s="862"/>
      <c r="C14" s="862"/>
      <c r="D14" s="862"/>
      <c r="E14" s="862"/>
      <c r="F14" s="862"/>
      <c r="G14" s="862"/>
      <c r="H14" s="862"/>
    </row>
    <row r="15" spans="2:9" ht="15" x14ac:dyDescent="0.2">
      <c r="B15" s="854" t="s">
        <v>739</v>
      </c>
      <c r="C15" s="855"/>
      <c r="D15" s="855"/>
      <c r="E15" s="856"/>
      <c r="F15" s="856"/>
      <c r="G15" s="855"/>
    </row>
    <row r="16" spans="2:9" ht="12.75" customHeight="1" x14ac:dyDescent="0.2">
      <c r="B16" s="1546" t="str">
        <f>ROUND(1000*Calcul!B102,0)&amp;" L  de VDT à :"</f>
        <v>0 L  de VDT à :</v>
      </c>
      <c r="C16" s="1546"/>
      <c r="D16" s="1546"/>
      <c r="E16" s="864">
        <f>Calcul!C102</f>
        <v>0</v>
      </c>
      <c r="F16" s="860">
        <f>HLOOKUP('Edition éleveur'!$C$6,refdata,72,0)</f>
        <v>0</v>
      </c>
      <c r="G16" s="861" t="str">
        <f>IF(F16&gt;0,(E16-F16)/F16,"")</f>
        <v/>
      </c>
    </row>
    <row r="17" spans="2:7" x14ac:dyDescent="0.2">
      <c r="B17" s="867"/>
      <c r="C17" s="867"/>
      <c r="D17" s="867"/>
      <c r="E17" s="867"/>
      <c r="F17" s="867"/>
      <c r="G17" s="867"/>
    </row>
    <row r="18" spans="2:7" ht="15" x14ac:dyDescent="0.2">
      <c r="B18" s="854" t="s">
        <v>740</v>
      </c>
      <c r="C18" s="855"/>
      <c r="D18" s="855"/>
      <c r="E18" s="868">
        <f>SUM(E19:E21)</f>
        <v>185.88352143244285</v>
      </c>
      <c r="F18" s="856"/>
      <c r="G18" s="855"/>
    </row>
    <row r="19" spans="2:7" x14ac:dyDescent="0.2">
      <c r="B19" s="869" t="s">
        <v>741</v>
      </c>
      <c r="C19" s="870"/>
      <c r="D19" s="870"/>
      <c r="E19" s="871">
        <f>'Edition éleveur'!B10</f>
        <v>126.70355318350227</v>
      </c>
      <c r="F19" s="713">
        <f>HLOOKUP('Edition éleveur'!$C$6,refdata,74,0)</f>
        <v>0</v>
      </c>
      <c r="G19" s="861" t="str">
        <f>IF(F19&gt;0,(E19-F19)/F19,"")</f>
        <v/>
      </c>
    </row>
    <row r="20" spans="2:7" x14ac:dyDescent="0.2">
      <c r="B20" s="869" t="s">
        <v>742</v>
      </c>
      <c r="C20" s="872"/>
      <c r="D20" s="872"/>
      <c r="E20" s="871">
        <f>'Edition éleveur'!B13</f>
        <v>22.063590744275356</v>
      </c>
      <c r="F20" s="713">
        <f>HLOOKUP('Edition éleveur'!$C$6,refdata,75,0)</f>
        <v>0</v>
      </c>
      <c r="G20" s="861" t="str">
        <f>IF(F20&gt;0,(E20-F20)/F20,"")</f>
        <v/>
      </c>
    </row>
    <row r="21" spans="2:7" x14ac:dyDescent="0.2">
      <c r="B21" s="873" t="s">
        <v>743</v>
      </c>
      <c r="C21" s="867"/>
      <c r="D21" s="867"/>
      <c r="E21" s="871">
        <f>'Edition éleveur'!B17</f>
        <v>37.116377504665223</v>
      </c>
      <c r="F21" s="867"/>
      <c r="G21" s="867"/>
    </row>
    <row r="22" spans="2:7" ht="15" x14ac:dyDescent="0.2">
      <c r="B22" s="874" t="s">
        <v>744</v>
      </c>
      <c r="C22" s="875"/>
      <c r="D22" s="875"/>
      <c r="E22" s="859">
        <f>'Edition éleveur'!B48-'Edition éleveur'!B53-'Edition Vente directe - Transfo'!E18</f>
        <v>230.23565060579094</v>
      </c>
      <c r="F22" s="876"/>
      <c r="G22" s="875"/>
    </row>
    <row r="23" spans="2:7" s="421" customFormat="1" x14ac:dyDescent="0.2">
      <c r="B23" s="867"/>
      <c r="C23" s="867"/>
      <c r="D23" s="867"/>
      <c r="E23" s="867"/>
      <c r="F23" s="867"/>
      <c r="G23" s="867"/>
    </row>
    <row r="24" spans="2:7" s="421" customFormat="1" ht="15" x14ac:dyDescent="0.2">
      <c r="B24" s="854" t="s">
        <v>745</v>
      </c>
      <c r="C24" s="855"/>
      <c r="D24" s="855"/>
      <c r="E24" s="868">
        <f>SUM(E25:E26)</f>
        <v>0</v>
      </c>
      <c r="F24" s="868">
        <f>SUM(F25:F26)</f>
        <v>0</v>
      </c>
      <c r="G24" s="855"/>
    </row>
    <row r="25" spans="2:7" x14ac:dyDescent="0.2">
      <c r="B25" s="869" t="s">
        <v>746</v>
      </c>
      <c r="C25" s="870"/>
      <c r="D25" s="870"/>
      <c r="E25" s="871">
        <f>IF(Calcul!$B$102&gt;0,Calcul!D114/Calcul!$B$102,0)</f>
        <v>0</v>
      </c>
      <c r="F25" s="713">
        <f>HLOOKUP('Edition éleveur'!$C$6,refdata,74,0)</f>
        <v>0</v>
      </c>
      <c r="G25" s="861" t="str">
        <f>IF(F25&gt;0,(E25-F25)/F25,"")</f>
        <v/>
      </c>
    </row>
    <row r="26" spans="2:7" s="421" customFormat="1" x14ac:dyDescent="0.2">
      <c r="B26" s="869" t="s">
        <v>747</v>
      </c>
      <c r="C26" s="872"/>
      <c r="D26" s="872"/>
      <c r="E26" s="871">
        <f>IF(Calcul!$B$102&gt;0,Calcul!D115/Calcul!$B$102,0)</f>
        <v>0</v>
      </c>
      <c r="F26" s="713">
        <f>HLOOKUP('Edition éleveur'!$C$6,refdata,75,0)</f>
        <v>0</v>
      </c>
      <c r="G26" s="861" t="str">
        <f>IF(F26&gt;0,(E26-F26)/F26,"")</f>
        <v/>
      </c>
    </row>
    <row r="27" spans="2:7" s="421" customFormat="1" ht="15" x14ac:dyDescent="0.2">
      <c r="B27" s="874" t="s">
        <v>748</v>
      </c>
      <c r="C27" s="875"/>
      <c r="D27" s="875"/>
      <c r="E27" s="859">
        <f>E11-E10-E24</f>
        <v>-358.92</v>
      </c>
      <c r="F27" s="876"/>
      <c r="G27" s="875"/>
    </row>
    <row r="28" spans="2:7" s="421" customFormat="1" x14ac:dyDescent="0.2"/>
    <row r="29" spans="2:7" ht="15" x14ac:dyDescent="0.2">
      <c r="B29" s="854" t="s">
        <v>749</v>
      </c>
      <c r="C29" s="855"/>
      <c r="D29" s="855"/>
      <c r="E29" s="868">
        <f>SUM(E30:E30)</f>
        <v>0</v>
      </c>
      <c r="F29" s="868">
        <f>SUM(F30:F30)</f>
        <v>0</v>
      </c>
      <c r="G29" s="855"/>
    </row>
    <row r="30" spans="2:7" s="421" customFormat="1" x14ac:dyDescent="0.2">
      <c r="B30" s="869"/>
      <c r="C30" s="870"/>
      <c r="D30" s="870"/>
      <c r="E30" s="871" t="str">
        <f>IF(Calcul!B102&gt;0,Calcul!E113/Calcul!B102,"")</f>
        <v/>
      </c>
      <c r="F30" s="713">
        <f>HLOOKUP('Edition éleveur'!$C$6,refdata,74,0)</f>
        <v>0</v>
      </c>
      <c r="G30" s="861" t="str">
        <f>IF(F30&gt;0,(E30-F30)/F30,"")</f>
        <v/>
      </c>
    </row>
    <row r="31" spans="2:7" s="421" customFormat="1" ht="15" x14ac:dyDescent="0.2">
      <c r="B31" s="874" t="s">
        <v>750</v>
      </c>
      <c r="C31" s="875"/>
      <c r="D31" s="875"/>
      <c r="E31" s="859">
        <f>E12-E11-E29</f>
        <v>0</v>
      </c>
      <c r="F31" s="876"/>
      <c r="G31" s="875"/>
    </row>
    <row r="32" spans="2:7" s="421" customFormat="1" x14ac:dyDescent="0.2"/>
    <row r="33" spans="2:7" s="421" customFormat="1" x14ac:dyDescent="0.2"/>
    <row r="34" spans="2:7" s="421" customFormat="1" ht="15" x14ac:dyDescent="0.2">
      <c r="B34" s="854" t="s">
        <v>751</v>
      </c>
      <c r="C34" s="855"/>
      <c r="D34" s="855"/>
      <c r="E34" s="856" t="s">
        <v>752</v>
      </c>
      <c r="F34" s="856" t="s">
        <v>753</v>
      </c>
      <c r="G34" s="855" t="s">
        <v>754</v>
      </c>
    </row>
    <row r="35" spans="2:7" s="421" customFormat="1" x14ac:dyDescent="0.2">
      <c r="B35" s="877" t="s">
        <v>755</v>
      </c>
      <c r="E35" s="878" t="str">
        <f>IF(PAUMO="",Saisie!C120,"pas d'affectation")</f>
        <v>pas d'affectation</v>
      </c>
      <c r="F35" s="878" t="e">
        <f>IF(AND(PAUMO="",Saisie!E128=""),Saisie!C128,"pas d'affectation")</f>
        <v>#DIV/0!</v>
      </c>
      <c r="G35" s="879" t="e">
        <f>IF(E35&gt;0,F35/E35,0)</f>
        <v>#DIV/0!</v>
      </c>
    </row>
    <row r="36" spans="2:7" s="421" customFormat="1" x14ac:dyDescent="0.2">
      <c r="B36" s="877" t="s">
        <v>756</v>
      </c>
      <c r="E36" s="878" t="str">
        <f>IF(PAUMO="",Saisie!C121,"pas d'affectation")</f>
        <v>pas d'affectation</v>
      </c>
      <c r="F36" s="878" t="e">
        <f>IF(AND(PAUMO="",Saisie!E129=""),Saisie!C129,"pas d'affectation")</f>
        <v>#DIV/0!</v>
      </c>
      <c r="G36" s="879" t="e">
        <f>IF(E36&gt;0,F36/E36,0)</f>
        <v>#DIV/0!</v>
      </c>
    </row>
    <row r="37" spans="2:7" x14ac:dyDescent="0.2">
      <c r="B37" s="421"/>
      <c r="C37" s="421"/>
      <c r="D37" s="421"/>
      <c r="E37" s="421"/>
      <c r="F37" s="421"/>
      <c r="G37" s="421"/>
    </row>
    <row r="38" spans="2:7" x14ac:dyDescent="0.2">
      <c r="B38" s="421"/>
      <c r="C38" s="421"/>
      <c r="D38" s="421"/>
      <c r="E38" s="421"/>
      <c r="F38" s="421"/>
      <c r="G38" s="421"/>
    </row>
    <row r="39" spans="2:7" x14ac:dyDescent="0.2">
      <c r="B39" s="421"/>
      <c r="C39" s="421"/>
      <c r="D39" s="421"/>
      <c r="E39" s="421"/>
      <c r="F39" s="421"/>
      <c r="G39" s="421"/>
    </row>
    <row r="40" spans="2:7" x14ac:dyDescent="0.2">
      <c r="B40" s="421"/>
      <c r="C40" s="421"/>
      <c r="D40" s="421"/>
      <c r="E40" s="421"/>
      <c r="F40" s="421"/>
      <c r="G40" s="421"/>
    </row>
    <row r="41" spans="2:7" x14ac:dyDescent="0.2">
      <c r="B41" s="421"/>
      <c r="C41" s="421"/>
      <c r="D41" s="421"/>
      <c r="E41" s="421"/>
      <c r="F41" s="421"/>
      <c r="G41" s="421"/>
    </row>
    <row r="42" spans="2:7" x14ac:dyDescent="0.2">
      <c r="B42" s="421"/>
      <c r="C42" s="421"/>
      <c r="D42" s="421"/>
      <c r="E42" s="421"/>
      <c r="F42" s="421"/>
      <c r="G42" s="421"/>
    </row>
    <row r="43" spans="2:7" x14ac:dyDescent="0.2">
      <c r="B43" s="421"/>
      <c r="C43" s="421"/>
      <c r="D43" s="421"/>
      <c r="E43" s="421"/>
      <c r="F43" s="421"/>
      <c r="G43" s="421"/>
    </row>
    <row r="44" spans="2:7" x14ac:dyDescent="0.2">
      <c r="B44" s="421"/>
      <c r="C44" s="421"/>
      <c r="D44" s="421"/>
      <c r="E44" s="421"/>
      <c r="F44" s="421"/>
      <c r="G44" s="421"/>
    </row>
    <row r="45" spans="2:7" x14ac:dyDescent="0.2">
      <c r="B45" s="862" t="s">
        <v>757</v>
      </c>
      <c r="C45" s="421"/>
      <c r="D45" s="421"/>
      <c r="E45" s="421"/>
      <c r="F45" s="421"/>
      <c r="G45" s="421"/>
    </row>
    <row r="46" spans="2:7" x14ac:dyDescent="0.2">
      <c r="B46" s="1547"/>
      <c r="C46" s="1547"/>
      <c r="D46" s="1547"/>
      <c r="E46" s="1547"/>
      <c r="F46" s="1547"/>
      <c r="G46" s="1547"/>
    </row>
    <row r="47" spans="2:7" s="421" customFormat="1" x14ac:dyDescent="0.2">
      <c r="B47" s="1547"/>
      <c r="C47" s="1547"/>
      <c r="D47" s="1547"/>
      <c r="E47" s="1547"/>
      <c r="F47" s="1547"/>
      <c r="G47" s="1547"/>
    </row>
    <row r="48" spans="2:7" s="421" customFormat="1" x14ac:dyDescent="0.2">
      <c r="B48" s="1547"/>
      <c r="C48" s="1547"/>
      <c r="D48" s="1547"/>
      <c r="E48" s="1547"/>
      <c r="F48" s="1547"/>
      <c r="G48" s="1547"/>
    </row>
    <row r="49" spans="2:7" s="421" customFormat="1" x14ac:dyDescent="0.2">
      <c r="B49" s="1547"/>
      <c r="C49" s="1547"/>
      <c r="D49" s="1547"/>
      <c r="E49" s="1547"/>
      <c r="F49" s="1547"/>
      <c r="G49" s="1547"/>
    </row>
    <row r="50" spans="2:7" s="421" customFormat="1" x14ac:dyDescent="0.2">
      <c r="B50" s="1547"/>
      <c r="C50" s="1547"/>
      <c r="D50" s="1547"/>
      <c r="E50" s="1547"/>
      <c r="F50" s="1547"/>
      <c r="G50" s="1547"/>
    </row>
    <row r="51" spans="2:7" s="421" customFormat="1" x14ac:dyDescent="0.2">
      <c r="B51" s="1547"/>
      <c r="C51" s="1547"/>
      <c r="D51" s="1547"/>
      <c r="E51" s="1547"/>
      <c r="F51" s="1547"/>
      <c r="G51" s="1547"/>
    </row>
    <row r="52" spans="2:7" s="421" customFormat="1" x14ac:dyDescent="0.2">
      <c r="B52" s="1547"/>
      <c r="C52" s="1547"/>
      <c r="D52" s="1547"/>
      <c r="E52" s="1547"/>
      <c r="F52" s="1547"/>
      <c r="G52" s="1547"/>
    </row>
    <row r="53" spans="2:7" s="421" customFormat="1" x14ac:dyDescent="0.2">
      <c r="B53" s="1547"/>
      <c r="C53" s="1547"/>
      <c r="D53" s="1547"/>
      <c r="E53" s="1547"/>
      <c r="F53" s="1547"/>
      <c r="G53" s="1547"/>
    </row>
    <row r="54" spans="2:7" s="421" customFormat="1" x14ac:dyDescent="0.2">
      <c r="B54" s="1547"/>
      <c r="C54" s="1547"/>
      <c r="D54" s="1547"/>
      <c r="E54" s="1547"/>
      <c r="F54" s="1547"/>
      <c r="G54" s="1547"/>
    </row>
    <row r="55" spans="2:7" s="421" customFormat="1" x14ac:dyDescent="0.2">
      <c r="B55" s="1547"/>
      <c r="C55" s="1547"/>
      <c r="D55" s="1547"/>
      <c r="E55" s="1547"/>
      <c r="F55" s="1547"/>
      <c r="G55" s="1547"/>
    </row>
    <row r="56" spans="2:7" s="421" customFormat="1" x14ac:dyDescent="0.2"/>
    <row r="57" spans="2:7" s="421" customFormat="1" x14ac:dyDescent="0.2"/>
    <row r="58" spans="2:7" s="421" customFormat="1" x14ac:dyDescent="0.2"/>
    <row r="59" spans="2:7" s="421" customFormat="1" x14ac:dyDescent="0.2"/>
    <row r="60" spans="2:7" s="421" customFormat="1" x14ac:dyDescent="0.2"/>
    <row r="61" spans="2:7" s="421" customFormat="1" x14ac:dyDescent="0.2"/>
    <row r="62" spans="2:7" s="421" customFormat="1" x14ac:dyDescent="0.2"/>
    <row r="63" spans="2:7" s="421" customFormat="1" x14ac:dyDescent="0.2"/>
    <row r="64" spans="2:7" s="421" customFormat="1" x14ac:dyDescent="0.2"/>
    <row r="65" s="421" customFormat="1" x14ac:dyDescent="0.2"/>
    <row r="66" s="421" customFormat="1" x14ac:dyDescent="0.2"/>
    <row r="67" s="421" customFormat="1" x14ac:dyDescent="0.2"/>
    <row r="68" s="421" customFormat="1" x14ac:dyDescent="0.2"/>
    <row r="69" s="421" customFormat="1" x14ac:dyDescent="0.2"/>
    <row r="70" s="421" customFormat="1" x14ac:dyDescent="0.2"/>
    <row r="71" s="421" customFormat="1" x14ac:dyDescent="0.2"/>
    <row r="72" s="421" customFormat="1" x14ac:dyDescent="0.2"/>
    <row r="73" s="421" customFormat="1" x14ac:dyDescent="0.2"/>
    <row r="74" s="421" customFormat="1" x14ac:dyDescent="0.2"/>
    <row r="75" s="421" customFormat="1" x14ac:dyDescent="0.2"/>
    <row r="76" s="421" customFormat="1" x14ac:dyDescent="0.2"/>
    <row r="77" s="421" customFormat="1" x14ac:dyDescent="0.2"/>
    <row r="78" s="421" customFormat="1" x14ac:dyDescent="0.2"/>
    <row r="79" s="421" customFormat="1" x14ac:dyDescent="0.2"/>
    <row r="80" s="421" customFormat="1" x14ac:dyDescent="0.2"/>
    <row r="81" s="421" customFormat="1" x14ac:dyDescent="0.2"/>
    <row r="82" s="421" customFormat="1" x14ac:dyDescent="0.2"/>
    <row r="83" s="421" customFormat="1" x14ac:dyDescent="0.2"/>
    <row r="84" s="421" customFormat="1" x14ac:dyDescent="0.2"/>
    <row r="85" s="421" customFormat="1" x14ac:dyDescent="0.2"/>
    <row r="86" s="421" customFormat="1" x14ac:dyDescent="0.2"/>
    <row r="87" s="421" customFormat="1" x14ac:dyDescent="0.2"/>
    <row r="88" s="421" customFormat="1" x14ac:dyDescent="0.2"/>
    <row r="89" s="421" customFormat="1" x14ac:dyDescent="0.2"/>
    <row r="90" s="421" customFormat="1" x14ac:dyDescent="0.2"/>
    <row r="91" s="421" customFormat="1" x14ac:dyDescent="0.2"/>
    <row r="92" s="421" customFormat="1" x14ac:dyDescent="0.2"/>
    <row r="93" s="421" customFormat="1" x14ac:dyDescent="0.2"/>
    <row r="94" s="421" customFormat="1" x14ac:dyDescent="0.2"/>
    <row r="95" s="421" customFormat="1" x14ac:dyDescent="0.2"/>
    <row r="96" s="421" customFormat="1" x14ac:dyDescent="0.2"/>
    <row r="97" s="421" customFormat="1" x14ac:dyDescent="0.2"/>
    <row r="98" s="421" customFormat="1" x14ac:dyDescent="0.2"/>
    <row r="99" s="421" customFormat="1" x14ac:dyDescent="0.2"/>
    <row r="100" s="421" customFormat="1" x14ac:dyDescent="0.2"/>
    <row r="101" s="421" customFormat="1" x14ac:dyDescent="0.2"/>
    <row r="102" s="421" customFormat="1" x14ac:dyDescent="0.2"/>
    <row r="103" s="421" customFormat="1" x14ac:dyDescent="0.2"/>
    <row r="104" s="421" customFormat="1" x14ac:dyDescent="0.2"/>
    <row r="105" s="421" customFormat="1" x14ac:dyDescent="0.2"/>
    <row r="106" s="421" customFormat="1" x14ac:dyDescent="0.2"/>
    <row r="107" s="421" customFormat="1" x14ac:dyDescent="0.2"/>
    <row r="108" s="421" customFormat="1" x14ac:dyDescent="0.2"/>
    <row r="109" s="421" customFormat="1" x14ac:dyDescent="0.2"/>
    <row r="110" s="421" customFormat="1" x14ac:dyDescent="0.2"/>
    <row r="111" s="421" customFormat="1" x14ac:dyDescent="0.2"/>
    <row r="112" s="421" customFormat="1" x14ac:dyDescent="0.2"/>
    <row r="113" s="421" customFormat="1" x14ac:dyDescent="0.2"/>
    <row r="114" s="421" customFormat="1" x14ac:dyDescent="0.2"/>
    <row r="115" s="421" customFormat="1" x14ac:dyDescent="0.2"/>
    <row r="116" s="421" customFormat="1" x14ac:dyDescent="0.2"/>
    <row r="117" s="421" customFormat="1" x14ac:dyDescent="0.2"/>
    <row r="118" s="421" customFormat="1" x14ac:dyDescent="0.2"/>
    <row r="119" s="421" customFormat="1" x14ac:dyDescent="0.2"/>
    <row r="120" s="421" customFormat="1" x14ac:dyDescent="0.2"/>
    <row r="121" s="421" customFormat="1" x14ac:dyDescent="0.2"/>
    <row r="122" s="421" customFormat="1" x14ac:dyDescent="0.2"/>
    <row r="123" s="421" customFormat="1" x14ac:dyDescent="0.2"/>
    <row r="124" s="421" customFormat="1" x14ac:dyDescent="0.2"/>
    <row r="125" s="421" customFormat="1" x14ac:dyDescent="0.2"/>
    <row r="126" s="421" customFormat="1" x14ac:dyDescent="0.2"/>
    <row r="127" s="421" customFormat="1" x14ac:dyDescent="0.2"/>
    <row r="128" s="421" customFormat="1" x14ac:dyDescent="0.2"/>
    <row r="129" s="421" customFormat="1" x14ac:dyDescent="0.2"/>
    <row r="130" s="421" customFormat="1" x14ac:dyDescent="0.2"/>
    <row r="131" s="421" customFormat="1" x14ac:dyDescent="0.2"/>
    <row r="132" s="421" customFormat="1" x14ac:dyDescent="0.2"/>
    <row r="133" s="421" customFormat="1" x14ac:dyDescent="0.2"/>
    <row r="134" s="421" customFormat="1" x14ac:dyDescent="0.2"/>
    <row r="135" s="421" customFormat="1" x14ac:dyDescent="0.2"/>
    <row r="136" s="421" customFormat="1" x14ac:dyDescent="0.2"/>
    <row r="137" s="421" customFormat="1" x14ac:dyDescent="0.2"/>
    <row r="138" s="421" customFormat="1" x14ac:dyDescent="0.2"/>
    <row r="139" s="421" customFormat="1" x14ac:dyDescent="0.2"/>
    <row r="140" s="421" customFormat="1" x14ac:dyDescent="0.2"/>
    <row r="141" s="421" customFormat="1" x14ac:dyDescent="0.2"/>
    <row r="142" s="421" customFormat="1" x14ac:dyDescent="0.2"/>
    <row r="143" s="421" customFormat="1" x14ac:dyDescent="0.2"/>
    <row r="144" s="421" customFormat="1" x14ac:dyDescent="0.2"/>
    <row r="145" s="421" customFormat="1" x14ac:dyDescent="0.2"/>
    <row r="146" s="421" customFormat="1" x14ac:dyDescent="0.2"/>
    <row r="147" s="421" customFormat="1" x14ac:dyDescent="0.2"/>
    <row r="148" s="421" customFormat="1" x14ac:dyDescent="0.2"/>
    <row r="149" s="421" customFormat="1" x14ac:dyDescent="0.2"/>
    <row r="150" s="421" customFormat="1" x14ac:dyDescent="0.2"/>
    <row r="151" s="421" customFormat="1" x14ac:dyDescent="0.2"/>
    <row r="152" s="421" customFormat="1" x14ac:dyDescent="0.2"/>
    <row r="153" s="421" customFormat="1" x14ac:dyDescent="0.2"/>
    <row r="154" s="421" customFormat="1" x14ac:dyDescent="0.2"/>
    <row r="155" s="421" customFormat="1" x14ac:dyDescent="0.2"/>
    <row r="156" s="421" customFormat="1" x14ac:dyDescent="0.2"/>
    <row r="157" s="421" customFormat="1" x14ac:dyDescent="0.2"/>
    <row r="158" s="421" customFormat="1" x14ac:dyDescent="0.2"/>
    <row r="159" s="421" customFormat="1" x14ac:dyDescent="0.2"/>
    <row r="160" s="421" customFormat="1" x14ac:dyDescent="0.2"/>
    <row r="161" s="421" customFormat="1" x14ac:dyDescent="0.2"/>
    <row r="162" s="421" customFormat="1" x14ac:dyDescent="0.2"/>
    <row r="163" s="421" customFormat="1" x14ac:dyDescent="0.2"/>
    <row r="164" s="421" customFormat="1" x14ac:dyDescent="0.2"/>
    <row r="165" s="421" customFormat="1" x14ac:dyDescent="0.2"/>
    <row r="166" s="421" customFormat="1" x14ac:dyDescent="0.2"/>
    <row r="167" s="421" customFormat="1" x14ac:dyDescent="0.2"/>
    <row r="168" s="421" customFormat="1" x14ac:dyDescent="0.2"/>
    <row r="169" s="421" customFormat="1" x14ac:dyDescent="0.2"/>
    <row r="170" s="421" customFormat="1" x14ac:dyDescent="0.2"/>
    <row r="171" s="421" customFormat="1" x14ac:dyDescent="0.2"/>
    <row r="172" s="421" customFormat="1" x14ac:dyDescent="0.2"/>
    <row r="173" s="421" customFormat="1" x14ac:dyDescent="0.2"/>
    <row r="174" s="421" customFormat="1" x14ac:dyDescent="0.2"/>
    <row r="175" s="421" customFormat="1" x14ac:dyDescent="0.2"/>
    <row r="176" s="421" customFormat="1" x14ac:dyDescent="0.2"/>
    <row r="177" s="421" customFormat="1" x14ac:dyDescent="0.2"/>
    <row r="178" s="421" customFormat="1" x14ac:dyDescent="0.2"/>
    <row r="179" s="421" customFormat="1" x14ac:dyDescent="0.2"/>
    <row r="180" s="421" customFormat="1" x14ac:dyDescent="0.2"/>
    <row r="181" s="421" customFormat="1" x14ac:dyDescent="0.2"/>
    <row r="182" s="421" customFormat="1" x14ac:dyDescent="0.2"/>
    <row r="183" s="421" customFormat="1" x14ac:dyDescent="0.2"/>
  </sheetData>
  <sheetProtection sheet="1"/>
  <mergeCells count="12">
    <mergeCell ref="B50:G50"/>
    <mergeCell ref="B51:G51"/>
    <mergeCell ref="B52:G52"/>
    <mergeCell ref="B53:G53"/>
    <mergeCell ref="B54:G54"/>
    <mergeCell ref="B55:G55"/>
    <mergeCell ref="G6:G7"/>
    <mergeCell ref="B16:D16"/>
    <mergeCell ref="B46:G46"/>
    <mergeCell ref="B47:G47"/>
    <mergeCell ref="B48:G48"/>
    <mergeCell ref="B49:G49"/>
  </mergeCells>
  <pageMargins left="0.25" right="0.25" top="0.75" bottom="0.75"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8"/>
    <pageSetUpPr fitToPage="1"/>
  </sheetPr>
  <dimension ref="A2:L193"/>
  <sheetViews>
    <sheetView zoomScale="90" zoomScaleNormal="90" workbookViewId="0">
      <selection activeCell="B11" sqref="B11"/>
    </sheetView>
  </sheetViews>
  <sheetFormatPr baseColWidth="10" defaultRowHeight="15" customHeight="1" x14ac:dyDescent="0.2"/>
  <cols>
    <col min="1" max="1" width="34.5703125" style="673" customWidth="1"/>
    <col min="2" max="2" width="10" style="534" customWidth="1"/>
    <col min="3" max="3" width="10.5703125" style="534" customWidth="1"/>
    <col min="4" max="4" width="3.140625" style="459" customWidth="1"/>
    <col min="5" max="5" width="33.5703125" style="459" customWidth="1"/>
    <col min="6" max="6" width="12.7109375" style="459" customWidth="1"/>
    <col min="7" max="7" width="12" style="459" customWidth="1"/>
    <col min="8" max="8" width="7" style="459" customWidth="1"/>
    <col min="9" max="9" width="11.42578125" style="459"/>
    <col min="10" max="10" width="11.42578125" style="880"/>
    <col min="11" max="11" width="6.28515625" style="667" customWidth="1"/>
    <col min="12" max="16384" width="11.42578125" style="459"/>
  </cols>
  <sheetData>
    <row r="2" spans="1:12" ht="18" x14ac:dyDescent="0.2">
      <c r="A2" s="675"/>
      <c r="C2" s="500"/>
    </row>
    <row r="3" spans="1:12" ht="12.75" x14ac:dyDescent="0.2"/>
    <row r="4" spans="1:12" ht="23.25" customHeight="1" x14ac:dyDescent="0.2">
      <c r="B4" s="556"/>
      <c r="E4" s="676"/>
      <c r="G4" s="677" t="s">
        <v>652</v>
      </c>
      <c r="H4" s="678">
        <f>DATEVER</f>
        <v>41760</v>
      </c>
      <c r="L4" s="679"/>
    </row>
    <row r="5" spans="1:12" ht="16.5" x14ac:dyDescent="0.2">
      <c r="A5" s="680" t="str">
        <f>IF(EXP&lt;&gt;"",EXP,"")</f>
        <v>EARL BEL EPI</v>
      </c>
      <c r="B5" s="681" t="s">
        <v>653</v>
      </c>
      <c r="C5" s="682" t="s">
        <v>654</v>
      </c>
      <c r="E5" s="683" t="s">
        <v>655</v>
      </c>
      <c r="F5" s="685"/>
      <c r="G5" s="685"/>
      <c r="H5" s="686"/>
    </row>
    <row r="6" spans="1:12" ht="33.75" customHeight="1" x14ac:dyDescent="0.2">
      <c r="A6" s="687" t="str">
        <f>CONCATENATE("Campagne : ",CAMP)</f>
        <v>Campagne : 2013</v>
      </c>
      <c r="B6" s="688" t="s">
        <v>656</v>
      </c>
      <c r="C6" s="852" t="str">
        <f>'Edition éleveur'!C6</f>
        <v>Rosace lait 6M</v>
      </c>
      <c r="E6" s="690" t="str">
        <f>IF(HLOOKUP($C$6,refdata,1,0)&lt;&gt;0,HLOOKUP($C$6,refdata,1,0),"")</f>
        <v>Rosace lait 6M</v>
      </c>
      <c r="F6" s="692">
        <f>HLOOKUP($C$6,refdata,3,0)</f>
        <v>0</v>
      </c>
      <c r="G6" s="693" t="s">
        <v>758</v>
      </c>
      <c r="H6" s="881">
        <f>HLOOKUP($C$6,refdata,2,0)</f>
        <v>2013</v>
      </c>
    </row>
    <row r="7" spans="1:12" ht="16.5" customHeight="1" x14ac:dyDescent="0.2">
      <c r="A7" s="463" t="s">
        <v>659</v>
      </c>
      <c r="B7" s="577"/>
      <c r="C7" s="577"/>
    </row>
    <row r="8" spans="1:12" ht="12.75" hidden="1" customHeight="1" x14ac:dyDescent="0.2">
      <c r="A8" s="463"/>
      <c r="B8" s="577"/>
      <c r="C8" s="577"/>
    </row>
    <row r="9" spans="1:12" s="49" customFormat="1" ht="16.5" customHeight="1" x14ac:dyDescent="0.2">
      <c r="A9" s="697" t="s">
        <v>661</v>
      </c>
      <c r="B9" s="698">
        <f>B41+B36+B10</f>
        <v>507.97336340857942</v>
      </c>
      <c r="C9" s="698">
        <f>HLOOKUP($C$6,refdata,4,0)</f>
        <v>419.55203266504299</v>
      </c>
      <c r="E9" s="882" t="s">
        <v>759</v>
      </c>
      <c r="F9" s="883"/>
      <c r="G9" s="883"/>
      <c r="H9" s="884"/>
      <c r="J9" s="885"/>
      <c r="K9" s="48"/>
    </row>
    <row r="10" spans="1:12" s="706" customFormat="1" ht="24.75" customHeight="1" x14ac:dyDescent="0.2">
      <c r="A10" s="886" t="s">
        <v>760</v>
      </c>
      <c r="B10" s="887">
        <f>B11+B14+B18+B21+B27+B31</f>
        <v>367.77406210861744</v>
      </c>
      <c r="C10" s="887">
        <f>HLOOKUP($C$6,refdata,5,0)</f>
        <v>290.02492124450202</v>
      </c>
      <c r="E10" s="888" t="s">
        <v>761</v>
      </c>
      <c r="F10" s="889">
        <f>B9-B44-B49-B52-B51</f>
        <v>382.82124980956826</v>
      </c>
      <c r="G10" s="890">
        <f>C9-C44-C49-C52-C51</f>
        <v>318.91591911982988</v>
      </c>
      <c r="H10" s="891">
        <f>IF(G10&lt;&gt;"",(F10-G10)/G10,"")</f>
        <v>0.20038300648681795</v>
      </c>
      <c r="J10" s="892"/>
      <c r="K10" s="48"/>
    </row>
    <row r="11" spans="1:12" s="706" customFormat="1" ht="24" x14ac:dyDescent="0.2">
      <c r="A11" s="704" t="s">
        <v>762</v>
      </c>
      <c r="B11" s="705">
        <f>B12+B13</f>
        <v>126.70355318350227</v>
      </c>
      <c r="C11" s="705">
        <f>HLOOKUP($C$6,refdata,6,0)</f>
        <v>71.6612121502978</v>
      </c>
      <c r="E11" s="893" t="s">
        <v>763</v>
      </c>
      <c r="F11" s="894">
        <f>B44/1.5</f>
        <v>45.3019610405183</v>
      </c>
      <c r="G11" s="890">
        <f>C44/1.5</f>
        <v>41.720694054296665</v>
      </c>
      <c r="H11" s="891">
        <f>IF(G11&lt;&gt;"",(F11-G11)/G11,"")</f>
        <v>8.5839103768524522E-2</v>
      </c>
      <c r="J11" s="892"/>
      <c r="K11" s="48"/>
    </row>
    <row r="12" spans="1:12" s="706" customFormat="1" ht="28.5" customHeight="1" x14ac:dyDescent="0.2">
      <c r="A12" s="452" t="s">
        <v>764</v>
      </c>
      <c r="B12" s="712">
        <f>Calcul!C36/LCB</f>
        <v>117.23982220481267</v>
      </c>
      <c r="C12" s="713">
        <f>HLOOKUP($C$6,refdata,7,0)</f>
        <v>71.6612121502978</v>
      </c>
      <c r="E12" s="895" t="s">
        <v>765</v>
      </c>
      <c r="F12" s="896">
        <f>B54+B55</f>
        <v>26.100664717475865</v>
      </c>
      <c r="G12" s="897">
        <f>C54+C55</f>
        <v>42.7747932988743</v>
      </c>
      <c r="H12" s="898">
        <f>IF(G12&lt;&gt;"",(F12-G12)/G12,"")</f>
        <v>-0.38981202001126319</v>
      </c>
      <c r="J12" s="892"/>
      <c r="K12" s="48"/>
    </row>
    <row r="13" spans="1:12" s="706" customFormat="1" ht="22.5" x14ac:dyDescent="0.2">
      <c r="A13" s="452" t="s">
        <v>183</v>
      </c>
      <c r="B13" s="712">
        <f>Calcul!C37/LCB</f>
        <v>9.463730978689604</v>
      </c>
      <c r="C13" s="713">
        <f>HLOOKUP($C$6,refdata,8,0)</f>
        <v>0</v>
      </c>
      <c r="E13" s="899" t="s">
        <v>766</v>
      </c>
      <c r="F13" s="900">
        <f>Calcul!B29*UMOnsBL/UMOns/LCB</f>
        <v>48.067492250964349</v>
      </c>
      <c r="G13" s="901">
        <f>HLOOKUP($C$6,refdata,64,0)</f>
        <v>59.249880718741899</v>
      </c>
      <c r="H13" s="902">
        <f>IF(G13&lt;&gt;"",(F13-G13)/G13,"")</f>
        <v>-0.18873267476875005</v>
      </c>
      <c r="J13" s="892"/>
      <c r="K13" s="48"/>
    </row>
    <row r="14" spans="1:12" s="706" customFormat="1" ht="12.75" x14ac:dyDescent="0.2">
      <c r="A14" s="704" t="s">
        <v>666</v>
      </c>
      <c r="B14" s="705">
        <f>B15+B16+B17</f>
        <v>22.063590744275356</v>
      </c>
      <c r="C14" s="705">
        <f>HLOOKUP($C$6,refdata,9,0)</f>
        <v>33.962630566524403</v>
      </c>
      <c r="J14" s="892"/>
      <c r="K14" s="48"/>
    </row>
    <row r="15" spans="1:12" s="706" customFormat="1" x14ac:dyDescent="0.2">
      <c r="A15" s="452" t="s">
        <v>187</v>
      </c>
      <c r="B15" s="712">
        <f>(Calcul!C39+Calcul!F39)/LCB</f>
        <v>10.93904789076894</v>
      </c>
      <c r="C15" s="713">
        <f>HLOOKUP($C$6,refdata,10,0)</f>
        <v>14.4543622548626</v>
      </c>
      <c r="E15" s="875" t="s">
        <v>767</v>
      </c>
      <c r="F15" s="903"/>
      <c r="G15" s="904"/>
      <c r="H15" s="904"/>
      <c r="J15" s="892"/>
      <c r="K15" s="48"/>
    </row>
    <row r="16" spans="1:12" s="49" customFormat="1" ht="24" x14ac:dyDescent="0.2">
      <c r="A16" s="452" t="s">
        <v>191</v>
      </c>
      <c r="B16" s="712">
        <f>(Calcul!C40+Calcul!F40)/LCB</f>
        <v>4.5584139277039251</v>
      </c>
      <c r="C16" s="713">
        <f>HLOOKUP($C$6,refdata,11,0)</f>
        <v>9.6480359154863002</v>
      </c>
      <c r="E16" s="905" t="s">
        <v>768</v>
      </c>
      <c r="F16" s="906">
        <v>1.5</v>
      </c>
      <c r="G16" s="907">
        <f>F16</f>
        <v>1.5</v>
      </c>
      <c r="H16" s="908"/>
      <c r="J16" s="885"/>
      <c r="K16" s="48"/>
    </row>
    <row r="17" spans="1:11" s="706" customFormat="1" ht="24" x14ac:dyDescent="0.2">
      <c r="A17" s="452" t="s">
        <v>193</v>
      </c>
      <c r="B17" s="712">
        <f>(Calcul!C41+Calcul!F41)/LCB</f>
        <v>6.5661289258024915</v>
      </c>
      <c r="C17" s="713">
        <f>HLOOKUP($C$6,refdata,12,0)</f>
        <v>9.8602323961755101</v>
      </c>
      <c r="D17" s="49"/>
      <c r="E17" s="909" t="str">
        <f>"Prix pour "&amp;$F$16&amp;" SMIC hors aides découplées et 2° pilier"</f>
        <v>Prix pour 1,5 SMIC hors aides découplées et 2° pilier</v>
      </c>
      <c r="F17" s="910">
        <f>$B$9-$B$44+($F$11*$F$16)-$B$49-$B$52-B51</f>
        <v>450.7741913703457</v>
      </c>
      <c r="G17" s="911">
        <f>$C$9-$C$44+($G$11*$F$16)-$C$49-$C$52</f>
        <v>381.49696020127487</v>
      </c>
      <c r="H17" s="902">
        <f>IF(G17&lt;&gt;"",(F17-G17)/G17,"")</f>
        <v>0.18159314069637852</v>
      </c>
      <c r="J17" s="892"/>
      <c r="K17" s="48"/>
    </row>
    <row r="18" spans="1:11" s="49" customFormat="1" ht="24" x14ac:dyDescent="0.2">
      <c r="A18" s="704" t="s">
        <v>609</v>
      </c>
      <c r="B18" s="705">
        <f>B19+B20</f>
        <v>37.116377504665223</v>
      </c>
      <c r="C18" s="705">
        <f>HLOOKUP($C$6,refdata,13,0)</f>
        <v>46.3686894925305</v>
      </c>
      <c r="E18" s="912" t="str">
        <f>"Prix pour "&amp;$F$16&amp;" SMIC avec aides réparties par ha de SAU"</f>
        <v>Prix pour 1,5 SMIC avec aides réparties par ha de SAU</v>
      </c>
      <c r="F18" s="913">
        <f>$B$9-$B$44+($F$11*$F$16)-$B$49-B51-$B$52-F12</f>
        <v>424.67352665286984</v>
      </c>
      <c r="G18" s="914">
        <f>$C$9-$C$44+($G$11*$F$16)-$C$49-$C$52-$G$12-C50</f>
        <v>338.72216690240055</v>
      </c>
      <c r="H18" s="902">
        <f>IF(G18&lt;&gt;"",(F18-G18)/G18,"")</f>
        <v>0.25375180058775232</v>
      </c>
      <c r="J18" s="885"/>
      <c r="K18" s="48"/>
    </row>
    <row r="19" spans="1:11" s="49" customFormat="1" ht="24" x14ac:dyDescent="0.2">
      <c r="A19" s="452" t="s">
        <v>196</v>
      </c>
      <c r="B19" s="712">
        <f>Calcul!C43/LCB</f>
        <v>7.1746451440913575</v>
      </c>
      <c r="C19" s="713">
        <f>HLOOKUP($C$6,refdata,14,0)</f>
        <v>13.0084395534001</v>
      </c>
      <c r="E19" s="905" t="str">
        <f>"Prix pour "&amp;$F$16&amp;" SMIC avec aides réparties par UMO"</f>
        <v>Prix pour 1,5 SMIC avec aides réparties par UMO</v>
      </c>
      <c r="F19" s="915">
        <f>$B$9-$B$44+($F$11*$F$16)-$B$49-$B$52-F13-B51</f>
        <v>402.70669911938137</v>
      </c>
      <c r="G19" s="916">
        <f>$C$9-$C$44+($G$11*$F$16)-$C$49-$C$52-G13-C51</f>
        <v>322.24707948253297</v>
      </c>
      <c r="H19" s="902">
        <f>IF(G19&lt;&gt;"",(F19-G19)/G19,"")</f>
        <v>0.24968300648698236</v>
      </c>
      <c r="J19" s="885"/>
      <c r="K19" s="48"/>
    </row>
    <row r="20" spans="1:11" s="49" customFormat="1" ht="12.75" x14ac:dyDescent="0.2">
      <c r="A20" s="452" t="s">
        <v>200</v>
      </c>
      <c r="B20" s="712">
        <f>Calcul!C44/LCB</f>
        <v>29.941732360573866</v>
      </c>
      <c r="C20" s="713">
        <f>HLOOKUP($C$6,refdata,15,0)</f>
        <v>33.360249939130398</v>
      </c>
      <c r="E20" s="917"/>
      <c r="F20" s="918"/>
      <c r="G20" s="918"/>
      <c r="H20" s="919"/>
      <c r="J20" s="885"/>
      <c r="K20" s="48"/>
    </row>
    <row r="21" spans="1:11" s="49" customFormat="1" ht="12.75" x14ac:dyDescent="0.2">
      <c r="A21" s="704" t="s">
        <v>769</v>
      </c>
      <c r="B21" s="705">
        <f>B22+B23+B24+B25</f>
        <v>60.759283054818411</v>
      </c>
      <c r="C21" s="705">
        <f>HLOOKUP($C$6,refdata,17,0)</f>
        <v>51.518126197998598</v>
      </c>
      <c r="E21" s="920"/>
      <c r="F21" s="921"/>
      <c r="G21" s="921"/>
      <c r="H21" s="922"/>
      <c r="J21" s="885"/>
      <c r="K21" s="48"/>
    </row>
    <row r="22" spans="1:11" s="49" customFormat="1" ht="12.75" x14ac:dyDescent="0.2">
      <c r="A22" s="452" t="s">
        <v>261</v>
      </c>
      <c r="B22" s="712">
        <f>(Calcul!C46+Calcul!F46+Calcul!C47+Calcul!F47)/LCB</f>
        <v>26.088478989799853</v>
      </c>
      <c r="C22" s="713">
        <f>HLOOKUP($C$6,refdata,18,0)</f>
        <v>14.194614043448301</v>
      </c>
      <c r="E22" s="920"/>
      <c r="F22" s="921"/>
      <c r="G22" s="921"/>
      <c r="H22" s="922"/>
      <c r="J22" s="885"/>
      <c r="K22" s="48"/>
    </row>
    <row r="23" spans="1:11" s="49" customFormat="1" ht="12.75" x14ac:dyDescent="0.2">
      <c r="A23" s="452" t="s">
        <v>216</v>
      </c>
      <c r="B23" s="712">
        <f>(Calcul!C48+Calcul!F48)/LCB</f>
        <v>17.604217967760945</v>
      </c>
      <c r="C23" s="713">
        <f>HLOOKUP($C$6,refdata,19,0)</f>
        <v>20.151625868839101</v>
      </c>
      <c r="E23" s="920"/>
      <c r="F23" s="921"/>
      <c r="G23" s="921"/>
      <c r="H23" s="922"/>
      <c r="J23" s="885"/>
      <c r="K23" s="48"/>
    </row>
    <row r="24" spans="1:11" s="49" customFormat="1" ht="12.75" x14ac:dyDescent="0.2">
      <c r="A24" s="452" t="s">
        <v>218</v>
      </c>
      <c r="B24" s="712">
        <f>(Calcul!C49+Calcul!F49)/LCB</f>
        <v>15.002939925517646</v>
      </c>
      <c r="C24" s="713">
        <f>HLOOKUP($C$6,refdata,20,0)</f>
        <v>17.171886285711199</v>
      </c>
      <c r="E24" s="780"/>
      <c r="F24" s="781"/>
      <c r="G24" s="781"/>
      <c r="H24" s="923"/>
      <c r="J24" s="885"/>
      <c r="K24" s="48"/>
    </row>
    <row r="25" spans="1:11" s="49" customFormat="1" ht="12.95" customHeight="1" x14ac:dyDescent="0.2">
      <c r="A25" s="452" t="s">
        <v>770</v>
      </c>
      <c r="B25" s="712">
        <f>(Calcul!C50+Calcul!F50)/LCB</f>
        <v>2.063646171739971</v>
      </c>
      <c r="C25" s="713" t="str">
        <f>IF(HLOOKUP($C$6,refdata,21,0)=0,"",HLOOKUP($C$6,refdata,21,0))</f>
        <v/>
      </c>
      <c r="E25" s="1548" t="s">
        <v>771</v>
      </c>
      <c r="F25" s="1548"/>
      <c r="G25" s="1548"/>
      <c r="H25" s="1548"/>
      <c r="J25" s="885"/>
      <c r="K25" s="48"/>
    </row>
    <row r="26" spans="1:11" ht="12.75" x14ac:dyDescent="0.2">
      <c r="A26" s="755" t="s">
        <v>772</v>
      </c>
      <c r="B26" s="712">
        <f>(Calcul!C51+Calcul!F51)/LCB</f>
        <v>0</v>
      </c>
      <c r="C26" s="713"/>
      <c r="D26" s="49"/>
      <c r="E26" s="1548"/>
      <c r="F26" s="1548"/>
      <c r="G26" s="1548"/>
      <c r="H26" s="1548"/>
    </row>
    <row r="27" spans="1:11" x14ac:dyDescent="0.2">
      <c r="A27" s="704" t="s">
        <v>773</v>
      </c>
      <c r="B27" s="761">
        <f>B28+B29+B30</f>
        <v>10.506750392521319</v>
      </c>
      <c r="C27" s="761">
        <f>HLOOKUP($C$6,refdata,22,0)</f>
        <v>13.3551345401691</v>
      </c>
      <c r="E27" s="924"/>
      <c r="F27" s="679"/>
      <c r="G27" s="679"/>
      <c r="H27" s="925"/>
    </row>
    <row r="28" spans="1:11" ht="12.75" x14ac:dyDescent="0.2">
      <c r="A28" s="452" t="s">
        <v>223</v>
      </c>
      <c r="B28" s="712">
        <f>(Calcul!C53+Calcul!F53)/LCB</f>
        <v>3.3035211320583859</v>
      </c>
      <c r="C28" s="713" t="str">
        <f>IF(HLOOKUP($C$6,refdata,23,0)=0,"",HLOOKUP($C$6,refdata,23,0))</f>
        <v/>
      </c>
      <c r="E28" s="924"/>
      <c r="F28" s="679"/>
      <c r="G28" s="679"/>
      <c r="H28" s="925"/>
    </row>
    <row r="29" spans="1:11" ht="12.75" x14ac:dyDescent="0.2">
      <c r="A29" s="452" t="s">
        <v>224</v>
      </c>
      <c r="B29" s="712">
        <f>(Calcul!C54+Calcul!F54)/LCB</f>
        <v>7.2032292604629324</v>
      </c>
      <c r="C29" s="713">
        <f>HLOOKUP($C$6,refdata,24,0)</f>
        <v>11.7275595049532</v>
      </c>
      <c r="E29" s="924"/>
      <c r="F29" s="679"/>
      <c r="G29" s="679"/>
      <c r="H29" s="925"/>
    </row>
    <row r="30" spans="1:11" ht="12.75" x14ac:dyDescent="0.2">
      <c r="A30" s="452" t="s">
        <v>227</v>
      </c>
      <c r="B30" s="712">
        <f>(Calcul!C55+Calcul!F55)/LCB</f>
        <v>0</v>
      </c>
      <c r="C30" s="713">
        <f>HLOOKUP($C$6,refdata,25,0)</f>
        <v>1.62757503521587</v>
      </c>
      <c r="E30" s="924"/>
      <c r="F30" s="679"/>
      <c r="G30" s="679"/>
      <c r="H30" s="925"/>
    </row>
    <row r="31" spans="1:11" x14ac:dyDescent="0.2">
      <c r="A31" s="704" t="s">
        <v>612</v>
      </c>
      <c r="B31" s="761">
        <f>B32+B33+B34+B35</f>
        <v>110.6245072288349</v>
      </c>
      <c r="C31" s="761">
        <f>HLOOKUP($C$6,refdata,26,0)</f>
        <v>73.159128296981507</v>
      </c>
      <c r="E31" s="924"/>
      <c r="F31" s="679"/>
      <c r="G31" s="679"/>
      <c r="H31" s="925"/>
    </row>
    <row r="32" spans="1:11" ht="12.75" x14ac:dyDescent="0.2">
      <c r="A32" s="452" t="s">
        <v>230</v>
      </c>
      <c r="B32" s="712">
        <f>(Calcul!C57+Calcul!F57)/LCB</f>
        <v>23.720496644378152</v>
      </c>
      <c r="C32" s="713">
        <f>HLOOKUP($C$6,refdata,27,0)</f>
        <v>18.4603812038659</v>
      </c>
      <c r="E32" s="924"/>
      <c r="F32" s="679"/>
      <c r="G32" s="679"/>
      <c r="H32" s="925"/>
    </row>
    <row r="33" spans="1:11" ht="12.75" x14ac:dyDescent="0.2">
      <c r="A33" s="452" t="s">
        <v>613</v>
      </c>
      <c r="B33" s="712">
        <f>(Calcul!C58+Calcul!F58)/LCB</f>
        <v>10.938069901761029</v>
      </c>
      <c r="C33" s="713">
        <f>HLOOKUP($C$6,refdata,28,0)</f>
        <v>14.9790768262126</v>
      </c>
      <c r="E33" s="924"/>
      <c r="F33" s="679"/>
      <c r="G33" s="679"/>
      <c r="H33" s="925"/>
    </row>
    <row r="34" spans="1:11" ht="12.75" x14ac:dyDescent="0.2">
      <c r="A34" s="452" t="s">
        <v>236</v>
      </c>
      <c r="B34" s="712">
        <f>(Calcul!C59+Calcul!F59)/LCB</f>
        <v>56.174949871095322</v>
      </c>
      <c r="C34" s="713">
        <f>HLOOKUP($C$6,refdata,29,0)</f>
        <v>30.210190132377299</v>
      </c>
      <c r="E34" s="924"/>
      <c r="F34" s="679"/>
      <c r="G34" s="679"/>
      <c r="H34" s="925"/>
    </row>
    <row r="35" spans="1:11" ht="12.75" x14ac:dyDescent="0.2">
      <c r="A35" s="452" t="s">
        <v>239</v>
      </c>
      <c r="B35" s="712">
        <f>(Calcul!C60+Calcul!F60)/LCB</f>
        <v>19.790990811600391</v>
      </c>
      <c r="C35" s="713">
        <f>HLOOKUP($C$6,refdata,30,0)</f>
        <v>9.5094801345257896</v>
      </c>
      <c r="E35" s="924"/>
      <c r="F35" s="679"/>
      <c r="G35" s="679"/>
      <c r="H35" s="925"/>
    </row>
    <row r="36" spans="1:11" x14ac:dyDescent="0.2">
      <c r="A36" s="886" t="s">
        <v>774</v>
      </c>
      <c r="B36" s="887">
        <f>B37+B38</f>
        <v>67.06147978621739</v>
      </c>
      <c r="C36" s="887">
        <f>HLOOKUP($C$6,refdata,31,0)</f>
        <v>60.606416916078601</v>
      </c>
      <c r="E36" s="924"/>
      <c r="F36" s="679"/>
      <c r="G36" s="679"/>
      <c r="H36" s="925"/>
    </row>
    <row r="37" spans="1:11" ht="12.75" x14ac:dyDescent="0.2">
      <c r="A37" s="452" t="s">
        <v>615</v>
      </c>
      <c r="B37" s="712">
        <f>(Calcul!C62+Calcul!F62)/LCB</f>
        <v>29.575774354632625</v>
      </c>
      <c r="C37" s="713">
        <f>HLOOKUP($C$6,refdata,32,0)</f>
        <v>30.946763028087101</v>
      </c>
      <c r="E37" s="924"/>
      <c r="F37" s="679"/>
      <c r="G37" s="679"/>
      <c r="H37" s="925"/>
    </row>
    <row r="38" spans="1:11" ht="12.75" x14ac:dyDescent="0.2">
      <c r="A38" s="452" t="s">
        <v>684</v>
      </c>
      <c r="B38" s="712">
        <f>(Calcul!C63+Calcul!F63)/LCB</f>
        <v>37.485705431584762</v>
      </c>
      <c r="C38" s="713">
        <f>HLOOKUP($C$6,refdata,33,0)</f>
        <v>29.659653887991499</v>
      </c>
      <c r="E38" s="924"/>
      <c r="F38" s="679"/>
      <c r="G38" s="679"/>
      <c r="H38" s="925"/>
    </row>
    <row r="39" spans="1:11" ht="12.75" x14ac:dyDescent="0.2">
      <c r="A39" s="452" t="s">
        <v>775</v>
      </c>
      <c r="B39" s="712">
        <f>'Edition éleveur'!B40</f>
        <v>0</v>
      </c>
      <c r="C39" s="713"/>
      <c r="E39" s="924"/>
      <c r="F39" s="679"/>
      <c r="G39" s="679"/>
      <c r="H39" s="925"/>
    </row>
    <row r="40" spans="1:11" ht="12.75" x14ac:dyDescent="0.2">
      <c r="A40" s="452" t="s">
        <v>415</v>
      </c>
      <c r="B40" s="712">
        <f>'Edition éleveur'!B36</f>
        <v>0</v>
      </c>
      <c r="C40" s="713"/>
      <c r="E40" s="924"/>
      <c r="F40" s="679"/>
      <c r="G40" s="679"/>
      <c r="H40" s="925"/>
    </row>
    <row r="41" spans="1:11" x14ac:dyDescent="0.2">
      <c r="A41" s="886" t="s">
        <v>776</v>
      </c>
      <c r="B41" s="887">
        <f>B42+B43+B44</f>
        <v>73.137821513744584</v>
      </c>
      <c r="C41" s="887">
        <f>HLOOKUP($C$6,refdata,34,0)</f>
        <v>68.920694504462205</v>
      </c>
      <c r="E41" s="924"/>
      <c r="F41" s="679"/>
      <c r="G41" s="679"/>
      <c r="H41" s="925"/>
    </row>
    <row r="42" spans="1:11" ht="12.75" x14ac:dyDescent="0.2">
      <c r="A42" s="452" t="s">
        <v>618</v>
      </c>
      <c r="B42" s="926">
        <f>(Calcul!C67+Calcul!F67)/LCB</f>
        <v>0</v>
      </c>
      <c r="C42" s="860">
        <f>HLOOKUP($C$6,refdata,35,0)</f>
        <v>0</v>
      </c>
      <c r="E42" s="924"/>
      <c r="F42" s="679"/>
      <c r="G42" s="679"/>
      <c r="H42" s="925"/>
    </row>
    <row r="43" spans="1:11" ht="12.75" x14ac:dyDescent="0.2">
      <c r="A43" s="927" t="s">
        <v>619</v>
      </c>
      <c r="B43" s="747">
        <f>(Calcul!C68+Calcul!F68)/LCB</f>
        <v>5.1848799529671394</v>
      </c>
      <c r="C43" s="748">
        <f>HLOOKUP($C$6,refdata,36,0)</f>
        <v>6.3396534230171904</v>
      </c>
      <c r="E43" s="924"/>
      <c r="F43" s="679"/>
      <c r="G43" s="679"/>
      <c r="H43" s="925"/>
    </row>
    <row r="44" spans="1:11" s="49" customFormat="1" ht="12.75" x14ac:dyDescent="0.2">
      <c r="A44" s="928" t="s">
        <v>711</v>
      </c>
      <c r="B44" s="747">
        <f>(Calcul!C69+Calcul!F69)/LCB</f>
        <v>67.952941560777447</v>
      </c>
      <c r="C44" s="748">
        <f>HLOOKUP($C$6,refdata,37,0)</f>
        <v>62.581041081445001</v>
      </c>
      <c r="D44" s="459"/>
      <c r="E44" s="929"/>
      <c r="F44" s="731"/>
      <c r="G44" s="731"/>
      <c r="H44" s="930"/>
      <c r="J44" s="885"/>
      <c r="K44" s="48"/>
    </row>
    <row r="45" spans="1:11" s="45" customFormat="1" ht="13.5" customHeight="1" x14ac:dyDescent="0.2">
      <c r="A45" s="931" t="s">
        <v>712</v>
      </c>
      <c r="B45" s="932">
        <f>MSABL/LCB</f>
        <v>21.707996735666537</v>
      </c>
      <c r="C45" s="933">
        <f>HLOOKUP($C$6,refdata,38,0)</f>
        <v>23.893707317557599</v>
      </c>
      <c r="D45" s="49"/>
      <c r="E45" s="934"/>
      <c r="F45" s="935"/>
      <c r="G45" s="935"/>
      <c r="H45" s="936"/>
      <c r="J45" s="937"/>
      <c r="K45" s="9"/>
    </row>
    <row r="46" spans="1:11" ht="12.75" x14ac:dyDescent="0.2">
      <c r="D46" s="45"/>
      <c r="E46" s="679"/>
      <c r="F46" s="679"/>
      <c r="G46" s="679"/>
      <c r="H46" s="679"/>
    </row>
    <row r="47" spans="1:11" s="788" customFormat="1" x14ac:dyDescent="0.2">
      <c r="A47" s="938" t="s">
        <v>713</v>
      </c>
      <c r="B47" s="939">
        <f>B48+B49+B52+B53+B51</f>
        <v>442.21983675570965</v>
      </c>
      <c r="C47" s="940">
        <f>HLOOKUP($C$6,refdata,39,0)</f>
        <v>440.50096503397799</v>
      </c>
      <c r="D47" s="459"/>
      <c r="E47" s="1549" t="s">
        <v>777</v>
      </c>
      <c r="F47" s="1549"/>
      <c r="G47" s="1549"/>
      <c r="H47" s="1549"/>
      <c r="J47" s="941"/>
      <c r="K47" s="942"/>
    </row>
    <row r="48" spans="1:11" s="14" customFormat="1" ht="14.25" x14ac:dyDescent="0.2">
      <c r="A48" s="798" t="s">
        <v>778</v>
      </c>
      <c r="B48" s="799">
        <f>PML</f>
        <v>358.92000000000007</v>
      </c>
      <c r="C48" s="800">
        <f>'Edition éleveur'!C49</f>
        <v>359.671099271336</v>
      </c>
      <c r="D48" s="788"/>
      <c r="J48" s="943"/>
      <c r="K48" s="943"/>
    </row>
    <row r="49" spans="1:11" s="20" customFormat="1" ht="12.75" x14ac:dyDescent="0.2">
      <c r="A49" s="801" t="s">
        <v>779</v>
      </c>
      <c r="B49" s="802">
        <f>'Edition éleveur'!B50</f>
        <v>44.884035972514653</v>
      </c>
      <c r="C49" s="803">
        <f>HLOOKUP($C$6,refdata,41,0)</f>
        <v>38.055072463768099</v>
      </c>
      <c r="D49" s="14"/>
      <c r="E49" s="944" t="s">
        <v>780</v>
      </c>
      <c r="F49" s="945">
        <f>B47</f>
        <v>442.21983675570965</v>
      </c>
      <c r="G49" s="946">
        <f>HLOOKUP($C$6,refdata,51,0)</f>
        <v>440.50096503397799</v>
      </c>
      <c r="H49" s="947">
        <f t="shared" ref="H49:H55" si="0">IF(G49&lt;&gt;"",(F49-G49)/G49,"")</f>
        <v>3.9020838957732461E-3</v>
      </c>
      <c r="J49" s="948"/>
      <c r="K49" s="948"/>
    </row>
    <row r="50" spans="1:11" s="20" customFormat="1" ht="12.75" x14ac:dyDescent="0.2">
      <c r="A50" s="949" t="s">
        <v>716</v>
      </c>
      <c r="B50" s="812">
        <f>ANIBL/LCB</f>
        <v>0</v>
      </c>
      <c r="C50" s="950">
        <f>HLOOKUP($C$6,refdata,42,0)</f>
        <v>0</v>
      </c>
      <c r="E50" s="143" t="s">
        <v>781</v>
      </c>
      <c r="F50" s="951">
        <f>B11+B14+B18</f>
        <v>185.88352143244285</v>
      </c>
      <c r="G50" s="952">
        <f>HLOOKUP($C$6,refdata,52,0)</f>
        <v>151.99253220935299</v>
      </c>
      <c r="H50" s="953">
        <f t="shared" si="0"/>
        <v>0.22297798931600635</v>
      </c>
      <c r="J50" s="948"/>
      <c r="K50" s="948"/>
    </row>
    <row r="51" spans="1:11" s="20" customFormat="1" ht="12.75" x14ac:dyDescent="0.2">
      <c r="A51" s="798" t="s">
        <v>717</v>
      </c>
      <c r="B51" s="799">
        <f>'Edition éleveur'!B52</f>
        <v>12.315136065719081</v>
      </c>
      <c r="C51" s="800">
        <f>HLOOKUP($C$6,refdata,43,0)</f>
        <v>0</v>
      </c>
      <c r="E51" s="88" t="s">
        <v>782</v>
      </c>
      <c r="F51" s="951">
        <f>B21+B27+B31-B35+B45+IF/LCB</f>
        <v>183.80754660024078</v>
      </c>
      <c r="G51" s="952">
        <f>HLOOKUP($C$6,refdata,53,0)</f>
        <v>152.41661621818099</v>
      </c>
      <c r="H51" s="953">
        <f t="shared" si="0"/>
        <v>0.20595477816620975</v>
      </c>
      <c r="J51" s="948"/>
      <c r="K51" s="948"/>
    </row>
    <row r="52" spans="1:11" s="20" customFormat="1" ht="12.75" x14ac:dyDescent="0.2">
      <c r="A52" s="954" t="s">
        <v>593</v>
      </c>
      <c r="B52" s="747">
        <f>'Edition éleveur'!B54</f>
        <v>0</v>
      </c>
      <c r="C52" s="748">
        <f>HLOOKUP($C$6,refdata,44,0)</f>
        <v>0</v>
      </c>
      <c r="E52" s="239" t="s">
        <v>783</v>
      </c>
      <c r="F52" s="955">
        <f>F49-F50-F51</f>
        <v>72.528768723026047</v>
      </c>
      <c r="G52" s="946">
        <f>HLOOKUP($C$6,refdata,54,0)</f>
        <v>136.09181660644501</v>
      </c>
      <c r="H52" s="956">
        <f t="shared" si="0"/>
        <v>-0.4670600295330965</v>
      </c>
      <c r="J52" s="948"/>
      <c r="K52" s="948"/>
    </row>
    <row r="53" spans="1:11" s="20" customFormat="1" ht="14.25" customHeight="1" x14ac:dyDescent="0.2">
      <c r="A53" s="957" t="s">
        <v>784</v>
      </c>
      <c r="B53" s="747">
        <f>B54+B55</f>
        <v>26.100664717475865</v>
      </c>
      <c r="C53" s="748">
        <f>C54+C55</f>
        <v>42.7747932988743</v>
      </c>
      <c r="E53" s="292" t="s">
        <v>785</v>
      </c>
      <c r="F53" s="951">
        <f>B35+(Calcul!C76+Calcul!F76)/LCB</f>
        <v>99.976880995297236</v>
      </c>
      <c r="G53" s="952">
        <f>HLOOKUP($C$6,refdata,55,0)</f>
        <v>63.396534230171902</v>
      </c>
      <c r="H53" s="953">
        <f t="shared" si="0"/>
        <v>0.57700862057086844</v>
      </c>
      <c r="J53" s="948"/>
      <c r="K53" s="948"/>
    </row>
    <row r="54" spans="1:11" s="20" customFormat="1" ht="12.75" x14ac:dyDescent="0.2">
      <c r="A54" s="810" t="s">
        <v>720</v>
      </c>
      <c r="B54" s="805">
        <f>'Edition éleveur'!B56</f>
        <v>0</v>
      </c>
      <c r="C54" s="813">
        <f>HLOOKUP($C$6,refdata,45,0)</f>
        <v>0</v>
      </c>
      <c r="E54" s="958" t="s">
        <v>786</v>
      </c>
      <c r="F54" s="955">
        <f>F52-F53</f>
        <v>-27.448112272271189</v>
      </c>
      <c r="G54" s="946">
        <f>HLOOKUP($C$6,refdata,56,0)</f>
        <v>72.695282376272701</v>
      </c>
      <c r="H54" s="956">
        <f t="shared" si="0"/>
        <v>-1.3775776278053236</v>
      </c>
      <c r="J54" s="948"/>
      <c r="K54" s="948"/>
    </row>
    <row r="55" spans="1:11" s="20" customFormat="1" ht="12.75" x14ac:dyDescent="0.2">
      <c r="A55" s="811" t="s">
        <v>719</v>
      </c>
      <c r="B55" s="805">
        <f>'Edition éleveur'!B55</f>
        <v>26.100664717475865</v>
      </c>
      <c r="C55" s="806">
        <f>HLOOKUP($C$6,refdata,46,0)</f>
        <v>42.7747932988743</v>
      </c>
      <c r="E55" s="958" t="s">
        <v>787</v>
      </c>
      <c r="F55" s="955">
        <f>F54*Cuisine!C44</f>
        <v>-10594.027985927798</v>
      </c>
      <c r="G55" s="946">
        <f>G54*Cuisine!D44</f>
        <v>30466.343889075899</v>
      </c>
      <c r="H55" s="956">
        <f t="shared" si="0"/>
        <v>-1.3477288914120877</v>
      </c>
      <c r="J55" s="948"/>
      <c r="K55" s="959"/>
    </row>
    <row r="56" spans="1:11" s="14" customFormat="1" ht="12.75" x14ac:dyDescent="0.2">
      <c r="A56" s="960"/>
      <c r="B56" s="961"/>
      <c r="C56" s="961"/>
      <c r="D56" s="20"/>
      <c r="E56" s="958"/>
      <c r="F56" s="958"/>
      <c r="G56" s="958"/>
      <c r="H56" s="958"/>
      <c r="J56" s="943"/>
      <c r="K56" s="962"/>
    </row>
    <row r="57" spans="1:11" s="49" customFormat="1" ht="34.5" customHeight="1" x14ac:dyDescent="0.25">
      <c r="A57" s="875" t="s">
        <v>788</v>
      </c>
      <c r="B57" s="963"/>
      <c r="C57" s="963"/>
      <c r="D57" s="14"/>
      <c r="E57" s="964" t="str">
        <f>"Prix de fonctionnement pour  "&amp;F16&amp;" SMIC/UMO expl  (à indiquer en F16)"</f>
        <v>Prix de fonctionnement pour  1,5 SMIC/UMO expl  (à indiquer en F16)</v>
      </c>
      <c r="F57" s="965">
        <f>F18-B35-B42-B43+F53-B36</f>
        <v>432.61305709738212</v>
      </c>
      <c r="G57" s="914">
        <f>(G16*SMIC/Cuisine!D44)+C10-C35+G53-C49-C51-C52-C53</f>
        <v>325.66315065895083</v>
      </c>
      <c r="H57" s="966">
        <f>IF(G57&lt;&gt;"",(F57-G57)/G57,"")</f>
        <v>0.32840653362846717</v>
      </c>
      <c r="J57" s="967"/>
      <c r="K57" s="48"/>
    </row>
    <row r="58" spans="1:11" s="20" customFormat="1" ht="12.95" customHeight="1" x14ac:dyDescent="0.2">
      <c r="A58" s="968" t="s">
        <v>789</v>
      </c>
      <c r="B58" s="969">
        <f>B47-B9+B44</f>
        <v>2.1994149079076806</v>
      </c>
      <c r="C58" s="970">
        <f>C47-C9+C44</f>
        <v>83.529973450379998</v>
      </c>
      <c r="D58" s="49"/>
      <c r="I58" s="814"/>
      <c r="J58" s="948"/>
      <c r="K58" s="948"/>
    </row>
    <row r="59" spans="1:11" s="489" customFormat="1" ht="12.75" customHeight="1" x14ac:dyDescent="0.2">
      <c r="A59" s="1550" t="s">
        <v>790</v>
      </c>
      <c r="B59" s="1551">
        <f>B58*Cuisine!C44/SMIC</f>
        <v>4.8550103734814318E-2</v>
      </c>
      <c r="C59" s="1552">
        <f>1.5*C58/C44</f>
        <v>2.0021232950168897</v>
      </c>
      <c r="D59" s="820"/>
      <c r="E59" s="886" t="s">
        <v>722</v>
      </c>
      <c r="F59" s="971"/>
      <c r="G59" s="971"/>
      <c r="H59" s="971"/>
      <c r="I59" s="820"/>
      <c r="J59" s="972"/>
      <c r="K59" s="972"/>
    </row>
    <row r="60" spans="1:11" s="489" customFormat="1" ht="12.75" customHeight="1" x14ac:dyDescent="0.2">
      <c r="A60" s="1550"/>
      <c r="B60" s="1551"/>
      <c r="C60" s="1552"/>
      <c r="D60" s="820"/>
      <c r="E60" s="973" t="s">
        <v>791</v>
      </c>
      <c r="F60" s="955">
        <f>Calcul!B14/(UMOns+UMOs)</f>
        <v>153451.67792000002</v>
      </c>
      <c r="G60" s="946">
        <f>HLOOKUP($C$6,refdata,58,0)</f>
        <v>128754.700899074</v>
      </c>
      <c r="H60" s="947">
        <f>IF(G60&lt;&gt;"",(F60-G60)/G60,"")</f>
        <v>0.19181417725699237</v>
      </c>
      <c r="I60" s="820"/>
      <c r="J60" s="972"/>
      <c r="K60" s="972"/>
    </row>
    <row r="61" spans="1:11" s="20" customFormat="1" ht="12.75" customHeight="1" x14ac:dyDescent="0.2">
      <c r="A61" s="1553" t="s">
        <v>792</v>
      </c>
      <c r="B61" s="1554">
        <f>Cuisine!C43+Cuisine!C46</f>
        <v>2.2858864314714227</v>
      </c>
      <c r="C61" s="1555">
        <f>HLOOKUP('Edition Compléments'!$C$6,refdata,48,0)</f>
        <v>2.46959784650827</v>
      </c>
      <c r="D61" s="820"/>
      <c r="E61" s="974" t="s">
        <v>726</v>
      </c>
      <c r="F61" s="975">
        <f>Calcul!B73/Calcul!B14</f>
        <v>0.18600542511856472</v>
      </c>
      <c r="G61" s="976">
        <f>HLOOKUP($C$6,refdata,59,0)</f>
        <v>0.30510037970075998</v>
      </c>
      <c r="H61" s="977">
        <f>IF(G61&lt;&gt;"",(F61-G61)/G61,"")</f>
        <v>-0.39034679241960513</v>
      </c>
      <c r="I61" s="814"/>
      <c r="J61" s="948"/>
      <c r="K61" s="948"/>
    </row>
    <row r="62" spans="1:11" s="20" customFormat="1" ht="12.75" customHeight="1" x14ac:dyDescent="0.2">
      <c r="A62" s="1553"/>
      <c r="B62" s="1554"/>
      <c r="C62" s="1555"/>
      <c r="D62" s="814"/>
      <c r="E62" s="973" t="s">
        <v>793</v>
      </c>
      <c r="F62" s="955">
        <f>Calcul!B73/(UMOns)</f>
        <v>34251.413504000011</v>
      </c>
      <c r="G62" s="946">
        <f>HLOOKUP($C$6,refdata,60,0)</f>
        <v>58924.6621988478</v>
      </c>
      <c r="H62" s="947">
        <f>IF(G62&lt;&gt;"",(F62-G62)/G62,"")</f>
        <v>-0.41872533119638733</v>
      </c>
      <c r="I62" s="814"/>
      <c r="J62" s="948"/>
      <c r="K62" s="948"/>
    </row>
    <row r="63" spans="1:11" s="814" customFormat="1" ht="12.75" customHeight="1" x14ac:dyDescent="0.2">
      <c r="A63" s="1550" t="s">
        <v>794</v>
      </c>
      <c r="B63" s="1556">
        <f>LCB/B61</f>
        <v>321.63802622807225</v>
      </c>
      <c r="C63" s="1557">
        <f>HLOOKUP('Edition Compléments'!$C$6,refdata,49,0)</f>
        <v>279.39771690989397</v>
      </c>
      <c r="E63" s="974" t="s">
        <v>795</v>
      </c>
      <c r="F63" s="975">
        <f>(Saisie!C106+FFIN)/Calcul!B14</f>
        <v>0.22101420108081929</v>
      </c>
      <c r="G63" s="976">
        <f>HLOOKUP($C$6,refdata,61,0)</f>
        <v>0.14305851387089102</v>
      </c>
      <c r="H63" s="977">
        <f>IF(G63&lt;&gt;"",(F63-G63)/G63,"")</f>
        <v>0.54492169043698124</v>
      </c>
      <c r="J63" s="948"/>
      <c r="K63" s="948"/>
    </row>
    <row r="64" spans="1:11" s="814" customFormat="1" ht="12.75" x14ac:dyDescent="0.2">
      <c r="A64" s="1550"/>
      <c r="B64" s="1556"/>
      <c r="C64" s="1557"/>
      <c r="E64" s="958" t="s">
        <v>796</v>
      </c>
      <c r="F64" s="955">
        <f>(Calcul!B73-(Saisie!C106+FFIN))/(UMOns)</f>
        <v>-6446.5864959999917</v>
      </c>
      <c r="G64" s="946">
        <f>HLOOKUP($C$6,refdata,62,0)</f>
        <v>31295.477952078902</v>
      </c>
      <c r="H64" s="956">
        <f>IF(G64&lt;&gt;"",(F64-G64)/G64,"")</f>
        <v>-1.2059909903236277</v>
      </c>
      <c r="J64" s="948"/>
      <c r="K64" s="959"/>
    </row>
    <row r="65" spans="1:11" s="814" customFormat="1" ht="12.75" x14ac:dyDescent="0.2">
      <c r="A65" s="820"/>
      <c r="B65" s="978"/>
      <c r="C65" s="978"/>
      <c r="E65" s="958"/>
      <c r="F65" s="958"/>
      <c r="G65" s="958"/>
      <c r="H65" s="958"/>
      <c r="J65" s="948"/>
      <c r="K65" s="959"/>
    </row>
    <row r="66" spans="1:11" s="980" customFormat="1" ht="12.75" x14ac:dyDescent="0.2">
      <c r="A66" s="814"/>
      <c r="B66" s="838"/>
      <c r="C66" s="838"/>
      <c r="D66" s="979"/>
      <c r="J66" s="885"/>
      <c r="K66" s="48"/>
    </row>
    <row r="67" spans="1:11" s="980" customFormat="1" ht="12.75" x14ac:dyDescent="0.2">
      <c r="B67" s="981"/>
      <c r="C67" s="981"/>
      <c r="D67" s="982"/>
      <c r="E67" s="983"/>
      <c r="F67" s="984"/>
      <c r="J67" s="885"/>
      <c r="K67" s="48"/>
    </row>
    <row r="68" spans="1:11" s="980" customFormat="1" ht="27" customHeight="1" x14ac:dyDescent="0.2">
      <c r="A68" s="843"/>
      <c r="B68" s="844"/>
      <c r="C68" s="844"/>
      <c r="D68" s="839"/>
      <c r="E68" s="840"/>
      <c r="F68" s="845"/>
      <c r="J68" s="885"/>
      <c r="K68" s="48"/>
    </row>
    <row r="69" spans="1:11" s="980" customFormat="1" ht="27.75" customHeight="1" x14ac:dyDescent="0.2">
      <c r="A69" s="843"/>
      <c r="B69" s="845"/>
      <c r="C69" s="845"/>
      <c r="D69" s="985"/>
      <c r="J69" s="885"/>
      <c r="K69" s="48"/>
    </row>
    <row r="70" spans="1:11" s="814" customFormat="1" ht="5.25" customHeight="1" x14ac:dyDescent="0.2">
      <c r="A70" s="980"/>
      <c r="B70" s="981"/>
      <c r="C70" s="981"/>
      <c r="D70" s="986"/>
      <c r="H70" s="20"/>
      <c r="J70" s="948"/>
      <c r="K70" s="959"/>
    </row>
    <row r="71" spans="1:11" s="840" customFormat="1" ht="12.75" x14ac:dyDescent="0.2">
      <c r="A71" s="814"/>
      <c r="B71" s="838"/>
      <c r="C71" s="838"/>
      <c r="D71" s="838"/>
      <c r="G71" s="984"/>
      <c r="H71" s="987"/>
      <c r="J71" s="937"/>
      <c r="K71" s="9"/>
    </row>
    <row r="72" spans="1:11" s="840" customFormat="1" ht="12" x14ac:dyDescent="0.2">
      <c r="B72" s="845"/>
      <c r="C72" s="845"/>
      <c r="G72" s="845"/>
      <c r="H72" s="45"/>
      <c r="J72" s="937"/>
      <c r="K72" s="9"/>
    </row>
    <row r="73" spans="1:11" s="814" customFormat="1" ht="12.75" x14ac:dyDescent="0.2">
      <c r="A73" s="840"/>
      <c r="B73" s="845"/>
      <c r="C73" s="845"/>
      <c r="D73" s="840"/>
      <c r="F73" s="838"/>
      <c r="G73" s="838"/>
      <c r="H73" s="20"/>
      <c r="J73" s="948"/>
      <c r="K73" s="959"/>
    </row>
    <row r="74" spans="1:11" s="814" customFormat="1" x14ac:dyDescent="0.2">
      <c r="B74" s="838"/>
      <c r="C74" s="838"/>
      <c r="D74" s="988"/>
      <c r="F74" s="989"/>
      <c r="G74" s="989"/>
      <c r="H74" s="20"/>
      <c r="J74" s="948"/>
      <c r="K74" s="959"/>
    </row>
    <row r="75" spans="1:11" s="814" customFormat="1" ht="12.75" x14ac:dyDescent="0.2">
      <c r="B75" s="838"/>
      <c r="C75" s="838"/>
      <c r="D75" s="990"/>
      <c r="F75" s="20"/>
      <c r="G75" s="20"/>
      <c r="H75" s="20"/>
      <c r="J75" s="948"/>
      <c r="K75" s="959"/>
    </row>
    <row r="76" spans="1:11" s="814" customFormat="1" ht="12.75" x14ac:dyDescent="0.2">
      <c r="B76" s="838"/>
      <c r="C76" s="838"/>
      <c r="D76" s="990"/>
      <c r="F76" s="20"/>
      <c r="G76" s="20"/>
      <c r="H76" s="20"/>
      <c r="J76" s="948"/>
      <c r="K76" s="959"/>
    </row>
    <row r="77" spans="1:11" s="814" customFormat="1" ht="12.75" x14ac:dyDescent="0.2">
      <c r="B77" s="838"/>
      <c r="C77" s="838"/>
      <c r="D77" s="837"/>
      <c r="E77" s="991"/>
      <c r="F77" s="992"/>
      <c r="G77" s="20"/>
      <c r="H77" s="20"/>
      <c r="J77" s="948"/>
      <c r="K77" s="959"/>
    </row>
    <row r="78" spans="1:11" s="814" customFormat="1" ht="12.75" x14ac:dyDescent="0.2">
      <c r="B78" s="838"/>
      <c r="C78" s="838"/>
      <c r="D78" s="837"/>
      <c r="F78" s="20"/>
      <c r="G78" s="20"/>
      <c r="H78" s="20"/>
      <c r="J78" s="948"/>
      <c r="K78" s="959"/>
    </row>
    <row r="79" spans="1:11" s="814" customFormat="1" ht="12.75" x14ac:dyDescent="0.2">
      <c r="B79" s="838"/>
      <c r="C79" s="838"/>
      <c r="F79" s="20"/>
      <c r="G79" s="20"/>
      <c r="H79" s="20"/>
      <c r="J79" s="948"/>
      <c r="K79" s="959"/>
    </row>
    <row r="80" spans="1:11" s="814" customFormat="1" ht="12.75" x14ac:dyDescent="0.2">
      <c r="A80" s="838"/>
      <c r="B80" s="838"/>
      <c r="C80" s="838"/>
      <c r="F80" s="20"/>
      <c r="G80" s="20"/>
      <c r="H80" s="20"/>
      <c r="J80" s="948"/>
      <c r="K80" s="959"/>
    </row>
    <row r="81" spans="1:11" s="814" customFormat="1" ht="12.75" x14ac:dyDescent="0.2">
      <c r="B81" s="838"/>
      <c r="C81" s="838"/>
      <c r="F81" s="20"/>
      <c r="G81" s="20"/>
      <c r="H81" s="20"/>
      <c r="J81" s="948"/>
      <c r="K81" s="959"/>
    </row>
    <row r="82" spans="1:11" s="814" customFormat="1" ht="15" customHeight="1" x14ac:dyDescent="0.2">
      <c r="B82" s="838"/>
      <c r="C82" s="838"/>
      <c r="F82" s="20"/>
      <c r="G82" s="20"/>
      <c r="H82" s="20"/>
      <c r="J82" s="948"/>
      <c r="K82" s="959"/>
    </row>
    <row r="83" spans="1:11" s="814" customFormat="1" ht="15" customHeight="1" x14ac:dyDescent="0.2">
      <c r="B83" s="838"/>
      <c r="C83" s="838"/>
      <c r="F83" s="20"/>
      <c r="G83" s="20"/>
      <c r="H83" s="20"/>
      <c r="J83" s="948"/>
      <c r="K83" s="959"/>
    </row>
    <row r="84" spans="1:11" s="814" customFormat="1" ht="15" customHeight="1" x14ac:dyDescent="0.2">
      <c r="B84" s="838"/>
      <c r="C84" s="838"/>
      <c r="F84" s="20"/>
      <c r="G84" s="20"/>
      <c r="H84" s="20"/>
      <c r="J84" s="948"/>
      <c r="K84" s="959"/>
    </row>
    <row r="85" spans="1:11" s="49" customFormat="1" ht="15" customHeight="1" x14ac:dyDescent="0.2">
      <c r="A85" s="814"/>
      <c r="B85" s="838"/>
      <c r="C85" s="838"/>
      <c r="D85" s="814"/>
      <c r="E85" s="814"/>
      <c r="F85" s="20"/>
      <c r="G85" s="20"/>
      <c r="H85" s="20"/>
      <c r="J85" s="885"/>
      <c r="K85" s="48"/>
    </row>
    <row r="86" spans="1:11" s="49" customFormat="1" ht="15" customHeight="1" x14ac:dyDescent="0.2">
      <c r="A86" s="814"/>
      <c r="B86" s="838"/>
      <c r="C86" s="838"/>
      <c r="E86" s="814"/>
      <c r="F86" s="20"/>
      <c r="G86" s="20"/>
      <c r="H86" s="20"/>
      <c r="J86" s="885"/>
      <c r="K86" s="48"/>
    </row>
    <row r="87" spans="1:11" s="49" customFormat="1" ht="15" customHeight="1" x14ac:dyDescent="0.2">
      <c r="A87" s="814"/>
      <c r="B87" s="838"/>
      <c r="C87" s="838"/>
      <c r="E87" s="814"/>
      <c r="F87" s="20"/>
      <c r="G87" s="20"/>
      <c r="H87" s="20"/>
      <c r="J87" s="885"/>
      <c r="K87" s="48"/>
    </row>
    <row r="88" spans="1:11" s="49" customFormat="1" ht="15" customHeight="1" x14ac:dyDescent="0.2">
      <c r="A88" s="814"/>
      <c r="B88" s="838"/>
      <c r="C88" s="838"/>
      <c r="E88" s="814"/>
      <c r="F88" s="20"/>
      <c r="G88" s="20"/>
      <c r="H88" s="20"/>
      <c r="J88" s="885"/>
      <c r="K88" s="48"/>
    </row>
    <row r="89" spans="1:11" s="49" customFormat="1" ht="15" customHeight="1" x14ac:dyDescent="0.2">
      <c r="A89" s="846"/>
      <c r="B89" s="847"/>
      <c r="C89" s="847"/>
      <c r="J89" s="885"/>
      <c r="K89" s="48"/>
    </row>
    <row r="90" spans="1:11" s="49" customFormat="1" ht="15" customHeight="1" x14ac:dyDescent="0.2">
      <c r="A90" s="846"/>
      <c r="B90" s="847"/>
      <c r="C90" s="847"/>
      <c r="J90" s="885"/>
      <c r="K90" s="48"/>
    </row>
    <row r="91" spans="1:11" s="49" customFormat="1" ht="15" customHeight="1" x14ac:dyDescent="0.2">
      <c r="A91" s="846"/>
      <c r="B91" s="847"/>
      <c r="C91" s="847"/>
      <c r="J91" s="885"/>
      <c r="K91" s="48"/>
    </row>
    <row r="92" spans="1:11" s="49" customFormat="1" ht="15" customHeight="1" x14ac:dyDescent="0.2">
      <c r="A92" s="846"/>
      <c r="B92" s="847"/>
      <c r="C92" s="847"/>
      <c r="J92" s="885"/>
      <c r="K92" s="48"/>
    </row>
    <row r="93" spans="1:11" s="49" customFormat="1" ht="15" customHeight="1" x14ac:dyDescent="0.2">
      <c r="A93" s="846"/>
      <c r="B93" s="847"/>
      <c r="C93" s="847"/>
      <c r="J93" s="885"/>
      <c r="K93" s="48"/>
    </row>
    <row r="94" spans="1:11" s="49" customFormat="1" ht="15" customHeight="1" x14ac:dyDescent="0.2">
      <c r="A94" s="846"/>
      <c r="B94" s="847"/>
      <c r="C94" s="847"/>
      <c r="J94" s="885"/>
      <c r="K94" s="48"/>
    </row>
    <row r="95" spans="1:11" s="49" customFormat="1" ht="15" customHeight="1" x14ac:dyDescent="0.2">
      <c r="A95" s="846"/>
      <c r="B95" s="847"/>
      <c r="C95" s="847"/>
      <c r="J95" s="885"/>
      <c r="K95" s="48"/>
    </row>
    <row r="96" spans="1:11" s="49" customFormat="1" ht="15" customHeight="1" x14ac:dyDescent="0.2">
      <c r="A96" s="846"/>
      <c r="B96" s="847"/>
      <c r="C96" s="847"/>
      <c r="J96" s="885"/>
      <c r="K96" s="48"/>
    </row>
    <row r="97" spans="1:11" s="49" customFormat="1" ht="15" customHeight="1" x14ac:dyDescent="0.2">
      <c r="A97" s="846"/>
      <c r="B97" s="847"/>
      <c r="C97" s="847"/>
      <c r="J97" s="885"/>
      <c r="K97" s="48"/>
    </row>
    <row r="98" spans="1:11" s="49" customFormat="1" ht="15" customHeight="1" x14ac:dyDescent="0.2">
      <c r="A98" s="846"/>
      <c r="B98" s="847"/>
      <c r="C98" s="847"/>
      <c r="J98" s="885"/>
      <c r="K98" s="48"/>
    </row>
    <row r="99" spans="1:11" s="49" customFormat="1" ht="15" customHeight="1" x14ac:dyDescent="0.2">
      <c r="A99" s="846"/>
      <c r="B99" s="847"/>
      <c r="C99" s="847"/>
      <c r="J99" s="885"/>
      <c r="K99" s="48"/>
    </row>
    <row r="100" spans="1:11" s="49" customFormat="1" ht="15" customHeight="1" x14ac:dyDescent="0.2">
      <c r="A100" s="846"/>
      <c r="B100" s="847"/>
      <c r="C100" s="847"/>
      <c r="J100" s="885"/>
      <c r="K100" s="48"/>
    </row>
    <row r="101" spans="1:11" s="49" customFormat="1" ht="15" customHeight="1" x14ac:dyDescent="0.2">
      <c r="A101" s="846"/>
      <c r="B101" s="847"/>
      <c r="C101" s="847"/>
      <c r="J101" s="885"/>
      <c r="K101" s="48"/>
    </row>
    <row r="102" spans="1:11" s="49" customFormat="1" ht="15" customHeight="1" x14ac:dyDescent="0.2">
      <c r="A102" s="846"/>
      <c r="B102" s="847"/>
      <c r="C102" s="847"/>
      <c r="J102" s="885"/>
      <c r="K102" s="48"/>
    </row>
    <row r="103" spans="1:11" s="49" customFormat="1" ht="15" customHeight="1" x14ac:dyDescent="0.2">
      <c r="A103" s="846"/>
      <c r="B103" s="847"/>
      <c r="C103" s="847"/>
      <c r="J103" s="885"/>
      <c r="K103" s="48"/>
    </row>
    <row r="104" spans="1:11" s="49" customFormat="1" ht="15" customHeight="1" x14ac:dyDescent="0.2">
      <c r="A104" s="846"/>
      <c r="B104" s="847"/>
      <c r="C104" s="847"/>
      <c r="J104" s="885"/>
      <c r="K104" s="48"/>
    </row>
    <row r="105" spans="1:11" s="49" customFormat="1" ht="15" customHeight="1" x14ac:dyDescent="0.2">
      <c r="A105" s="846"/>
      <c r="B105" s="847"/>
      <c r="C105" s="847"/>
      <c r="J105" s="885"/>
      <c r="K105" s="48"/>
    </row>
    <row r="106" spans="1:11" s="49" customFormat="1" ht="15" customHeight="1" x14ac:dyDescent="0.2">
      <c r="A106" s="846"/>
      <c r="B106" s="847"/>
      <c r="C106" s="847"/>
      <c r="J106" s="885"/>
      <c r="K106" s="48"/>
    </row>
    <row r="107" spans="1:11" s="49" customFormat="1" ht="15" customHeight="1" x14ac:dyDescent="0.2">
      <c r="A107" s="846"/>
      <c r="B107" s="847"/>
      <c r="C107" s="847"/>
      <c r="J107" s="885"/>
      <c r="K107" s="48"/>
    </row>
    <row r="108" spans="1:11" s="49" customFormat="1" ht="15" customHeight="1" x14ac:dyDescent="0.2">
      <c r="A108" s="846"/>
      <c r="B108" s="847"/>
      <c r="C108" s="847"/>
      <c r="J108" s="885"/>
      <c r="K108" s="48"/>
    </row>
    <row r="109" spans="1:11" s="49" customFormat="1" ht="15" customHeight="1" x14ac:dyDescent="0.2">
      <c r="A109" s="846"/>
      <c r="B109" s="847"/>
      <c r="C109" s="847"/>
      <c r="J109" s="885"/>
      <c r="K109" s="48"/>
    </row>
    <row r="110" spans="1:11" s="49" customFormat="1" ht="15" customHeight="1" x14ac:dyDescent="0.2">
      <c r="A110" s="846"/>
      <c r="B110" s="847"/>
      <c r="C110" s="847"/>
      <c r="J110" s="885"/>
      <c r="K110" s="48"/>
    </row>
    <row r="111" spans="1:11" s="49" customFormat="1" ht="15" customHeight="1" x14ac:dyDescent="0.2">
      <c r="A111" s="846"/>
      <c r="B111" s="847"/>
      <c r="C111" s="847"/>
      <c r="J111" s="885"/>
      <c r="K111" s="48"/>
    </row>
    <row r="112" spans="1:11" s="49" customFormat="1" ht="15" customHeight="1" x14ac:dyDescent="0.2">
      <c r="A112" s="846"/>
      <c r="B112" s="847"/>
      <c r="C112" s="847"/>
      <c r="J112" s="885"/>
      <c r="K112" s="48"/>
    </row>
    <row r="113" spans="1:11" s="49" customFormat="1" ht="15" customHeight="1" x14ac:dyDescent="0.2">
      <c r="A113" s="846"/>
      <c r="B113" s="847"/>
      <c r="C113" s="847"/>
      <c r="J113" s="885"/>
      <c r="K113" s="48"/>
    </row>
    <row r="114" spans="1:11" s="49" customFormat="1" ht="15" customHeight="1" x14ac:dyDescent="0.2">
      <c r="A114" s="846"/>
      <c r="B114" s="847"/>
      <c r="C114" s="847"/>
      <c r="J114" s="885"/>
      <c r="K114" s="48"/>
    </row>
    <row r="115" spans="1:11" s="49" customFormat="1" ht="15" customHeight="1" x14ac:dyDescent="0.2">
      <c r="A115" s="846"/>
      <c r="B115" s="847"/>
      <c r="C115" s="847"/>
      <c r="J115" s="885"/>
      <c r="K115" s="48"/>
    </row>
    <row r="116" spans="1:11" s="49" customFormat="1" ht="15" customHeight="1" x14ac:dyDescent="0.2">
      <c r="A116" s="846"/>
      <c r="B116" s="847"/>
      <c r="C116" s="847"/>
      <c r="J116" s="885"/>
      <c r="K116" s="48"/>
    </row>
    <row r="117" spans="1:11" s="49" customFormat="1" ht="15" customHeight="1" x14ac:dyDescent="0.2">
      <c r="A117" s="846"/>
      <c r="B117" s="847"/>
      <c r="C117" s="847"/>
      <c r="J117" s="885"/>
      <c r="K117" s="48"/>
    </row>
    <row r="118" spans="1:11" s="49" customFormat="1" ht="15" customHeight="1" x14ac:dyDescent="0.2">
      <c r="A118" s="846"/>
      <c r="B118" s="847"/>
      <c r="C118" s="847"/>
      <c r="J118" s="885"/>
      <c r="K118" s="48"/>
    </row>
    <row r="119" spans="1:11" s="49" customFormat="1" ht="15" customHeight="1" x14ac:dyDescent="0.2">
      <c r="A119" s="846"/>
      <c r="B119" s="847"/>
      <c r="C119" s="847"/>
      <c r="J119" s="885"/>
      <c r="K119" s="48"/>
    </row>
    <row r="120" spans="1:11" s="49" customFormat="1" ht="15" customHeight="1" x14ac:dyDescent="0.2">
      <c r="A120" s="846"/>
      <c r="B120" s="847"/>
      <c r="C120" s="847"/>
      <c r="J120" s="885"/>
      <c r="K120" s="48"/>
    </row>
    <row r="121" spans="1:11" s="49" customFormat="1" ht="15" customHeight="1" x14ac:dyDescent="0.2">
      <c r="A121" s="846"/>
      <c r="B121" s="847"/>
      <c r="C121" s="847"/>
      <c r="J121" s="885"/>
      <c r="K121" s="48"/>
    </row>
    <row r="122" spans="1:11" s="49" customFormat="1" ht="15" customHeight="1" x14ac:dyDescent="0.2">
      <c r="A122" s="846"/>
      <c r="B122" s="847"/>
      <c r="C122" s="847"/>
      <c r="J122" s="885"/>
      <c r="K122" s="48"/>
    </row>
    <row r="123" spans="1:11" s="49" customFormat="1" ht="15" customHeight="1" x14ac:dyDescent="0.2">
      <c r="A123" s="846"/>
      <c r="B123" s="847"/>
      <c r="C123" s="847"/>
      <c r="J123" s="885"/>
      <c r="K123" s="48"/>
    </row>
    <row r="124" spans="1:11" s="49" customFormat="1" ht="15" customHeight="1" x14ac:dyDescent="0.2">
      <c r="A124" s="846"/>
      <c r="B124" s="847"/>
      <c r="C124" s="847"/>
      <c r="J124" s="885"/>
      <c r="K124" s="48"/>
    </row>
    <row r="125" spans="1:11" s="49" customFormat="1" ht="15" customHeight="1" x14ac:dyDescent="0.2">
      <c r="A125" s="846"/>
      <c r="B125" s="847"/>
      <c r="C125" s="847"/>
      <c r="J125" s="885"/>
      <c r="K125" s="48"/>
    </row>
    <row r="126" spans="1:11" s="49" customFormat="1" ht="15" customHeight="1" x14ac:dyDescent="0.2">
      <c r="A126" s="846"/>
      <c r="B126" s="847"/>
      <c r="C126" s="847"/>
      <c r="J126" s="885"/>
      <c r="K126" s="48"/>
    </row>
    <row r="127" spans="1:11" s="49" customFormat="1" ht="15" customHeight="1" x14ac:dyDescent="0.2">
      <c r="A127" s="846"/>
      <c r="B127" s="847"/>
      <c r="C127" s="847"/>
      <c r="J127" s="885"/>
      <c r="K127" s="48"/>
    </row>
    <row r="128" spans="1:11" s="49" customFormat="1" ht="15" customHeight="1" x14ac:dyDescent="0.2">
      <c r="A128" s="846"/>
      <c r="B128" s="847"/>
      <c r="C128" s="847"/>
      <c r="J128" s="885"/>
      <c r="K128" s="48"/>
    </row>
    <row r="129" spans="1:11" s="49" customFormat="1" ht="15" customHeight="1" x14ac:dyDescent="0.2">
      <c r="A129" s="846"/>
      <c r="B129" s="847"/>
      <c r="C129" s="847"/>
      <c r="J129" s="885"/>
      <c r="K129" s="48"/>
    </row>
    <row r="130" spans="1:11" s="49" customFormat="1" ht="15" customHeight="1" x14ac:dyDescent="0.2">
      <c r="A130" s="846"/>
      <c r="B130" s="847"/>
      <c r="C130" s="847"/>
      <c r="J130" s="885"/>
      <c r="K130" s="48"/>
    </row>
    <row r="131" spans="1:11" s="49" customFormat="1" ht="15" customHeight="1" x14ac:dyDescent="0.2">
      <c r="A131" s="846"/>
      <c r="B131" s="847"/>
      <c r="C131" s="847"/>
      <c r="J131" s="885"/>
      <c r="K131" s="48"/>
    </row>
    <row r="132" spans="1:11" s="49" customFormat="1" ht="15" customHeight="1" x14ac:dyDescent="0.2">
      <c r="A132" s="846"/>
      <c r="B132" s="847"/>
      <c r="C132" s="847"/>
      <c r="J132" s="885"/>
      <c r="K132" s="48"/>
    </row>
    <row r="133" spans="1:11" s="49" customFormat="1" ht="15" customHeight="1" x14ac:dyDescent="0.2">
      <c r="A133" s="846"/>
      <c r="B133" s="847"/>
      <c r="C133" s="847"/>
      <c r="J133" s="885"/>
      <c r="K133" s="48"/>
    </row>
    <row r="134" spans="1:11" s="49" customFormat="1" ht="15" customHeight="1" x14ac:dyDescent="0.2">
      <c r="A134" s="846"/>
      <c r="B134" s="847"/>
      <c r="C134" s="847"/>
      <c r="J134" s="885"/>
      <c r="K134" s="48"/>
    </row>
    <row r="135" spans="1:11" s="49" customFormat="1" ht="15" customHeight="1" x14ac:dyDescent="0.2">
      <c r="A135" s="846"/>
      <c r="B135" s="847"/>
      <c r="C135" s="847"/>
      <c r="J135" s="885"/>
      <c r="K135" s="48"/>
    </row>
    <row r="136" spans="1:11" s="49" customFormat="1" ht="15" customHeight="1" x14ac:dyDescent="0.2">
      <c r="A136" s="846"/>
      <c r="B136" s="847"/>
      <c r="C136" s="847"/>
      <c r="J136" s="885"/>
      <c r="K136" s="48"/>
    </row>
    <row r="137" spans="1:11" s="49" customFormat="1" ht="15" customHeight="1" x14ac:dyDescent="0.2">
      <c r="A137" s="846"/>
      <c r="B137" s="847"/>
      <c r="C137" s="847"/>
      <c r="J137" s="885"/>
      <c r="K137" s="48"/>
    </row>
    <row r="138" spans="1:11" s="49" customFormat="1" ht="15" customHeight="1" x14ac:dyDescent="0.2">
      <c r="A138" s="846"/>
      <c r="B138" s="847"/>
      <c r="C138" s="847"/>
      <c r="J138" s="885"/>
      <c r="K138" s="48"/>
    </row>
    <row r="139" spans="1:11" s="49" customFormat="1" ht="15" customHeight="1" x14ac:dyDescent="0.2">
      <c r="A139" s="846"/>
      <c r="B139" s="847"/>
      <c r="C139" s="847"/>
      <c r="J139" s="885"/>
      <c r="K139" s="48"/>
    </row>
    <row r="140" spans="1:11" s="49" customFormat="1" ht="15" customHeight="1" x14ac:dyDescent="0.2">
      <c r="A140" s="846"/>
      <c r="B140" s="847"/>
      <c r="C140" s="847"/>
      <c r="J140" s="885"/>
      <c r="K140" s="48"/>
    </row>
    <row r="141" spans="1:11" s="49" customFormat="1" ht="15" customHeight="1" x14ac:dyDescent="0.2">
      <c r="A141" s="846"/>
      <c r="B141" s="847"/>
      <c r="C141" s="847"/>
      <c r="J141" s="885"/>
      <c r="K141" s="48"/>
    </row>
    <row r="142" spans="1:11" s="49" customFormat="1" ht="15" customHeight="1" x14ac:dyDescent="0.2">
      <c r="A142" s="846"/>
      <c r="B142" s="847"/>
      <c r="C142" s="847"/>
      <c r="J142" s="885"/>
      <c r="K142" s="48"/>
    </row>
    <row r="143" spans="1:11" s="49" customFormat="1" ht="15" customHeight="1" x14ac:dyDescent="0.2">
      <c r="A143" s="846"/>
      <c r="B143" s="847"/>
      <c r="C143" s="847"/>
      <c r="J143" s="885"/>
      <c r="K143" s="48"/>
    </row>
    <row r="144" spans="1:11" s="49" customFormat="1" ht="15" customHeight="1" x14ac:dyDescent="0.2">
      <c r="A144" s="846"/>
      <c r="B144" s="847"/>
      <c r="C144" s="847"/>
      <c r="J144" s="885"/>
      <c r="K144" s="48"/>
    </row>
    <row r="145" spans="1:11" s="49" customFormat="1" ht="15" customHeight="1" x14ac:dyDescent="0.2">
      <c r="A145" s="846"/>
      <c r="B145" s="847"/>
      <c r="C145" s="847"/>
      <c r="J145" s="885"/>
      <c r="K145" s="48"/>
    </row>
    <row r="146" spans="1:11" s="49" customFormat="1" ht="15" customHeight="1" x14ac:dyDescent="0.2">
      <c r="A146" s="846"/>
      <c r="B146" s="847"/>
      <c r="C146" s="847"/>
      <c r="J146" s="885"/>
      <c r="K146" s="48"/>
    </row>
    <row r="147" spans="1:11" s="49" customFormat="1" ht="15" customHeight="1" x14ac:dyDescent="0.2">
      <c r="A147" s="846"/>
      <c r="B147" s="847"/>
      <c r="C147" s="847"/>
      <c r="J147" s="885"/>
      <c r="K147" s="48"/>
    </row>
    <row r="148" spans="1:11" s="49" customFormat="1" ht="15" customHeight="1" x14ac:dyDescent="0.2">
      <c r="A148" s="846"/>
      <c r="B148" s="847"/>
      <c r="C148" s="847"/>
      <c r="J148" s="885"/>
      <c r="K148" s="48"/>
    </row>
    <row r="149" spans="1:11" s="49" customFormat="1" ht="15" customHeight="1" x14ac:dyDescent="0.2">
      <c r="A149" s="846"/>
      <c r="B149" s="847"/>
      <c r="C149" s="847"/>
      <c r="J149" s="885"/>
      <c r="K149" s="48"/>
    </row>
    <row r="150" spans="1:11" s="49" customFormat="1" ht="15" customHeight="1" x14ac:dyDescent="0.2">
      <c r="A150" s="846"/>
      <c r="B150" s="847"/>
      <c r="C150" s="847"/>
      <c r="J150" s="885"/>
      <c r="K150" s="48"/>
    </row>
    <row r="151" spans="1:11" s="49" customFormat="1" ht="15" customHeight="1" x14ac:dyDescent="0.2">
      <c r="A151" s="846"/>
      <c r="B151" s="847"/>
      <c r="C151" s="847"/>
      <c r="J151" s="885"/>
      <c r="K151" s="48"/>
    </row>
    <row r="152" spans="1:11" s="49" customFormat="1" ht="15" customHeight="1" x14ac:dyDescent="0.2">
      <c r="A152" s="846"/>
      <c r="B152" s="847"/>
      <c r="C152" s="847"/>
      <c r="J152" s="885"/>
      <c r="K152" s="48"/>
    </row>
    <row r="153" spans="1:11" s="49" customFormat="1" ht="15" customHeight="1" x14ac:dyDescent="0.2">
      <c r="A153" s="846"/>
      <c r="B153" s="847"/>
      <c r="C153" s="847"/>
      <c r="J153" s="885"/>
      <c r="K153" s="48"/>
    </row>
    <row r="154" spans="1:11" s="49" customFormat="1" ht="15" customHeight="1" x14ac:dyDescent="0.2">
      <c r="A154" s="846"/>
      <c r="B154" s="847"/>
      <c r="C154" s="847"/>
      <c r="J154" s="885"/>
      <c r="K154" s="48"/>
    </row>
    <row r="155" spans="1:11" s="49" customFormat="1" ht="15" customHeight="1" x14ac:dyDescent="0.2">
      <c r="A155" s="846"/>
      <c r="B155" s="847"/>
      <c r="C155" s="847"/>
      <c r="J155" s="885"/>
      <c r="K155" s="48"/>
    </row>
    <row r="156" spans="1:11" s="49" customFormat="1" ht="15" customHeight="1" x14ac:dyDescent="0.2">
      <c r="A156" s="846"/>
      <c r="B156" s="847"/>
      <c r="C156" s="847"/>
      <c r="J156" s="885"/>
      <c r="K156" s="48"/>
    </row>
    <row r="157" spans="1:11" s="49" customFormat="1" ht="15" customHeight="1" x14ac:dyDescent="0.2">
      <c r="A157" s="846"/>
      <c r="B157" s="847"/>
      <c r="C157" s="847"/>
      <c r="J157" s="885"/>
      <c r="K157" s="48"/>
    </row>
    <row r="158" spans="1:11" s="49" customFormat="1" ht="15" customHeight="1" x14ac:dyDescent="0.2">
      <c r="A158" s="846"/>
      <c r="B158" s="847"/>
      <c r="C158" s="847"/>
      <c r="J158" s="885"/>
      <c r="K158" s="48"/>
    </row>
    <row r="159" spans="1:11" s="49" customFormat="1" ht="15" customHeight="1" x14ac:dyDescent="0.2">
      <c r="A159" s="846"/>
      <c r="B159" s="847"/>
      <c r="C159" s="847"/>
      <c r="J159" s="885"/>
      <c r="K159" s="48"/>
    </row>
    <row r="160" spans="1:11" s="49" customFormat="1" ht="15" customHeight="1" x14ac:dyDescent="0.2">
      <c r="A160" s="846"/>
      <c r="B160" s="847"/>
      <c r="C160" s="847"/>
      <c r="J160" s="885"/>
      <c r="K160" s="48"/>
    </row>
    <row r="161" spans="1:11" s="49" customFormat="1" ht="15" customHeight="1" x14ac:dyDescent="0.2">
      <c r="A161" s="846"/>
      <c r="B161" s="847"/>
      <c r="C161" s="847"/>
      <c r="J161" s="885"/>
      <c r="K161" s="48"/>
    </row>
    <row r="162" spans="1:11" s="49" customFormat="1" ht="15" customHeight="1" x14ac:dyDescent="0.2">
      <c r="A162" s="846"/>
      <c r="B162" s="847"/>
      <c r="C162" s="847"/>
      <c r="J162" s="885"/>
      <c r="K162" s="48"/>
    </row>
    <row r="163" spans="1:11" s="49" customFormat="1" ht="15" customHeight="1" x14ac:dyDescent="0.2">
      <c r="A163" s="846"/>
      <c r="B163" s="847"/>
      <c r="C163" s="847"/>
      <c r="J163" s="885"/>
      <c r="K163" s="48"/>
    </row>
    <row r="164" spans="1:11" s="49" customFormat="1" ht="15" customHeight="1" x14ac:dyDescent="0.2">
      <c r="A164" s="846"/>
      <c r="B164" s="847"/>
      <c r="C164" s="847"/>
      <c r="J164" s="885"/>
      <c r="K164" s="48"/>
    </row>
    <row r="165" spans="1:11" s="49" customFormat="1" ht="15" customHeight="1" x14ac:dyDescent="0.2">
      <c r="A165" s="846"/>
      <c r="B165" s="847"/>
      <c r="C165" s="847"/>
      <c r="J165" s="885"/>
      <c r="K165" s="48"/>
    </row>
    <row r="166" spans="1:11" s="49" customFormat="1" ht="15" customHeight="1" x14ac:dyDescent="0.2">
      <c r="A166" s="846"/>
      <c r="B166" s="847"/>
      <c r="C166" s="847"/>
      <c r="J166" s="885"/>
      <c r="K166" s="48"/>
    </row>
    <row r="167" spans="1:11" s="49" customFormat="1" ht="15" customHeight="1" x14ac:dyDescent="0.2">
      <c r="A167" s="846"/>
      <c r="B167" s="847"/>
      <c r="C167" s="847"/>
      <c r="J167" s="885"/>
      <c r="K167" s="48"/>
    </row>
    <row r="168" spans="1:11" s="49" customFormat="1" ht="15" customHeight="1" x14ac:dyDescent="0.2">
      <c r="A168" s="846"/>
      <c r="B168" s="847"/>
      <c r="C168" s="847"/>
      <c r="J168" s="885"/>
      <c r="K168" s="48"/>
    </row>
    <row r="169" spans="1:11" s="49" customFormat="1" ht="15" customHeight="1" x14ac:dyDescent="0.2">
      <c r="A169" s="846"/>
      <c r="B169" s="847"/>
      <c r="C169" s="847"/>
      <c r="J169" s="885"/>
      <c r="K169" s="48"/>
    </row>
    <row r="170" spans="1:11" s="49" customFormat="1" ht="15" customHeight="1" x14ac:dyDescent="0.2">
      <c r="A170" s="846"/>
      <c r="B170" s="847"/>
      <c r="C170" s="847"/>
      <c r="J170" s="885"/>
      <c r="K170" s="48"/>
    </row>
    <row r="171" spans="1:11" s="49" customFormat="1" ht="15" customHeight="1" x14ac:dyDescent="0.2">
      <c r="A171" s="846"/>
      <c r="B171" s="847"/>
      <c r="C171" s="847"/>
      <c r="J171" s="885"/>
      <c r="K171" s="48"/>
    </row>
    <row r="172" spans="1:11" s="49" customFormat="1" ht="15" customHeight="1" x14ac:dyDescent="0.2">
      <c r="A172" s="846"/>
      <c r="B172" s="847"/>
      <c r="C172" s="847"/>
      <c r="J172" s="885"/>
      <c r="K172" s="48"/>
    </row>
    <row r="173" spans="1:11" s="49" customFormat="1" ht="15" customHeight="1" x14ac:dyDescent="0.2">
      <c r="A173" s="846"/>
      <c r="B173" s="847"/>
      <c r="C173" s="847"/>
      <c r="J173" s="885"/>
      <c r="K173" s="48"/>
    </row>
    <row r="174" spans="1:11" s="49" customFormat="1" ht="15" customHeight="1" x14ac:dyDescent="0.2">
      <c r="A174" s="846"/>
      <c r="B174" s="847"/>
      <c r="C174" s="847"/>
      <c r="J174" s="885"/>
      <c r="K174" s="48"/>
    </row>
    <row r="175" spans="1:11" s="49" customFormat="1" ht="15" customHeight="1" x14ac:dyDescent="0.2">
      <c r="A175" s="846"/>
      <c r="B175" s="847"/>
      <c r="C175" s="847"/>
      <c r="J175" s="885"/>
      <c r="K175" s="48"/>
    </row>
    <row r="176" spans="1:11" s="49" customFormat="1" ht="15" customHeight="1" x14ac:dyDescent="0.2">
      <c r="A176" s="846"/>
      <c r="B176" s="847"/>
      <c r="C176" s="847"/>
      <c r="J176" s="885"/>
      <c r="K176" s="48"/>
    </row>
    <row r="177" spans="1:11" s="49" customFormat="1" ht="15" customHeight="1" x14ac:dyDescent="0.2">
      <c r="A177" s="846"/>
      <c r="B177" s="847"/>
      <c r="C177" s="847"/>
      <c r="J177" s="885"/>
      <c r="K177" s="48"/>
    </row>
    <row r="178" spans="1:11" s="49" customFormat="1" ht="15" customHeight="1" x14ac:dyDescent="0.2">
      <c r="A178" s="846"/>
      <c r="B178" s="847"/>
      <c r="C178" s="847"/>
      <c r="J178" s="885"/>
      <c r="K178" s="48"/>
    </row>
    <row r="179" spans="1:11" s="49" customFormat="1" ht="15" customHeight="1" x14ac:dyDescent="0.2">
      <c r="A179" s="846"/>
      <c r="B179" s="847"/>
      <c r="C179" s="847"/>
      <c r="J179" s="885"/>
      <c r="K179" s="48"/>
    </row>
    <row r="180" spans="1:11" s="49" customFormat="1" ht="15" customHeight="1" x14ac:dyDescent="0.2">
      <c r="A180" s="846"/>
      <c r="B180" s="847"/>
      <c r="C180" s="847"/>
      <c r="J180" s="885"/>
      <c r="K180" s="48"/>
    </row>
    <row r="181" spans="1:11" s="49" customFormat="1" ht="15" customHeight="1" x14ac:dyDescent="0.2">
      <c r="A181" s="846"/>
      <c r="B181" s="847"/>
      <c r="C181" s="847"/>
      <c r="J181" s="885"/>
      <c r="K181" s="48"/>
    </row>
    <row r="182" spans="1:11" s="49" customFormat="1" ht="15" customHeight="1" x14ac:dyDescent="0.2">
      <c r="A182" s="846"/>
      <c r="B182" s="847"/>
      <c r="C182" s="847"/>
      <c r="J182" s="885"/>
      <c r="K182" s="48"/>
    </row>
    <row r="183" spans="1:11" s="49" customFormat="1" ht="15" customHeight="1" x14ac:dyDescent="0.2">
      <c r="A183" s="846"/>
      <c r="B183" s="847"/>
      <c r="C183" s="847"/>
      <c r="J183" s="885"/>
      <c r="K183" s="48"/>
    </row>
    <row r="184" spans="1:11" s="49" customFormat="1" ht="15" customHeight="1" x14ac:dyDescent="0.2">
      <c r="A184" s="846"/>
      <c r="B184" s="847"/>
      <c r="C184" s="847"/>
      <c r="J184" s="885"/>
      <c r="K184" s="48"/>
    </row>
    <row r="185" spans="1:11" s="49" customFormat="1" ht="15" customHeight="1" x14ac:dyDescent="0.2">
      <c r="A185" s="846"/>
      <c r="B185" s="847"/>
      <c r="C185" s="847"/>
      <c r="J185" s="885"/>
      <c r="K185" s="48"/>
    </row>
    <row r="186" spans="1:11" s="49" customFormat="1" ht="15" customHeight="1" x14ac:dyDescent="0.2">
      <c r="A186" s="846"/>
      <c r="B186" s="847"/>
      <c r="C186" s="847"/>
      <c r="J186" s="885"/>
      <c r="K186" s="48"/>
    </row>
    <row r="187" spans="1:11" s="49" customFormat="1" ht="15" customHeight="1" x14ac:dyDescent="0.2">
      <c r="A187" s="846"/>
      <c r="B187" s="847"/>
      <c r="C187" s="847"/>
      <c r="J187" s="885"/>
      <c r="K187" s="48"/>
    </row>
    <row r="188" spans="1:11" s="49" customFormat="1" ht="15" customHeight="1" x14ac:dyDescent="0.2">
      <c r="A188" s="846"/>
      <c r="B188" s="847"/>
      <c r="C188" s="847"/>
      <c r="J188" s="885"/>
      <c r="K188" s="48"/>
    </row>
    <row r="189" spans="1:11" s="49" customFormat="1" ht="15" customHeight="1" x14ac:dyDescent="0.2">
      <c r="A189" s="846"/>
      <c r="B189" s="847"/>
      <c r="C189" s="847"/>
      <c r="J189" s="885"/>
      <c r="K189" s="48"/>
    </row>
    <row r="190" spans="1:11" s="49" customFormat="1" ht="15" customHeight="1" x14ac:dyDescent="0.2">
      <c r="A190" s="846"/>
      <c r="B190" s="847"/>
      <c r="C190" s="847"/>
      <c r="J190" s="885"/>
      <c r="K190" s="48"/>
    </row>
    <row r="191" spans="1:11" s="49" customFormat="1" ht="15" customHeight="1" x14ac:dyDescent="0.2">
      <c r="A191" s="846"/>
      <c r="B191" s="847"/>
      <c r="C191" s="847"/>
      <c r="J191" s="885"/>
      <c r="K191" s="48"/>
    </row>
    <row r="192" spans="1:11" s="49" customFormat="1" ht="15" customHeight="1" x14ac:dyDescent="0.2">
      <c r="A192" s="846"/>
      <c r="B192" s="847"/>
      <c r="C192" s="847"/>
      <c r="J192" s="885"/>
      <c r="K192" s="48"/>
    </row>
    <row r="193" spans="1:11" s="49" customFormat="1" ht="15" customHeight="1" x14ac:dyDescent="0.2">
      <c r="A193" s="846"/>
      <c r="B193" s="847"/>
      <c r="C193" s="847"/>
      <c r="J193" s="885"/>
      <c r="K193" s="48"/>
    </row>
  </sheetData>
  <sheetProtection selectLockedCells="1" selectUnlockedCells="1"/>
  <mergeCells count="11">
    <mergeCell ref="A63:A64"/>
    <mergeCell ref="B63:B64"/>
    <mergeCell ref="C63:C64"/>
    <mergeCell ref="E25:H26"/>
    <mergeCell ref="E47:H47"/>
    <mergeCell ref="A59:A60"/>
    <mergeCell ref="B59:B60"/>
    <mergeCell ref="C59:C60"/>
    <mergeCell ref="A61:A62"/>
    <mergeCell ref="B61:B62"/>
    <mergeCell ref="C61:C62"/>
  </mergeCells>
  <printOptions horizontalCentered="1"/>
  <pageMargins left="0.39374999999999999" right="0.39374999999999999" top="0.39374999999999999" bottom="0.39374999999999993" header="0.51180555555555551" footer="0.51180555555555551"/>
  <pageSetup paperSize="9" firstPageNumber="0" orientation="portrait" horizontalDpi="300" verticalDpi="300"/>
  <headerFooter alignWithMargins="0">
    <oddFooter>&amp;C&amp;D</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164</vt:i4>
      </vt:variant>
    </vt:vector>
  </HeadingPairs>
  <TitlesOfParts>
    <vt:vector size="182" baseType="lpstr">
      <vt:lpstr>Nouveau</vt:lpstr>
      <vt:lpstr>Mode emploi</vt:lpstr>
      <vt:lpstr>Aide à la Saisie</vt:lpstr>
      <vt:lpstr>Saisie</vt:lpstr>
      <vt:lpstr>Critères Techniques</vt:lpstr>
      <vt:lpstr>Calcul</vt:lpstr>
      <vt:lpstr>Edition éleveur</vt:lpstr>
      <vt:lpstr>Edition Vente directe - Transfo</vt:lpstr>
      <vt:lpstr>Edition Compléments</vt:lpstr>
      <vt:lpstr>Actualisation</vt:lpstr>
      <vt:lpstr>Cuisine</vt:lpstr>
      <vt:lpstr>Référentiel</vt:lpstr>
      <vt:lpstr>Paramètres</vt:lpstr>
      <vt:lpstr>Clés</vt:lpstr>
      <vt:lpstr>Capitalisation</vt:lpstr>
      <vt:lpstr>diagessai</vt:lpstr>
      <vt:lpstr>Regroupements</vt:lpstr>
      <vt:lpstr>Notes méthodo</vt:lpstr>
      <vt:lpstr>Actualisation!_xlnm.Print_Area</vt:lpstr>
      <vt:lpstr>'Aide à la Saisie'!_xlnm.Print_Area</vt:lpstr>
      <vt:lpstr>Calcul!_xlnm.Print_Area</vt:lpstr>
      <vt:lpstr>Clés!_xlnm.Print_Area</vt:lpstr>
      <vt:lpstr>'Edition Compléments'!_xlnm.Print_Area</vt:lpstr>
      <vt:lpstr>'Edition éleveur'!_xlnm.Print_Area</vt:lpstr>
      <vt:lpstr>Paramètres!_xlnm.Print_Area</vt:lpstr>
      <vt:lpstr>Référentiel!_xlnm.Print_Area</vt:lpstr>
      <vt:lpstr>Saisie!_xlnm.Print_Area</vt:lpstr>
      <vt:lpstr>'Aide à la Saisie'!_xlnm.Print_Titles</vt:lpstr>
      <vt:lpstr>Calcul!_xlnm.Print_Titles</vt:lpstr>
      <vt:lpstr>Capitalisation!_xlnm.Print_Titles</vt:lpstr>
      <vt:lpstr>'Mode emploi'!_xlnm.Print_Titles</vt:lpstr>
      <vt:lpstr>'Notes méthodo'!_xlnm.Print_Titles</vt:lpstr>
      <vt:lpstr>Nouveau!_xlnm.Print_Titles</vt:lpstr>
      <vt:lpstr>Référentiel!_xlnm.Print_Titles</vt:lpstr>
      <vt:lpstr>Regroupements!_xlnm.Print_Titles</vt:lpstr>
      <vt:lpstr>Saisie!_xlnm.Print_Titles</vt:lpstr>
      <vt:lpstr>ACAU</vt:lpstr>
      <vt:lpstr>ACBL</vt:lpstr>
      <vt:lpstr>ACCINTBL</vt:lpstr>
      <vt:lpstr>ACF</vt:lpstr>
      <vt:lpstr>ACFOU</vt:lpstr>
      <vt:lpstr>ACFOUBL</vt:lpstr>
      <vt:lpstr>ACV</vt:lpstr>
      <vt:lpstr>ACVECF</vt:lpstr>
      <vt:lpstr>ACVEG</vt:lpstr>
      <vt:lpstr>ACVEGCF</vt:lpstr>
      <vt:lpstr>ACVEGF</vt:lpstr>
      <vt:lpstr>ACVEGH</vt:lpstr>
      <vt:lpstr>ACVEGSH</vt:lpstr>
      <vt:lpstr>ADANI</vt:lpstr>
      <vt:lpstr>ADNONA</vt:lpstr>
      <vt:lpstr>ADPU</vt:lpstr>
      <vt:lpstr>AHsys</vt:lpstr>
      <vt:lpstr>AMORTBAT</vt:lpstr>
      <vt:lpstr>AMORTMAT</vt:lpstr>
      <vt:lpstr>ANI</vt:lpstr>
      <vt:lpstr>ANIBL</vt:lpstr>
      <vt:lpstr>BLsys</vt:lpstr>
      <vt:lpstr>BRUT</vt:lpstr>
      <vt:lpstr>CAMP</vt:lpstr>
      <vt:lpstr>CAP</vt:lpstr>
      <vt:lpstr>CARBU</vt:lpstr>
      <vt:lpstr>CF</vt:lpstr>
      <vt:lpstr>CFBL</vt:lpstr>
      <vt:lpstr>CFBV</vt:lpstr>
      <vt:lpstr>cle_AH</vt:lpstr>
      <vt:lpstr>Cle_BL</vt:lpstr>
      <vt:lpstr>Cle_BV</vt:lpstr>
      <vt:lpstr>Cle_GCU</vt:lpstr>
      <vt:lpstr>Cle_MF</vt:lpstr>
      <vt:lpstr>CM</vt:lpstr>
      <vt:lpstr>CMBL</vt:lpstr>
      <vt:lpstr>COCS</vt:lpstr>
      <vt:lpstr>CV</vt:lpstr>
      <vt:lpstr>CVBL</vt:lpstr>
      <vt:lpstr>CVEN</vt:lpstr>
      <vt:lpstr>DATEVER</vt:lpstr>
      <vt:lpstr>EAU</vt:lpstr>
      <vt:lpstr>EDF</vt:lpstr>
      <vt:lpstr>ENGA</vt:lpstr>
      <vt:lpstr>ENGACF</vt:lpstr>
      <vt:lpstr>ENGACINTBL</vt:lpstr>
      <vt:lpstr>ENGASH</vt:lpstr>
      <vt:lpstr>ENTBAT</vt:lpstr>
      <vt:lpstr>ENTMAT</vt:lpstr>
      <vt:lpstr>EXP</vt:lpstr>
      <vt:lpstr>FELA</vt:lpstr>
      <vt:lpstr>FELABL</vt:lpstr>
      <vt:lpstr>FELV</vt:lpstr>
      <vt:lpstr>FELVBL</vt:lpstr>
      <vt:lpstr>FERM</vt:lpstr>
      <vt:lpstr>FERMOP</vt:lpstr>
      <vt:lpstr>FFIN</vt:lpstr>
      <vt:lpstr>GCUsys</vt:lpstr>
      <vt:lpstr>GEST</vt:lpstr>
      <vt:lpstr>ICP</vt:lpstr>
      <vt:lpstr>IF</vt:lpstr>
      <vt:lpstr>'Aide à la Saisie'!Impression_des_titres</vt:lpstr>
      <vt:lpstr>Calcul!Impression_des_titres</vt:lpstr>
      <vt:lpstr>Capitalisation!Impression_des_titres</vt:lpstr>
      <vt:lpstr>'Mode emploi'!Impression_des_titres</vt:lpstr>
      <vt:lpstr>'Notes méthodo'!Impression_des_titres</vt:lpstr>
      <vt:lpstr>Nouveau!Impression_des_titres</vt:lpstr>
      <vt:lpstr>Référentiel!Impression_des_titres</vt:lpstr>
      <vt:lpstr>Regroupements!Impression_des_titres</vt:lpstr>
      <vt:lpstr>Saisie!Impression_des_titres</vt:lpstr>
      <vt:lpstr>LCB</vt:lpstr>
      <vt:lpstr>Liste_sys</vt:lpstr>
      <vt:lpstr>MSA</vt:lpstr>
      <vt:lpstr>MSABL</vt:lpstr>
      <vt:lpstr>NUMREF</vt:lpstr>
      <vt:lpstr>paraman</vt:lpstr>
      <vt:lpstr>PAUMO</vt:lpstr>
      <vt:lpstr>PAUT</vt:lpstr>
      <vt:lpstr>PAUTBL</vt:lpstr>
      <vt:lpstr>PCV</vt:lpstr>
      <vt:lpstr>PETIMAT</vt:lpstr>
      <vt:lpstr>PHAE</vt:lpstr>
      <vt:lpstr>PLAFERM</vt:lpstr>
      <vt:lpstr>Plamont</vt:lpstr>
      <vt:lpstr>PML</vt:lpstr>
      <vt:lpstr>prilaitajuste</vt:lpstr>
      <vt:lpstr>pumonsaut</vt:lpstr>
      <vt:lpstr>PumonsBL</vt:lpstr>
      <vt:lpstr>pumonsBV</vt:lpstr>
      <vt:lpstr>pumonscv</vt:lpstr>
      <vt:lpstr>pumosaut</vt:lpstr>
      <vt:lpstr>pumosBL</vt:lpstr>
      <vt:lpstr>pumosBV</vt:lpstr>
      <vt:lpstr>pumoscv</vt:lpstr>
      <vt:lpstr>PVBL</vt:lpstr>
      <vt:lpstr>PVBV</vt:lpstr>
      <vt:lpstr>PVSF</vt:lpstr>
      <vt:lpstr>refdata</vt:lpstr>
      <vt:lpstr>SAL</vt:lpstr>
      <vt:lpstr>SAU</vt:lpstr>
      <vt:lpstr>SEM</vt:lpstr>
      <vt:lpstr>SEMCF</vt:lpstr>
      <vt:lpstr>SEMCINTBL</vt:lpstr>
      <vt:lpstr>SEMSH</vt:lpstr>
      <vt:lpstr>SH</vt:lpstr>
      <vt:lpstr>SHBL</vt:lpstr>
      <vt:lpstr>SHBV</vt:lpstr>
      <vt:lpstr>SMIC</vt:lpstr>
      <vt:lpstr>SMICKT</vt:lpstr>
      <vt:lpstr>SMICNETAN</vt:lpstr>
      <vt:lpstr>SMICSIM</vt:lpstr>
      <vt:lpstr>SPRO</vt:lpstr>
      <vt:lpstr>SPROP</vt:lpstr>
      <vt:lpstr>SysBL</vt:lpstr>
      <vt:lpstr>SysBV</vt:lpstr>
      <vt:lpstr>tabCS</vt:lpstr>
      <vt:lpstr>TPA</vt:lpstr>
      <vt:lpstr>TPT</vt:lpstr>
      <vt:lpstr>TPTA</vt:lpstr>
      <vt:lpstr>TPTACINTBL</vt:lpstr>
      <vt:lpstr>TPTCF</vt:lpstr>
      <vt:lpstr>TPTNA</vt:lpstr>
      <vt:lpstr>TPTSH</vt:lpstr>
      <vt:lpstr>TYPE_RACIAL</vt:lpstr>
      <vt:lpstr>UGB</vt:lpstr>
      <vt:lpstr>UGBA</vt:lpstr>
      <vt:lpstr>UGBBL</vt:lpstr>
      <vt:lpstr>UMOf</vt:lpstr>
      <vt:lpstr>UMOns</vt:lpstr>
      <vt:lpstr>UMOnsBL</vt:lpstr>
      <vt:lpstr>UMOnsBV</vt:lpstr>
      <vt:lpstr>UMOnsCV</vt:lpstr>
      <vt:lpstr>UMOs</vt:lpstr>
      <vt:lpstr>UMOsBL</vt:lpstr>
      <vt:lpstr>UMOsBV</vt:lpstr>
      <vt:lpstr>UMOsCV</vt:lpstr>
      <vt:lpstr>VALFERM</vt:lpstr>
      <vt:lpstr>Actualisation!Zone_d_impression</vt:lpstr>
      <vt:lpstr>'Aide à la Saisie'!Zone_d_impression</vt:lpstr>
      <vt:lpstr>Calcul!Zone_d_impression</vt:lpstr>
      <vt:lpstr>Clés!Zone_d_impression</vt:lpstr>
      <vt:lpstr>'Edition Compléments'!Zone_d_impression</vt:lpstr>
      <vt:lpstr>'Edition éleveur'!Zone_d_impression</vt:lpstr>
      <vt:lpstr>Paramètres!Zone_d_impression</vt:lpstr>
      <vt:lpstr>Référentiel!Zone_d_impression</vt:lpstr>
      <vt:lpstr>Saisie!Zone_d_impression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Reuillon Jean-Luc</dc:creator>
  <cp:lastModifiedBy>Jean luc Reuillon</cp:lastModifiedBy>
  <dcterms:created xsi:type="dcterms:W3CDTF">2015-01-06T07:55:29Z</dcterms:created>
  <dcterms:modified xsi:type="dcterms:W3CDTF">2015-01-06T07:56:00Z</dcterms:modified>
</cp:coreProperties>
</file>