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s3itQHYResRmuV23gbFxQ3dKvlAZ+MxLoDiQJAP92w="/>
    </ext>
  </extLst>
</workbook>
</file>

<file path=xl/sharedStrings.xml><?xml version="1.0" encoding="utf-8"?>
<sst xmlns="http://schemas.openxmlformats.org/spreadsheetml/2006/main" count="1695" uniqueCount="1380">
  <si>
    <t>idx</t>
  </si>
  <si>
    <t>jtxt</t>
  </si>
  <si>
    <t>lentxt</t>
  </si>
  <si>
    <t>entxt</t>
  </si>
  <si>
    <t>new_txt</t>
  </si>
  <si>
    <t>00000000</t>
  </si>
  <si>
    <t>防御力 [+0]</t>
  </si>
  <si>
    <t>Defense [+0]</t>
  </si>
  <si>
    <t>01000000</t>
  </si>
  <si>
    <t>ブロック率 [+0]％</t>
  </si>
  <si>
    <t>Block rate [+0] ##</t>
  </si>
  <si>
    <t>02000000</t>
  </si>
  <si>
    <t>スタックアイテム [0]個</t>
  </si>
  <si>
    <t>Stack item [0]</t>
  </si>
  <si>
    <t>03000000</t>
  </si>
  <si>
    <t>[0]個の制限なしの称号の作成可能</t>
  </si>
  <si>
    <t>[0] Create a title without restrictions</t>
  </si>
  <si>
    <t>04000000</t>
  </si>
  <si>
    <t>HP回復 [0]ポイント</t>
  </si>
  <si>
    <t>HP recovery [0] Point</t>
  </si>
  <si>
    <t>05000000</t>
  </si>
  <si>
    <t>HP回復 [0]％</t>
  </si>
  <si>
    <t>HP recovery [0] ##</t>
  </si>
  <si>
    <t>06000000</t>
  </si>
  <si>
    <t>CP充填 [0]ポイント</t>
  </si>
  <si>
    <t>CP Filling [0] Points</t>
  </si>
  <si>
    <t>07000000</t>
  </si>
  <si>
    <t>CP充填 [0]％</t>
  </si>
  <si>
    <t>CP filling [0] ##</t>
  </si>
  <si>
    <t>08000000</t>
  </si>
  <si>
    <t>HP回復 [0]ポイント
- CP充填 [0]ポイント</t>
  </si>
  <si>
    <t>HP recovery [0] Point
-CP Filling [0] Points</t>
  </si>
  <si>
    <t>09000000</t>
  </si>
  <si>
    <t>HP回復 [0]％
- CP充填 [0]％</t>
  </si>
  <si>
    <t>HP recovery [0] ##
-CP filling [0] ##</t>
  </si>
  <si>
    <t>0a000000</t>
  </si>
  <si>
    <t>戦闘不能のキャラクター復活
- HP回復 &lt;c:LTYELLOW&gt;[0]％&lt;n&gt;</t>
  </si>
  <si>
    <t>Unfair character resurrection
-HP recovery &lt;c:LTYELLOW&gt; [0] ## &lt;n&gt;</t>
  </si>
  <si>
    <t>0b000000</t>
  </si>
  <si>
    <t>戦闘不能状態で復活
- HP回復 &lt;c:LTYELLOW&gt;[0]％&lt;n&gt;</t>
  </si>
  <si>
    <t>Resurrected in an incompetent state
-HP recovery &lt;c:LTYELLOW&gt; [0] ## &lt;n&gt;</t>
  </si>
  <si>
    <t>0c000000</t>
  </si>
  <si>
    <t>状態異常の中和 [0]％</t>
  </si>
  <si>
    <t>Advanced inside [0] ##</t>
  </si>
  <si>
    <t>0d000000</t>
  </si>
  <si>
    <t>すべての異常系の状態治療</t>
  </si>
  <si>
    <t>All abnormal conditioning treatment</t>
  </si>
  <si>
    <t>0e000000</t>
  </si>
  <si>
    <t>すべての低下系の状態治療</t>
  </si>
  <si>
    <t>All reduced state treatment</t>
  </si>
  <si>
    <t>0f000000</t>
  </si>
  <si>
    <t xml:space="preserve">すべての呪い系の状態治療 </t>
  </si>
  <si>
    <t>All cursed condition treatment</t>
  </si>
  <si>
    <t>10000000</t>
  </si>
  <si>
    <t>すべての状態異常の治療</t>
  </si>
  <si>
    <t>All state abnormal resistance</t>
  </si>
  <si>
    <t>11000000</t>
  </si>
  <si>
    <t>毒状態の治療</t>
  </si>
  <si>
    <t>Treatment of poisoning state</t>
  </si>
  <si>
    <t>12000000</t>
  </si>
  <si>
    <t>力 [+0] [1]秒</t>
  </si>
  <si>
    <t>Power [+0] [1] seconds</t>
  </si>
  <si>
    <t>13000000</t>
  </si>
  <si>
    <t>敏捷 [+0] [1]秒</t>
  </si>
  <si>
    <t>Agency [+0] [1] seconds</t>
  </si>
  <si>
    <t>14000000</t>
  </si>
  <si>
    <t>健康 [+0] [1]秒</t>
  </si>
  <si>
    <t>Health [+0] [1] seconds</t>
  </si>
  <si>
    <t>15000000</t>
  </si>
  <si>
    <t>知恵 [+0] [1]秒</t>
  </si>
  <si>
    <t>Wisdom [+0] [1] seconds</t>
  </si>
  <si>
    <t>16000000</t>
  </si>
  <si>
    <t>知識 [+0] [1]秒</t>
  </si>
  <si>
    <t>Knowledge [+0] [1] seconds</t>
  </si>
  <si>
    <t>17000000</t>
  </si>
  <si>
    <t>カリスマ [+0] [1]秒</t>
  </si>
  <si>
    <t>Charisma [+0] [1] seconds</t>
  </si>
  <si>
    <t>18000000</t>
  </si>
  <si>
    <t>幸運 [+0] [1]秒</t>
  </si>
  <si>
    <t>Luck [+0] [1] seconds</t>
  </si>
  <si>
    <t>19000000</t>
  </si>
  <si>
    <t>攻撃力 [+1]％ [0]秒</t>
  </si>
  <si>
    <t>Attack power [+1] ## [0] second</t>
  </si>
  <si>
    <t>1a000000</t>
  </si>
  <si>
    <t>防御力 [+1]％ [0]秒</t>
  </si>
  <si>
    <t>Defense power [+1] ## [0] second</t>
  </si>
  <si>
    <t>1b000000</t>
  </si>
  <si>
    <t>最大HP [+1]％ [0]秒</t>
  </si>
  <si>
    <t>Maximum HP [+1] ## [0] seconds</t>
  </si>
  <si>
    <t>1c000000</t>
  </si>
  <si>
    <t>最大CP [+1]％ [0]秒</t>
  </si>
  <si>
    <t>Maximum CP [+1] ## [0] seconds</t>
  </si>
  <si>
    <t>1d000000</t>
  </si>
  <si>
    <t>武器ダメージを最高に維持 [0]秒</t>
  </si>
  <si>
    <t>Maintain the weapon damage [0] seconds</t>
  </si>
  <si>
    <t>1e000000</t>
  </si>
  <si>
    <t>CPを最高に維持 [0]秒</t>
  </si>
  <si>
    <t>Maintain CP [0] seconds</t>
  </si>
  <si>
    <t>1f000000</t>
  </si>
  <si>
    <t>宝箱の鍵 レベル [0]</t>
  </si>
  <si>
    <t>Treasure chest key level [0]</t>
  </si>
  <si>
    <t>20000000</t>
  </si>
  <si>
    <t>門の鍵 レベル [0]</t>
  </si>
  <si>
    <t>Gate key level [0]</t>
  </si>
  <si>
    <t>21000000</t>
  </si>
  <si>
    <t>万能鍵 レベル [0]</t>
  </si>
  <si>
    <t>Universal key level [0]</t>
  </si>
  <si>
    <t>22000000</t>
  </si>
  <si>
    <t>街へ帰還する</t>
  </si>
  <si>
    <t>Return to the city</t>
  </si>
  <si>
    <t>23000000</t>
  </si>
  <si>
    <t>街往復ポータル</t>
  </si>
  <si>
    <t>Town round -trip portal</t>
  </si>
  <si>
    <t>24000000</t>
  </si>
  <si>
    <t>使用可能回数[1]回(維持時間 [0]分)</t>
  </si>
  <si>
    <t>Number of available times [1] times (maintenance time [0])</t>
  </si>
  <si>
    <t>25000000</t>
  </si>
  <si>
    <t>ターゲット即死確率 [+0]％</t>
  </si>
  <si>
    <t>Target Immediate death probability [+0] ##</t>
  </si>
  <si>
    <t>26000000</t>
  </si>
  <si>
    <t>ベルセルク攻撃[0]％ [1]秒</t>
  </si>
  <si>
    <t>Berserk attack [0] ## [1] seconds</t>
  </si>
  <si>
    <t>27000000</t>
  </si>
  <si>
    <t>鎧破壊攻撃[0]％ [1]秒</t>
  </si>
  <si>
    <t>Armor destruction attack [0] ## [1] seconds</t>
  </si>
  <si>
    <t>28000000</t>
  </si>
  <si>
    <t>武器破壊攻撃[0]％ [1]秒</t>
  </si>
  <si>
    <t>Weapon destruction attack [0] ## [1] seconds</t>
  </si>
  <si>
    <t>29000000</t>
  </si>
  <si>
    <t>毒攻撃- 秒当りダメージ [1]([0]秒)</t>
  </si>
  <si>
    <t>Poison attack-Damage per second [1] ([0] second)</t>
  </si>
  <si>
    <t>2a000000</t>
  </si>
  <si>
    <t>混乱攻撃[0]％ [1]秒</t>
  </si>
  <si>
    <t>Confusion attack [0] ## [1] seconds</t>
  </si>
  <si>
    <t>2b000000</t>
  </si>
  <si>
    <t>誘惑攻撃[0]％ [1]秒</t>
  </si>
  <si>
    <t>Charm attack [0] ## [1] seconds</t>
  </si>
  <si>
    <t>2c000000</t>
  </si>
  <si>
    <t>スタン攻撃[0]％ [1]Frame</t>
  </si>
  <si>
    <t>Stun attack [0] ## [1] Frame</t>
  </si>
  <si>
    <t>2d000000</t>
  </si>
  <si>
    <t>コールド攻撃[0]％ [1]秒</t>
  </si>
  <si>
    <t>Cold attack [0] ## [1] seconds</t>
  </si>
  <si>
    <t>2e000000</t>
  </si>
  <si>
    <t>火属性 ダメージ [+0]</t>
  </si>
  <si>
    <t>Fire damage damage [+0]</t>
  </si>
  <si>
    <t>2f000000</t>
  </si>
  <si>
    <t>水属性 ダメージ  [+0]</t>
  </si>
  <si>
    <t>Water attribute damage [+0]</t>
  </si>
  <si>
    <t>30000000</t>
  </si>
  <si>
    <t>風属性 ダメージ  [+0]</t>
  </si>
  <si>
    <t>Wind attribute damage [+0]</t>
  </si>
  <si>
    <t>31000000</t>
  </si>
  <si>
    <t>大地属性 ダメージ  [+0]</t>
  </si>
  <si>
    <t>Earth attribute damage [+0]</t>
  </si>
  <si>
    <t>32000000</t>
  </si>
  <si>
    <t>光属性 ダメージ  [+0]</t>
  </si>
  <si>
    <t>Light attribute damage [+0]</t>
  </si>
  <si>
    <t>33000000</t>
  </si>
  <si>
    <t>闇属性 ダメージ  [+0]</t>
  </si>
  <si>
    <t>Dark attribute damage [+0]</t>
  </si>
  <si>
    <t>34000000</t>
  </si>
  <si>
    <t>vs アンデッド系キャラクター - ダメージ  [+0]％</t>
  </si>
  <si>
    <t>VS Undead Character -Damage [+0] ##</t>
  </si>
  <si>
    <t>35000000</t>
  </si>
  <si>
    <t>vs 悪魔系キャラクター - ダメージ  [+0]％</t>
  </si>
  <si>
    <t>VS Devil Character -Damage [+0] ##</t>
  </si>
  <si>
    <t>36000000</t>
  </si>
  <si>
    <t>vs 人間系キャラクター - ダメージ  [+0]％</t>
  </si>
  <si>
    <t>VS Human Character -Damage [+0] ##</t>
  </si>
  <si>
    <t>37000000</t>
  </si>
  <si>
    <t>vs 動物系キャラクター - ダメージ  [+0]％</t>
  </si>
  <si>
    <t>VS Animal Character -Damage [+0] ##</t>
  </si>
  <si>
    <t>38000000</t>
  </si>
  <si>
    <t>vs 神獣系キャラクター - ダメージ  [+0]％</t>
  </si>
  <si>
    <t>vs. Beast Character -Damage [+0] ##</t>
  </si>
  <si>
    <t>39000000</t>
  </si>
  <si>
    <t>アイテム リロードタイム -[0]％</t>
  </si>
  <si>
    <t>Item Reload Time- [0] ##</t>
  </si>
  <si>
    <t>3a000000</t>
  </si>
  <si>
    <t>変身速度 [0]％ 増加</t>
  </si>
  <si>
    <t>Transformation speed [0] ## increase</t>
  </si>
  <si>
    <t>3b000000</t>
  </si>
  <si>
    <t>ポーション  回復速度 [0]％ 増加</t>
  </si>
  <si>
    <t>Potion recovery speed [0] ## increase</t>
  </si>
  <si>
    <t>3c000000</t>
  </si>
  <si>
    <t>ダメージ  リターン [0]％</t>
  </si>
  <si>
    <t>Damage return [0] ##</t>
  </si>
  <si>
    <t>3d000000</t>
  </si>
  <si>
    <t>無限弾丸</t>
  </si>
  <si>
    <t>Infinite bullet</t>
  </si>
  <si>
    <t>3e000000</t>
  </si>
  <si>
    <t>近接系列職業 攻撃力 [+0]〜[+1]</t>
  </si>
  <si>
    <t>Melee occupational attack power [+0] ~ [+1]</t>
  </si>
  <si>
    <t>3f000000</t>
  </si>
  <si>
    <t>力 [+0]</t>
  </si>
  <si>
    <t>Power [+0]</t>
  </si>
  <si>
    <t>40000000</t>
  </si>
  <si>
    <t>知恵 [+0]</t>
  </si>
  <si>
    <t>Wisdom [+0]</t>
  </si>
  <si>
    <t>41000000</t>
  </si>
  <si>
    <t>知識 [+0]</t>
  </si>
  <si>
    <t>Knowledge [+0]</t>
  </si>
  <si>
    <t>42000000</t>
  </si>
  <si>
    <t>健康 [+0]</t>
  </si>
  <si>
    <t>Health [+0]</t>
  </si>
  <si>
    <t>43000000</t>
  </si>
  <si>
    <t>敏捷 [+0]</t>
  </si>
  <si>
    <t>Agency [+0]</t>
  </si>
  <si>
    <t>44000000</t>
  </si>
  <si>
    <t>カリスマ [+0]</t>
  </si>
  <si>
    <t>Charisma [+0]</t>
  </si>
  <si>
    <t>45000000</t>
  </si>
  <si>
    <t>幸運 [+0]</t>
  </si>
  <si>
    <t>Luck [+0]</t>
  </si>
  <si>
    <t>46000000</t>
  </si>
  <si>
    <t>クリティカル [+0]％</t>
  </si>
  <si>
    <t>Critical [+0] ##</t>
  </si>
  <si>
    <t>47000000</t>
  </si>
  <si>
    <t>決定打 [+0]％</t>
  </si>
  <si>
    <t>Final blow [+0] ##</t>
  </si>
  <si>
    <t>48000000</t>
  </si>
  <si>
    <t>命中率 [+0]％</t>
  </si>
  <si>
    <t>Accuracy [+0] ##</t>
  </si>
  <si>
    <t>49000000</t>
  </si>
  <si>
    <t>集中力 [+0]</t>
  </si>
  <si>
    <t>Concentration [+0]</t>
  </si>
  <si>
    <t>4a000000</t>
  </si>
  <si>
    <t>攻撃速度 [+0]％</t>
  </si>
  <si>
    <t>Attack speed [+0] ##</t>
  </si>
  <si>
    <t>4b000000</t>
  </si>
  <si>
    <t>状態 抵抗 [+0]％</t>
  </si>
  <si>
    <t>State resistance [+0] ##</t>
  </si>
  <si>
    <t>4c000000</t>
  </si>
  <si>
    <t>能力値低下状態 抵抗 [+0]％</t>
  </si>
  <si>
    <t>Ability value decreased status resistance [+0] ##</t>
  </si>
  <si>
    <t>4d000000</t>
  </si>
  <si>
    <t>異常状態 抵抗 [+0]％</t>
  </si>
  <si>
    <t>Abnormal state resistance [+0] ##</t>
  </si>
  <si>
    <t>4e000000</t>
  </si>
  <si>
    <t>すべての状態異常 抵抗 [+0]％</t>
  </si>
  <si>
    <t>All state abnormal resistance [+0] ##</t>
  </si>
  <si>
    <t>4f000000</t>
  </si>
  <si>
    <t>火 抵抗 [+0]％</t>
  </si>
  <si>
    <t>Fire resistance [+0] ##</t>
  </si>
  <si>
    <t>50000000</t>
  </si>
  <si>
    <t>大地 抵抗 [+0]％</t>
  </si>
  <si>
    <t>Earth resistance [+0] ##</t>
  </si>
  <si>
    <t>51000000</t>
  </si>
  <si>
    <t>風 抵抗 [+0]％</t>
  </si>
  <si>
    <t>Wind resistance [+0] ##</t>
  </si>
  <si>
    <t>52000000</t>
  </si>
  <si>
    <t>水 抵抗 [+0]％</t>
  </si>
  <si>
    <t>Water resistance [+0] ##</t>
  </si>
  <si>
    <t>53000000</t>
  </si>
  <si>
    <t>光 抵抗 [+0]％</t>
  </si>
  <si>
    <t>Light resistance [+0] ##</t>
  </si>
  <si>
    <t>54000000</t>
  </si>
  <si>
    <t>闇 抵抗 [+0]％</t>
  </si>
  <si>
    <t>Dark resistance [+0] ##</t>
  </si>
  <si>
    <t>55000000</t>
  </si>
  <si>
    <t>火, 水, 風, 大地 抵抗 [+0]％</t>
  </si>
  <si>
    <t>Fire, water, wind, earth resistance [+0] ##</t>
  </si>
  <si>
    <t>56000000</t>
  </si>
  <si>
    <t>魔法 抵抗 [+0]％</t>
  </si>
  <si>
    <t>Magic resistance [+0] ##</t>
  </si>
  <si>
    <t>57000000</t>
  </si>
  <si>
    <t>ノックバック 抵抗 [+0]％</t>
  </si>
  <si>
    <t>Knockback resistance [+0] ##</t>
  </si>
  <si>
    <t>58000000</t>
  </si>
  <si>
    <t>致命打 抵抗 [+0]％</t>
  </si>
  <si>
    <t>Fatal resistance [+0] ##</t>
  </si>
  <si>
    <t>59000000</t>
  </si>
  <si>
    <t>決定打 抵抗 [+0]％</t>
  </si>
  <si>
    <t>Decisive Blow resistance [+0] ##</t>
  </si>
  <si>
    <t>5a000000</t>
  </si>
  <si>
    <t>即死 抵抗 [+0]％</t>
  </si>
  <si>
    <t>Instant death resistance [+0] ##</t>
  </si>
  <si>
    <t>5b000000</t>
  </si>
  <si>
    <t>ランサーのスキルレベル [+0]</t>
  </si>
  <si>
    <t>Lancer skill level [+0]</t>
  </si>
  <si>
    <t>5c000000</t>
  </si>
  <si>
    <t>アーチャーのスキルレベル [+0]</t>
  </si>
  <si>
    <t>Archer's skill level [+0]</t>
  </si>
  <si>
    <t>5d000000</t>
  </si>
  <si>
    <t>剣士のスキルレベル [+0]</t>
  </si>
  <si>
    <t>Skills level of swordsman [+0]</t>
  </si>
  <si>
    <t>5e000000</t>
  </si>
  <si>
    <t>戦士のスキルレベル [+0]</t>
  </si>
  <si>
    <t>Warrior's skill level [+0]</t>
  </si>
  <si>
    <t>5f000000</t>
  </si>
  <si>
    <t>ウィザードのスキルレベル [+0]</t>
  </si>
  <si>
    <t>Wizard skill level [+0]</t>
  </si>
  <si>
    <t>60000000</t>
  </si>
  <si>
    <t>ウルフマンのスキルレベル [+0]</t>
  </si>
  <si>
    <t>Wolfman's skill level [+0]</t>
  </si>
  <si>
    <t>61000000</t>
  </si>
  <si>
    <t>シーフのスキルレベル [+0]</t>
  </si>
  <si>
    <t>Thief skill level [+0]</t>
  </si>
  <si>
    <t>62000000</t>
  </si>
  <si>
    <t>武道家のスキルレベル [+0]</t>
  </si>
  <si>
    <t>Skill level of martial artists [+0]</t>
  </si>
  <si>
    <t>63000000</t>
  </si>
  <si>
    <t>ビーストテイマーのスキルレベル [+0]</t>
  </si>
  <si>
    <t>Beast Tamer's skill level [+0]</t>
  </si>
  <si>
    <t>64000000</t>
  </si>
  <si>
    <t>サマナーのスキルレベル [+0]</t>
  </si>
  <si>
    <t>Summoner skill level [+0]</t>
  </si>
  <si>
    <t>65000000</t>
  </si>
  <si>
    <t>プリンセスのスキルレベル [+0]</t>
  </si>
  <si>
    <t>Princess skill level [+0]</t>
  </si>
  <si>
    <t>66000000</t>
  </si>
  <si>
    <t>リトルウィッチのスキルレベル [+0]</t>
  </si>
  <si>
    <t>Little Witch Skill Level [+0]</t>
  </si>
  <si>
    <t>67000000</t>
  </si>
  <si>
    <t>ビショップのスキルレベル [+0]</t>
  </si>
  <si>
    <t>Bishop skill level [+0]</t>
  </si>
  <si>
    <t>68000000</t>
  </si>
  <si>
    <t>追放天使のスキルレベル [+0]</t>
  </si>
  <si>
    <t>Exile angel skill level [+0]</t>
  </si>
  <si>
    <t>69000000</t>
  </si>
  <si>
    <t>ネクロマンサーのスキルレベル [+0]</t>
  </si>
  <si>
    <t>Necromancer skill level [+0]</t>
  </si>
  <si>
    <t>6a000000</t>
  </si>
  <si>
    <t>悪魔のスキルレベル [+0]</t>
  </si>
  <si>
    <t>Devil's skill level [+0]</t>
  </si>
  <si>
    <t>6b000000</t>
  </si>
  <si>
    <t>女性キャラクター スキルレベル [+0]</t>
  </si>
  <si>
    <t>Female character skill level [+0]</t>
  </si>
  <si>
    <t>6c000000</t>
  </si>
  <si>
    <t>男性キャラクター スキルレベル [+0]</t>
  </si>
  <si>
    <t>Male character skill level [+0]</t>
  </si>
  <si>
    <t>6d000000</t>
  </si>
  <si>
    <t>すべてのスキルレベル [+0]</t>
  </si>
  <si>
    <t>All skill level [+0]</t>
  </si>
  <si>
    <t>6e000000</t>
  </si>
  <si>
    <t>回避率 [+0]％</t>
  </si>
  <si>
    <t>Avoidance rate [+0] ##</t>
  </si>
  <si>
    <t>6f000000</t>
  </si>
  <si>
    <t>誘惑攻撃[0]％ &lt;c:LTYELLOW&gt;30&lt;n&gt;秒</t>
  </si>
  <si>
    <t>Temptation attack [0] ## &lt;c:LTYELLOW&gt; 30 &lt;n&gt; seconds</t>
  </si>
  <si>
    <t>70000000</t>
  </si>
  <si>
    <t>コールド攻撃&lt;c:LTYELLOW&gt;100％&lt;n&gt; [0]秒</t>
  </si>
  <si>
    <t>Cold attack &lt;c:LTYELLOW&gt; 100 ## &lt;n&gt; [0] seconds</t>
  </si>
  <si>
    <t>71000000</t>
  </si>
  <si>
    <t>力 [+0] (成功確率 : [1]％)</t>
  </si>
  <si>
    <t>Power [+0] (Success probability: [1] ##)</t>
  </si>
  <si>
    <t>72000000</t>
  </si>
  <si>
    <t>敏捷 [+0] (成功確率 : [1]％)</t>
  </si>
  <si>
    <t>Agency [+0] (Success probability: [1] ##)</t>
  </si>
  <si>
    <t>73000000</t>
  </si>
  <si>
    <t>健康 [+0] (成功確率 : [1]％)</t>
  </si>
  <si>
    <t>Health [+0] (Success probability: [1] ##)</t>
  </si>
  <si>
    <t>74000000</t>
  </si>
  <si>
    <t>知恵 [+0] (成功確率 : [1]％)</t>
  </si>
  <si>
    <t>Wisdom [+0] (Success probability: [1] ##)</t>
  </si>
  <si>
    <t>75000000</t>
  </si>
  <si>
    <t>知識 [+0] (成功確率 : [1]％)</t>
  </si>
  <si>
    <t>Knowledge [+0] (Success probability: [1] ##)</t>
  </si>
  <si>
    <t>76000000</t>
  </si>
  <si>
    <t>カリスマ [+0] (成功確率 : [1]％)</t>
  </si>
  <si>
    <t>Charisma [+0] (Success probability: [1] ##)</t>
  </si>
  <si>
    <t>77000000</t>
  </si>
  <si>
    <t>幸運 [+0] (成功確率 : [1]％)</t>
  </si>
  <si>
    <t>Good luck [+0] (Success probability: [1] ##)</t>
  </si>
  <si>
    <t>78000000</t>
  </si>
  <si>
    <t>最大 HP [+0] (失敗確率 : [0]*[1]％)</t>
  </si>
  <si>
    <t>Maximum HP [+0] (Failure probability: [0]*[1] ##)</t>
  </si>
  <si>
    <t>79000000</t>
  </si>
  <si>
    <t>最大 CP [+0] (失敗確率 : [0]*[1]％)</t>
  </si>
  <si>
    <t>Maximum CP [+0] (Failure probability: [0]*[1] ##)</t>
  </si>
  <si>
    <t>7a000000</t>
  </si>
  <si>
    <t>武器 ダメージ  [+0]％ (失敗確率 : [0]+0.65％)</t>
  </si>
  <si>
    <t>Weapon damage [+0] ## (Failure probability: [0]+0.65 ##)</t>
  </si>
  <si>
    <t>7b000000</t>
  </si>
  <si>
    <t>鎧 防御力 [+0] (失敗確率 : [0]+0.65％)</t>
  </si>
  <si>
    <t>Armor defense power [+0] (Failure probability: [0]+0.65 ##)</t>
  </si>
  <si>
    <t>7c000000</t>
  </si>
  <si>
    <t>称号 [0]個  生成 (成功確率 : [1]％)</t>
  </si>
  <si>
    <t>Title [0] Individual generation (Success probability: [1] ##)</t>
  </si>
  <si>
    <t>7d000000</t>
  </si>
  <si>
    <t>ダメージ  リターン &lt;c:LTYELLOW&gt;40％&lt;n&gt;</t>
  </si>
  <si>
    <t>Damage return &lt;c:LTYELLOW&gt; 40 ## &lt;n&gt;</t>
  </si>
  <si>
    <t>7e000000</t>
  </si>
  <si>
    <t>使用者に [0]レベル フロンティア　タイトルを付与します。</t>
  </si>
  <si>
    <t>Give the user the [0] Level Frontier title.</t>
  </si>
  <si>
    <t>7f000000</t>
  </si>
  <si>
    <t>ドロップレベル [0]のレア　アイテムをランダムに生成する。成功確率 [1]％</t>
  </si>
  <si>
    <t>Randomly generate rare items of drop level [0]. Success probability [1] ##</t>
  </si>
  <si>
    <t>80000000</t>
  </si>
  <si>
    <t>ドロップレベル [0]のユニーク　アイテムをランダムに生成する。成功確率 [1]％</t>
  </si>
  <si>
    <t>Randomly generate unique items of drop level [0]. Success probability [1] ##</t>
  </si>
  <si>
    <t>81000000</t>
  </si>
  <si>
    <t>ドロップレベル [0]のスーパー　ユニークをランダムに生成する。成功確率 [1]％</t>
  </si>
  <si>
    <t>Randomly generate a super unique drop level [0]. Success probability [1] ##</t>
  </si>
  <si>
    <t>82000000</t>
  </si>
  <si>
    <t>スキルポイント 再配分</t>
  </si>
  <si>
    <t>Skill point redistribution</t>
  </si>
  <si>
    <t>83000000</t>
  </si>
  <si>
    <t>ステータスポイント 再配分</t>
  </si>
  <si>
    <t>Status point redistribution</t>
  </si>
  <si>
    <t>84000000</t>
  </si>
  <si>
    <t>ダメージ　オプション変換</t>
  </si>
  <si>
    <t>Damage option conversion</t>
  </si>
  <si>
    <t>85000000</t>
  </si>
  <si>
    <t>危険なダメージ  オプション変換</t>
  </si>
  <si>
    <t>Dangerous damage option conversion</t>
  </si>
  <si>
    <t>86000000</t>
  </si>
  <si>
    <t>経験値 &lt;c:LTYELLOW&gt;1.5倍&lt;n&gt;
- アイテム ドロップ率 &lt;c:LTYELLOW&gt;1.5倍&lt;n&gt;
-&lt;c:LTYELLOW&gt; 街　無制限の帰還可能&lt;n&gt;
-&lt;c:LTYELLOW&gt; プレミアムゾーン進入&lt;n&gt;
-&lt;c:LTYELLOW&gt; タウン  テレポーター無料使用&lt;n&gt;
-&lt;c:LTYELLOW&gt; 魔法のカーペット無限召喚可能&lt;n&gt;</t>
  </si>
  <si>
    <t>Experience value &lt;c:LTYELLOW&gt; 1.5 x&lt;n&gt;
-E item drop rate &lt;c:LTYELLOW&gt; 1.5 x&lt;n&gt;
-&lt;c:LTYELLOW&gt; Unlimited town return&lt;n&gt;
-&lt;c:LTYELLOW&gt; Premium Zone Enrolled&lt;n&gt;
-&lt;c:LTYELLOW&gt; Teleport free use&lt;n&gt;
-&lt;c:LTYELLOW&gt; Magical carpet Infinite summoning&lt;n&gt;</t>
  </si>
  <si>
    <t>Experience value &lt;c:LTYELLOW&gt; 1.5 x&lt;n&gt;
-E item drop rate &lt;c:LTYELLOW&gt; 1.5 x&lt;n&gt;
-&lt;c:LTYELLOW&gt; Unlimited town return&lt;n&gt;
-&lt;c:LTYELLOW&gt; Premium Zone Enrolled&lt;n&gt;
-&lt;c:LTYELLOW&gt; Free use&lt;n&gt;
-&lt;c:LTYELLOW&gt; Magical carpet Infinite summoning&lt;n&gt;</t>
  </si>
  <si>
    <t>87000000</t>
  </si>
  <si>
    <t>[0]分の間、攻撃力を [1]％ 増加させる。</t>
  </si>
  <si>
    <t>Increase the attack power [1] ## for [0] minutes.</t>
  </si>
  <si>
    <t>88000000</t>
  </si>
  <si>
    <t>[0]分の間、防御力を [1]％ 増加させる。</t>
  </si>
  <si>
    <t>In the [0] minute, the defense power is increased [1] ##.</t>
  </si>
  <si>
    <t>89000000</t>
  </si>
  <si>
    <t>[0]分の間、HPを [1]％ 増加させる。</t>
  </si>
  <si>
    <t>Increase [1] ## of [0] minutes.</t>
  </si>
  <si>
    <t>8a000000</t>
  </si>
  <si>
    <t>[0]分の間、CPを [1]％ 増加させる。</t>
  </si>
  <si>
    <t>Increase the CP for [0] minutes [1] ##.</t>
  </si>
  <si>
    <t>8b000000</t>
  </si>
  <si>
    <t>[0]分の間、武器ダメージが最高に維持される。</t>
  </si>
  <si>
    <t>Weapon damage is maintained in the [0] minute.</t>
  </si>
  <si>
    <t>8c000000</t>
  </si>
  <si>
    <t>[0]分の間、CPがいつも最高に維持される。</t>
  </si>
  <si>
    <t>The CP is always maintained for the [0] minute.</t>
  </si>
  <si>
    <t>8d000000</t>
  </si>
  <si>
    <t>力を [0]ほど [1]分の間、上昇させる。</t>
  </si>
  <si>
    <t>Raise the power for [0] for [1].</t>
  </si>
  <si>
    <t>8e000000</t>
  </si>
  <si>
    <t>敏捷を [0]ほど [1]分の間、上昇させる。</t>
  </si>
  <si>
    <t>Raise the agility for [0] for [1].</t>
  </si>
  <si>
    <t>8f000000</t>
  </si>
  <si>
    <t>健康を [0]ほど [1]分の間、上昇させる。</t>
  </si>
  <si>
    <t>Raise your health for [0] for [1].</t>
  </si>
  <si>
    <t>90000000</t>
  </si>
  <si>
    <t>知恵を [0]ほど [1]分の間、上昇させる。</t>
  </si>
  <si>
    <t>Raise wisdom for [0] for [1].</t>
  </si>
  <si>
    <t>91000000</t>
  </si>
  <si>
    <t>知識を [0]ほど [1]分の間、上昇させる。</t>
  </si>
  <si>
    <t>Raise the knowledge for [0] for [1].</t>
  </si>
  <si>
    <t>92000000</t>
  </si>
  <si>
    <t>カリスマを [0]ほど [1]分の間、上昇させる。</t>
  </si>
  <si>
    <t>Raise the charisma for [0] for [1].</t>
  </si>
  <si>
    <t>93000000</t>
  </si>
  <si>
    <t>運を [0]ほど [1]分の間、上昇させる。</t>
  </si>
  <si>
    <t>Raise luck for [0] for [1].</t>
  </si>
  <si>
    <t>94000000</t>
  </si>
  <si>
    <t>自分のレベルより [0]レベル高い制限レベルのアイテム使用可能</t>
  </si>
  <si>
    <t>[0] Level levels can be used from your level</t>
  </si>
  <si>
    <t>95000000</t>
  </si>
  <si>
    <t>現在の位置を場所スロット[0]に覚えてクリスタルを[1]個生成する。</t>
  </si>
  <si>
    <t>Remember the current position in the location slot [0] and generate crystal [1].</t>
  </si>
  <si>
    <t>96000000</t>
  </si>
  <si>
    <t>場所スロット [0] で覚えている場所にテレポートする。</t>
  </si>
  <si>
    <t>Teleport to the place you remember in the location slot [0].</t>
  </si>
  <si>
    <t>97000000</t>
  </si>
  <si>
    <t>死亡ペナルティー時間を&lt;c:LTGREEN&gt;90％&lt;n&gt;減少して、&lt;c:LTGREEN&gt;[0]秒&lt;n&gt;の間、最大HPを[1]％にする。</t>
  </si>
  <si>
    <t>The death penalty time is reduced &lt;c:LTGREEN&gt; 90 ## &lt;n&gt;, and the maximum HP is set to [1] ## during &lt;c:LTGREEN&gt; [0] seconds &lt;n&gt;.</t>
  </si>
  <si>
    <t>98000000</t>
  </si>
  <si>
    <t>魔法のカーペットを召喚する。</t>
  </si>
  <si>
    <t>Summon a magical carpet.</t>
  </si>
  <si>
    <t>99000000</t>
  </si>
  <si>
    <t>[0]分の間、攻撃力を [1]&lt;c:LTYELLOW&gt;0&lt;n&gt;％ 増加させる。</t>
  </si>
  <si>
    <t>In the [0] minute, increase the attack power [1] &lt;c:LTYELLOW&gt; 0 &lt;n&gt; ##.</t>
  </si>
  <si>
    <t>9a000000</t>
  </si>
  <si>
    <t>[0]分の間、防御力 [1]&lt;c:LTYELLOW&gt;0&lt;n&gt;％ 増加させる。</t>
  </si>
  <si>
    <t>In the [0] minute, the defense power [1] &lt;c:LTYELLOW&gt; 0 &lt;n&gt; ## increase.</t>
  </si>
  <si>
    <t>9b000000</t>
  </si>
  <si>
    <t>レベル [0]が上昇する。</t>
  </si>
  <si>
    <t>Level [0] rises.</t>
  </si>
  <si>
    <t>9c000000</t>
  </si>
  <si>
    <t xml:space="preserve">すべてのスキルレベル &lt;c:LTGREEN&gt;+2&lt;n&gt;
- 幸運 &lt;c:LTGREEN&gt;+200&lt;n&gt; </t>
  </si>
  <si>
    <t>All skill level &lt;c:LTGREEN&gt; +2 &lt;n&gt;
-Luck &lt;c:LTGREEN&gt; +200 &lt;n&gt;</t>
  </si>
  <si>
    <t>9d000000</t>
  </si>
  <si>
    <t>&lt;c:LTYELLOW&gt;持っていると魔法のカーペットの模様が変わる。&lt;n&gt;</t>
  </si>
  <si>
    <t>&lt;c:LTYELLOW&gt; If you hold it, the pattern of the magic carpet will change. &lt;n&gt;</t>
  </si>
  <si>
    <t>9e000000</t>
  </si>
  <si>
    <t>&lt;c:LTYELLOW&gt;ジム・モリのアイテム エンチャント&lt;n&gt;</t>
  </si>
  <si>
    <t>&lt;c:LTYELLOW&gt; Jim Mori's item enchantment &lt;n&gt;</t>
  </si>
  <si>
    <t>9f000000</t>
  </si>
  <si>
    <t>&lt;c:LTYELLOW&gt;壊れたアイテムを不器用に修理する。&lt;n&gt;</t>
  </si>
  <si>
    <t>&lt;c:LTYELLOW&gt; Repair broken items clumsy. &lt;n&gt;</t>
  </si>
  <si>
    <t>a0000000</t>
  </si>
  <si>
    <t>&lt;c:LTYELLOW&gt;アイテムエンチャント&lt;n&gt;</t>
  </si>
  <si>
    <t>&lt;c:LTYELLOW&gt; Item Enchantment &lt;n&gt;</t>
  </si>
  <si>
    <t>a1000000</t>
  </si>
  <si>
    <t>&lt;c:LTYELLOW&gt;壊れたアイテムを完璧に修理する。&lt;n&gt;</t>
  </si>
  <si>
    <t>&lt;c:LTYELLOW&gt; Repair broken items perfectly. &lt;n&gt;</t>
  </si>
  <si>
    <t>a2000000</t>
  </si>
  <si>
    <t>&lt;c:LTYELLOW&gt;アイテムにかかっている呪いを解いてくれる。&lt;n&gt;</t>
  </si>
  <si>
    <t>&lt;c:LTYELLOW&gt; Solve the curse on the item. &lt;n&gt;</t>
  </si>
  <si>
    <t>a3000000</t>
  </si>
  <si>
    <t>&lt;c:LTYELLOW&gt;アイテム改良制限を解いてくれる。&lt;n&gt;</t>
  </si>
  <si>
    <t>&lt;c:LTYELLOW&gt; Solve the item improvement limit. &lt;n&gt;</t>
  </si>
  <si>
    <t>a4000000</t>
  </si>
  <si>
    <t>&lt;c:LTYELLOW&gt;○× クイズチケット&lt;n&gt;</t>
  </si>
  <si>
    <t>&lt;c:LTYELLOW&gt; OX quiz ticket &lt;n&gt;</t>
  </si>
  <si>
    <t>a5000000</t>
  </si>
  <si>
    <t>座っている時、回復速度が &lt;c:LTYELLOW&gt;[0]％&lt;n&gt; 増加する。</t>
  </si>
  <si>
    <t>When sitting, the recovery speed increases &lt;c:LTYELLOW&gt; [0] ## &lt;n&gt;.</t>
  </si>
  <si>
    <t>a6000000</t>
  </si>
  <si>
    <t>ギルドを作成してくれる。</t>
  </si>
  <si>
    <t>It creates a guild.</t>
  </si>
  <si>
    <t>a7000000</t>
  </si>
  <si>
    <t>ギルドのレベルを &lt;c:LTYELLOW&gt;[0]&lt;n&gt;にしてくれる。</t>
  </si>
  <si>
    <t>The guild level is &lt;c:LTYELLOW&gt; [0] &lt;n&gt;.</t>
  </si>
  <si>
    <t>a8000000</t>
  </si>
  <si>
    <t>ギルドマークを選ぶことができる選択の幅を増やしてくれる。</t>
  </si>
  <si>
    <t>It increases the range of choices that can choose a guild mark.</t>
  </si>
  <si>
    <t>a9000000</t>
  </si>
  <si>
    <t>aa000000</t>
  </si>
  <si>
    <t>ab000000</t>
  </si>
  <si>
    <t>ac000000</t>
  </si>
  <si>
    <t>ad000000</t>
  </si>
  <si>
    <t>ae000000</t>
  </si>
  <si>
    <t>af000000</t>
  </si>
  <si>
    <t>b0000000</t>
  </si>
  <si>
    <t>頼もしい立て札</t>
  </si>
  <si>
    <t>Open street stall</t>
  </si>
  <si>
    <t>b1000000</t>
  </si>
  <si>
    <t>露店商の立て札の内容の色を選択できるようにしてくれる。</t>
  </si>
  <si>
    <t>It will be able to select the color of the contents of the standing bill of the stall.</t>
  </si>
  <si>
    <t>b2000000</t>
  </si>
  <si>
    <t>露店商の立て札の内容を太い字で書くことができるようにしてくれる。</t>
  </si>
  <si>
    <t>It will make the contents of the stalls of the stalls can be written in thick letters.</t>
  </si>
  <si>
    <t>b3000000</t>
  </si>
  <si>
    <t>露店商の名前をより長く 書くことができるようにしてくれる。</t>
  </si>
  <si>
    <t>It will make you write the name of the stall shop for longer.</t>
  </si>
  <si>
    <t>b4000000</t>
  </si>
  <si>
    <t>露店商の立て札の周りにきらめく効果をくれる。</t>
  </si>
  <si>
    <t>It gives a glittering effect around the stalls of the stall.</t>
  </si>
  <si>
    <t>b5000000</t>
  </si>
  <si>
    <t>露店商の関連機能をすべて可能にしてくれる。(アシスタント除外)</t>
  </si>
  <si>
    <t>It enables all the related functions of the stalls. (Excluding assistant)</t>
  </si>
  <si>
    <t>b6000000</t>
  </si>
  <si>
    <t>派手な立て札</t>
  </si>
  <si>
    <t>Flashy bill</t>
  </si>
  <si>
    <t>b7000000</t>
  </si>
  <si>
    <t>不思議な立て札</t>
  </si>
  <si>
    <t>Mysterious bill</t>
  </si>
  <si>
    <t>b8000000</t>
  </si>
  <si>
    <t>きれいな立て札</t>
  </si>
  <si>
    <t>Beautiful bill</t>
  </si>
  <si>
    <t>b9000000</t>
  </si>
  <si>
    <t>情熱的な立て札</t>
  </si>
  <si>
    <t>Passionate bill</t>
  </si>
  <si>
    <t>ba000000</t>
  </si>
  <si>
    <t>拡声器</t>
  </si>
  <si>
    <t>Loudspeaker</t>
  </si>
  <si>
    <t>bb000000</t>
  </si>
  <si>
    <t>ドロップレベル [0]〜[1] 間のノーマル　アイテムをランダムに生成する。成功確率 100％</t>
  </si>
  <si>
    <t>Randomly generate normal items between drop levels [0] to [1]. Success probability 100 ##</t>
  </si>
  <si>
    <t>bc000000</t>
  </si>
  <si>
    <t>ターゲットの火の抵抗を &lt;c:LTYELLOW&gt;[0]％&lt;n&gt; 弱化させる。</t>
  </si>
  <si>
    <t>&lt;c:LTYELLOW&gt; [0] ## &lt;n&gt; weaken the target fire resistance.</t>
  </si>
  <si>
    <t>bd000000</t>
  </si>
  <si>
    <t>ターゲットの水の抵抗を &lt;c:LTYELLOW&gt;[0]％&lt;n&gt; 弱化させる。</t>
  </si>
  <si>
    <t>&lt;c:LTYELLOW&gt; [0] ## &lt;n&gt; weaken the target water resistance.</t>
  </si>
  <si>
    <t>be000000</t>
  </si>
  <si>
    <t>ターゲットの風の抵抗を &lt;c:LTYELLOW&gt;[0]％&lt;n&gt; 弱化させる。</t>
  </si>
  <si>
    <t>&lt;c:LTYELLOW&gt; [0] ## &lt;n&gt; weaken the target wind resistance.</t>
  </si>
  <si>
    <t>bf000000</t>
  </si>
  <si>
    <t>ターゲットの大地の抵抗を &lt;c:LTYELLOW&gt;[0]％&lt;n&gt; 弱化させる。</t>
  </si>
  <si>
    <t>&lt;c:LTYELLOW&gt; [0] ## &lt;n&gt; weaken the resistance of the target earth.</t>
  </si>
  <si>
    <t>c0000000</t>
  </si>
  <si>
    <t>ターゲットの光の抵抗を &lt;c:LTYELLOW&gt;[0]％&lt;n&gt; 弱化させる。</t>
  </si>
  <si>
    <t>&lt;c:LTYELLOW&gt; [0] ## &lt;n&gt; weaken the target light resistance.</t>
  </si>
  <si>
    <t>c1000000</t>
  </si>
  <si>
    <t>ターゲットの闇の抵抗を &lt;c:LTYELLOW&gt;[0]％&lt;n&gt; 弱化させる。</t>
  </si>
  <si>
    <t>&lt;c:LTYELLOW&gt; [0] ## &lt;n&gt; weaken the target dark resistance.</t>
  </si>
  <si>
    <t>c2000000</t>
  </si>
  <si>
    <t>ターゲットの魔法の抵抗を &lt;c:LTYELLOW&gt;[0]％&lt;n&gt; 弱化させる。</t>
  </si>
  <si>
    <t>&lt;c:LTYELLOW&gt; [0] ## &lt;n&gt; weaken the magic resistance of the target.</t>
  </si>
  <si>
    <t>c3000000</t>
  </si>
  <si>
    <t>火属性の攻撃力を &lt;c:LTYELLOW&gt;[0]％&lt;n&gt; 強化させる。</t>
  </si>
  <si>
    <t>&lt;c:LTYELLOW&gt; [0] ## &lt;n&gt; enhance the attack power of fire attribute.</t>
  </si>
  <si>
    <t>c4000000</t>
  </si>
  <si>
    <t>水属性の攻撃力を &lt;c:LTYELLOW&gt;[0]％&lt;n&gt; 強化させる。</t>
  </si>
  <si>
    <t>&lt;c:LTYELLOW&gt; [0] ## &lt;n&gt; enhance the attack power of the water attribute.</t>
  </si>
  <si>
    <t>c5000000</t>
  </si>
  <si>
    <t>風属性の攻撃力を &lt;c:LTYELLOW&gt;[0]％&lt;n&gt; 強化させる。</t>
  </si>
  <si>
    <t>&lt;c:LTYELLOW&gt; [0] ## &lt;n&gt; enhance the attack power of the wind attribute.</t>
  </si>
  <si>
    <t>c6000000</t>
  </si>
  <si>
    <t>大地属性の攻撃力を &lt;c:LTYELLOW&gt;[0]％&lt;n&gt; 強化させる。</t>
  </si>
  <si>
    <t>&lt;c:LTYELLOW&gt; [0] ## &lt;n&gt; enhance the attack power of the earth attribute.</t>
  </si>
  <si>
    <t>c7000000</t>
  </si>
  <si>
    <t>光属性の攻撃力を &lt;c:LTYELLOW&gt;[0]％&lt;n&gt; 強化させる。</t>
  </si>
  <si>
    <t>&lt;c:LTYELLOW&gt; [0] ## &lt;n&gt; enhance the attack power of light attribute.</t>
  </si>
  <si>
    <t>c8000000</t>
  </si>
  <si>
    <t>闇属性の攻撃力を &lt;c:LTYELLOW&gt;[0]％&lt;n&gt; 強化させる。</t>
  </si>
  <si>
    <t>&lt;c:LTYELLOW&gt; [0] ## &lt;n&gt; enhance the attack power of dark attributes.</t>
  </si>
  <si>
    <t>c9000000</t>
  </si>
  <si>
    <t>魔法の攻撃力を &lt;c:LTYELLOW&gt;[0]％&lt;n&gt; 強化させる。</t>
  </si>
  <si>
    <t>&lt;c:LTYELLOW&gt; [0] ## &lt;n&gt; enhance the magic attack power.</t>
  </si>
  <si>
    <t>ca000000</t>
  </si>
  <si>
    <t>ペットの飼育記録書である。</t>
  </si>
  <si>
    <t>It is a pet breeding book.</t>
  </si>
  <si>
    <t>cb000000</t>
  </si>
  <si>
    <t>神秘的なアイテムボックス</t>
  </si>
  <si>
    <t>Mysterious item box</t>
  </si>
  <si>
    <t>cc000000</t>
  </si>
  <si>
    <t>魔力補充キット</t>
  </si>
  <si>
    <t>Magical power replenishment kit</t>
  </si>
  <si>
    <t>cd000000</t>
  </si>
  <si>
    <t>HP回復機能のあるタートル絨毯(カーペット)を召喚する。</t>
  </si>
  <si>
    <t>Summon a turtle carpet (carpet) with HP recovery function.</t>
  </si>
  <si>
    <t>ce000000</t>
  </si>
  <si>
    <t>移動してもCPが減少しないリスの絨毯(カーペット)を召喚する。</t>
  </si>
  <si>
    <t>Summon a squirrel carpet (carpet) that does not reduce CP even if you move.</t>
  </si>
  <si>
    <t>cf000000</t>
  </si>
  <si>
    <t>魔法絨毯(カーペット)よりも移動速度が早いドレイク絨毯(カーペット)を召喚する。</t>
  </si>
  <si>
    <t>Summon a drake carpet (carpet), which is faster than a magic carpet (carpet).</t>
  </si>
  <si>
    <t>d0000000</t>
  </si>
  <si>
    <t>乗ったままで攻撃可能なギア絨毯(カーペット)を召喚する。</t>
  </si>
  <si>
    <t>Summon a gear carpet (carpet) that can be attacked while riding.</t>
  </si>
  <si>
    <t>d1000000</t>
  </si>
  <si>
    <t>旅行者用のカバンの大きさを&lt;c:LTYELLOW&gt;[0]&lt;n&gt;箇所拡張させる。</t>
  </si>
  <si>
    <t>&lt;c:LTYELLOW&gt; [0] &lt;n&gt; Extend the size of the bag for travelers.</t>
  </si>
  <si>
    <t>d2000000</t>
  </si>
  <si>
    <t>デラックスアイテムの耐久度を&lt;c:LTYELLOW&gt;[0]％&lt;n&gt;上昇させる。</t>
  </si>
  <si>
    <t>Increase the durability of deluxe items &lt;c:LTYELLOW&gt; [0] ## &lt;n&gt;.</t>
  </si>
  <si>
    <t>d3000000</t>
  </si>
  <si>
    <t>アイテムのかけら</t>
  </si>
  <si>
    <t>Item pieces</t>
  </si>
  <si>
    <t>d4000000</t>
  </si>
  <si>
    <t>&lt;c:LTYELLOW&gt;秘密ダンジョン鍵&lt;n&gt;</t>
  </si>
  <si>
    <t>&lt;c:LTYELLOW&gt; Hidden dungeon key &lt;n&gt;</t>
  </si>
  <si>
    <t>d5000000</t>
  </si>
  <si>
    <t>&lt;c:LTYELLOW&gt;称号削除&lt;n&gt;</t>
  </si>
  <si>
    <t>&lt;c:LTYELLOW&gt; Delete the title &lt;n&gt;</t>
  </si>
  <si>
    <t>d6000000</t>
  </si>
  <si>
    <t>&lt;c:LTYELLOW&gt;ワールドマップへフィールド移動&lt;n&gt;</t>
  </si>
  <si>
    <t>&lt;c:LTYELLOW&gt; Field moves to World Maps &lt;n&gt;</t>
  </si>
  <si>
    <t>d7000000</t>
  </si>
  <si>
    <t>&lt;c:LTYELLOW&gt;垂直バナー設置&lt;n&gt;</t>
  </si>
  <si>
    <t>&lt;c:LTYELLOW&gt; Vertical banner installation &lt;n&gt;</t>
  </si>
  <si>
    <t>d8000000</t>
  </si>
  <si>
    <t>d9000000</t>
  </si>
  <si>
    <t>&lt;c:LTYELLOW&gt;宝物地図&lt;n&gt;</t>
  </si>
  <si>
    <t>&lt;c:LTYELLOW&gt; Treasure map &lt;n&gt;</t>
  </si>
  <si>
    <t>da000000</t>
  </si>
  <si>
    <t>幸運[+0]&lt;c:LTYELLOW&gt;00&lt;n&gt; [1]分</t>
  </si>
  <si>
    <t>Good luck [+0] &lt;c:LTYELLOW&gt; 00 &lt;n&gt; [1]</t>
  </si>
  <si>
    <t>db000000</t>
  </si>
  <si>
    <t>ギルドスキルポイント再分配(石像スキル除外)</t>
  </si>
  <si>
    <t>Guild skill point redistribution (excluding stone statue skills)</t>
  </si>
  <si>
    <t>dc000000</t>
  </si>
  <si>
    <t>ウェイポイントスロット[0]に記憶している場所に通じるポータルを開く。</t>
  </si>
  <si>
    <t>Open a portal that leads to the place you remember in the Way Point Slot [0].</t>
  </si>
  <si>
    <t>dd000000</t>
  </si>
  <si>
    <t>カップルリング２つを生成する。</t>
  </si>
  <si>
    <t>Generate two couple rings.</t>
  </si>
  <si>
    <t>de000000</t>
  </si>
  <si>
    <t>カップルリング</t>
  </si>
  <si>
    <t>Couple ring</t>
  </si>
  <si>
    <t>df000000</t>
  </si>
  <si>
    <t>同じ種類のアイテム２つを交ぜる。</t>
  </si>
  <si>
    <t>Combine two of the same types of items.</t>
  </si>
  <si>
    <t>e0000000</t>
  </si>
  <si>
    <t>花火</t>
  </si>
  <si>
    <t>firework</t>
  </si>
  <si>
    <t>e1000000</t>
  </si>
  <si>
    <t>どのような花火が出るか、使う前にはわからない。</t>
  </si>
  <si>
    <t>I don't know what fireworks will come out before using.</t>
  </si>
  <si>
    <t>e2000000</t>
  </si>
  <si>
    <t>選択ステータス増加</t>
  </si>
  <si>
    <t>Increase in selection status</t>
  </si>
  <si>
    <t>e3000000</t>
  </si>
  <si>
    <t>プレゼント用カップルリング</t>
  </si>
  <si>
    <t>Couple ring for gifts</t>
  </si>
  <si>
    <t>e4000000</t>
  </si>
  <si>
    <t>パートナー無しカップルリング</t>
  </si>
  <si>
    <t>Coupling without partner</t>
  </si>
  <si>
    <t>e5000000</t>
  </si>
  <si>
    <t>本にカテゴリー追加</t>
  </si>
  <si>
    <t>Add category to books</t>
  </si>
  <si>
    <t>e6000000</t>
  </si>
  <si>
    <t>本にページ追加</t>
  </si>
  <si>
    <t>Add page to book</t>
  </si>
  <si>
    <t>e7000000</t>
  </si>
  <si>
    <t>本</t>
  </si>
  <si>
    <t>Book</t>
  </si>
  <si>
    <t>e8000000</t>
  </si>
  <si>
    <t>プリンセス変身時の武器</t>
  </si>
  <si>
    <t>Weapons at the time of princess transformation</t>
  </si>
  <si>
    <t>e9000000</t>
  </si>
  <si>
    <t>ギルドホール移動アイテム</t>
  </si>
  <si>
    <t>Guild Hall mobile item</t>
  </si>
  <si>
    <t>ea000000</t>
  </si>
  <si>
    <t>ギルドガーディアン召喚</t>
  </si>
  <si>
    <t>Guild Guardian Summon</t>
  </si>
  <si>
    <t>eb000000</t>
  </si>
  <si>
    <t>ギルド石像関連アイテム</t>
  </si>
  <si>
    <t>Guild stone statue -related items</t>
  </si>
  <si>
    <t>ec000000</t>
  </si>
  <si>
    <t>ed000000</t>
  </si>
  <si>
    <t>運営者に変身することができる。</t>
  </si>
  <si>
    <t>You can transform into an operator.</t>
  </si>
  <si>
    <t>ee000000</t>
  </si>
  <si>
    <t>最終ダメージが[0]&lt;c:LTYELLOW&gt;分&lt;n&gt;間[1]&lt;c:LTYELLOW&gt;0％&lt;n&gt;増加する。</t>
  </si>
  <si>
    <t>The final damage increases [0] &lt;c:LTYELLOW&gt; minutes &lt;n&gt; [1] &lt;c:LTYELLOW&gt; 0 ## &lt;n&gt;.</t>
  </si>
  <si>
    <t>ef000000</t>
  </si>
  <si>
    <t>モンスターを倒す時に獲得する経験値が[0]&lt;c:LTYELLOW&gt;分&lt;n&gt;間[1]&lt;c:LTYELLOW&gt;0％&lt;n&gt;増加する。</t>
  </si>
  <si>
    <t>[0] &lt;c:LTYELLOW&gt; minutes &lt;n&gt; [1] &lt;c:LTYELLOW&gt; 0 ## &lt;n&gt; 0 ## &lt;n&gt;.</t>
  </si>
  <si>
    <t>f0000000</t>
  </si>
  <si>
    <t>アイテムドロップ確率が[0]&lt;c:LTYELLOW&gt;分&lt;n&gt;間[1]&lt;c:LTYELLOW&gt;0％&lt;n&gt;増加する。</t>
  </si>
  <si>
    <t>The item drop probability increases [0] &lt;c:LTYELLOW&gt; minutes &lt;n&gt; [1] &lt;c:LTYELLOW&gt; 0 ## &lt;n&gt;.</t>
  </si>
  <si>
    <t>f1000000</t>
  </si>
  <si>
    <t>死亡ペナルティーをすべて回復させる。</t>
  </si>
  <si>
    <t>Recover all death penalty.</t>
  </si>
  <si>
    <t>f2000000</t>
  </si>
  <si>
    <t>移動中も増加する。</t>
  </si>
  <si>
    <t>It increases while moving.</t>
  </si>
  <si>
    <t>f3000000</t>
  </si>
  <si>
    <t>イベント用風船</t>
  </si>
  <si>
    <t>Event balloon</t>
  </si>
  <si>
    <t>f4000000</t>
  </si>
  <si>
    <t>f5000000</t>
  </si>
  <si>
    <t>最終ダメージ[+1]％[0]分</t>
  </si>
  <si>
    <t>Final Damage [+1] ## [0]</t>
  </si>
  <si>
    <t>f6000000</t>
  </si>
  <si>
    <t>ミニペット召喚</t>
  </si>
  <si>
    <t>Mino summoning</t>
  </si>
  <si>
    <t>f7000000</t>
  </si>
  <si>
    <t>ミニペット期間延長</t>
  </si>
  <si>
    <t>Prolonged minipet period</t>
  </si>
  <si>
    <t>f8000000</t>
  </si>
  <si>
    <t>全ミニペット期間延長</t>
  </si>
  <si>
    <t>All minipet period extension</t>
  </si>
  <si>
    <t>f9000000</t>
  </si>
  <si>
    <t>ミニペット封印</t>
  </si>
  <si>
    <t>Minippet seal</t>
  </si>
  <si>
    <t>fa000000</t>
  </si>
  <si>
    <t>ミニペット名前変更</t>
  </si>
  <si>
    <t>Minipet name change</t>
  </si>
  <si>
    <t>fb000000</t>
  </si>
  <si>
    <t>ミニペットが入った袋</t>
  </si>
  <si>
    <t>A bag containing a minipet</t>
  </si>
  <si>
    <t>fc000000</t>
  </si>
  <si>
    <t>ミニペットのエサ</t>
  </si>
  <si>
    <t>Minipet food</t>
  </si>
  <si>
    <t>fd000000</t>
  </si>
  <si>
    <t>fe000000</t>
  </si>
  <si>
    <t>ff000000</t>
  </si>
  <si>
    <t>ミニペットを2体同時に活性化できるようになる
- 期間 [0]日</t>
  </si>
  <si>
    <t>You can activate two mini pets at the same time
-The period [0] day</t>
  </si>
  <si>
    <t>00010000</t>
  </si>
  <si>
    <t>称号レベル上昇</t>
  </si>
  <si>
    <t>Title level rise</t>
  </si>
  <si>
    <t>01010000</t>
  </si>
  <si>
    <t>取引不可アイテムを取引可能に変更</t>
  </si>
  <si>
    <t>Changed notable items to trading items</t>
  </si>
  <si>
    <t>02010000</t>
  </si>
  <si>
    <t>03010000</t>
  </si>
  <si>
    <t>HP [+1]</t>
  </si>
  <si>
    <t>04010000</t>
  </si>
  <si>
    <t>CP [+1]</t>
  </si>
  <si>
    <t>05010000</t>
  </si>
  <si>
    <t>自分のレベルより[0]レベル高いレベル制限アイテムの使用が可能</t>
  </si>
  <si>
    <t>[0] High level limit items can be used from your level</t>
  </si>
  <si>
    <t>06010000</t>
  </si>
  <si>
    <t>スキル１つ初期化</t>
  </si>
  <si>
    <t>One skill initialization</t>
  </si>
  <si>
    <t>07010000</t>
  </si>
  <si>
    <t>ステータス１つ初期化</t>
  </si>
  <si>
    <t>One status initialization</t>
  </si>
  <si>
    <t>08010000</t>
  </si>
  <si>
    <t>称号除去</t>
  </si>
  <si>
    <t>Title removal</t>
  </si>
  <si>
    <t>09010000</t>
  </si>
  <si>
    <t>アイテム複製</t>
  </si>
  <si>
    <t>Item duplication</t>
  </si>
  <si>
    <t>0a010000</t>
  </si>
  <si>
    <t>一般アイテム称号アップグレード</t>
  </si>
  <si>
    <t>General item title upgrade</t>
  </si>
  <si>
    <t>0b010000</t>
  </si>
  <si>
    <t>一般アイテム性能向上</t>
  </si>
  <si>
    <t>General item performance improvement</t>
  </si>
  <si>
    <t>0c010000</t>
  </si>
  <si>
    <t>ユニークアイテム称号アップグレード</t>
  </si>
  <si>
    <t>Unique item title upgrade</t>
  </si>
  <si>
    <t>0d010000</t>
  </si>
  <si>
    <t>ユニークアイテム性能向上</t>
  </si>
  <si>
    <t>Improvement of unique item performance</t>
  </si>
  <si>
    <t>0e010000</t>
  </si>
  <si>
    <t>同じ種類のアイテム２つを交ぜる</t>
  </si>
  <si>
    <t>Combine two of the same types of items</t>
  </si>
  <si>
    <t>0f010000</t>
  </si>
  <si>
    <t>性向数値選択</t>
  </si>
  <si>
    <t>Intectory value selection</t>
  </si>
  <si>
    <t>10010000</t>
  </si>
  <si>
    <t>タイムスタンプ</t>
  </si>
  <si>
    <t>Time stamp</t>
  </si>
  <si>
    <t>11010000</t>
  </si>
  <si>
    <t>称号追加</t>
  </si>
  <si>
    <t>Added title</t>
  </si>
  <si>
    <t>12010000</t>
  </si>
  <si>
    <t>狩りでの経験値ボーナス</t>
  </si>
  <si>
    <t>Experience bonus in hunting</t>
  </si>
  <si>
    <t>13010000</t>
  </si>
  <si>
    <t>バッジに刻印する</t>
  </si>
  <si>
    <t>Engraved on the badge</t>
  </si>
  <si>
    <t>14010000</t>
  </si>
  <si>
    <t>生命石</t>
  </si>
  <si>
    <t>Life stone</t>
  </si>
  <si>
    <t>15010000</t>
  </si>
  <si>
    <t>魔法絨毯(カーペット)よりも移動速度が早いファイヤードレイク絨毯(カーペット)を召喚する。</t>
  </si>
  <si>
    <t>Summon a fireared lake carpet (carpet), which is faster than the magic carpet (carpet).</t>
  </si>
  <si>
    <t>16010000</t>
  </si>
  <si>
    <t>火炎の激怒</t>
  </si>
  <si>
    <t>Fire's furious</t>
  </si>
  <si>
    <t>17010000</t>
  </si>
  <si>
    <t>水の波動</t>
  </si>
  <si>
    <t>Water wave</t>
  </si>
  <si>
    <t>18010000</t>
  </si>
  <si>
    <t>風の加護</t>
  </si>
  <si>
    <t>Breeze blessing</t>
  </si>
  <si>
    <t>19010000</t>
  </si>
  <si>
    <t>大地の響き</t>
  </si>
  <si>
    <t>The sound of the earth</t>
  </si>
  <si>
    <t>1a010000</t>
  </si>
  <si>
    <t>ルーンを刻印する</t>
  </si>
  <si>
    <t>Engraved the rune</t>
  </si>
  <si>
    <t>1b010000</t>
  </si>
  <si>
    <t>覚醒の種</t>
  </si>
  <si>
    <t>Awakening species</t>
  </si>
  <si>
    <t>1c010000</t>
  </si>
  <si>
    <t>覚醒の果実</t>
  </si>
  <si>
    <t>Awakening fruit</t>
  </si>
  <si>
    <t>1d010000</t>
  </si>
  <si>
    <t>ギルドマーク・シグナルパッケージ</t>
  </si>
  <si>
    <t>Guild Mark Signal Package</t>
  </si>
  <si>
    <t>1e010000</t>
  </si>
  <si>
    <t>ギルドマーク・ユニーク１パッケージ</t>
  </si>
  <si>
    <t>Guild mark unique 1 package</t>
  </si>
  <si>
    <t>1f010000</t>
  </si>
  <si>
    <t>ギルドマーク・ユニーク２パッケージ</t>
  </si>
  <si>
    <t>Guild Mark Unique 2 Package</t>
  </si>
  <si>
    <t>20010000</t>
  </si>
  <si>
    <t>HPを [0]&lt;c:LTYELLOW&gt;00&lt;n&gt;ポイント回復</t>
  </si>
  <si>
    <t>HP [0] &lt;c:LTYELLOW&gt; 00 &lt;n&gt; Point recovery</t>
  </si>
  <si>
    <t>21010000</t>
  </si>
  <si>
    <t>CPを [0]&lt;c:LTYELLOW&gt;00&lt;n&gt;ポイント充填</t>
  </si>
  <si>
    <t>CP [0] &lt;c:LTYELLOW&gt; 00 &lt;n&gt; Point filling</t>
  </si>
  <si>
    <t>22010000</t>
  </si>
  <si>
    <t>[*]</t>
  </si>
  <si>
    <t>23010000</t>
  </si>
  <si>
    <t>ステータスポイント 力 再配分</t>
  </si>
  <si>
    <t>Status point power redistribution</t>
  </si>
  <si>
    <t>24010000</t>
  </si>
  <si>
    <t>ステータスポイント 敏捷 再配分</t>
  </si>
  <si>
    <t>Status point agility redistribution</t>
  </si>
  <si>
    <t>25010000</t>
  </si>
  <si>
    <t>ステータスポイント 健康 再配分</t>
  </si>
  <si>
    <t>Status point health redistribution</t>
  </si>
  <si>
    <t>26010000</t>
  </si>
  <si>
    <t>ステータスポイント 知識 再配分</t>
  </si>
  <si>
    <t>Status point knowledge redistribution</t>
  </si>
  <si>
    <t>27010000</t>
  </si>
  <si>
    <t>ステータスポイント 知恵 再配分</t>
  </si>
  <si>
    <t>Status point wisdom redistribution</t>
  </si>
  <si>
    <t>28010000</t>
  </si>
  <si>
    <t>ステータスポイント カリスマ 再配分</t>
  </si>
  <si>
    <t>Status Point Calismatic Redistribution</t>
  </si>
  <si>
    <t>29010000</t>
  </si>
  <si>
    <t>ステータスポイント 運 再配分</t>
  </si>
  <si>
    <t>Status point luck redistribution</t>
  </si>
  <si>
    <t>2a010000</t>
  </si>
  <si>
    <t>ワールドマップ上のフィールドを自由に移動できる。</t>
  </si>
  <si>
    <t>You can move freely on the field on the world map.</t>
  </si>
  <si>
    <t>2b010000</t>
  </si>
  <si>
    <t>戦闘不能になったパーティーメンバーを全員復活させて[0]&lt;c:LTYELLOW&gt;秒&lt;n&gt;間最大HP、CPを[1]&lt;c:LTYELLOW&gt;％&lt;n&gt;増加させる。</t>
  </si>
  <si>
    <t>[0] &lt;c:LTYELLOW&gt; seconds &lt;n&gt; Maximum HP and CP are increased [1] &lt;c:LTYELLOW&gt; ## &lt;n&gt; &lt;n&gt;.</t>
  </si>
  <si>
    <t>2c010000</t>
  </si>
  <si>
    <t>一日の秘密ダンジョン入場制限回数を[0]&lt;c:LTYELLOW&gt;回&lt;n&gt;増加させる。</t>
  </si>
  <si>
    <t>Increase [0] &lt;c:LTYELLOW&gt; times &lt;n&gt; the number of secret dungeon admission per day.</t>
  </si>
  <si>
    <t>2d010000</t>
  </si>
  <si>
    <t>ミニペットがエサを食べて獲得する際の経験値を[0]&lt;c:LTYELLOW&gt;ポイント&lt;n&gt;増加させる。</t>
  </si>
  <si>
    <t>[0] &lt;c:LTYELLOW&gt; Points &lt;n&gt; &lt;n&gt; &lt;n&gt; &lt;n&gt; where the minipet eats food.</t>
  </si>
  <si>
    <t>2e010000</t>
  </si>
  <si>
    <t>移動速度 [0]&lt;c:LTYELLOW&gt;％&lt;n&gt;増加</t>
  </si>
  <si>
    <t>Moving speed [0] &lt;c:LTYELLOW&gt; ## &lt;n&gt; increase</t>
  </si>
  <si>
    <t>2f010000</t>
  </si>
  <si>
    <t>HP [0]&lt;c:LTYELLOW&gt;％&lt;n&gt;すぐに回復</t>
  </si>
  <si>
    <t>HP [0] &lt;c:LTYELLOW&gt; ## &lt;n&gt; Recovery immediately</t>
  </si>
  <si>
    <t>30010000</t>
  </si>
  <si>
    <t>HP [0]&lt;c:LTYELLOW&gt;00ポイント&lt;n&gt;すぐに回復</t>
  </si>
  <si>
    <t>HP [0] &lt;c:LTYELLOW&gt; 00 Points &lt;n&gt; Recover immediately</t>
  </si>
  <si>
    <t>31010000</t>
  </si>
  <si>
    <t>一日のギルドダンジョン入場制限回数を[0]&lt;c:LTYELLOW&gt;回&lt;n&gt;増加させる。</t>
  </si>
  <si>
    <t>Increase [0] &lt;c:LTYELLOW&gt; times &lt;n&gt; the number of guild dungeons in the guild dungeon per day.</t>
  </si>
  <si>
    <t>32010000</t>
  </si>
  <si>
    <t>ペットの名前をno nameに戻し、名前を変更することができる。</t>
  </si>
  <si>
    <t>You can return the pet name to no name and change the name.</t>
  </si>
  <si>
    <t>33010000</t>
  </si>
  <si>
    <t>[0]&lt;c:LTYELLOW&gt;時間&lt;n&gt;の間、すべてのプレイヤーの経験値とアイテムドロップ率を[1]&lt;c:LTYELLOW&gt;ポイント&lt;n&gt;増加する。</t>
  </si>
  <si>
    <t>[0] Increase the experience value and item drop rate of all players during the &lt;c:LTYELLOW&gt; time &lt;n&gt;.</t>
  </si>
  <si>
    <t>34010000</t>
  </si>
  <si>
    <t>[0]&lt;c:LTYELLOW&gt;％&lt;n&gt;確率で&lt;c:LTYELLOW&gt;物理ダメージ&lt;n&gt;の[1]&lt;c:LTYELLOW&gt;％&lt;n&gt;を 体力吸収</t>
  </si>
  <si>
    <t>[0] &lt;c:LTYELLOW&gt; ## &lt;n&gt; Absorption of &lt;c:LTYELLOW&gt; physical damage &lt;n&gt; with a probability [1] &lt;c:LTYELLOW&gt; ## &lt;n&gt;</t>
  </si>
  <si>
    <t>35010000</t>
  </si>
  <si>
    <t>ミニペットを調和させる。</t>
  </si>
  <si>
    <t>Massive the minipet.</t>
  </si>
  <si>
    <t>36010000</t>
  </si>
  <si>
    <t>ミニペットのオーラを取り込む</t>
  </si>
  <si>
    <t>Incorporate a minipet aura</t>
  </si>
  <si>
    <t>37010000</t>
  </si>
  <si>
    <t>[0]&lt;c:LTYELLOW&gt;0&lt;n&gt;レベル以下のアイテム 1つを能力に関係なく使用可能にする。</t>
  </si>
  <si>
    <t>[0] &lt;c:LTYELLOW&gt; 0 &lt;n&gt; One item below the level can be used regardless of the ability.</t>
  </si>
  <si>
    <t>38010000</t>
  </si>
  <si>
    <t>39010000</t>
  </si>
  <si>
    <t>3a010000</t>
  </si>
  <si>
    <t>3b010000</t>
  </si>
  <si>
    <t>3c010000</t>
  </si>
  <si>
    <t>3d010000</t>
  </si>
  <si>
    <t>3e010000</t>
  </si>
  <si>
    <t>霊術師のスキルレベル [+0]</t>
  </si>
  <si>
    <t>Skill level of psychic [+0]</t>
  </si>
  <si>
    <t>3f010000</t>
  </si>
  <si>
    <t>&lt;c:LTYELLOW&gt;[0]％&lt;n&gt;の確率でアイテムの称号を付ける</t>
  </si>
  <si>
    <t>Add the title of the item with the probability of &lt;c:LTYELLOW&gt; [0] ## &lt;n&gt;</t>
  </si>
  <si>
    <t>40010000</t>
  </si>
  <si>
    <t>&lt;c:LTYELLOW&gt;[0]％&lt;n&gt;の確率でアイテムの称号をコピーする</t>
  </si>
  <si>
    <t>Copy the title of the item with the probability of &lt;c:LTYELLOW&gt; [0] ## &lt;n&gt;</t>
  </si>
  <si>
    <t>41010000</t>
  </si>
  <si>
    <t>&lt;c:LTYELLOW&gt;選択したアイテムの称号を削除する&lt;n&gt;</t>
  </si>
  <si>
    <t>&lt;c:LTYELLOW&gt; Delete the title of the selected item &lt;n&gt;</t>
  </si>
  <si>
    <t>42010000</t>
  </si>
  <si>
    <t>残り体力をすぐに減少 [0]％</t>
  </si>
  <si>
    <t>Reduce the remaining physical strength immediately [0] ##</t>
  </si>
  <si>
    <t>43010000</t>
  </si>
  <si>
    <t>&lt;c:LTYELLOW&gt;[0]％&lt;n&gt;の確率でアイテムの称号を付ける【 取引不可 】</t>
  </si>
  <si>
    <t>&lt;c:LTYELLOW&gt; [0] ## &lt;n&gt; Add the title of the item [Transaction is not allowed]</t>
  </si>
  <si>
    <t>44010000</t>
  </si>
  <si>
    <t>&lt;c:LTYELLOW&gt;[0]％&lt;n&gt;の確率でアイテムの称号をコピーする【 取引不可 】</t>
  </si>
  <si>
    <t>&lt;c:LTYELLOW&gt; [0] ## &lt;n&gt; Copy the title of the item [Transaction is possible]</t>
  </si>
  <si>
    <t>45010000</t>
  </si>
  <si>
    <t>46010000</t>
  </si>
  <si>
    <t>47010000</t>
  </si>
  <si>
    <t>すべての能力値 [+0]</t>
  </si>
  <si>
    <t>All ability values ​​[+0]</t>
  </si>
  <si>
    <t>48010000</t>
  </si>
  <si>
    <t>選択したステータス [+0]増加</t>
  </si>
  <si>
    <t>Selected status [+0] increase</t>
  </si>
  <si>
    <t>49010000</t>
  </si>
  <si>
    <t>[0]分間 レベル[1]の狩人に変身</t>
  </si>
  <si>
    <t>[0] Transform into a hunter with a minute level [1]</t>
  </si>
  <si>
    <t>4a010000</t>
  </si>
  <si>
    <t>[0]分間 レベル[1]のアサシンに変身</t>
  </si>
  <si>
    <t>[0] Transform into an assassin at a minute level [1]</t>
  </si>
  <si>
    <t>4b010000</t>
  </si>
  <si>
    <t>[0]分間 レベル[1]のブラックメイジに変身</t>
  </si>
  <si>
    <t>[0] Transform into a black mage of minute level [1]</t>
  </si>
  <si>
    <t>4c010000</t>
  </si>
  <si>
    <t>現在、フィールドにいるモンスターを召喚する。</t>
  </si>
  <si>
    <t>Currently summoning monsters in the field.</t>
  </si>
  <si>
    <t>4d010000</t>
  </si>
  <si>
    <t>刻印レベル[0]</t>
  </si>
  <si>
    <t>Engraved level [0]</t>
  </si>
  <si>
    <t>4e010000</t>
  </si>
  <si>
    <t>&lt;c:LTYELLOW&gt;[0]％&lt;n&gt;の確率で刻印レベルを &lt;c:LTYELLOW&gt;1〜[1]&lt;n&gt;増加</t>
  </si>
  <si>
    <t>&lt;c:LTYELLOW&gt; [0] ## &lt;n&gt; increase the engraving level &lt;c:LTYELLOW&gt; 1 ~ [1] &lt;n&gt;</t>
  </si>
  <si>
    <t>4f010000</t>
  </si>
  <si>
    <t>&lt;c:LTYELLOW&gt;[0]％&lt;n&gt;の確率で刻印レベルを&lt;c:LTYELLOW&gt;[1]&lt;n&gt;増加</t>
  </si>
  <si>
    <t>&lt;c:LTYELLOW&gt; [0] ## &lt;n&gt; The engraved level &lt;c:LTYELLOW&gt; [1] &lt;n&gt; Increase</t>
  </si>
  <si>
    <t>50010000</t>
  </si>
  <si>
    <t>&lt;c:LTYELLOW&gt;[0]％&lt;n&gt;の確率で受けたダメージ &lt;c:LTYELLOW&gt;[0]％&lt;n&gt;減少</t>
  </si>
  <si>
    <t>&lt;c:LTYELLOW&gt; [0] ## &lt;n&gt; Damage &lt;c:LTYELLOW&gt; [0] ## &lt;n&gt; decrease</t>
  </si>
  <si>
    <t>51010000</t>
  </si>
  <si>
    <t>&lt;c:LTYELLOW&gt;[0]&lt;n&gt;秒ごとにCPを &lt;c:LTYELLOW&gt;[0]&lt;n&gt;回復</t>
  </si>
  <si>
    <t>&lt;c:LTYELLOW&gt; [0] &lt;n&gt; CP &lt;c:LTYELLOW&gt; [0] &lt;n&gt; recovery every second</t>
  </si>
  <si>
    <t>52010000</t>
  </si>
  <si>
    <t>獲得経験値 &lt;c:LTYELLOW&gt;[0]％&lt;n&gt;増加</t>
  </si>
  <si>
    <t>Gained experience &lt;c:LTYELLOW&gt; [0] ## &lt;n&gt; increase</t>
  </si>
  <si>
    <t>53010000</t>
  </si>
  <si>
    <t>&lt;c:LTYELLOW&gt;[0]％&lt;n&gt;の確率で火属性ダメージ &lt;c:LTYELLOW&gt;[0]&lt;n&gt;追加</t>
  </si>
  <si>
    <t>&lt;c:LTYELLOW&gt; [0] ## &lt;n&gt; Fire damage &lt;c:LTYELLOW&gt; [0] &lt;n&gt; Added</t>
  </si>
  <si>
    <t>54010000</t>
  </si>
  <si>
    <t>すべてのステータス &lt;c:LTYELLOW&gt;[0]&lt;n&gt;増加</t>
  </si>
  <si>
    <t>All status &lt;c:LTYELLOW&gt; [0] &lt;n&gt; increase</t>
  </si>
  <si>
    <t>55010000</t>
  </si>
  <si>
    <t>&lt;c:LTYELLOW&gt;[0]&lt;n&gt;秒間 すべてのパーティーメンバー無敵状態</t>
  </si>
  <si>
    <t>&lt;c:LTYELLOW&gt; [0] &lt;n&gt; All party members for seconds</t>
  </si>
  <si>
    <t>56010000</t>
  </si>
  <si>
    <t>レベル&lt;c:LTYELLOW&gt;[0]&lt;n&gt;のファミリアに &lt;c:LTYELLOW&gt;[0]&lt;n&gt;分間 変身</t>
  </si>
  <si>
    <t>&lt;c:LTYELLOW&gt; [0] &lt;n&gt; Function transformation into the level &lt;c:LTYELLOW&gt; [0] &lt;n&gt; &lt;n&gt;</t>
  </si>
  <si>
    <t>57010000</t>
  </si>
  <si>
    <t>最大体力 &lt;c:LTYELLOW&gt;[0]&lt;n&gt;増加</t>
  </si>
  <si>
    <t>Maximum physical strength &lt;c:LTYELLOW&gt; [0] &lt;n&gt; Increase</t>
  </si>
  <si>
    <t>58010000</t>
  </si>
  <si>
    <t>使用時、&lt;c:LTYELLOW&gt;[0]&lt;n&gt;分間 攻撃力 &lt;c:LTYELLOW&gt;[0]％&lt;n&gt;増加</t>
  </si>
  <si>
    <t>When used, &lt;c:LTYELLOW&gt; [0] &lt;n&gt; Minimal attack power &lt;c:LTYELLOW&gt; [0] ## &lt;n&gt; increase</t>
  </si>
  <si>
    <t>59010000</t>
  </si>
  <si>
    <t>レベル&lt;c:LTYELLOW&gt;[0]&lt;n&gt;のヘルプリズン使用</t>
  </si>
  <si>
    <t>Level &lt;c:LTYELLOW&gt; [0] &lt;n&gt; usage help.</t>
  </si>
  <si>
    <t>5a010000</t>
  </si>
  <si>
    <t>5b010000</t>
  </si>
  <si>
    <t>ミニペットのスキルポイント 再配分</t>
  </si>
  <si>
    <t>Minipet skill point redistribution</t>
  </si>
  <si>
    <t>5c010000</t>
  </si>
  <si>
    <t>ミニペットの進化形態変化</t>
  </si>
  <si>
    <t>Changes in the evolution of minipet</t>
  </si>
  <si>
    <t>5d010000</t>
  </si>
  <si>
    <t>最大HP [+0]</t>
  </si>
  <si>
    <t>Maximum HP [+0]</t>
  </si>
  <si>
    <t>5e010000</t>
  </si>
  <si>
    <t>最大CP [+0]</t>
  </si>
  <si>
    <t>Maximum CP [+0]</t>
  </si>
  <si>
    <t>5f010000</t>
  </si>
  <si>
    <t>防御力 [+0]％</t>
  </si>
  <si>
    <t>Defense [+0] ##</t>
  </si>
  <si>
    <t>60010000</t>
  </si>
  <si>
    <t>最大HP [+0]％</t>
  </si>
  <si>
    <t>Maximum HP [+0] ##</t>
  </si>
  <si>
    <t>61010000</t>
  </si>
  <si>
    <t>最大CP [+0]％</t>
  </si>
  <si>
    <t>Maximum CP [+0] ##</t>
  </si>
  <si>
    <t>62010000</t>
  </si>
  <si>
    <t>残り体力を [(0*1)] ポイントに変更</t>
  </si>
  <si>
    <t>Change the remaining physical strength to [(0*1)] points</t>
  </si>
  <si>
    <t>63010000</t>
  </si>
  <si>
    <t>フィールド移動</t>
  </si>
  <si>
    <t>Field movement</t>
  </si>
  <si>
    <t>64010000</t>
  </si>
  <si>
    <t>RED STONE獲得可能レベル [+0]</t>
  </si>
  <si>
    <t>Red Stone Acquisition Level [+0]</t>
  </si>
  <si>
    <t>breakpoint</t>
  </si>
  <si>
    <t>Breakpoint</t>
  </si>
  <si>
    <t>運 [+0]</t>
  </si>
  <si>
    <t>力固定 [0]</t>
  </si>
  <si>
    <t>Power fixed [0]</t>
  </si>
  <si>
    <t>敏捷固定 [0]</t>
  </si>
  <si>
    <t>Agility fixed [0]</t>
  </si>
  <si>
    <t>健康固定 [0]</t>
  </si>
  <si>
    <t>Health fixed [0]</t>
  </si>
  <si>
    <t>知恵固定 [0]</t>
  </si>
  <si>
    <t>Wisdom fixed [0]</t>
  </si>
  <si>
    <t>知識固定 [0]</t>
  </si>
  <si>
    <t>Fixed knowledge [0]</t>
  </si>
  <si>
    <t>カリスマ固定 [0]</t>
  </si>
  <si>
    <t>Charisma fixed [0]</t>
  </si>
  <si>
    <t>運固定 [0]</t>
  </si>
  <si>
    <t>Fixed luck [0]</t>
  </si>
  <si>
    <t>力 [+1]/レベル [0]</t>
  </si>
  <si>
    <t>Power [+1]/Level [0]</t>
  </si>
  <si>
    <t>敏捷 [+1]/レベル [0]</t>
  </si>
  <si>
    <t>Agency [+1]/Level [0]</t>
  </si>
  <si>
    <t>健康 [+1]/レベル [0]</t>
  </si>
  <si>
    <t>Health [+1]/Level [0]</t>
  </si>
  <si>
    <t>知恵 [+1]/レベル [0]</t>
  </si>
  <si>
    <t>Wisdom [+1]/Level [0]</t>
  </si>
  <si>
    <t>知識 [+1]/レベル [0]</t>
  </si>
  <si>
    <t>Knowledge [+1]/Level [0]</t>
  </si>
  <si>
    <t>カリスマ [+1]/レベル [0]</t>
  </si>
  <si>
    <t>Charisma [+1]/Level [0]</t>
  </si>
  <si>
    <t>運 [+1]/レベル [0]</t>
  </si>
  <si>
    <t>Luck [+1]/Level [0]</t>
  </si>
  <si>
    <t>ダメージ [+0]％</t>
  </si>
  <si>
    <t>Damage [+0] ##</t>
  </si>
  <si>
    <t>最小ダメージ [+0]</t>
  </si>
  <si>
    <t>Minimum damage [+0]</t>
  </si>
  <si>
    <t>最大ダメージ [+0]</t>
  </si>
  <si>
    <t>Maximum damage [+0]</t>
  </si>
  <si>
    <t>減少限界CP [+0]</t>
  </si>
  <si>
    <t>Reduction limit CP [+0]</t>
  </si>
  <si>
    <t>According to the hit rate [+0] ##</t>
  </si>
  <si>
    <t>致命打発動確率 [+0]％</t>
  </si>
  <si>
    <t>Fatal flowing probability [+0] ##</t>
  </si>
  <si>
    <t>決定打発動確率 [+0]％</t>
  </si>
  <si>
    <t>Decision hitting movement probability [+0] ##</t>
  </si>
  <si>
    <t>ターゲットの回避率補正値 無視</t>
  </si>
  <si>
    <t>Evasion rate correction value ignoring the target avoidance rate</t>
  </si>
  <si>
    <t xml:space="preserve">攻撃者の命中率補正値 無視 </t>
  </si>
  <si>
    <t>Ignore the hit rate correction value of the attacker</t>
  </si>
  <si>
    <t>命中率 &lt;c:LTYELLOW&gt;100％&lt;n&gt;</t>
  </si>
  <si>
    <t>According to the hit rate &lt;c:LTYELLOW&gt; 100 ## &lt;n&gt;</t>
  </si>
  <si>
    <t>ブロッキング速度 [+0]％</t>
  </si>
  <si>
    <t>The blocking speed [+0] ##</t>
  </si>
  <si>
    <t>移動速度 [+0]％</t>
  </si>
  <si>
    <t>Moving speed [+0] ##</t>
  </si>
  <si>
    <t>ポーション回復速度 [+0]％増加</t>
  </si>
  <si>
    <t>Potion recovery speed [+0] ## increase</t>
  </si>
  <si>
    <t>集中力 [+0]％</t>
  </si>
  <si>
    <t>Concentration [+0] ##</t>
  </si>
  <si>
    <t>火ダメージ [0]〜[1]</t>
  </si>
  <si>
    <t>Fire damage [0] - [1]</t>
  </si>
  <si>
    <t>水ダメージ [0]〜[1]
- コールド [2]Frame</t>
  </si>
  <si>
    <t>Water damage [0] ~ [1]
-Cold [2] Frame</t>
  </si>
  <si>
    <t>風ダメージ [0]〜[1]
- スタン [2]Frame</t>
  </si>
  <si>
    <t>Wind damage [0] ~ [1]
-Stan [2] Frame</t>
  </si>
  <si>
    <t>[2]秒 [0]〜[1] 毒ダメージ</t>
  </si>
  <si>
    <t>[2] seconds [0] to [1] Poison damage</t>
  </si>
  <si>
    <t>光ダメージ [0]〜[1]
- [2]秒の間 命中, 回避低下</t>
  </si>
  <si>
    <t>Light damage [0] - [1]
- [2] Hit for seconds, a decrease in evasion</t>
  </si>
  <si>
    <t>闇ダメージ [0]〜[1]
- 呪い [2]秒</t>
  </si>
  <si>
    <t>Dark damage [0] - [1]
-Curse [2] seconds</t>
  </si>
  <si>
    <t>敵に与えたダメージ [0]％を 体力吸収</t>
  </si>
  <si>
    <t>Absorbing physical strength to the damage given to the enemy [0] ##</t>
  </si>
  <si>
    <t>CP獲得ボーナス [0]％</t>
  </si>
  <si>
    <t>CP acquisition bonus [0] ##</t>
  </si>
  <si>
    <t>敵逃亡 [0]％</t>
  </si>
  <si>
    <t>Enemy escape [0] ##</t>
  </si>
  <si>
    <t>ノックアウト攻撃 [+0]％</t>
  </si>
  <si>
    <t>Knockout attack [+0] ##</t>
  </si>
  <si>
    <t>即死攻撃 [+0]％</t>
  </si>
  <si>
    <t>Immediate death attack [+0] ##</t>
  </si>
  <si>
    <t>武器破壊攻撃 [+0]％([1]秒)</t>
  </si>
  <si>
    <t>Weapon destruction attack [+0] ## ([1] second)</t>
  </si>
  <si>
    <t>鎧破壊攻撃 [+0]％([1]秒)</t>
  </si>
  <si>
    <t>Armor destruction attack [+0] ## ([1] second)</t>
  </si>
  <si>
    <t>コールド攻撃+ [0]％([1]秒)</t>
  </si>
  <si>
    <t>Cold attack+ [0] ## ([1] second)</t>
  </si>
  <si>
    <t>フリーズ攻撃 [+0]％([1]秒)</t>
  </si>
  <si>
    <t>Freeze attack [+0] ## ([1] second)</t>
  </si>
  <si>
    <t>目くらまし攻撃 [+0]％([1]秒)</t>
  </si>
  <si>
    <t>Blind Attack [+0] ## ([1] second)</t>
  </si>
  <si>
    <t>スタン攻撃 [+0]％([1]秒)</t>
  </si>
  <si>
    <t>Stan attack [+0] ## ([1] second)</t>
  </si>
  <si>
    <t>石化攻撃 [+0]％([1]秒)</t>
  </si>
  <si>
    <t>Petrification attack [+0] ## ([1] second)</t>
  </si>
  <si>
    <t>混乱攻撃 [+0]％([1]秒)</t>
  </si>
  <si>
    <t>Confusion attack [+0] ## ([1] second)</t>
  </si>
  <si>
    <t>睡眠攻撃 [+0]％([1]秒)</t>
  </si>
  <si>
    <t>Sleep attack [+0] ## ([1] second)</t>
  </si>
  <si>
    <t>チャーミング攻撃 [+0]％([1]秒)</t>
  </si>
  <si>
    <t>Charming attack [+0] ## ([1] second)</t>
  </si>
  <si>
    <t>優先ターゲット攻撃 [+0]％([1]秒)</t>
  </si>
  <si>
    <t>Priority target attack [+0] ## ([1] second)</t>
  </si>
  <si>
    <t>AI低下攻撃 [+0]％([1]秒)</t>
  </si>
  <si>
    <t>AI reduced attack [+0] ## ([1] second)</t>
  </si>
  <si>
    <t>ベルセルク攻撃 [+0]％([1]秒)</t>
  </si>
  <si>
    <t>Berserk attack [+0] ## ([1] second)</t>
  </si>
  <si>
    <t>火属性抵抗 [+0]％</t>
  </si>
  <si>
    <t>水属性抵抗 [+0]％</t>
  </si>
  <si>
    <t>Water attribute resistance [+0] ##</t>
  </si>
  <si>
    <t>風属性抵抗 [+0]％</t>
  </si>
  <si>
    <t>Wind attribute resistance [+0] ##</t>
  </si>
  <si>
    <t>大地属性抵抗 [+0]％</t>
  </si>
  <si>
    <t>Earth attribute resistance [+0] ##</t>
  </si>
  <si>
    <t>光属性抵抗 [+0]％</t>
  </si>
  <si>
    <t>Light attribute resistance [+0] ##</t>
  </si>
  <si>
    <t>闇属性抵抗 [+0]％</t>
  </si>
  <si>
    <t>Dark attribute resistance [+0] ##</t>
  </si>
  <si>
    <t>魔法抵抗 [+0]％</t>
  </si>
  <si>
    <t>火属性ダメージ吸収 [0]％</t>
  </si>
  <si>
    <t>Fire attribute damage absorption [0] ##</t>
  </si>
  <si>
    <t>水属性ダメージ吸収 [0]％</t>
  </si>
  <si>
    <t>Water attribute damage absorption [0] ##</t>
  </si>
  <si>
    <t>風属性ダメージ吸収 [0]％</t>
  </si>
  <si>
    <t>Wind attribute damage absorption [0] ##</t>
  </si>
  <si>
    <t>大地属性ダメージ吸収 [0]％</t>
  </si>
  <si>
    <t>Earth attribute damage absorption [0] ##</t>
  </si>
  <si>
    <t>光属性ダメージ吸収 [0]％</t>
  </si>
  <si>
    <t>Light attribute damage absorption [0] ##</t>
  </si>
  <si>
    <t>闇属性ダメージ吸収 [0]％</t>
  </si>
  <si>
    <t>Dark attribute damage absorption [0] ##</t>
  </si>
  <si>
    <t>魔法属性ダメージ吸収 [0]％</t>
  </si>
  <si>
    <t>Magical attribute damage absorption [0] ##</t>
  </si>
  <si>
    <t>フリーズ抵抗 [+0]％</t>
  </si>
  <si>
    <t>Freeze resistance [+0] ##</t>
  </si>
  <si>
    <t>コールド抵抗 [+0]％</t>
  </si>
  <si>
    <t>Cold resistance [+0] ##</t>
  </si>
  <si>
    <t>スタン抵抗 [+0]％</t>
  </si>
  <si>
    <t>Stun resistance [+0] ##</t>
  </si>
  <si>
    <t>混乱抵抗 [+0]％</t>
  </si>
  <si>
    <t>Confusion resistance [+0] ##</t>
  </si>
  <si>
    <t>チャーミング抵抗 [+0]％</t>
  </si>
  <si>
    <t>Charming resistance [+0] ##</t>
  </si>
  <si>
    <t>石化抵抗 [+0]％</t>
  </si>
  <si>
    <t>Petrification resistance [+0] ##</t>
  </si>
  <si>
    <t>即死抵抗 [+0]％</t>
  </si>
  <si>
    <t>毒抵抗 [+0]％</t>
  </si>
  <si>
    <t>Poison resistance [+0] ##</t>
  </si>
  <si>
    <t>睡眠抵抗 [+0]％</t>
  </si>
  <si>
    <t>Sleep resistance [+0] ##</t>
  </si>
  <si>
    <t>状態異常抵抗 [+0]％</t>
  </si>
  <si>
    <t>Status abnormal resistance [+0] ##</t>
  </si>
  <si>
    <t>低下系抵抗 [+0]％</t>
  </si>
  <si>
    <t>Decreased resistance [+0] ##</t>
  </si>
  <si>
    <t>呪い系抵抗 [+0]％</t>
  </si>
  <si>
    <t>Curse resistance [+0] ##</t>
  </si>
  <si>
    <t>すべての異常系抵抗 [+0]％</t>
  </si>
  <si>
    <t>All abnormal resistance [+0] ##</t>
  </si>
  <si>
    <t>ノックバック抵抗 [+0]％</t>
  </si>
  <si>
    <t>致命打抵抗 [+0]％</t>
  </si>
  <si>
    <t>決定打抵抗 [+0]％</t>
  </si>
  <si>
    <t>Decisive beating resistance [+0] ##</t>
  </si>
  <si>
    <t>ダメージ返し [0]％</t>
  </si>
  <si>
    <t>ダメージをCPに転換 [0]％</t>
  </si>
  <si>
    <t>Changed damage to CP [0] ##</t>
  </si>
  <si>
    <t>カウンターフリーズ [0]％([1]秒)</t>
  </si>
  <si>
    <t>Counter freeze [0] ## ([1] second)</t>
  </si>
  <si>
    <t>カウンターコールド [0]％([1]秒)</t>
  </si>
  <si>
    <t>Counter cold [0] ## ([1] second)</t>
  </si>
  <si>
    <t xml:space="preserve"> </t>
  </si>
  <si>
    <t>スキルレベル [+0]([1]系列 職業)</t>
  </si>
  <si>
    <t>Skill level [+0] ([1] affiliated occupation)</t>
  </si>
  <si>
    <t>スキルレベル [+0]</t>
  </si>
  <si>
    <t>Skill level [+0]</t>
  </si>
  <si>
    <t>攻撃を受けると &lt;c:LTYELLOW&gt;10％&lt;n&gt;の確率でダメージの[0]％を応急処置</t>
  </si>
  <si>
    <t>When attacked, &lt;c:LTYELLOW&gt; 10 ## &lt;n&gt; is the first aid for [0] ## of the damage</t>
  </si>
  <si>
    <t>武器交換速度 [+0]％</t>
  </si>
  <si>
    <t>Transformation speed [+0] ##</t>
  </si>
  <si>
    <t>HP回復 +([0]/10秒)</t>
  </si>
  <si>
    <t>HP recovery +([0]/10 seconds)</t>
  </si>
  <si>
    <t>復活 [0]％</t>
  </si>
  <si>
    <t>Resurrection [0] ##</t>
  </si>
  <si>
    <t>&lt;c:LTYELLOW&gt;ブラー&lt;n&gt;</t>
  </si>
  <si>
    <t>&lt;c:LTYELLOW&gt; Blur &lt;n&gt;</t>
  </si>
  <si>
    <t>&lt;c:LTYELLOW&gt;透明&lt;n&gt;</t>
  </si>
  <si>
    <t>&lt;c:LTYELLOW&gt; Transparent &lt;n&gt;</t>
  </si>
  <si>
    <t>&lt;c:LTYELLOW&gt;空中浮遊&lt;n&gt;</t>
  </si>
  <si>
    <t>&lt;c:LTYELLOW&gt; Aerial floating &lt;n&gt;</t>
  </si>
  <si>
    <t>&lt;c:LTYELLOW&gt;魔法弾丸&lt;n&gt;</t>
  </si>
  <si>
    <t>&lt;c:LTYELLOW&gt; Magical Bullet &lt;n&gt;</t>
  </si>
  <si>
    <t>&lt;c:LTYELLOW&gt;無限弾丸&lt;n&gt;</t>
  </si>
  <si>
    <t>&lt;c:LTYELLOW&gt; Infinite bullet &lt;n&gt;</t>
  </si>
  <si>
    <t>&lt;c:LTYELLOW&gt;先攻されない&lt;n&gt;</t>
  </si>
  <si>
    <t>&lt;c:LTYELLOW&gt; Passiveness against IA &lt;n&gt;</t>
  </si>
  <si>
    <t>魔法アイテムドロップ確率 [+0]％</t>
  </si>
  <si>
    <t>Magical item drop probability [+0] ##</t>
  </si>
  <si>
    <t>ユニークアイテムドロップ確率 [+0]％</t>
  </si>
  <si>
    <t>Unique item drop probability [+0] ##</t>
  </si>
  <si>
    <t>アイテムリロードタイム -[0]％</t>
  </si>
  <si>
    <t>&lt;c:LTYELLOW&gt;アイテム自動リロード&lt;n&gt;</t>
  </si>
  <si>
    <t>&lt;c:LTYELLOW&gt; Item Automatic Reload &lt;n&gt;</t>
  </si>
  <si>
    <t>&lt;c:LTYELLOW&gt;アイテム使用不可&lt;n&gt;</t>
  </si>
  <si>
    <t>&lt;c:LTYELLOW&gt; Items cannot be used &lt;n&gt;</t>
  </si>
  <si>
    <t>&lt;c:LTYELLOW&gt;装備解除不可&lt;n&gt;</t>
  </si>
  <si>
    <t>&lt;c:LTYELLOW&gt; No equipment is not allowed &lt;n&gt;</t>
  </si>
  <si>
    <t>&lt;c:LTYELLOW&gt;追加エンチャントが不可能&lt;n&gt;</t>
  </si>
  <si>
    <t>&lt;c:LTYELLOW&gt; Additional enchantment is not possible &lt;n&gt;</t>
  </si>
  <si>
    <t>&lt;c:LTYELLOW&gt;火攻撃称号 1段階上昇&lt;n&gt;</t>
  </si>
  <si>
    <t>&lt;c:LTYELLOW&gt; Fire attack title 1st step up &lt;n&gt;</t>
  </si>
  <si>
    <t>&lt;c:LTYELLOW&gt;水攻撃称号 1段階上昇&lt;n&gt;</t>
  </si>
  <si>
    <t>&lt;c:LTYELLOW&gt; 1st step in water attack title &lt;n&gt;</t>
  </si>
  <si>
    <t>&lt;c:LTYELLOW&gt;風攻撃称号 1段階 上昇&lt;n&gt;</t>
  </si>
  <si>
    <t>&lt;c:LTYELLOW&gt; Wind attack title 1st step up &lt;n&gt;</t>
  </si>
  <si>
    <t>&lt;c:LTYELLOW&gt;大地攻撃称号 1段階 上昇&lt;n&gt;</t>
  </si>
  <si>
    <t>&lt;c:LTYELLOW&gt; Earth attack 1st stage increase &lt;n&gt;</t>
  </si>
  <si>
    <t>&lt;c:LTYELLOW&gt;光攻撃称号 1段階 上昇&lt;n&gt;</t>
  </si>
  <si>
    <t>&lt;c:LTYELLOW&gt; Light Attack Title 1st State up &lt;n&gt; &lt;n&gt;</t>
  </si>
  <si>
    <t>&lt;c:LTYELLOW&gt;闇攻撃称号 1段階 上昇&lt;n&gt;</t>
  </si>
  <si>
    <t>&lt;c:LTYELLOW&gt; Dark Attack Title 1st State up &lt;n&gt; &lt;n&gt;</t>
  </si>
  <si>
    <t>スキル難易度[0]以下のスキルレベルが[1]増加する。</t>
  </si>
  <si>
    <t>Skill difficulty [0] The following skill level increases [1].</t>
  </si>
  <si>
    <t>召喚獣のすべてのステータスが[0]増加</t>
  </si>
  <si>
    <t>All status of summoned beasts increase [0]</t>
  </si>
  <si>
    <t>[0]％のペット経験値ボーナス</t>
  </si>
  <si>
    <t>[0] ## Pet experience bonus</t>
  </si>
  <si>
    <t>一定期間貸与するアイテム</t>
  </si>
  <si>
    <t>Items to be rented for a certain period of time</t>
  </si>
  <si>
    <t>ターゲットの火抵抗を&lt;c:LTYELLOW&gt;[0]％&lt;n&gt;弱化させる。</t>
  </si>
  <si>
    <t>ターゲットの水抵抗を&lt;c:LTYELLOW&gt;[0]％&lt;n&gt;弱化させる。</t>
  </si>
  <si>
    <t>ターゲットの風抵抗を&lt;c:LTYELLOW&gt;[0]％&lt;n&gt;弱化させる。</t>
  </si>
  <si>
    <t>ターゲットの大地抵抗を&lt;c:LTYELLOW&gt;[0]％&lt;n&gt;弱化させる。</t>
  </si>
  <si>
    <t>&lt;c:LTYELLOW&gt; [0] ## &lt;n&gt; weaken the target earth resistance.</t>
  </si>
  <si>
    <t>ターゲットの光抵抗を&lt;c:LTYELLOW&gt;[0]％&lt;n&gt;弱化させる。</t>
  </si>
  <si>
    <t>ターゲットの闇抵抗を&lt;c:LTYELLOW&gt;[0]％&lt;n&gt;弱化させる。</t>
  </si>
  <si>
    <t>ターゲットの魔法抵抗を&lt;c:LTYELLOW&gt;[0]％&lt;n&gt;弱化させる。</t>
  </si>
  <si>
    <t>&lt;c:LTYELLOW&gt; [0] ## &lt;n&gt; weaken the target magic resistance.</t>
  </si>
  <si>
    <t>火属性攻撃力を&lt;c:LTYELLOW&gt;[0]％&lt;n&gt;強化させる。</t>
  </si>
  <si>
    <t>&lt;c:LTYELLOW&gt; [0] ## &lt;n&gt; enhance the fire attribute attack power.</t>
  </si>
  <si>
    <t>水属性攻撃力を&lt;c:LTYELLOW&gt;[0]％&lt;n&gt;強化させる。</t>
  </si>
  <si>
    <t>&lt;c:LTYELLOW&gt; [0] ## &lt;n&gt; enhance the water attribute attack power.</t>
  </si>
  <si>
    <t>風属性攻撃力を&lt;c:LTYELLOW&gt;[0]％&lt;n&gt;強化させる。</t>
  </si>
  <si>
    <t>&lt;c:LTYELLOW&gt; [0] ## &lt;n&gt; enhance the wind attribute attack power.</t>
  </si>
  <si>
    <t>大地属性攻撃力を&lt;c:LTYELLOW&gt;[0]％&lt;n&gt;強化させる。</t>
  </si>
  <si>
    <t>&lt;c:LTYELLOW&gt; [0] ## &lt;n&gt; enhance the earth attribute attack power.</t>
  </si>
  <si>
    <t>光属性攻撃力を&lt;c:LTYELLOW&gt;[0]％&lt;n&gt;強化させる。</t>
  </si>
  <si>
    <t>&lt;c:LTYELLOW&gt; [0] ## &lt;n&gt; enhance the light attribute attack power.</t>
  </si>
  <si>
    <t>闇属性攻撃力を&lt;c:LTYELLOW&gt;[0]％&lt;n&gt;強化させる。</t>
  </si>
  <si>
    <t>&lt;c:LTYELLOW&gt; [0] ## &lt;n&gt; enhance the dark attribute attack power.</t>
  </si>
  <si>
    <t>魔法攻撃力を&lt;c:LTYELLOW&gt;[0]％&lt;n&gt;強化させる。</t>
  </si>
  <si>
    <t>力[-0]</t>
  </si>
  <si>
    <t>Power [-0]</t>
  </si>
  <si>
    <t>敏捷性[-0]</t>
  </si>
  <si>
    <t>Agility [-0]</t>
  </si>
  <si>
    <t>健康[-0]</t>
  </si>
  <si>
    <t>Health [-0]</t>
  </si>
  <si>
    <t>知恵[-0]</t>
  </si>
  <si>
    <t>Wisdom [-0]</t>
  </si>
  <si>
    <t>知識[-0]</t>
  </si>
  <si>
    <t>Knowledge [-0]</t>
  </si>
  <si>
    <t>カリスマ[-0]</t>
  </si>
  <si>
    <t>Charisma [-0]</t>
  </si>
  <si>
    <t>運[-0]</t>
  </si>
  <si>
    <t>Luck [-0]</t>
  </si>
  <si>
    <t>攻撃速度[-0]％</t>
  </si>
  <si>
    <t>Attack speed [-0] ##</t>
  </si>
  <si>
    <t>移動速度[-0]％</t>
  </si>
  <si>
    <t>Moving speed [-0] ##</t>
  </si>
  <si>
    <t>アンデッド型キャラクターに追加で&lt;c:LTYELLOW&gt;[0]％&lt;n&gt;のダメージを与える。</t>
  </si>
  <si>
    <t>Adds &lt;c:LTYELLOW&gt; [0] ## &lt;n&gt; damage to the undead character.</t>
  </si>
  <si>
    <t>悪魔型キャラクターに追加で&lt;c:LTYELLOW&gt;[0]％&lt;n&gt;のダメージを与える。</t>
  </si>
  <si>
    <t>In addition to the devil -type character, it deals &lt;c:LTYELLOW&gt; [0] ## &lt;n&gt; damage.</t>
  </si>
  <si>
    <t>人間型キャラクターに追加で&lt;c:LTYELLOW&gt;[0]％&lt;n&gt;のダメージを与える。</t>
  </si>
  <si>
    <t>In addition to the human character, it deals &lt;c:LTYELLOW&gt; [0] ## &lt;n&gt;.</t>
  </si>
  <si>
    <t>動物型キャラクターに追加で&lt;c:LTYELLOW&gt;[0]％&lt;n&gt;のダメージを与える。</t>
  </si>
  <si>
    <t>Adds &lt;c:LTYELLOW&gt; [0] ## &lt;n&gt; damage to animal -type characters.</t>
  </si>
  <si>
    <t>神獣型キャラクターに追加で&lt;c:LTYELLOW&gt;[0]％&lt;n&gt;のダメージを与える。</t>
  </si>
  <si>
    <t>Adds &lt;c:LTYELLOW&gt; [0] ## &lt;n&gt; damage to the beast -type character.</t>
  </si>
  <si>
    <t>ポーション回復速度&lt;c:LTYELLOW&gt;[0]％&lt;n&gt;増加</t>
  </si>
  <si>
    <t>Potion recovery speed &lt;c:LTYELLOW&gt; [0] ## &lt;n&gt; increase</t>
  </si>
  <si>
    <t>防御力[-0]％</t>
  </si>
  <si>
    <t>Defense [-0] ##</t>
  </si>
  <si>
    <t>防御力[-0]</t>
  </si>
  <si>
    <t>Defense [-0]</t>
  </si>
  <si>
    <t>命中率[-0]％</t>
  </si>
  <si>
    <t>Accidental rate [-0] ##</t>
  </si>
  <si>
    <t>回避率[-0]％</t>
  </si>
  <si>
    <t>Avoidance rate [-0] ##</t>
  </si>
  <si>
    <t>水ダメージ [0]〜[1]
- コールド [2]Frame</t>
  </si>
  <si>
    <t>風ダメージ [0]〜[1]
- スタン [2]Frame</t>
  </si>
  <si>
    <t>光ダメージ [0]〜[1]
- [2]秒の間 命中, 回避低下</t>
  </si>
  <si>
    <t>闇ダメージ [0]〜[1]
- 呪い [2]秒</t>
  </si>
  <si>
    <t>[1]レベルのスキルを使用（持続時間 [3]秒）</t>
  </si>
  <si>
    <t>[1] Use level skills (duration time [3] seconds)</t>
  </si>
  <si>
    <t>[0]スキルを刻印レベルに使用</t>
  </si>
  <si>
    <t>[0] Use skills at the engraving level</t>
  </si>
  <si>
    <t>強打[+0]％</t>
  </si>
  <si>
    <t>Strike [+0] ##</t>
  </si>
  <si>
    <t>[1] のすべてのスキルレベル[+0]</t>
  </si>
  <si>
    <t>All skill level of [1] [+0]</t>
  </si>
  <si>
    <t>インベントリ サイズ [0]</t>
  </si>
  <si>
    <t>Inventory size [0]</t>
  </si>
  <si>
    <t>銀行アイテムのスロット数 [0]
- 保管手数料 [1]％
- 金のインゴット購買手数料 [2]％</t>
  </si>
  <si>
    <t>Number of slots of bank items [0]
-Served fees [1] ##
-Kingot purchase fee [2] ##</t>
  </si>
  <si>
    <t>パーティー経験値のボーナス [+0]％</t>
  </si>
  <si>
    <t>Party experience value bonus [+0] ##</t>
  </si>
  <si>
    <t>ギルド員申込の資格ができる</t>
  </si>
  <si>
    <t>You can qualify for a guild member application</t>
  </si>
  <si>
    <t>深い洞窟でもミニマップが見える。</t>
  </si>
  <si>
    <t>You can see a mini map even in a deep cave.</t>
  </si>
  <si>
    <t>露店商を開くことができる。
- 同時販売可能のアイテム数 [0]個</t>
  </si>
  <si>
    <t>You can open a stall business.
-The number of items that can be sold at the same time [0]</t>
  </si>
  <si>
    <t>鑑別可能レベル [0]
- 鑑別可能分類 [1]
- 鑑別可能等級 [2]</t>
  </si>
  <si>
    <t>Differential level [0]
-The discriminatory classification [1]
-The discrimination grade [2]</t>
  </si>
  <si>
    <t>街中での移動速度 [0]％増加</t>
  </si>
  <si>
    <t>Moving speed in the city [0] ## increase</t>
  </si>
  <si>
    <t>休息時のHP回復速度 [0]％上昇</t>
  </si>
  <si>
    <t>HP recovery speed when resting [0] ##</t>
  </si>
  <si>
    <t>ポーション効果 [0]％</t>
  </si>
  <si>
    <t>Potion effect [0] ##</t>
  </si>
  <si>
    <t>純粋な魔法ダメージ [0]％増加</t>
  </si>
  <si>
    <t>Pure magic damage [0] ## increase</t>
  </si>
  <si>
    <t>アイテム値段[0]％ 割引</t>
  </si>
  <si>
    <t>Item price [0] ## discount</t>
  </si>
  <si>
    <t>すべての状態異常抵抗[0]％増加</t>
  </si>
  <si>
    <t>All state abnormal resistance [0] ## increase</t>
  </si>
  <si>
    <t>一日に[1]回、[2]分間すべての能力値[0]％上昇</t>
  </si>
  <si>
    <t>[1] times, [2] minutes all abilities [0] increase</t>
  </si>
  <si>
    <t>HPが[0]％以下でHPが[1]以下の状態になれば[2]％確率で致命打を打つ。</t>
  </si>
  <si>
    <t>If the HP is [0] ## or less and the HP is below [1], it will hit the [2] ## probability.</t>
  </si>
  <si>
    <t>回避率[0]％</t>
  </si>
  <si>
    <t>Avoidance rate [0] ##</t>
  </si>
  <si>
    <t>鍵解体レベル+[0]</t>
  </si>
  <si>
    <t>Key demolition level+[0]</t>
  </si>
  <si>
    <t>門、宝箱攻撃時、攻撃力[0]％増加</t>
  </si>
  <si>
    <t>Gate, when attacking treasure chests, attack power [0] ##</t>
  </si>
  <si>
    <t>ペナルティー[0]％減少</t>
  </si>
  <si>
    <t>Penalty [0] ## reduction</t>
  </si>
  <si>
    <t>力[+0]、敏捷性[+1]、知識[+2]、知恵[+3]、カリスマ[+4]
-運[+5]、健康[+6]、HP [+7]、CP [+8]</t>
  </si>
  <si>
    <t>Power [+0], agility [+1], knowledge [+2], wisdom [+3], charisma [+4]
-Luck [+5], health [+6], HP [+7], CP [+8]</t>
  </si>
  <si>
    <t>火の抵抗[+0]％、水の抵抗[+0]％、風の抵抗[+0]％
-大地の抵抗[+0]％、光の抵抗[+0]％、暗闇の抵抗[+0]％</t>
  </si>
  <si>
    <t>Fire resistance [+0] ##, water resistance [+0] ##, wind resistance [+0] ##
-The resistance of the earth [+0] ##, light resistance [+0] ##, dark resistance [+0] ##</t>
  </si>
  <si>
    <t>人間型モンスターに対して命中率[0]％ボーナス
-アンデッドモンスターに対して命中率[1]％ボーナス
-悪魔型モンスターに対して命中率[2]％ボーナス
-動物型モンスターに対して命中率[3]％ボーナス
-神獣型モンスターに対して命中率[4]％ボーナス</t>
  </si>
  <si>
    <t>According to a hit rate for human monsters [0] ## bonus
-Hates [1] ## bonus for undead monsters
-Hates on the devil monster [2] ## bonus
-Hates on animal -type monsters [3] ## bonus
-Shexing rate for god beast -type monsters [4] ## bonus</t>
  </si>
  <si>
    <t>パーティープレイでは経験値補正値が[0]％に上昇
-カリスマ、知恵それぞれボーナス[1]％</t>
  </si>
  <si>
    <t>In party play, the experience value correction value rises to [0] ##
-Charismatic, wisdom, bonuses for each [1] ##</t>
  </si>
  <si>
    <t>パーティープレイ悪経験値の独占率が[0]％に上昇
-カリスマボーナス[1]％</t>
  </si>
  <si>
    <t>Party play exclusive rate increased to [0] ##
-Charismatic bonus [1] ##</t>
  </si>
  <si>
    <t>[0]レベル以下のプレイヤーのレベル判別が可能</t>
  </si>
  <si>
    <t>[0] Level identification of players below the level is possible</t>
  </si>
  <si>
    <t>吟遊詩人</t>
  </si>
  <si>
    <t>Bard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</si>
</sst>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1" fillId="0" fontId="3" numFmtId="0" xfId="0" applyAlignment="1" applyBorder="1" applyFont="1">
      <alignment horizontal="center" vertical="top"/>
    </xf>
    <xf borderId="0" fillId="0" fontId="2" numFmtId="0" xfId="0" applyFont="1"/>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7.0"/>
    <col customWidth="1" min="4" max="4" width="11.14"/>
    <col customWidth="1" min="5" max="5" width="39.0"/>
    <col customWidth="1" min="6" max="6" width="44.57"/>
    <col customWidth="1" min="7" max="26" width="8.71"/>
  </cols>
  <sheetData>
    <row r="1">
      <c r="B1" s="1" t="s">
        <v>0</v>
      </c>
      <c r="C1" s="1" t="s">
        <v>1</v>
      </c>
      <c r="D1" s="2" t="s">
        <v>2</v>
      </c>
      <c r="E1" s="2" t="s">
        <v>3</v>
      </c>
      <c r="F1" s="3" t="s">
        <v>4</v>
      </c>
    </row>
    <row r="2">
      <c r="A2" s="1">
        <v>0.0</v>
      </c>
      <c r="B2" s="4" t="s">
        <v>5</v>
      </c>
      <c r="C2" s="4" t="s">
        <v>6</v>
      </c>
      <c r="D2" s="4">
        <f t="shared" ref="D2:D564" si="1">LEN(E2)</f>
        <v>12</v>
      </c>
      <c r="E2" s="4" t="str">
        <f>IFERROR(__xludf.DUMMYFUNCTION("GOOGLETRANSLATE(C2,""ja"",""en"")"),"Defense [+0]")</f>
        <v>Defense [+0]</v>
      </c>
      <c r="F2" s="5" t="s">
        <v>7</v>
      </c>
    </row>
    <row r="3">
      <c r="A3" s="1">
        <v>1.0</v>
      </c>
      <c r="B3" s="4" t="s">
        <v>8</v>
      </c>
      <c r="C3" s="4" t="s">
        <v>9</v>
      </c>
      <c r="D3" s="4">
        <f t="shared" si="1"/>
        <v>17</v>
      </c>
      <c r="E3" s="4" t="str">
        <f>IFERROR(__xludf.DUMMYFUNCTION("GOOGLETRANSLATE(C3,""ja"",""en"")"),"Block rate [+0] %")</f>
        <v>Block rate [+0] %</v>
      </c>
      <c r="F3" s="5" t="s">
        <v>10</v>
      </c>
    </row>
    <row r="4">
      <c r="A4" s="1">
        <v>2.0</v>
      </c>
      <c r="B4" s="4" t="s">
        <v>11</v>
      </c>
      <c r="C4" s="4" t="s">
        <v>12</v>
      </c>
      <c r="D4" s="4">
        <f t="shared" si="1"/>
        <v>14</v>
      </c>
      <c r="E4" s="4" t="str">
        <f>IFERROR(__xludf.DUMMYFUNCTION("GOOGLETRANSLATE(C4,""ja"",""en"")"),"Stack item [0]")</f>
        <v>Stack item [0]</v>
      </c>
      <c r="F4" s="5" t="s">
        <v>13</v>
      </c>
    </row>
    <row r="5">
      <c r="A5" s="1">
        <v>3.0</v>
      </c>
      <c r="B5" s="4" t="s">
        <v>14</v>
      </c>
      <c r="C5" s="4" t="s">
        <v>15</v>
      </c>
      <c r="D5" s="4">
        <f t="shared" si="1"/>
        <v>39</v>
      </c>
      <c r="E5" s="4" t="str">
        <f>IFERROR(__xludf.DUMMYFUNCTION("GOOGLETRANSLATE(C5,""ja"",""en"")"),"[0] Create a title without restrictions")</f>
        <v>[0] Create a title without restrictions</v>
      </c>
      <c r="F5" s="5" t="s">
        <v>16</v>
      </c>
    </row>
    <row r="6">
      <c r="A6" s="1">
        <v>4.0</v>
      </c>
      <c r="B6" s="4" t="s">
        <v>17</v>
      </c>
      <c r="C6" s="4" t="s">
        <v>18</v>
      </c>
      <c r="D6" s="4">
        <f t="shared" si="1"/>
        <v>21</v>
      </c>
      <c r="E6" s="4" t="str">
        <f>IFERROR(__xludf.DUMMYFUNCTION("GOOGLETRANSLATE(C6,""ja"",""en"")"),"HP recovery [0] Point")</f>
        <v>HP recovery [0] Point</v>
      </c>
      <c r="F6" s="5" t="s">
        <v>19</v>
      </c>
    </row>
    <row r="7">
      <c r="A7" s="1">
        <v>5.0</v>
      </c>
      <c r="B7" s="4" t="s">
        <v>20</v>
      </c>
      <c r="C7" s="4" t="s">
        <v>21</v>
      </c>
      <c r="D7" s="4">
        <f t="shared" si="1"/>
        <v>17</v>
      </c>
      <c r="E7" s="4" t="str">
        <f>IFERROR(__xludf.DUMMYFUNCTION("GOOGLETRANSLATE(C7,""ja"",""en"")"),"HP recovery [0] %")</f>
        <v>HP recovery [0] %</v>
      </c>
      <c r="F7" s="5" t="s">
        <v>22</v>
      </c>
    </row>
    <row r="8">
      <c r="A8" s="1">
        <v>6.0</v>
      </c>
      <c r="B8" s="4" t="s">
        <v>23</v>
      </c>
      <c r="C8" s="4" t="s">
        <v>24</v>
      </c>
      <c r="D8" s="4">
        <f t="shared" si="1"/>
        <v>21</v>
      </c>
      <c r="E8" s="4" t="str">
        <f>IFERROR(__xludf.DUMMYFUNCTION("GOOGLETRANSLATE(C8,""ja"",""en"")"),"CP Filling [0] Points")</f>
        <v>CP Filling [0] Points</v>
      </c>
      <c r="F8" s="5" t="s">
        <v>25</v>
      </c>
    </row>
    <row r="9">
      <c r="A9" s="1">
        <v>7.0</v>
      </c>
      <c r="B9" s="4" t="s">
        <v>26</v>
      </c>
      <c r="C9" s="4" t="s">
        <v>27</v>
      </c>
      <c r="D9" s="4">
        <f t="shared" si="1"/>
        <v>16</v>
      </c>
      <c r="E9" s="4" t="str">
        <f>IFERROR(__xludf.DUMMYFUNCTION("GOOGLETRANSLATE(C9,""ja"",""en"")"),"CP filling [0] %")</f>
        <v>CP filling [0] %</v>
      </c>
      <c r="F9" s="5" t="s">
        <v>28</v>
      </c>
    </row>
    <row r="10">
      <c r="A10" s="1">
        <v>8.0</v>
      </c>
      <c r="B10" s="4" t="s">
        <v>29</v>
      </c>
      <c r="C10" s="4" t="s">
        <v>30</v>
      </c>
      <c r="D10" s="4">
        <f t="shared" si="1"/>
        <v>45</v>
      </c>
      <c r="E10" s="4" t="str">
        <f>IFERROR(__xludf.DUMMYFUNCTION("GOOGLETRANSLATE(C10,""ja"",""en"")"),"HP recovery [0] Point
-CP Filling [0] Points")</f>
        <v>HP recovery [0] Point
-CP Filling [0] Points</v>
      </c>
      <c r="F10" s="5" t="s">
        <v>31</v>
      </c>
    </row>
    <row r="11">
      <c r="A11" s="1">
        <v>9.0</v>
      </c>
      <c r="B11" s="4" t="s">
        <v>32</v>
      </c>
      <c r="C11" s="4" t="s">
        <v>33</v>
      </c>
      <c r="D11" s="4">
        <f t="shared" si="1"/>
        <v>36</v>
      </c>
      <c r="E11" s="4" t="str">
        <f>IFERROR(__xludf.DUMMYFUNCTION("GOOGLETRANSLATE(C11,""ja"",""en"")"),"HP recovery [0] %
-CP filling [0] %")</f>
        <v>HP recovery [0] %
-CP filling [0] %</v>
      </c>
      <c r="F11" s="5" t="s">
        <v>34</v>
      </c>
    </row>
    <row r="12">
      <c r="A12" s="1">
        <v>10.0</v>
      </c>
      <c r="B12" s="4" t="s">
        <v>35</v>
      </c>
      <c r="C12" s="4" t="s">
        <v>36</v>
      </c>
      <c r="D12" s="4">
        <f t="shared" si="1"/>
        <v>67</v>
      </c>
      <c r="E12" s="4" t="str">
        <f>IFERROR(__xludf.DUMMYFUNCTION("GOOGLETRANSLATE(C12,""ja"",""en"")"),"Unfair character resurrection
-HP recovery &lt;C: ltyellow&gt; [0] % &lt;n&gt;")</f>
        <v>Unfair character resurrection
-HP recovery &lt;C: ltyellow&gt; [0] % &lt;n&gt;</v>
      </c>
      <c r="F12" s="5" t="s">
        <v>37</v>
      </c>
    </row>
    <row r="13">
      <c r="A13" s="1">
        <v>11.0</v>
      </c>
      <c r="B13" s="4" t="s">
        <v>38</v>
      </c>
      <c r="C13" s="4" t="s">
        <v>39</v>
      </c>
      <c r="D13" s="4">
        <f t="shared" si="1"/>
        <v>73</v>
      </c>
      <c r="E13" s="4" t="str">
        <f>IFERROR(__xludf.DUMMYFUNCTION("GOOGLETRANSLATE(C13,""ja"",""en"")"),"Resurrected in an incompetent state
-HP recovery &lt;C: ltyellow&gt; [0] % &lt;n&gt;")</f>
        <v>Resurrected in an incompetent state
-HP recovery &lt;C: ltyellow&gt; [0] % &lt;n&gt;</v>
      </c>
      <c r="F13" s="5" t="s">
        <v>40</v>
      </c>
    </row>
    <row r="14">
      <c r="A14" s="1">
        <v>12.0</v>
      </c>
      <c r="B14" s="4" t="s">
        <v>41</v>
      </c>
      <c r="C14" s="4" t="s">
        <v>42</v>
      </c>
      <c r="D14" s="4">
        <f t="shared" si="1"/>
        <v>21</v>
      </c>
      <c r="E14" s="4" t="str">
        <f>IFERROR(__xludf.DUMMYFUNCTION("GOOGLETRANSLATE(C14,""ja"",""en"")"),"Advanced inside [0] %")</f>
        <v>Advanced inside [0] %</v>
      </c>
      <c r="F14" s="5" t="s">
        <v>43</v>
      </c>
    </row>
    <row r="15">
      <c r="A15" s="1">
        <v>13.0</v>
      </c>
      <c r="B15" s="4" t="s">
        <v>44</v>
      </c>
      <c r="C15" s="4" t="s">
        <v>45</v>
      </c>
      <c r="D15" s="4">
        <f t="shared" si="1"/>
        <v>35</v>
      </c>
      <c r="E15" s="4" t="str">
        <f>IFERROR(__xludf.DUMMYFUNCTION("GOOGLETRANSLATE(C15,""ja"",""en"")"),"All abnormal conditioning treatment")</f>
        <v>All abnormal conditioning treatment</v>
      </c>
      <c r="F15" s="5" t="s">
        <v>46</v>
      </c>
    </row>
    <row r="16">
      <c r="A16" s="1">
        <v>14.0</v>
      </c>
      <c r="B16" s="4" t="s">
        <v>47</v>
      </c>
      <c r="C16" s="4" t="s">
        <v>48</v>
      </c>
      <c r="D16" s="4">
        <f t="shared" si="1"/>
        <v>27</v>
      </c>
      <c r="E16" s="4" t="str">
        <f>IFERROR(__xludf.DUMMYFUNCTION("GOOGLETRANSLATE(C16,""ja"",""en"")"),"All reduced state treatment")</f>
        <v>All reduced state treatment</v>
      </c>
      <c r="F16" s="5" t="s">
        <v>49</v>
      </c>
    </row>
    <row r="17">
      <c r="A17" s="1">
        <v>15.0</v>
      </c>
      <c r="B17" s="4" t="s">
        <v>50</v>
      </c>
      <c r="C17" s="4" t="s">
        <v>51</v>
      </c>
      <c r="D17" s="4">
        <f t="shared" si="1"/>
        <v>30</v>
      </c>
      <c r="E17" s="4" t="str">
        <f>IFERROR(__xludf.DUMMYFUNCTION("GOOGLETRANSLATE(C17,""ja"",""en"")"),"All cursed condition treatment")</f>
        <v>All cursed condition treatment</v>
      </c>
      <c r="F17" s="5" t="s">
        <v>52</v>
      </c>
    </row>
    <row r="18">
      <c r="A18" s="1">
        <v>16.0</v>
      </c>
      <c r="B18" s="4" t="s">
        <v>53</v>
      </c>
      <c r="C18" s="4" t="s">
        <v>54</v>
      </c>
      <c r="D18" s="4">
        <f t="shared" si="1"/>
        <v>36</v>
      </c>
      <c r="E18" s="4" t="str">
        <f>IFERROR(__xludf.DUMMYFUNCTION("GOOGLETRANSLATE(C18,""ja"",""en"")"),"Treatment of all state abnormalities")</f>
        <v>Treatment of all state abnormalities</v>
      </c>
      <c r="F18" s="6" t="s">
        <v>55</v>
      </c>
    </row>
    <row r="19">
      <c r="A19" s="1">
        <v>17.0</v>
      </c>
      <c r="B19" s="4" t="s">
        <v>56</v>
      </c>
      <c r="C19" s="4" t="s">
        <v>57</v>
      </c>
      <c r="D19" s="4">
        <f t="shared" si="1"/>
        <v>28</v>
      </c>
      <c r="E19" s="4" t="str">
        <f>IFERROR(__xludf.DUMMYFUNCTION("GOOGLETRANSLATE(C19,""ja"",""en"")"),"Treatment of poisoning state")</f>
        <v>Treatment of poisoning state</v>
      </c>
      <c r="F19" s="5" t="s">
        <v>58</v>
      </c>
    </row>
    <row r="20">
      <c r="A20" s="1">
        <v>18.0</v>
      </c>
      <c r="B20" s="4" t="s">
        <v>59</v>
      </c>
      <c r="C20" s="4" t="s">
        <v>60</v>
      </c>
      <c r="D20" s="4">
        <f t="shared" si="1"/>
        <v>22</v>
      </c>
      <c r="E20" s="4" t="str">
        <f>IFERROR(__xludf.DUMMYFUNCTION("GOOGLETRANSLATE(C20,""ja"",""en"")"),"Power [+0] [1] seconds")</f>
        <v>Power [+0] [1] seconds</v>
      </c>
      <c r="F20" s="5" t="s">
        <v>61</v>
      </c>
    </row>
    <row r="21" ht="15.75" customHeight="1">
      <c r="A21" s="1">
        <v>19.0</v>
      </c>
      <c r="B21" s="4" t="s">
        <v>62</v>
      </c>
      <c r="C21" s="4" t="s">
        <v>63</v>
      </c>
      <c r="D21" s="4">
        <f t="shared" si="1"/>
        <v>23</v>
      </c>
      <c r="E21" s="4" t="str">
        <f>IFERROR(__xludf.DUMMYFUNCTION("GOOGLETRANSLATE(C21,""ja"",""en"")"),"Agency [+0] [1] seconds")</f>
        <v>Agency [+0] [1] seconds</v>
      </c>
      <c r="F21" s="5" t="s">
        <v>64</v>
      </c>
    </row>
    <row r="22" ht="15.75" customHeight="1">
      <c r="A22" s="1">
        <v>20.0</v>
      </c>
      <c r="B22" s="4" t="s">
        <v>65</v>
      </c>
      <c r="C22" s="4" t="s">
        <v>66</v>
      </c>
      <c r="D22" s="4">
        <f t="shared" si="1"/>
        <v>23</v>
      </c>
      <c r="E22" s="4" t="str">
        <f>IFERROR(__xludf.DUMMYFUNCTION("GOOGLETRANSLATE(C22,""ja"",""en"")"),"Health [+0] [1] seconds")</f>
        <v>Health [+0] [1] seconds</v>
      </c>
      <c r="F22" s="5" t="s">
        <v>67</v>
      </c>
    </row>
    <row r="23" ht="15.75" customHeight="1">
      <c r="A23" s="1">
        <v>21.0</v>
      </c>
      <c r="B23" s="4" t="s">
        <v>68</v>
      </c>
      <c r="C23" s="4" t="s">
        <v>69</v>
      </c>
      <c r="D23" s="4">
        <f t="shared" si="1"/>
        <v>23</v>
      </c>
      <c r="E23" s="4" t="str">
        <f>IFERROR(__xludf.DUMMYFUNCTION("GOOGLETRANSLATE(C23,""ja"",""en"")"),"Wisdom [+0] [1] seconds")</f>
        <v>Wisdom [+0] [1] seconds</v>
      </c>
      <c r="F23" s="5" t="s">
        <v>70</v>
      </c>
    </row>
    <row r="24" ht="15.75" customHeight="1">
      <c r="A24" s="1">
        <v>22.0</v>
      </c>
      <c r="B24" s="4" t="s">
        <v>71</v>
      </c>
      <c r="C24" s="4" t="s">
        <v>72</v>
      </c>
      <c r="D24" s="4">
        <f t="shared" si="1"/>
        <v>26</v>
      </c>
      <c r="E24" s="4" t="str">
        <f>IFERROR(__xludf.DUMMYFUNCTION("GOOGLETRANSLATE(C24,""ja"",""en"")"),"Knowledge [+0] [1] seconds")</f>
        <v>Knowledge [+0] [1] seconds</v>
      </c>
      <c r="F24" s="5" t="s">
        <v>73</v>
      </c>
    </row>
    <row r="25" ht="15.75" customHeight="1">
      <c r="A25" s="1">
        <v>23.0</v>
      </c>
      <c r="B25" s="4" t="s">
        <v>74</v>
      </c>
      <c r="C25" s="4" t="s">
        <v>75</v>
      </c>
      <c r="D25" s="4">
        <f t="shared" si="1"/>
        <v>25</v>
      </c>
      <c r="E25" s="4" t="str">
        <f>IFERROR(__xludf.DUMMYFUNCTION("GOOGLETRANSLATE(C25,""ja"",""en"")"),"Charisma [+0] [1] seconds")</f>
        <v>Charisma [+0] [1] seconds</v>
      </c>
      <c r="F25" s="5" t="s">
        <v>76</v>
      </c>
    </row>
    <row r="26" ht="15.75" customHeight="1">
      <c r="A26" s="1">
        <v>24.0</v>
      </c>
      <c r="B26" s="4" t="s">
        <v>77</v>
      </c>
      <c r="C26" s="4" t="s">
        <v>78</v>
      </c>
      <c r="D26" s="4">
        <f t="shared" si="1"/>
        <v>26</v>
      </c>
      <c r="E26" s="4" t="str">
        <f>IFERROR(__xludf.DUMMYFUNCTION("GOOGLETRANSLATE(C26,""ja"",""en"")"),"Good luck [+0] [1] seconds")</f>
        <v>Good luck [+0] [1] seconds</v>
      </c>
      <c r="F26" s="5" t="s">
        <v>79</v>
      </c>
    </row>
    <row r="27" ht="15.75" customHeight="1">
      <c r="A27" s="1">
        <v>25.0</v>
      </c>
      <c r="B27" s="4" t="s">
        <v>80</v>
      </c>
      <c r="C27" s="4" t="s">
        <v>81</v>
      </c>
      <c r="D27" s="4">
        <f t="shared" si="1"/>
        <v>30</v>
      </c>
      <c r="E27" s="4" t="str">
        <f>IFERROR(__xludf.DUMMYFUNCTION("GOOGLETRANSLATE(C27,""ja"",""en"")"),"Attack power [+1] % [0] second")</f>
        <v>Attack power [+1] % [0] second</v>
      </c>
      <c r="F27" s="5" t="s">
        <v>82</v>
      </c>
    </row>
    <row r="28" ht="15.75" customHeight="1">
      <c r="A28" s="1">
        <v>26.0</v>
      </c>
      <c r="B28" s="4" t="s">
        <v>83</v>
      </c>
      <c r="C28" s="4" t="s">
        <v>84</v>
      </c>
      <c r="D28" s="4">
        <f t="shared" si="1"/>
        <v>31</v>
      </c>
      <c r="E28" s="4" t="str">
        <f>IFERROR(__xludf.DUMMYFUNCTION("GOOGLETRANSLATE(C28,""ja"",""en"")"),"Defense power [+1] % [0] second")</f>
        <v>Defense power [+1] % [0] second</v>
      </c>
      <c r="F28" s="5" t="s">
        <v>85</v>
      </c>
    </row>
    <row r="29" ht="15.75" customHeight="1">
      <c r="A29" s="1">
        <v>27.0</v>
      </c>
      <c r="B29" s="4" t="s">
        <v>86</v>
      </c>
      <c r="C29" s="4" t="s">
        <v>87</v>
      </c>
      <c r="D29" s="4">
        <f t="shared" si="1"/>
        <v>29</v>
      </c>
      <c r="E29" s="4" t="str">
        <f>IFERROR(__xludf.DUMMYFUNCTION("GOOGLETRANSLATE(C29,""ja"",""en"")"),"Maximum HP [+1] % [0] seconds")</f>
        <v>Maximum HP [+1] % [0] seconds</v>
      </c>
      <c r="F29" s="5" t="s">
        <v>88</v>
      </c>
    </row>
    <row r="30" ht="15.75" customHeight="1">
      <c r="A30" s="1">
        <v>28.0</v>
      </c>
      <c r="B30" s="4" t="s">
        <v>89</v>
      </c>
      <c r="C30" s="4" t="s">
        <v>90</v>
      </c>
      <c r="D30" s="4">
        <f t="shared" si="1"/>
        <v>29</v>
      </c>
      <c r="E30" s="4" t="str">
        <f>IFERROR(__xludf.DUMMYFUNCTION("GOOGLETRANSLATE(C30,""ja"",""en"")"),"Maximum CP [+1] % [0] seconds")</f>
        <v>Maximum CP [+1] % [0] seconds</v>
      </c>
      <c r="F30" s="5" t="s">
        <v>91</v>
      </c>
    </row>
    <row r="31" ht="15.75" customHeight="1">
      <c r="A31" s="1">
        <v>29.0</v>
      </c>
      <c r="B31" s="4" t="s">
        <v>92</v>
      </c>
      <c r="C31" s="4" t="s">
        <v>93</v>
      </c>
      <c r="D31" s="4">
        <f t="shared" si="1"/>
        <v>38</v>
      </c>
      <c r="E31" s="4" t="str">
        <f>IFERROR(__xludf.DUMMYFUNCTION("GOOGLETRANSLATE(C31,""ja"",""en"")"),"Maintain the weapon damage [0] seconds")</f>
        <v>Maintain the weapon damage [0] seconds</v>
      </c>
      <c r="F31" s="5" t="s">
        <v>94</v>
      </c>
    </row>
    <row r="32" ht="15.75" customHeight="1">
      <c r="A32" s="1">
        <v>30.0</v>
      </c>
      <c r="B32" s="4" t="s">
        <v>95</v>
      </c>
      <c r="C32" s="4" t="s">
        <v>96</v>
      </c>
      <c r="D32" s="4">
        <f t="shared" si="1"/>
        <v>23</v>
      </c>
      <c r="E32" s="4" t="str">
        <f>IFERROR(__xludf.DUMMYFUNCTION("GOOGLETRANSLATE(C32,""ja"",""en"")"),"Maintain CP [0] seconds")</f>
        <v>Maintain CP [0] seconds</v>
      </c>
      <c r="F32" s="5" t="s">
        <v>97</v>
      </c>
    </row>
    <row r="33" ht="15.75" customHeight="1">
      <c r="A33" s="1">
        <v>31.0</v>
      </c>
      <c r="B33" s="4" t="s">
        <v>98</v>
      </c>
      <c r="C33" s="4" t="s">
        <v>99</v>
      </c>
      <c r="D33" s="4">
        <f t="shared" si="1"/>
        <v>28</v>
      </c>
      <c r="E33" s="4" t="str">
        <f>IFERROR(__xludf.DUMMYFUNCTION("GOOGLETRANSLATE(C33,""ja"",""en"")"),"Treasure chest key level [0]")</f>
        <v>Treasure chest key level [0]</v>
      </c>
      <c r="F33" s="5" t="s">
        <v>100</v>
      </c>
    </row>
    <row r="34" ht="15.75" customHeight="1">
      <c r="A34" s="1">
        <v>32.0</v>
      </c>
      <c r="B34" s="4" t="s">
        <v>101</v>
      </c>
      <c r="C34" s="4" t="s">
        <v>102</v>
      </c>
      <c r="D34" s="4">
        <f t="shared" si="1"/>
        <v>18</v>
      </c>
      <c r="E34" s="4" t="str">
        <f>IFERROR(__xludf.DUMMYFUNCTION("GOOGLETRANSLATE(C34,""ja"",""en"")"),"Gate key level [0]")</f>
        <v>Gate key level [0]</v>
      </c>
      <c r="F34" s="5" t="s">
        <v>103</v>
      </c>
    </row>
    <row r="35" ht="15.75" customHeight="1">
      <c r="A35" s="1">
        <v>33.0</v>
      </c>
      <c r="B35" s="4" t="s">
        <v>104</v>
      </c>
      <c r="C35" s="4" t="s">
        <v>105</v>
      </c>
      <c r="D35" s="4">
        <f t="shared" si="1"/>
        <v>23</v>
      </c>
      <c r="E35" s="4" t="str">
        <f>IFERROR(__xludf.DUMMYFUNCTION("GOOGLETRANSLATE(C35,""ja"",""en"")"),"Universal key level [0]")</f>
        <v>Universal key level [0]</v>
      </c>
      <c r="F35" s="5" t="s">
        <v>106</v>
      </c>
    </row>
    <row r="36" ht="15.75" customHeight="1">
      <c r="A36" s="1">
        <v>34.0</v>
      </c>
      <c r="B36" s="4" t="s">
        <v>107</v>
      </c>
      <c r="C36" s="4" t="s">
        <v>108</v>
      </c>
      <c r="D36" s="4">
        <f t="shared" si="1"/>
        <v>18</v>
      </c>
      <c r="E36" s="4" t="str">
        <f>IFERROR(__xludf.DUMMYFUNCTION("GOOGLETRANSLATE(C36,""ja"",""en"")"),"Return to the city")</f>
        <v>Return to the city</v>
      </c>
      <c r="F36" s="5" t="s">
        <v>109</v>
      </c>
    </row>
    <row r="37" ht="15.75" customHeight="1">
      <c r="A37" s="1">
        <v>35.0</v>
      </c>
      <c r="B37" s="4" t="s">
        <v>110</v>
      </c>
      <c r="C37" s="4" t="s">
        <v>111</v>
      </c>
      <c r="D37" s="4">
        <f t="shared" si="1"/>
        <v>23</v>
      </c>
      <c r="E37" s="4" t="str">
        <f>IFERROR(__xludf.DUMMYFUNCTION("GOOGLETRANSLATE(C37,""ja"",""en"")"),"Town round -trip portal")</f>
        <v>Town round -trip portal</v>
      </c>
      <c r="F37" s="5" t="s">
        <v>112</v>
      </c>
    </row>
    <row r="38" ht="15.75" customHeight="1">
      <c r="A38" s="1">
        <v>36.0</v>
      </c>
      <c r="B38" s="4" t="s">
        <v>113</v>
      </c>
      <c r="C38" s="4" t="s">
        <v>114</v>
      </c>
      <c r="D38" s="4">
        <f t="shared" si="1"/>
        <v>58</v>
      </c>
      <c r="E38" s="4" t="str">
        <f>IFERROR(__xludf.DUMMYFUNCTION("GOOGLETRANSLATE(C38,""ja"",""en"")"),"Number of available times [1] times (maintenance time [0])")</f>
        <v>Number of available times [1] times (maintenance time [0])</v>
      </c>
      <c r="F38" s="5" t="s">
        <v>115</v>
      </c>
    </row>
    <row r="39" ht="15.75" customHeight="1">
      <c r="A39" s="1">
        <v>37.0</v>
      </c>
      <c r="B39" s="4" t="s">
        <v>116</v>
      </c>
      <c r="C39" s="4" t="s">
        <v>117</v>
      </c>
      <c r="D39" s="4">
        <f t="shared" si="1"/>
        <v>41</v>
      </c>
      <c r="E39" s="4" t="str">
        <f>IFERROR(__xludf.DUMMYFUNCTION("GOOGLETRANSLATE(C39,""ja"",""en"")"),"Target Immediate death probability [+0] %")</f>
        <v>Target Immediate death probability [+0] %</v>
      </c>
      <c r="F39" s="5" t="s">
        <v>118</v>
      </c>
    </row>
    <row r="40" ht="15.75" customHeight="1">
      <c r="A40" s="1">
        <v>38.0</v>
      </c>
      <c r="B40" s="4" t="s">
        <v>119</v>
      </c>
      <c r="C40" s="4" t="s">
        <v>120</v>
      </c>
      <c r="D40" s="4">
        <f t="shared" si="1"/>
        <v>32</v>
      </c>
      <c r="E40" s="4" t="str">
        <f>IFERROR(__xludf.DUMMYFUNCTION("GOOGLETRANSLATE(C40,""ja"",""en"")"),"Berserk attack [0] % [1] seconds")</f>
        <v>Berserk attack [0] % [1] seconds</v>
      </c>
      <c r="F40" s="5" t="s">
        <v>121</v>
      </c>
    </row>
    <row r="41" ht="15.75" customHeight="1">
      <c r="A41" s="1">
        <v>39.0</v>
      </c>
      <c r="B41" s="4" t="s">
        <v>122</v>
      </c>
      <c r="C41" s="4" t="s">
        <v>123</v>
      </c>
      <c r="D41" s="4">
        <f t="shared" si="1"/>
        <v>42</v>
      </c>
      <c r="E41" s="4" t="str">
        <f>IFERROR(__xludf.DUMMYFUNCTION("GOOGLETRANSLATE(C41,""ja"",""en"")"),"Armor destruction attack [0] % [1] seconds")</f>
        <v>Armor destruction attack [0] % [1] seconds</v>
      </c>
      <c r="F41" s="5" t="s">
        <v>124</v>
      </c>
    </row>
    <row r="42" ht="15.75" customHeight="1">
      <c r="A42" s="1">
        <v>40.0</v>
      </c>
      <c r="B42" s="4" t="s">
        <v>125</v>
      </c>
      <c r="C42" s="4" t="s">
        <v>126</v>
      </c>
      <c r="D42" s="4">
        <f t="shared" si="1"/>
        <v>43</v>
      </c>
      <c r="E42" s="4" t="str">
        <f>IFERROR(__xludf.DUMMYFUNCTION("GOOGLETRANSLATE(C42,""ja"",""en"")"),"Weapon destruction attack [0] % [1] seconds")</f>
        <v>Weapon destruction attack [0] % [1] seconds</v>
      </c>
      <c r="F42" s="5" t="s">
        <v>127</v>
      </c>
    </row>
    <row r="43" ht="15.75" customHeight="1">
      <c r="A43" s="1">
        <v>41.0</v>
      </c>
      <c r="B43" s="4" t="s">
        <v>128</v>
      </c>
      <c r="C43" s="4" t="s">
        <v>129</v>
      </c>
      <c r="D43" s="4">
        <f t="shared" si="1"/>
        <v>48</v>
      </c>
      <c r="E43" s="4" t="str">
        <f>IFERROR(__xludf.DUMMYFUNCTION("GOOGLETRANSLATE(C43,""ja"",""en"")"),"Poison attack-Damage per second [1] ([0] second)")</f>
        <v>Poison attack-Damage per second [1] ([0] second)</v>
      </c>
      <c r="F43" s="5" t="s">
        <v>130</v>
      </c>
    </row>
    <row r="44" ht="15.75" customHeight="1">
      <c r="A44" s="1">
        <v>42.0</v>
      </c>
      <c r="B44" s="4" t="s">
        <v>131</v>
      </c>
      <c r="C44" s="4" t="s">
        <v>132</v>
      </c>
      <c r="D44" s="4">
        <f t="shared" si="1"/>
        <v>34</v>
      </c>
      <c r="E44" s="4" t="str">
        <f>IFERROR(__xludf.DUMMYFUNCTION("GOOGLETRANSLATE(C44,""ja"",""en"")"),"Confusion attack [0] % [1] seconds")</f>
        <v>Confusion attack [0] % [1] seconds</v>
      </c>
      <c r="F44" s="5" t="s">
        <v>133</v>
      </c>
    </row>
    <row r="45" ht="15.75" customHeight="1">
      <c r="A45" s="1">
        <v>43.0</v>
      </c>
      <c r="B45" s="4" t="s">
        <v>134</v>
      </c>
      <c r="C45" s="4" t="s">
        <v>135</v>
      </c>
      <c r="D45" s="4">
        <f t="shared" si="1"/>
        <v>35</v>
      </c>
      <c r="E45" s="4" t="str">
        <f>IFERROR(__xludf.DUMMYFUNCTION("GOOGLETRANSLATE(C45,""ja"",""en"")"),"Temptation attack [0] % [1] seconds")</f>
        <v>Temptation attack [0] % [1] seconds</v>
      </c>
      <c r="F45" s="6" t="s">
        <v>136</v>
      </c>
    </row>
    <row r="46" ht="15.75" customHeight="1">
      <c r="A46" s="1">
        <v>44.0</v>
      </c>
      <c r="B46" s="4" t="s">
        <v>137</v>
      </c>
      <c r="C46" s="4" t="s">
        <v>138</v>
      </c>
      <c r="D46" s="4">
        <f t="shared" si="1"/>
        <v>27</v>
      </c>
      <c r="E46" s="4" t="str">
        <f>IFERROR(__xludf.DUMMYFUNCTION("GOOGLETRANSLATE(C46,""ja"",""en"")"),"Stan attack [0] % [1] Frame")</f>
        <v>Stan attack [0] % [1] Frame</v>
      </c>
      <c r="F46" s="6" t="s">
        <v>139</v>
      </c>
    </row>
    <row r="47" ht="15.75" customHeight="1">
      <c r="A47" s="1">
        <v>45.0</v>
      </c>
      <c r="B47" s="4" t="s">
        <v>140</v>
      </c>
      <c r="C47" s="4" t="s">
        <v>141</v>
      </c>
      <c r="D47" s="4">
        <f t="shared" si="1"/>
        <v>29</v>
      </c>
      <c r="E47" s="4" t="str">
        <f>IFERROR(__xludf.DUMMYFUNCTION("GOOGLETRANSLATE(C47,""ja"",""en"")"),"Cold attack [0] % [1] seconds")</f>
        <v>Cold attack [0] % [1] seconds</v>
      </c>
      <c r="F47" s="5" t="s">
        <v>142</v>
      </c>
    </row>
    <row r="48" ht="15.75" customHeight="1">
      <c r="A48" s="1">
        <v>46.0</v>
      </c>
      <c r="B48" s="4" t="s">
        <v>143</v>
      </c>
      <c r="C48" s="4" t="s">
        <v>144</v>
      </c>
      <c r="D48" s="4">
        <f t="shared" si="1"/>
        <v>23</v>
      </c>
      <c r="E48" s="4" t="str">
        <f>IFERROR(__xludf.DUMMYFUNCTION("GOOGLETRANSLATE(C48,""ja"",""en"")"),"Fire damage damage [+0]")</f>
        <v>Fire damage damage [+0]</v>
      </c>
      <c r="F48" s="5" t="s">
        <v>145</v>
      </c>
    </row>
    <row r="49" ht="15.75" customHeight="1">
      <c r="A49" s="1">
        <v>47.0</v>
      </c>
      <c r="B49" s="4" t="s">
        <v>146</v>
      </c>
      <c r="C49" s="4" t="s">
        <v>147</v>
      </c>
      <c r="D49" s="4">
        <f t="shared" si="1"/>
        <v>27</v>
      </c>
      <c r="E49" s="4" t="str">
        <f>IFERROR(__xludf.DUMMYFUNCTION("GOOGLETRANSLATE(C49,""ja"",""en"")"),"Water attribute damage [+0]")</f>
        <v>Water attribute damage [+0]</v>
      </c>
      <c r="F49" s="5" t="s">
        <v>148</v>
      </c>
    </row>
    <row r="50" ht="15.75" customHeight="1">
      <c r="A50" s="1">
        <v>48.0</v>
      </c>
      <c r="B50" s="4" t="s">
        <v>149</v>
      </c>
      <c r="C50" s="4" t="s">
        <v>150</v>
      </c>
      <c r="D50" s="4">
        <f t="shared" si="1"/>
        <v>26</v>
      </c>
      <c r="E50" s="4" t="str">
        <f>IFERROR(__xludf.DUMMYFUNCTION("GOOGLETRANSLATE(C50,""ja"",""en"")"),"Wind attribute damage [+0]")</f>
        <v>Wind attribute damage [+0]</v>
      </c>
      <c r="F50" s="5" t="s">
        <v>151</v>
      </c>
    </row>
    <row r="51" ht="15.75" customHeight="1">
      <c r="A51" s="1">
        <v>49.0</v>
      </c>
      <c r="B51" s="4" t="s">
        <v>152</v>
      </c>
      <c r="C51" s="4" t="s">
        <v>153</v>
      </c>
      <c r="D51" s="4">
        <f t="shared" si="1"/>
        <v>27</v>
      </c>
      <c r="E51" s="4" t="str">
        <f>IFERROR(__xludf.DUMMYFUNCTION("GOOGLETRANSLATE(C51,""ja"",""en"")"),"Earth attribute damage [+0]")</f>
        <v>Earth attribute damage [+0]</v>
      </c>
      <c r="F51" s="5" t="s">
        <v>154</v>
      </c>
    </row>
    <row r="52" ht="15.75" customHeight="1">
      <c r="A52" s="1">
        <v>50.0</v>
      </c>
      <c r="B52" s="4" t="s">
        <v>155</v>
      </c>
      <c r="C52" s="4" t="s">
        <v>156</v>
      </c>
      <c r="D52" s="4">
        <f t="shared" si="1"/>
        <v>27</v>
      </c>
      <c r="E52" s="4" t="str">
        <f>IFERROR(__xludf.DUMMYFUNCTION("GOOGLETRANSLATE(C52,""ja"",""en"")"),"Light attribute damage [+0]")</f>
        <v>Light attribute damage [+0]</v>
      </c>
      <c r="F52" s="5" t="s">
        <v>157</v>
      </c>
    </row>
    <row r="53" ht="15.75" customHeight="1">
      <c r="A53" s="1">
        <v>51.0</v>
      </c>
      <c r="B53" s="4" t="s">
        <v>158</v>
      </c>
      <c r="C53" s="4" t="s">
        <v>159</v>
      </c>
      <c r="D53" s="4">
        <f t="shared" si="1"/>
        <v>26</v>
      </c>
      <c r="E53" s="4" t="str">
        <f>IFERROR(__xludf.DUMMYFUNCTION("GOOGLETRANSLATE(C53,""ja"",""en"")"),"Dark attribute damage [+0]")</f>
        <v>Dark attribute damage [+0]</v>
      </c>
      <c r="F53" s="5" t="s">
        <v>160</v>
      </c>
    </row>
    <row r="54" ht="15.75" customHeight="1">
      <c r="A54" s="1">
        <v>52.0</v>
      </c>
      <c r="B54" s="4" t="s">
        <v>161</v>
      </c>
      <c r="C54" s="4" t="s">
        <v>162</v>
      </c>
      <c r="D54" s="4">
        <f t="shared" si="1"/>
        <v>34</v>
      </c>
      <c r="E54" s="4" t="str">
        <f>IFERROR(__xludf.DUMMYFUNCTION("GOOGLETRANSLATE(C54,""ja"",""en"")"),"VS Undead Character -Damage [+0] %")</f>
        <v>VS Undead Character -Damage [+0] %</v>
      </c>
      <c r="F54" s="5" t="s">
        <v>163</v>
      </c>
    </row>
    <row r="55" ht="15.75" customHeight="1">
      <c r="A55" s="1">
        <v>53.0</v>
      </c>
      <c r="B55" s="4" t="s">
        <v>164</v>
      </c>
      <c r="C55" s="4" t="s">
        <v>165</v>
      </c>
      <c r="D55" s="4">
        <f t="shared" si="1"/>
        <v>33</v>
      </c>
      <c r="E55" s="4" t="str">
        <f>IFERROR(__xludf.DUMMYFUNCTION("GOOGLETRANSLATE(C55,""ja"",""en"")"),"VS Devil Character -Damage [+0] %")</f>
        <v>VS Devil Character -Damage [+0] %</v>
      </c>
      <c r="F55" s="5" t="s">
        <v>166</v>
      </c>
    </row>
    <row r="56" ht="15.75" customHeight="1">
      <c r="A56" s="1">
        <v>54.0</v>
      </c>
      <c r="B56" s="4" t="s">
        <v>167</v>
      </c>
      <c r="C56" s="4" t="s">
        <v>168</v>
      </c>
      <c r="D56" s="4">
        <f t="shared" si="1"/>
        <v>33</v>
      </c>
      <c r="E56" s="4" t="str">
        <f>IFERROR(__xludf.DUMMYFUNCTION("GOOGLETRANSLATE(C56,""ja"",""en"")"),"VS Human Character -Damage [+0] %")</f>
        <v>VS Human Character -Damage [+0] %</v>
      </c>
      <c r="F56" s="5" t="s">
        <v>169</v>
      </c>
    </row>
    <row r="57" ht="15.75" customHeight="1">
      <c r="A57" s="1">
        <v>55.0</v>
      </c>
      <c r="B57" s="4" t="s">
        <v>170</v>
      </c>
      <c r="C57" s="4" t="s">
        <v>171</v>
      </c>
      <c r="D57" s="4">
        <f t="shared" si="1"/>
        <v>34</v>
      </c>
      <c r="E57" s="4" t="str">
        <f>IFERROR(__xludf.DUMMYFUNCTION("GOOGLETRANSLATE(C57,""ja"",""en"")"),"VS Animal Character -Damage [+0] %")</f>
        <v>VS Animal Character -Damage [+0] %</v>
      </c>
      <c r="F57" s="5" t="s">
        <v>172</v>
      </c>
    </row>
    <row r="58" ht="15.75" customHeight="1">
      <c r="A58" s="1">
        <v>56.0</v>
      </c>
      <c r="B58" s="4" t="s">
        <v>173</v>
      </c>
      <c r="C58" s="4" t="s">
        <v>174</v>
      </c>
      <c r="D58" s="4">
        <f t="shared" si="1"/>
        <v>34</v>
      </c>
      <c r="E58" s="4" t="str">
        <f>IFERROR(__xludf.DUMMYFUNCTION("GOOGLETRANSLATE(C58,""ja"",""en"")"),"vs. Beast Character -Damage [+0] %")</f>
        <v>vs. Beast Character -Damage [+0] %</v>
      </c>
      <c r="F58" s="5" t="s">
        <v>175</v>
      </c>
    </row>
    <row r="59" ht="15.75" customHeight="1">
      <c r="A59" s="1">
        <v>57.0</v>
      </c>
      <c r="B59" s="4" t="s">
        <v>176</v>
      </c>
      <c r="C59" s="4" t="s">
        <v>177</v>
      </c>
      <c r="D59" s="4">
        <f t="shared" si="1"/>
        <v>23</v>
      </c>
      <c r="E59" s="4" t="str">
        <f>IFERROR(__xludf.DUMMYFUNCTION("GOOGLETRANSLATE(C59,""ja"",""en"")"),"Item Reload Time- [0] %")</f>
        <v>Item Reload Time- [0] %</v>
      </c>
      <c r="F59" s="5" t="s">
        <v>178</v>
      </c>
    </row>
    <row r="60" ht="15.75" customHeight="1">
      <c r="A60" s="1">
        <v>58.0</v>
      </c>
      <c r="B60" s="4" t="s">
        <v>179</v>
      </c>
      <c r="C60" s="4" t="s">
        <v>180</v>
      </c>
      <c r="D60" s="4">
        <f t="shared" si="1"/>
        <v>35</v>
      </c>
      <c r="E60" s="4" t="str">
        <f>IFERROR(__xludf.DUMMYFUNCTION("GOOGLETRANSLATE(C60,""ja"",""en"")"),"Transformation speed [0] % increase")</f>
        <v>Transformation speed [0] % increase</v>
      </c>
      <c r="F60" s="5" t="s">
        <v>181</v>
      </c>
    </row>
    <row r="61" ht="15.75" customHeight="1">
      <c r="A61" s="1">
        <v>59.0</v>
      </c>
      <c r="B61" s="4" t="s">
        <v>182</v>
      </c>
      <c r="C61" s="4" t="s">
        <v>183</v>
      </c>
      <c r="D61" s="4">
        <f t="shared" si="1"/>
        <v>36</v>
      </c>
      <c r="E61" s="4" t="str">
        <f>IFERROR(__xludf.DUMMYFUNCTION("GOOGLETRANSLATE(C61,""ja"",""en"")"),"Potion recovery speed [0] % increase")</f>
        <v>Potion recovery speed [0] % increase</v>
      </c>
      <c r="F61" s="5" t="s">
        <v>184</v>
      </c>
    </row>
    <row r="62" ht="15.75" customHeight="1">
      <c r="A62" s="1">
        <v>60.0</v>
      </c>
      <c r="B62" s="4" t="s">
        <v>185</v>
      </c>
      <c r="C62" s="4" t="s">
        <v>186</v>
      </c>
      <c r="D62" s="4">
        <f t="shared" si="1"/>
        <v>19</v>
      </c>
      <c r="E62" s="4" t="str">
        <f>IFERROR(__xludf.DUMMYFUNCTION("GOOGLETRANSLATE(C62,""ja"",""en"")"),"Damage return [0] %")</f>
        <v>Damage return [0] %</v>
      </c>
      <c r="F62" s="5" t="s">
        <v>187</v>
      </c>
    </row>
    <row r="63" ht="15.75" customHeight="1">
      <c r="A63" s="1">
        <v>61.0</v>
      </c>
      <c r="B63" s="4" t="s">
        <v>188</v>
      </c>
      <c r="C63" s="4" t="s">
        <v>189</v>
      </c>
      <c r="D63" s="4">
        <f t="shared" si="1"/>
        <v>15</v>
      </c>
      <c r="E63" s="4" t="str">
        <f>IFERROR(__xludf.DUMMYFUNCTION("GOOGLETRANSLATE(C63,""ja"",""en"")"),"Infinite bullet")</f>
        <v>Infinite bullet</v>
      </c>
      <c r="F63" s="5" t="s">
        <v>190</v>
      </c>
    </row>
    <row r="64" ht="15.75" customHeight="1">
      <c r="A64" s="1">
        <v>62.0</v>
      </c>
      <c r="B64" s="4" t="s">
        <v>191</v>
      </c>
      <c r="C64" s="4" t="s">
        <v>192</v>
      </c>
      <c r="D64" s="4">
        <f t="shared" si="1"/>
        <v>55</v>
      </c>
      <c r="E64" s="4" t="str">
        <f>IFERROR(__xludf.DUMMYFUNCTION("GOOGLETRANSLATE(C64,""ja"",""en"")"),"Nearly affiliated occupational attack power [+0] ~ [+1]")</f>
        <v>Nearly affiliated occupational attack power [+0] ~ [+1]</v>
      </c>
      <c r="F64" s="6" t="s">
        <v>193</v>
      </c>
    </row>
    <row r="65" ht="15.75" customHeight="1">
      <c r="A65" s="1">
        <v>63.0</v>
      </c>
      <c r="B65" s="4" t="s">
        <v>194</v>
      </c>
      <c r="C65" s="4" t="s">
        <v>195</v>
      </c>
      <c r="D65" s="4">
        <f t="shared" si="1"/>
        <v>10</v>
      </c>
      <c r="E65" s="4" t="str">
        <f>IFERROR(__xludf.DUMMYFUNCTION("GOOGLETRANSLATE(C65,""ja"",""en"")"),"Power [+0]")</f>
        <v>Power [+0]</v>
      </c>
      <c r="F65" s="5" t="s">
        <v>196</v>
      </c>
    </row>
    <row r="66" ht="15.75" customHeight="1">
      <c r="A66" s="1">
        <v>64.0</v>
      </c>
      <c r="B66" s="4" t="s">
        <v>197</v>
      </c>
      <c r="C66" s="4" t="s">
        <v>198</v>
      </c>
      <c r="D66" s="4">
        <f t="shared" si="1"/>
        <v>11</v>
      </c>
      <c r="E66" s="4" t="str">
        <f>IFERROR(__xludf.DUMMYFUNCTION("GOOGLETRANSLATE(C66,""ja"",""en"")"),"Wisdom [+0]")</f>
        <v>Wisdom [+0]</v>
      </c>
      <c r="F66" s="5" t="s">
        <v>199</v>
      </c>
    </row>
    <row r="67" ht="15.75" customHeight="1">
      <c r="A67" s="1">
        <v>65.0</v>
      </c>
      <c r="B67" s="4" t="s">
        <v>200</v>
      </c>
      <c r="C67" s="4" t="s">
        <v>201</v>
      </c>
      <c r="D67" s="4">
        <f t="shared" si="1"/>
        <v>14</v>
      </c>
      <c r="E67" s="4" t="str">
        <f>IFERROR(__xludf.DUMMYFUNCTION("GOOGLETRANSLATE(C67,""ja"",""en"")"),"Knowledge [+0]")</f>
        <v>Knowledge [+0]</v>
      </c>
      <c r="F67" s="5" t="s">
        <v>202</v>
      </c>
    </row>
    <row r="68" ht="15.75" customHeight="1">
      <c r="A68" s="1">
        <v>66.0</v>
      </c>
      <c r="B68" s="4" t="s">
        <v>203</v>
      </c>
      <c r="C68" s="4" t="s">
        <v>204</v>
      </c>
      <c r="D68" s="4">
        <f t="shared" si="1"/>
        <v>11</v>
      </c>
      <c r="E68" s="4" t="str">
        <f>IFERROR(__xludf.DUMMYFUNCTION("GOOGLETRANSLATE(C68,""ja"",""en"")"),"Health [+0]")</f>
        <v>Health [+0]</v>
      </c>
      <c r="F68" s="5" t="s">
        <v>205</v>
      </c>
    </row>
    <row r="69" ht="15.75" customHeight="1">
      <c r="A69" s="1">
        <v>67.0</v>
      </c>
      <c r="B69" s="4" t="s">
        <v>206</v>
      </c>
      <c r="C69" s="4" t="s">
        <v>207</v>
      </c>
      <c r="D69" s="4">
        <f t="shared" si="1"/>
        <v>11</v>
      </c>
      <c r="E69" s="4" t="str">
        <f>IFERROR(__xludf.DUMMYFUNCTION("GOOGLETRANSLATE(C69,""ja"",""en"")"),"Agency [+0]")</f>
        <v>Agency [+0]</v>
      </c>
      <c r="F69" s="5" t="s">
        <v>208</v>
      </c>
    </row>
    <row r="70" ht="15.75" customHeight="1">
      <c r="A70" s="1">
        <v>68.0</v>
      </c>
      <c r="B70" s="4" t="s">
        <v>209</v>
      </c>
      <c r="C70" s="4" t="s">
        <v>210</v>
      </c>
      <c r="D70" s="4">
        <f t="shared" si="1"/>
        <v>13</v>
      </c>
      <c r="E70" s="4" t="str">
        <f>IFERROR(__xludf.DUMMYFUNCTION("GOOGLETRANSLATE(C70,""ja"",""en"")"),"Charisma [+0]")</f>
        <v>Charisma [+0]</v>
      </c>
      <c r="F70" s="5" t="s">
        <v>211</v>
      </c>
    </row>
    <row r="71" ht="15.75" customHeight="1">
      <c r="A71" s="1">
        <v>69.0</v>
      </c>
      <c r="B71" s="4" t="s">
        <v>212</v>
      </c>
      <c r="C71" s="4" t="s">
        <v>213</v>
      </c>
      <c r="D71" s="4">
        <f t="shared" si="1"/>
        <v>14</v>
      </c>
      <c r="E71" s="4" t="str">
        <f>IFERROR(__xludf.DUMMYFUNCTION("GOOGLETRANSLATE(C71,""ja"",""en"")"),"Good luck [+0]")</f>
        <v>Good luck [+0]</v>
      </c>
      <c r="F71" s="5" t="s">
        <v>214</v>
      </c>
    </row>
    <row r="72" ht="15.75" customHeight="1">
      <c r="A72" s="1">
        <v>70.0</v>
      </c>
      <c r="B72" s="4" t="s">
        <v>215</v>
      </c>
      <c r="C72" s="4" t="s">
        <v>216</v>
      </c>
      <c r="D72" s="4">
        <f t="shared" si="1"/>
        <v>15</v>
      </c>
      <c r="E72" s="4" t="str">
        <f>IFERROR(__xludf.DUMMYFUNCTION("GOOGLETRANSLATE(C72,""ja"",""en"")"),"Critical [+0] %")</f>
        <v>Critical [+0] %</v>
      </c>
      <c r="F72" s="5" t="s">
        <v>217</v>
      </c>
    </row>
    <row r="73" ht="15.75" customHeight="1">
      <c r="A73" s="1">
        <v>71.0</v>
      </c>
      <c r="B73" s="4" t="s">
        <v>218</v>
      </c>
      <c r="C73" s="4" t="s">
        <v>219</v>
      </c>
      <c r="D73" s="4">
        <f t="shared" si="1"/>
        <v>15</v>
      </c>
      <c r="E73" s="4" t="str">
        <f>IFERROR(__xludf.DUMMYFUNCTION("GOOGLETRANSLATE(C73,""ja"",""en"")"),"Decision [+0] %")</f>
        <v>Decision [+0] %</v>
      </c>
      <c r="F73" s="6" t="s">
        <v>220</v>
      </c>
    </row>
    <row r="74" ht="15.75" customHeight="1">
      <c r="A74" s="1">
        <v>72.0</v>
      </c>
      <c r="B74" s="4" t="s">
        <v>221</v>
      </c>
      <c r="C74" s="4" t="s">
        <v>222</v>
      </c>
      <c r="D74" s="4">
        <f t="shared" si="1"/>
        <v>32</v>
      </c>
      <c r="E74" s="4" t="str">
        <f>IFERROR(__xludf.DUMMYFUNCTION("GOOGLETRANSLATE(C74,""ja"",""en"")"),"According to the hit rate [+0] %")</f>
        <v>According to the hit rate [+0] %</v>
      </c>
      <c r="F74" s="6" t="s">
        <v>223</v>
      </c>
    </row>
    <row r="75" ht="15.75" customHeight="1">
      <c r="A75" s="1">
        <v>73.0</v>
      </c>
      <c r="B75" s="4" t="s">
        <v>224</v>
      </c>
      <c r="C75" s="4" t="s">
        <v>225</v>
      </c>
      <c r="D75" s="4">
        <f t="shared" si="1"/>
        <v>18</v>
      </c>
      <c r="E75" s="4" t="str">
        <f>IFERROR(__xludf.DUMMYFUNCTION("GOOGLETRANSLATE(C75,""ja"",""en"")"),"Concentration [+0]")</f>
        <v>Concentration [+0]</v>
      </c>
      <c r="F75" s="5" t="s">
        <v>226</v>
      </c>
    </row>
    <row r="76" ht="15.75" customHeight="1">
      <c r="A76" s="1">
        <v>74.0</v>
      </c>
      <c r="B76" s="4" t="s">
        <v>227</v>
      </c>
      <c r="C76" s="4" t="s">
        <v>228</v>
      </c>
      <c r="D76" s="4">
        <f t="shared" si="1"/>
        <v>19</v>
      </c>
      <c r="E76" s="4" t="str">
        <f>IFERROR(__xludf.DUMMYFUNCTION("GOOGLETRANSLATE(C76,""ja"",""en"")"),"Attack speed [+0] %")</f>
        <v>Attack speed [+0] %</v>
      </c>
      <c r="F76" s="5" t="s">
        <v>229</v>
      </c>
    </row>
    <row r="77" ht="15.75" customHeight="1">
      <c r="A77" s="1">
        <v>75.0</v>
      </c>
      <c r="B77" s="4" t="s">
        <v>230</v>
      </c>
      <c r="C77" s="4" t="s">
        <v>231</v>
      </c>
      <c r="D77" s="4">
        <f t="shared" si="1"/>
        <v>23</v>
      </c>
      <c r="E77" s="4" t="str">
        <f>IFERROR(__xludf.DUMMYFUNCTION("GOOGLETRANSLATE(C77,""ja"",""en"")"),"State resistance [+0] %")</f>
        <v>State resistance [+0] %</v>
      </c>
      <c r="F77" s="5" t="s">
        <v>232</v>
      </c>
    </row>
    <row r="78" ht="15.75" customHeight="1">
      <c r="A78" s="1">
        <v>76.0</v>
      </c>
      <c r="B78" s="4" t="s">
        <v>233</v>
      </c>
      <c r="C78" s="4" t="s">
        <v>234</v>
      </c>
      <c r="D78" s="4">
        <f t="shared" si="1"/>
        <v>48</v>
      </c>
      <c r="E78" s="4" t="str">
        <f>IFERROR(__xludf.DUMMYFUNCTION("GOOGLETRANSLATE(C78,""ja"",""en"")"),"Ability value decreased status resistance [+0] %")</f>
        <v>Ability value decreased status resistance [+0] %</v>
      </c>
      <c r="F78" s="5" t="s">
        <v>235</v>
      </c>
    </row>
    <row r="79" ht="15.75" customHeight="1">
      <c r="A79" s="1">
        <v>77.0</v>
      </c>
      <c r="B79" s="4" t="s">
        <v>236</v>
      </c>
      <c r="C79" s="4" t="s">
        <v>237</v>
      </c>
      <c r="D79" s="4">
        <f t="shared" si="1"/>
        <v>32</v>
      </c>
      <c r="E79" s="4" t="str">
        <f>IFERROR(__xludf.DUMMYFUNCTION("GOOGLETRANSLATE(C79,""ja"",""en"")"),"Abnormal state resistance [+0] %")</f>
        <v>Abnormal state resistance [+0] %</v>
      </c>
      <c r="F79" s="5" t="s">
        <v>238</v>
      </c>
    </row>
    <row r="80" ht="15.75" customHeight="1">
      <c r="A80" s="1">
        <v>78.0</v>
      </c>
      <c r="B80" s="4" t="s">
        <v>239</v>
      </c>
      <c r="C80" s="4" t="s">
        <v>240</v>
      </c>
      <c r="D80" s="4">
        <f t="shared" si="1"/>
        <v>36</v>
      </c>
      <c r="E80" s="4" t="str">
        <f>IFERROR(__xludf.DUMMYFUNCTION("GOOGLETRANSLATE(C80,""ja"",""en"")"),"All state abnormal resistance [+0] %")</f>
        <v>All state abnormal resistance [+0] %</v>
      </c>
      <c r="F80" s="5" t="s">
        <v>241</v>
      </c>
    </row>
    <row r="81" ht="15.75" customHeight="1">
      <c r="A81" s="1">
        <v>79.0</v>
      </c>
      <c r="B81" s="4" t="s">
        <v>242</v>
      </c>
      <c r="C81" s="4" t="s">
        <v>243</v>
      </c>
      <c r="D81" s="4">
        <f t="shared" si="1"/>
        <v>22</v>
      </c>
      <c r="E81" s="4" t="str">
        <f>IFERROR(__xludf.DUMMYFUNCTION("GOOGLETRANSLATE(C81,""ja"",""en"")"),"Fire resistance [+0] %")</f>
        <v>Fire resistance [+0] %</v>
      </c>
      <c r="F81" s="5" t="s">
        <v>244</v>
      </c>
    </row>
    <row r="82" ht="15.75" customHeight="1">
      <c r="A82" s="1">
        <v>80.0</v>
      </c>
      <c r="B82" s="4" t="s">
        <v>245</v>
      </c>
      <c r="C82" s="4" t="s">
        <v>246</v>
      </c>
      <c r="D82" s="4">
        <f t="shared" si="1"/>
        <v>23</v>
      </c>
      <c r="E82" s="4" t="str">
        <f>IFERROR(__xludf.DUMMYFUNCTION("GOOGLETRANSLATE(C82,""ja"",""en"")"),"Earth resistance [+0] %")</f>
        <v>Earth resistance [+0] %</v>
      </c>
      <c r="F82" s="5" t="s">
        <v>247</v>
      </c>
    </row>
    <row r="83" ht="15.75" customHeight="1">
      <c r="A83" s="1">
        <v>81.0</v>
      </c>
      <c r="B83" s="4" t="s">
        <v>248</v>
      </c>
      <c r="C83" s="4" t="s">
        <v>249</v>
      </c>
      <c r="D83" s="4">
        <f t="shared" si="1"/>
        <v>22</v>
      </c>
      <c r="E83" s="4" t="str">
        <f>IFERROR(__xludf.DUMMYFUNCTION("GOOGLETRANSLATE(C83,""ja"",""en"")"),"Wind resistance [+0] %")</f>
        <v>Wind resistance [+0] %</v>
      </c>
      <c r="F83" s="5" t="s">
        <v>250</v>
      </c>
    </row>
    <row r="84" ht="15.75" customHeight="1">
      <c r="A84" s="1">
        <v>82.0</v>
      </c>
      <c r="B84" s="4" t="s">
        <v>251</v>
      </c>
      <c r="C84" s="4" t="s">
        <v>252</v>
      </c>
      <c r="D84" s="4">
        <f t="shared" si="1"/>
        <v>23</v>
      </c>
      <c r="E84" s="4" t="str">
        <f>IFERROR(__xludf.DUMMYFUNCTION("GOOGLETRANSLATE(C84,""ja"",""en"")"),"Water resistance [+0] %")</f>
        <v>Water resistance [+0] %</v>
      </c>
      <c r="F84" s="5" t="s">
        <v>253</v>
      </c>
    </row>
    <row r="85" ht="15.75" customHeight="1">
      <c r="A85" s="1">
        <v>83.0</v>
      </c>
      <c r="B85" s="4" t="s">
        <v>254</v>
      </c>
      <c r="C85" s="4" t="s">
        <v>255</v>
      </c>
      <c r="D85" s="4">
        <f t="shared" si="1"/>
        <v>23</v>
      </c>
      <c r="E85" s="4" t="str">
        <f>IFERROR(__xludf.DUMMYFUNCTION("GOOGLETRANSLATE(C85,""ja"",""en"")"),"Light resistance [+0] %")</f>
        <v>Light resistance [+0] %</v>
      </c>
      <c r="F85" s="5" t="s">
        <v>256</v>
      </c>
    </row>
    <row r="86" ht="15.75" customHeight="1">
      <c r="A86" s="1">
        <v>84.0</v>
      </c>
      <c r="B86" s="4" t="s">
        <v>257</v>
      </c>
      <c r="C86" s="4" t="s">
        <v>258</v>
      </c>
      <c r="D86" s="4">
        <f t="shared" si="1"/>
        <v>22</v>
      </c>
      <c r="E86" s="4" t="str">
        <f>IFERROR(__xludf.DUMMYFUNCTION("GOOGLETRANSLATE(C86,""ja"",""en"")"),"Dark resistance [+0] %")</f>
        <v>Dark resistance [+0] %</v>
      </c>
      <c r="F86" s="5" t="s">
        <v>259</v>
      </c>
    </row>
    <row r="87" ht="15.75" customHeight="1">
      <c r="A87" s="1">
        <v>85.0</v>
      </c>
      <c r="B87" s="4" t="s">
        <v>260</v>
      </c>
      <c r="C87" s="4" t="s">
        <v>261</v>
      </c>
      <c r="D87" s="4">
        <f t="shared" si="1"/>
        <v>42</v>
      </c>
      <c r="E87" s="4" t="str">
        <f>IFERROR(__xludf.DUMMYFUNCTION("GOOGLETRANSLATE(C87,""ja"",""en"")"),"Fire, water, wind, earth resistance [+0] %")</f>
        <v>Fire, water, wind, earth resistance [+0] %</v>
      </c>
      <c r="F87" s="5" t="s">
        <v>262</v>
      </c>
    </row>
    <row r="88" ht="15.75" customHeight="1">
      <c r="A88" s="1">
        <v>86.0</v>
      </c>
      <c r="B88" s="4" t="s">
        <v>263</v>
      </c>
      <c r="C88" s="4" t="s">
        <v>264</v>
      </c>
      <c r="D88" s="4">
        <f t="shared" si="1"/>
        <v>23</v>
      </c>
      <c r="E88" s="4" t="str">
        <f>IFERROR(__xludf.DUMMYFUNCTION("GOOGLETRANSLATE(C88,""ja"",""en"")"),"Magic resistance [+0] %")</f>
        <v>Magic resistance [+0] %</v>
      </c>
      <c r="F88" s="5" t="s">
        <v>265</v>
      </c>
    </row>
    <row r="89" ht="15.75" customHeight="1">
      <c r="A89" s="1">
        <v>87.0</v>
      </c>
      <c r="B89" s="4" t="s">
        <v>266</v>
      </c>
      <c r="C89" s="4" t="s">
        <v>267</v>
      </c>
      <c r="D89" s="4">
        <f t="shared" si="1"/>
        <v>27</v>
      </c>
      <c r="E89" s="4" t="str">
        <f>IFERROR(__xludf.DUMMYFUNCTION("GOOGLETRANSLATE(C89,""ja"",""en"")"),"Knockback resistance [+0] %")</f>
        <v>Knockback resistance [+0] %</v>
      </c>
      <c r="F89" s="5" t="s">
        <v>268</v>
      </c>
    </row>
    <row r="90" ht="15.75" customHeight="1">
      <c r="A90" s="1">
        <v>88.0</v>
      </c>
      <c r="B90" s="4" t="s">
        <v>269</v>
      </c>
      <c r="C90" s="4" t="s">
        <v>270</v>
      </c>
      <c r="D90" s="4">
        <f t="shared" si="1"/>
        <v>23</v>
      </c>
      <c r="E90" s="4" t="str">
        <f>IFERROR(__xludf.DUMMYFUNCTION("GOOGLETRANSLATE(C90,""ja"",""en"")"),"Fatal resistance [+0] %")</f>
        <v>Fatal resistance [+0] %</v>
      </c>
      <c r="F90" s="5" t="s">
        <v>271</v>
      </c>
    </row>
    <row r="91" ht="15.75" customHeight="1">
      <c r="A91" s="1">
        <v>89.0</v>
      </c>
      <c r="B91" s="4" t="s">
        <v>272</v>
      </c>
      <c r="C91" s="4" t="s">
        <v>273</v>
      </c>
      <c r="D91" s="4">
        <f t="shared" si="1"/>
        <v>34</v>
      </c>
      <c r="E91" s="4" t="str">
        <f>IFERROR(__xludf.DUMMYFUNCTION("GOOGLETRANSLATE(C91,""ja"",""en"")"),"Decisive beating resistance [+0] %")</f>
        <v>Decisive beating resistance [+0] %</v>
      </c>
      <c r="F91" s="5" t="s">
        <v>274</v>
      </c>
    </row>
    <row r="92" ht="15.75" customHeight="1">
      <c r="A92" s="1">
        <v>90.0</v>
      </c>
      <c r="B92" s="4" t="s">
        <v>275</v>
      </c>
      <c r="C92" s="4" t="s">
        <v>276</v>
      </c>
      <c r="D92" s="4">
        <f t="shared" si="1"/>
        <v>33</v>
      </c>
      <c r="E92" s="4" t="str">
        <f>IFERROR(__xludf.DUMMYFUNCTION("GOOGLETRANSLATE(C92,""ja"",""en"")"),"Immediate death resistance [+0] %")</f>
        <v>Immediate death resistance [+0] %</v>
      </c>
      <c r="F92" s="5" t="s">
        <v>277</v>
      </c>
    </row>
    <row r="93" ht="15.75" customHeight="1">
      <c r="A93" s="1">
        <v>91.0</v>
      </c>
      <c r="B93" s="4" t="s">
        <v>278</v>
      </c>
      <c r="C93" s="4" t="s">
        <v>279</v>
      </c>
      <c r="D93" s="4">
        <f t="shared" si="1"/>
        <v>23</v>
      </c>
      <c r="E93" s="4" t="str">
        <f>IFERROR(__xludf.DUMMYFUNCTION("GOOGLETRANSLATE(C93,""ja"",""en"")"),"Lancer skill level [+0]")</f>
        <v>Lancer skill level [+0]</v>
      </c>
      <c r="F93" s="5" t="s">
        <v>280</v>
      </c>
    </row>
    <row r="94" ht="15.75" customHeight="1">
      <c r="A94" s="1">
        <v>92.0</v>
      </c>
      <c r="B94" s="4" t="s">
        <v>281</v>
      </c>
      <c r="C94" s="4" t="s">
        <v>282</v>
      </c>
      <c r="D94" s="4">
        <f t="shared" si="1"/>
        <v>25</v>
      </c>
      <c r="E94" s="4" t="str">
        <f>IFERROR(__xludf.DUMMYFUNCTION("GOOGLETRANSLATE(C94,""ja"",""en"")"),"Archer's skill level [+0]")</f>
        <v>Archer's skill level [+0]</v>
      </c>
      <c r="F94" s="5" t="s">
        <v>283</v>
      </c>
    </row>
    <row r="95" ht="15.75" customHeight="1">
      <c r="A95" s="1">
        <v>93.0</v>
      </c>
      <c r="B95" s="4" t="s">
        <v>284</v>
      </c>
      <c r="C95" s="4" t="s">
        <v>285</v>
      </c>
      <c r="D95" s="4">
        <f t="shared" si="1"/>
        <v>30</v>
      </c>
      <c r="E95" s="4" t="str">
        <f>IFERROR(__xludf.DUMMYFUNCTION("GOOGLETRANSLATE(C95,""ja"",""en"")"),"Skills level of swordsman [+0]")</f>
        <v>Skills level of swordsman [+0]</v>
      </c>
      <c r="F95" s="5" t="s">
        <v>286</v>
      </c>
    </row>
    <row r="96" ht="15.75" customHeight="1">
      <c r="A96" s="1">
        <v>94.0</v>
      </c>
      <c r="B96" s="4" t="s">
        <v>287</v>
      </c>
      <c r="C96" s="4" t="s">
        <v>288</v>
      </c>
      <c r="D96" s="4">
        <f t="shared" si="1"/>
        <v>26</v>
      </c>
      <c r="E96" s="4" t="str">
        <f>IFERROR(__xludf.DUMMYFUNCTION("GOOGLETRANSLATE(C96,""ja"",""en"")"),"Warrior's skill level [+0]")</f>
        <v>Warrior's skill level [+0]</v>
      </c>
      <c r="F96" s="5" t="s">
        <v>289</v>
      </c>
    </row>
    <row r="97" ht="15.75" customHeight="1">
      <c r="A97" s="1">
        <v>95.0</v>
      </c>
      <c r="B97" s="4" t="s">
        <v>290</v>
      </c>
      <c r="C97" s="4" t="s">
        <v>291</v>
      </c>
      <c r="D97" s="4">
        <f t="shared" si="1"/>
        <v>23</v>
      </c>
      <c r="E97" s="4" t="str">
        <f>IFERROR(__xludf.DUMMYFUNCTION("GOOGLETRANSLATE(C97,""ja"",""en"")"),"Wizard skill level [+0]")</f>
        <v>Wizard skill level [+0]</v>
      </c>
      <c r="F97" s="5" t="s">
        <v>292</v>
      </c>
    </row>
    <row r="98" ht="15.75" customHeight="1">
      <c r="A98" s="1">
        <v>96.0</v>
      </c>
      <c r="B98" s="4" t="s">
        <v>293</v>
      </c>
      <c r="C98" s="4" t="s">
        <v>294</v>
      </c>
      <c r="D98" s="4">
        <f t="shared" si="1"/>
        <v>26</v>
      </c>
      <c r="E98" s="4" t="str">
        <f>IFERROR(__xludf.DUMMYFUNCTION("GOOGLETRANSLATE(C98,""ja"",""en"")"),"Wolfman's skill level [+0]")</f>
        <v>Wolfman's skill level [+0]</v>
      </c>
      <c r="F98" s="5" t="s">
        <v>295</v>
      </c>
    </row>
    <row r="99" ht="15.75" customHeight="1">
      <c r="A99" s="1">
        <v>97.0</v>
      </c>
      <c r="B99" s="4" t="s">
        <v>296</v>
      </c>
      <c r="C99" s="4" t="s">
        <v>297</v>
      </c>
      <c r="D99" s="4">
        <f t="shared" si="1"/>
        <v>22</v>
      </c>
      <c r="E99" s="4" t="str">
        <f>IFERROR(__xludf.DUMMYFUNCTION("GOOGLETRANSLATE(C99,""ja"",""en"")"),"Thief skill level [+0]")</f>
        <v>Thief skill level [+0]</v>
      </c>
      <c r="F99" s="5" t="s">
        <v>298</v>
      </c>
    </row>
    <row r="100" ht="15.75" customHeight="1">
      <c r="A100" s="1">
        <v>98.0</v>
      </c>
      <c r="B100" s="4" t="s">
        <v>299</v>
      </c>
      <c r="C100" s="4" t="s">
        <v>300</v>
      </c>
      <c r="D100" s="4">
        <f t="shared" si="1"/>
        <v>35</v>
      </c>
      <c r="E100" s="4" t="str">
        <f>IFERROR(__xludf.DUMMYFUNCTION("GOOGLETRANSLATE(C100,""ja"",""en"")"),"Skill level of martial artists [+0]")</f>
        <v>Skill level of martial artists [+0]</v>
      </c>
      <c r="F100" s="5" t="s">
        <v>301</v>
      </c>
    </row>
    <row r="101" ht="15.75" customHeight="1">
      <c r="A101" s="1">
        <v>99.0</v>
      </c>
      <c r="B101" s="4" t="s">
        <v>302</v>
      </c>
      <c r="C101" s="4" t="s">
        <v>303</v>
      </c>
      <c r="D101" s="4">
        <f t="shared" si="1"/>
        <v>30</v>
      </c>
      <c r="E101" s="4" t="str">
        <f>IFERROR(__xludf.DUMMYFUNCTION("GOOGLETRANSLATE(C101,""ja"",""en"")"),"Beast Tamer's skill level [+0]")</f>
        <v>Beast Tamer's skill level [+0]</v>
      </c>
      <c r="F101" s="5" t="s">
        <v>304</v>
      </c>
    </row>
    <row r="102" ht="15.75" customHeight="1">
      <c r="A102" s="1">
        <v>100.0</v>
      </c>
      <c r="B102" s="4" t="s">
        <v>305</v>
      </c>
      <c r="C102" s="4" t="s">
        <v>306</v>
      </c>
      <c r="D102" s="4">
        <f t="shared" si="1"/>
        <v>25</v>
      </c>
      <c r="E102" s="4" t="str">
        <f>IFERROR(__xludf.DUMMYFUNCTION("GOOGLETRANSLATE(C102,""ja"",""en"")"),"Summoner skill level [+0]")</f>
        <v>Summoner skill level [+0]</v>
      </c>
      <c r="F102" s="5" t="s">
        <v>307</v>
      </c>
    </row>
    <row r="103" ht="15.75" customHeight="1">
      <c r="A103" s="1">
        <v>101.0</v>
      </c>
      <c r="B103" s="4" t="s">
        <v>308</v>
      </c>
      <c r="C103" s="4" t="s">
        <v>309</v>
      </c>
      <c r="D103" s="4">
        <f t="shared" si="1"/>
        <v>25</v>
      </c>
      <c r="E103" s="4" t="str">
        <f>IFERROR(__xludf.DUMMYFUNCTION("GOOGLETRANSLATE(C103,""ja"",""en"")"),"Princess skill level [+0]")</f>
        <v>Princess skill level [+0]</v>
      </c>
      <c r="F103" s="5" t="s">
        <v>310</v>
      </c>
    </row>
    <row r="104" ht="15.75" customHeight="1">
      <c r="A104" s="1">
        <v>102.0</v>
      </c>
      <c r="B104" s="4" t="s">
        <v>311</v>
      </c>
      <c r="C104" s="4" t="s">
        <v>312</v>
      </c>
      <c r="D104" s="4">
        <f t="shared" si="1"/>
        <v>29</v>
      </c>
      <c r="E104" s="4" t="str">
        <f>IFERROR(__xludf.DUMMYFUNCTION("GOOGLETRANSLATE(C104,""ja"",""en"")"),"Little Witch Skill Level [+0]")</f>
        <v>Little Witch Skill Level [+0]</v>
      </c>
      <c r="F104" s="5" t="s">
        <v>313</v>
      </c>
    </row>
    <row r="105" ht="15.75" customHeight="1">
      <c r="A105" s="1">
        <v>103.0</v>
      </c>
      <c r="B105" s="4" t="s">
        <v>314</v>
      </c>
      <c r="C105" s="4" t="s">
        <v>315</v>
      </c>
      <c r="D105" s="4">
        <f t="shared" si="1"/>
        <v>23</v>
      </c>
      <c r="E105" s="4" t="str">
        <f>IFERROR(__xludf.DUMMYFUNCTION("GOOGLETRANSLATE(C105,""ja"",""en"")"),"Bishop skill level [+0]")</f>
        <v>Bishop skill level [+0]</v>
      </c>
      <c r="F105" s="5" t="s">
        <v>316</v>
      </c>
    </row>
    <row r="106" ht="15.75" customHeight="1">
      <c r="A106" s="1">
        <v>104.0</v>
      </c>
      <c r="B106" s="4" t="s">
        <v>317</v>
      </c>
      <c r="C106" s="4" t="s">
        <v>318</v>
      </c>
      <c r="D106" s="4">
        <f t="shared" si="1"/>
        <v>28</v>
      </c>
      <c r="E106" s="4" t="str">
        <f>IFERROR(__xludf.DUMMYFUNCTION("GOOGLETRANSLATE(C106,""ja"",""en"")"),"Exile angel skill level [+0]")</f>
        <v>Exile angel skill level [+0]</v>
      </c>
      <c r="F106" s="5" t="s">
        <v>319</v>
      </c>
    </row>
    <row r="107" ht="15.75" customHeight="1">
      <c r="A107" s="1">
        <v>105.0</v>
      </c>
      <c r="B107" s="4" t="s">
        <v>320</v>
      </c>
      <c r="C107" s="4" t="s">
        <v>321</v>
      </c>
      <c r="D107" s="4">
        <f t="shared" si="1"/>
        <v>28</v>
      </c>
      <c r="E107" s="4" t="str">
        <f>IFERROR(__xludf.DUMMYFUNCTION("GOOGLETRANSLATE(C107,""ja"",""en"")"),"Necromancer skill level [+0]")</f>
        <v>Necromancer skill level [+0]</v>
      </c>
      <c r="F107" s="5" t="s">
        <v>322</v>
      </c>
    </row>
    <row r="108" ht="15.75" customHeight="1">
      <c r="A108" s="1">
        <v>106.0</v>
      </c>
      <c r="B108" s="4" t="s">
        <v>323</v>
      </c>
      <c r="C108" s="4" t="s">
        <v>324</v>
      </c>
      <c r="D108" s="4">
        <f t="shared" si="1"/>
        <v>24</v>
      </c>
      <c r="E108" s="4" t="str">
        <f>IFERROR(__xludf.DUMMYFUNCTION("GOOGLETRANSLATE(C108,""ja"",""en"")"),"Devil's skill level [+0]")</f>
        <v>Devil's skill level [+0]</v>
      </c>
      <c r="F108" s="5" t="s">
        <v>325</v>
      </c>
    </row>
    <row r="109" ht="15.75" customHeight="1">
      <c r="A109" s="1">
        <v>107.0</v>
      </c>
      <c r="B109" s="4" t="s">
        <v>326</v>
      </c>
      <c r="C109" s="4" t="s">
        <v>327</v>
      </c>
      <c r="D109" s="4">
        <f t="shared" si="1"/>
        <v>33</v>
      </c>
      <c r="E109" s="4" t="str">
        <f>IFERROR(__xludf.DUMMYFUNCTION("GOOGLETRANSLATE(C109,""ja"",""en"")"),"Female character skill level [+0]")</f>
        <v>Female character skill level [+0]</v>
      </c>
      <c r="F109" s="5" t="s">
        <v>328</v>
      </c>
    </row>
    <row r="110" ht="15.75" customHeight="1">
      <c r="A110" s="1">
        <v>108.0</v>
      </c>
      <c r="B110" s="4" t="s">
        <v>329</v>
      </c>
      <c r="C110" s="4" t="s">
        <v>330</v>
      </c>
      <c r="D110" s="4">
        <f t="shared" si="1"/>
        <v>31</v>
      </c>
      <c r="E110" s="4" t="str">
        <f>IFERROR(__xludf.DUMMYFUNCTION("GOOGLETRANSLATE(C110,""ja"",""en"")"),"Male character skill level [+0]")</f>
        <v>Male character skill level [+0]</v>
      </c>
      <c r="F110" s="5" t="s">
        <v>331</v>
      </c>
    </row>
    <row r="111" ht="15.75" customHeight="1">
      <c r="A111" s="1">
        <v>109.0</v>
      </c>
      <c r="B111" s="4" t="s">
        <v>332</v>
      </c>
      <c r="C111" s="4" t="s">
        <v>333</v>
      </c>
      <c r="D111" s="4">
        <f t="shared" si="1"/>
        <v>20</v>
      </c>
      <c r="E111" s="4" t="str">
        <f>IFERROR(__xludf.DUMMYFUNCTION("GOOGLETRANSLATE(C111,""ja"",""en"")"),"All skill level [+0]")</f>
        <v>All skill level [+0]</v>
      </c>
      <c r="F111" s="5" t="s">
        <v>334</v>
      </c>
    </row>
    <row r="112" ht="15.75" customHeight="1">
      <c r="A112" s="1">
        <v>110.0</v>
      </c>
      <c r="B112" s="4" t="s">
        <v>335</v>
      </c>
      <c r="C112" s="4" t="s">
        <v>336</v>
      </c>
      <c r="D112" s="4">
        <f t="shared" si="1"/>
        <v>21</v>
      </c>
      <c r="E112" s="4" t="str">
        <f>IFERROR(__xludf.DUMMYFUNCTION("GOOGLETRANSLATE(C112,""ja"",""en"")"),"Avoidance rate [+0] %")</f>
        <v>Avoidance rate [+0] %</v>
      </c>
      <c r="F112" s="5" t="s">
        <v>337</v>
      </c>
    </row>
    <row r="113" ht="15.75" customHeight="1">
      <c r="A113" s="1">
        <v>111.0</v>
      </c>
      <c r="B113" s="4" t="s">
        <v>338</v>
      </c>
      <c r="C113" s="4" t="s">
        <v>339</v>
      </c>
      <c r="D113" s="4">
        <f t="shared" si="1"/>
        <v>52</v>
      </c>
      <c r="E113" s="4" t="str">
        <f>IFERROR(__xludf.DUMMYFUNCTION("GOOGLETRANSLATE(C113,""ja"",""en"")"),"Temptation attack [0] % &lt;C: ltyellow&gt; 30 &lt;n&gt; seconds")</f>
        <v>Temptation attack [0] % &lt;C: ltyellow&gt; 30 &lt;n&gt; seconds</v>
      </c>
      <c r="F113" s="5" t="s">
        <v>340</v>
      </c>
    </row>
    <row r="114" ht="15.75" customHeight="1">
      <c r="A114" s="1">
        <v>112.0</v>
      </c>
      <c r="B114" s="4" t="s">
        <v>341</v>
      </c>
      <c r="C114" s="4" t="s">
        <v>342</v>
      </c>
      <c r="D114" s="4">
        <f t="shared" si="1"/>
        <v>47</v>
      </c>
      <c r="E114" s="4" t="str">
        <f>IFERROR(__xludf.DUMMYFUNCTION("GOOGLETRANSLATE(C114,""ja"",""en"")"),"Cold attack &lt;C: ltyellow&gt; 100 % &lt;n&gt; [0] seconds")</f>
        <v>Cold attack &lt;C: ltyellow&gt; 100 % &lt;n&gt; [0] seconds</v>
      </c>
      <c r="F114" s="5" t="s">
        <v>343</v>
      </c>
    </row>
    <row r="115" ht="15.75" customHeight="1">
      <c r="A115" s="1">
        <v>113.0</v>
      </c>
      <c r="B115" s="4" t="s">
        <v>344</v>
      </c>
      <c r="C115" s="4" t="s">
        <v>345</v>
      </c>
      <c r="D115" s="4">
        <f t="shared" si="1"/>
        <v>39</v>
      </c>
      <c r="E115" s="4" t="str">
        <f>IFERROR(__xludf.DUMMYFUNCTION("GOOGLETRANSLATE(C115,""ja"",""en"")"),"Power [+0] (Success probability: [1] %)")</f>
        <v>Power [+0] (Success probability: [1] %)</v>
      </c>
      <c r="F115" s="5" t="s">
        <v>346</v>
      </c>
    </row>
    <row r="116" ht="15.75" customHeight="1">
      <c r="A116" s="1">
        <v>114.0</v>
      </c>
      <c r="B116" s="4" t="s">
        <v>347</v>
      </c>
      <c r="C116" s="4" t="s">
        <v>348</v>
      </c>
      <c r="D116" s="4">
        <f t="shared" si="1"/>
        <v>40</v>
      </c>
      <c r="E116" s="4" t="str">
        <f>IFERROR(__xludf.DUMMYFUNCTION("GOOGLETRANSLATE(C116,""ja"",""en"")"),"Agency [+0] (Success probability: [1] %)")</f>
        <v>Agency [+0] (Success probability: [1] %)</v>
      </c>
      <c r="F116" s="5" t="s">
        <v>349</v>
      </c>
    </row>
    <row r="117" ht="15.75" customHeight="1">
      <c r="A117" s="1">
        <v>115.0</v>
      </c>
      <c r="B117" s="4" t="s">
        <v>350</v>
      </c>
      <c r="C117" s="4" t="s">
        <v>351</v>
      </c>
      <c r="D117" s="4">
        <f t="shared" si="1"/>
        <v>40</v>
      </c>
      <c r="E117" s="4" t="str">
        <f>IFERROR(__xludf.DUMMYFUNCTION("GOOGLETRANSLATE(C117,""ja"",""en"")"),"Health [+0] (Success probability: [1] %)")</f>
        <v>Health [+0] (Success probability: [1] %)</v>
      </c>
      <c r="F117" s="5" t="s">
        <v>352</v>
      </c>
    </row>
    <row r="118" ht="15.75" customHeight="1">
      <c r="A118" s="1">
        <v>116.0</v>
      </c>
      <c r="B118" s="4" t="s">
        <v>353</v>
      </c>
      <c r="C118" s="4" t="s">
        <v>354</v>
      </c>
      <c r="D118" s="4">
        <f t="shared" si="1"/>
        <v>40</v>
      </c>
      <c r="E118" s="4" t="str">
        <f>IFERROR(__xludf.DUMMYFUNCTION("GOOGLETRANSLATE(C118,""ja"",""en"")"),"Wisdom [+0] (Success probability: [1] %)")</f>
        <v>Wisdom [+0] (Success probability: [1] %)</v>
      </c>
      <c r="F118" s="5" t="s">
        <v>355</v>
      </c>
    </row>
    <row r="119" ht="15.75" customHeight="1">
      <c r="A119" s="1">
        <v>117.0</v>
      </c>
      <c r="B119" s="4" t="s">
        <v>356</v>
      </c>
      <c r="C119" s="4" t="s">
        <v>357</v>
      </c>
      <c r="D119" s="4">
        <f t="shared" si="1"/>
        <v>43</v>
      </c>
      <c r="E119" s="4" t="str">
        <f>IFERROR(__xludf.DUMMYFUNCTION("GOOGLETRANSLATE(C119,""ja"",""en"")"),"Knowledge [+0] (Success probability: [1] %)")</f>
        <v>Knowledge [+0] (Success probability: [1] %)</v>
      </c>
      <c r="F119" s="5" t="s">
        <v>358</v>
      </c>
    </row>
    <row r="120" ht="15.75" customHeight="1">
      <c r="A120" s="1">
        <v>118.0</v>
      </c>
      <c r="B120" s="4" t="s">
        <v>359</v>
      </c>
      <c r="C120" s="4" t="s">
        <v>360</v>
      </c>
      <c r="D120" s="4">
        <f t="shared" si="1"/>
        <v>42</v>
      </c>
      <c r="E120" s="4" t="str">
        <f>IFERROR(__xludf.DUMMYFUNCTION("GOOGLETRANSLATE(C120,""ja"",""en"")"),"Charisma [+0] (Success probability: [1] %)")</f>
        <v>Charisma [+0] (Success probability: [1] %)</v>
      </c>
      <c r="F120" s="5" t="s">
        <v>361</v>
      </c>
    </row>
    <row r="121" ht="15.75" customHeight="1">
      <c r="A121" s="1">
        <v>119.0</v>
      </c>
      <c r="B121" s="4" t="s">
        <v>362</v>
      </c>
      <c r="C121" s="4" t="s">
        <v>363</v>
      </c>
      <c r="D121" s="4">
        <f t="shared" si="1"/>
        <v>43</v>
      </c>
      <c r="E121" s="4" t="str">
        <f>IFERROR(__xludf.DUMMYFUNCTION("GOOGLETRANSLATE(C121,""ja"",""en"")"),"Good luck [+0] (Success probability: [1] %)")</f>
        <v>Good luck [+0] (Success probability: [1] %)</v>
      </c>
      <c r="F121" s="5" t="s">
        <v>364</v>
      </c>
    </row>
    <row r="122" ht="15.75" customHeight="1">
      <c r="A122" s="1">
        <v>120.0</v>
      </c>
      <c r="B122" s="4" t="s">
        <v>365</v>
      </c>
      <c r="C122" s="4" t="s">
        <v>366</v>
      </c>
      <c r="D122" s="4">
        <f t="shared" si="1"/>
        <v>48</v>
      </c>
      <c r="E122" s="4" t="str">
        <f>IFERROR(__xludf.DUMMYFUNCTION("GOOGLETRANSLATE(C122,""ja"",""en"")"),"Maximum HP [+0] (Failure probability: [0]*[1] %)")</f>
        <v>Maximum HP [+0] (Failure probability: [0]*[1] %)</v>
      </c>
      <c r="F122" s="5" t="s">
        <v>367</v>
      </c>
    </row>
    <row r="123" ht="15.75" customHeight="1">
      <c r="A123" s="1">
        <v>121.0</v>
      </c>
      <c r="B123" s="4" t="s">
        <v>368</v>
      </c>
      <c r="C123" s="4" t="s">
        <v>369</v>
      </c>
      <c r="D123" s="4">
        <f t="shared" si="1"/>
        <v>48</v>
      </c>
      <c r="E123" s="4" t="str">
        <f>IFERROR(__xludf.DUMMYFUNCTION("GOOGLETRANSLATE(C123,""ja"",""en"")"),"Maximum CP [+0] (Failure probability: [0]*[1] %)")</f>
        <v>Maximum CP [+0] (Failure probability: [0]*[1] %)</v>
      </c>
      <c r="F123" s="5" t="s">
        <v>370</v>
      </c>
    </row>
    <row r="124" ht="15.75" customHeight="1">
      <c r="A124" s="1">
        <v>122.0</v>
      </c>
      <c r="B124" s="4" t="s">
        <v>371</v>
      </c>
      <c r="C124" s="4" t="s">
        <v>372</v>
      </c>
      <c r="D124" s="4">
        <f t="shared" si="1"/>
        <v>54</v>
      </c>
      <c r="E124" s="4" t="str">
        <f>IFERROR(__xludf.DUMMYFUNCTION("GOOGLETRANSLATE(C124,""ja"",""en"")"),"Weapon damage [+0] % (Failure probability: [0]+0.65 %)")</f>
        <v>Weapon damage [+0] % (Failure probability: [0]+0.65 %)</v>
      </c>
      <c r="F124" s="5" t="s">
        <v>373</v>
      </c>
    </row>
    <row r="125" ht="15.75" customHeight="1">
      <c r="A125" s="1">
        <v>123.0</v>
      </c>
      <c r="B125" s="4" t="s">
        <v>374</v>
      </c>
      <c r="C125" s="4" t="s">
        <v>375</v>
      </c>
      <c r="D125" s="4">
        <f t="shared" si="1"/>
        <v>58</v>
      </c>
      <c r="E125" s="4" t="str">
        <f>IFERROR(__xludf.DUMMYFUNCTION("GOOGLETRANSLATE(C125,""ja"",""en"")"),"Armor defense power [+0] (Failure probability: [0]+0.65 %)")</f>
        <v>Armor defense power [+0] (Failure probability: [0]+0.65 %)</v>
      </c>
      <c r="F125" s="5" t="s">
        <v>376</v>
      </c>
    </row>
    <row r="126" ht="15.75" customHeight="1">
      <c r="A126" s="1">
        <v>124.0</v>
      </c>
      <c r="B126" s="4" t="s">
        <v>377</v>
      </c>
      <c r="C126" s="4" t="s">
        <v>378</v>
      </c>
      <c r="D126" s="4">
        <f t="shared" si="1"/>
        <v>60</v>
      </c>
      <c r="E126" s="4" t="str">
        <f>IFERROR(__xludf.DUMMYFUNCTION("GOOGLETRANSLATE(C126,""ja"",""en"")"),"Title [0] Individual generation (Success probability: [1] %)")</f>
        <v>Title [0] Individual generation (Success probability: [1] %)</v>
      </c>
      <c r="F126" s="5" t="s">
        <v>379</v>
      </c>
    </row>
    <row r="127" ht="15.75" customHeight="1">
      <c r="A127" s="1">
        <v>125.0</v>
      </c>
      <c r="B127" s="4" t="s">
        <v>380</v>
      </c>
      <c r="C127" s="4" t="s">
        <v>381</v>
      </c>
      <c r="D127" s="4">
        <f t="shared" si="1"/>
        <v>36</v>
      </c>
      <c r="E127" s="4" t="str">
        <f>IFERROR(__xludf.DUMMYFUNCTION("GOOGLETRANSLATE(C127,""ja"",""en"")"),"Damage return &lt;C: ltyellow&gt; 40 % &lt;n&gt;")</f>
        <v>Damage return &lt;C: ltyellow&gt; 40 % &lt;n&gt;</v>
      </c>
      <c r="F127" s="5" t="s">
        <v>382</v>
      </c>
    </row>
    <row r="128" ht="15.75" customHeight="1">
      <c r="A128" s="1">
        <v>126.0</v>
      </c>
      <c r="B128" s="4" t="s">
        <v>383</v>
      </c>
      <c r="C128" s="4" t="s">
        <v>384</v>
      </c>
      <c r="D128" s="4">
        <f t="shared" si="1"/>
        <v>43</v>
      </c>
      <c r="E128" s="4" t="str">
        <f>IFERROR(__xludf.DUMMYFUNCTION("GOOGLETRANSLATE(C128,""ja"",""en"")"),"Give the user the [0] Level Frontier title.")</f>
        <v>Give the user the [0] Level Frontier title.</v>
      </c>
      <c r="F128" s="5" t="s">
        <v>385</v>
      </c>
    </row>
    <row r="129" ht="15.75" customHeight="1">
      <c r="A129" s="1">
        <v>127.0</v>
      </c>
      <c r="B129" s="4" t="s">
        <v>386</v>
      </c>
      <c r="C129" s="4" t="s">
        <v>387</v>
      </c>
      <c r="D129" s="4">
        <f t="shared" si="1"/>
        <v>73</v>
      </c>
      <c r="E129" s="4" t="str">
        <f>IFERROR(__xludf.DUMMYFUNCTION("GOOGLETRANSLATE(C129,""ja"",""en"")"),"Randomly generate rare items of drop level [0]. Success probability [1] %")</f>
        <v>Randomly generate rare items of drop level [0]. Success probability [1] %</v>
      </c>
      <c r="F129" s="7" t="s">
        <v>388</v>
      </c>
    </row>
    <row r="130" ht="15.75" customHeight="1">
      <c r="A130" s="1">
        <v>128.0</v>
      </c>
      <c r="B130" s="4" t="s">
        <v>389</v>
      </c>
      <c r="C130" s="4" t="s">
        <v>390</v>
      </c>
      <c r="D130" s="4">
        <f t="shared" si="1"/>
        <v>75</v>
      </c>
      <c r="E130" s="4" t="str">
        <f>IFERROR(__xludf.DUMMYFUNCTION("GOOGLETRANSLATE(C130,""ja"",""en"")"),"Randomly generate unique items of drop level [0]. Success probability [1] %")</f>
        <v>Randomly generate unique items of drop level [0]. Success probability [1] %</v>
      </c>
      <c r="F130" s="7" t="s">
        <v>391</v>
      </c>
    </row>
    <row r="131" ht="15.75" customHeight="1">
      <c r="A131" s="1">
        <v>129.0</v>
      </c>
      <c r="B131" s="4" t="s">
        <v>392</v>
      </c>
      <c r="C131" s="4" t="s">
        <v>393</v>
      </c>
      <c r="D131" s="4">
        <f t="shared" si="1"/>
        <v>74</v>
      </c>
      <c r="E131" s="4" t="str">
        <f>IFERROR(__xludf.DUMMYFUNCTION("GOOGLETRANSLATE(C131,""ja"",""en"")"),"Randomly generate a super unique drop level [0]. Success probability [1] %")</f>
        <v>Randomly generate a super unique drop level [0]. Success probability [1] %</v>
      </c>
      <c r="F131" s="7" t="s">
        <v>394</v>
      </c>
    </row>
    <row r="132" ht="15.75" customHeight="1">
      <c r="A132" s="1">
        <v>130.0</v>
      </c>
      <c r="B132" s="4" t="s">
        <v>395</v>
      </c>
      <c r="C132" s="4" t="s">
        <v>396</v>
      </c>
      <c r="D132" s="4">
        <f t="shared" si="1"/>
        <v>26</v>
      </c>
      <c r="E132" s="4" t="str">
        <f>IFERROR(__xludf.DUMMYFUNCTION("GOOGLETRANSLATE(C132,""ja"",""en"")"),"Skill point redistribution")</f>
        <v>Skill point redistribution</v>
      </c>
      <c r="F132" s="5" t="s">
        <v>397</v>
      </c>
    </row>
    <row r="133" ht="15.75" customHeight="1">
      <c r="A133" s="1">
        <v>131.0</v>
      </c>
      <c r="B133" s="4" t="s">
        <v>398</v>
      </c>
      <c r="C133" s="4" t="s">
        <v>399</v>
      </c>
      <c r="D133" s="4">
        <f t="shared" si="1"/>
        <v>27</v>
      </c>
      <c r="E133" s="4" t="str">
        <f>IFERROR(__xludf.DUMMYFUNCTION("GOOGLETRANSLATE(C133,""ja"",""en"")"),"Status point redistribution")</f>
        <v>Status point redistribution</v>
      </c>
      <c r="F133" s="5" t="s">
        <v>400</v>
      </c>
    </row>
    <row r="134" ht="15.75" customHeight="1">
      <c r="A134" s="1">
        <v>132.0</v>
      </c>
      <c r="B134" s="4" t="s">
        <v>401</v>
      </c>
      <c r="C134" s="4" t="s">
        <v>402</v>
      </c>
      <c r="D134" s="4">
        <f t="shared" si="1"/>
        <v>24</v>
      </c>
      <c r="E134" s="4" t="str">
        <f>IFERROR(__xludf.DUMMYFUNCTION("GOOGLETRANSLATE(C134,""ja"",""en"")"),"Damage option conversion")</f>
        <v>Damage option conversion</v>
      </c>
      <c r="F134" s="5" t="s">
        <v>403</v>
      </c>
    </row>
    <row r="135" ht="15.75" customHeight="1">
      <c r="A135" s="1">
        <v>133.0</v>
      </c>
      <c r="B135" s="4" t="s">
        <v>404</v>
      </c>
      <c r="C135" s="4" t="s">
        <v>405</v>
      </c>
      <c r="D135" s="4">
        <f t="shared" si="1"/>
        <v>34</v>
      </c>
      <c r="E135" s="4" t="str">
        <f>IFERROR(__xludf.DUMMYFUNCTION("GOOGLETRANSLATE(C135,""ja"",""en"")"),"Dangerous damage option conversion")</f>
        <v>Dangerous damage option conversion</v>
      </c>
      <c r="F135" s="5" t="s">
        <v>406</v>
      </c>
    </row>
    <row r="136" ht="15.75" customHeight="1">
      <c r="A136" s="1">
        <v>134.0</v>
      </c>
      <c r="B136" s="4" t="s">
        <v>407</v>
      </c>
      <c r="C136" s="4" t="s">
        <v>408</v>
      </c>
      <c r="D136" s="4">
        <f t="shared" si="1"/>
        <v>242</v>
      </c>
      <c r="E136" s="6" t="s">
        <v>409</v>
      </c>
      <c r="F136" s="6" t="s">
        <v>410</v>
      </c>
    </row>
    <row r="137" ht="15.75" customHeight="1">
      <c r="A137" s="1">
        <v>135.0</v>
      </c>
      <c r="B137" s="4" t="s">
        <v>411</v>
      </c>
      <c r="C137" s="4" t="s">
        <v>412</v>
      </c>
      <c r="D137" s="4">
        <f t="shared" si="1"/>
        <v>48</v>
      </c>
      <c r="E137" s="4" t="str">
        <f>IFERROR(__xludf.DUMMYFUNCTION("GOOGLETRANSLATE(C137,""ja"",""en"")"),"Increase the attack power [1] % for [0] minutes.")</f>
        <v>Increase the attack power [1] % for [0] minutes.</v>
      </c>
      <c r="F137" s="5" t="s">
        <v>413</v>
      </c>
    </row>
    <row r="138" ht="15.75" customHeight="1">
      <c r="A138" s="1">
        <v>136.0</v>
      </c>
      <c r="B138" s="4" t="s">
        <v>414</v>
      </c>
      <c r="C138" s="4" t="s">
        <v>415</v>
      </c>
      <c r="D138" s="4">
        <f t="shared" si="1"/>
        <v>56</v>
      </c>
      <c r="E138" s="4" t="str">
        <f>IFERROR(__xludf.DUMMYFUNCTION("GOOGLETRANSLATE(C138,""ja"",""en"")"),"In the [0] minute, the defense power is increased [1] %.")</f>
        <v>In the [0] minute, the defense power is increased [1] %.</v>
      </c>
      <c r="F138" s="5" t="s">
        <v>416</v>
      </c>
    </row>
    <row r="139" ht="15.75" customHeight="1">
      <c r="A139" s="1">
        <v>137.0</v>
      </c>
      <c r="B139" s="4" t="s">
        <v>417</v>
      </c>
      <c r="C139" s="4" t="s">
        <v>418</v>
      </c>
      <c r="D139" s="4">
        <f t="shared" si="1"/>
        <v>30</v>
      </c>
      <c r="E139" s="4" t="str">
        <f>IFERROR(__xludf.DUMMYFUNCTION("GOOGLETRANSLATE(C139,""ja"",""en"")"),"Increase [1] % of [0] minutes.")</f>
        <v>Increase [1] % of [0] minutes.</v>
      </c>
      <c r="F139" s="5" t="s">
        <v>419</v>
      </c>
    </row>
    <row r="140" ht="15.75" customHeight="1">
      <c r="A140" s="1">
        <v>138.0</v>
      </c>
      <c r="B140" s="4" t="s">
        <v>420</v>
      </c>
      <c r="C140" s="4" t="s">
        <v>421</v>
      </c>
      <c r="D140" s="4">
        <f t="shared" si="1"/>
        <v>38</v>
      </c>
      <c r="E140" s="4" t="str">
        <f>IFERROR(__xludf.DUMMYFUNCTION("GOOGLETRANSLATE(C140,""ja"",""en"")"),"Increase the CP for [0] minutes [1] %.")</f>
        <v>Increase the CP for [0] minutes [1] %.</v>
      </c>
      <c r="F140" s="5" t="s">
        <v>422</v>
      </c>
    </row>
    <row r="141" ht="15.75" customHeight="1">
      <c r="A141" s="1">
        <v>139.0</v>
      </c>
      <c r="B141" s="4" t="s">
        <v>423</v>
      </c>
      <c r="C141" s="4" t="s">
        <v>424</v>
      </c>
      <c r="D141" s="4">
        <f t="shared" si="1"/>
        <v>46</v>
      </c>
      <c r="E141" s="4" t="str">
        <f>IFERROR(__xludf.DUMMYFUNCTION("GOOGLETRANSLATE(C141,""ja"",""en"")"),"Weapon damage is maintained in the [0] minute.")</f>
        <v>Weapon damage is maintained in the [0] minute.</v>
      </c>
      <c r="F141" s="5" t="s">
        <v>425</v>
      </c>
    </row>
    <row r="142" ht="15.75" customHeight="1">
      <c r="A142" s="1">
        <v>140.0</v>
      </c>
      <c r="B142" s="4" t="s">
        <v>426</v>
      </c>
      <c r="C142" s="4" t="s">
        <v>427</v>
      </c>
      <c r="D142" s="4">
        <f t="shared" si="1"/>
        <v>47</v>
      </c>
      <c r="E142" s="4" t="str">
        <f>IFERROR(__xludf.DUMMYFUNCTION("GOOGLETRANSLATE(C142,""ja"",""en"")"),"The CP is always maintained for the [0] minute.")</f>
        <v>The CP is always maintained for the [0] minute.</v>
      </c>
      <c r="F142" s="5" t="s">
        <v>428</v>
      </c>
    </row>
    <row r="143" ht="15.75" customHeight="1">
      <c r="A143" s="1">
        <v>141.0</v>
      </c>
      <c r="B143" s="4" t="s">
        <v>429</v>
      </c>
      <c r="C143" s="4" t="s">
        <v>430</v>
      </c>
      <c r="D143" s="4">
        <f t="shared" si="1"/>
        <v>32</v>
      </c>
      <c r="E143" s="4" t="str">
        <f>IFERROR(__xludf.DUMMYFUNCTION("GOOGLETRANSLATE(C143,""ja"",""en"")"),"Raise the power for [0] for [1].")</f>
        <v>Raise the power for [0] for [1].</v>
      </c>
      <c r="F143" s="5" t="s">
        <v>431</v>
      </c>
    </row>
    <row r="144" ht="15.75" customHeight="1">
      <c r="A144" s="1">
        <v>142.0</v>
      </c>
      <c r="B144" s="4" t="s">
        <v>432</v>
      </c>
      <c r="C144" s="4" t="s">
        <v>433</v>
      </c>
      <c r="D144" s="4">
        <f t="shared" si="1"/>
        <v>34</v>
      </c>
      <c r="E144" s="4" t="str">
        <f>IFERROR(__xludf.DUMMYFUNCTION("GOOGLETRANSLATE(C144,""ja"",""en"")"),"Raise the agility for [0] for [1].")</f>
        <v>Raise the agility for [0] for [1].</v>
      </c>
      <c r="F144" s="5" t="s">
        <v>434</v>
      </c>
    </row>
    <row r="145" ht="15.75" customHeight="1">
      <c r="A145" s="1">
        <v>143.0</v>
      </c>
      <c r="B145" s="4" t="s">
        <v>435</v>
      </c>
      <c r="C145" s="4" t="s">
        <v>436</v>
      </c>
      <c r="D145" s="4">
        <f t="shared" si="1"/>
        <v>34</v>
      </c>
      <c r="E145" s="4" t="str">
        <f>IFERROR(__xludf.DUMMYFUNCTION("GOOGLETRANSLATE(C145,""ja"",""en"")"),"Raise your health for [0] for [1].")</f>
        <v>Raise your health for [0] for [1].</v>
      </c>
      <c r="F145" s="5" t="s">
        <v>437</v>
      </c>
    </row>
    <row r="146" ht="15.75" customHeight="1">
      <c r="A146" s="1">
        <v>144.0</v>
      </c>
      <c r="B146" s="4" t="s">
        <v>438</v>
      </c>
      <c r="C146" s="4" t="s">
        <v>439</v>
      </c>
      <c r="D146" s="4">
        <f t="shared" si="1"/>
        <v>29</v>
      </c>
      <c r="E146" s="4" t="str">
        <f>IFERROR(__xludf.DUMMYFUNCTION("GOOGLETRANSLATE(C146,""ja"",""en"")"),"Raise wisdom for [0] for [1].")</f>
        <v>Raise wisdom for [0] for [1].</v>
      </c>
      <c r="F146" s="5" t="s">
        <v>440</v>
      </c>
    </row>
    <row r="147" ht="15.75" customHeight="1">
      <c r="A147" s="1">
        <v>145.0</v>
      </c>
      <c r="B147" s="4" t="s">
        <v>441</v>
      </c>
      <c r="C147" s="4" t="s">
        <v>442</v>
      </c>
      <c r="D147" s="4">
        <f t="shared" si="1"/>
        <v>36</v>
      </c>
      <c r="E147" s="4" t="str">
        <f>IFERROR(__xludf.DUMMYFUNCTION("GOOGLETRANSLATE(C147,""ja"",""en"")"),"Raise the knowledge for [0] for [1].")</f>
        <v>Raise the knowledge for [0] for [1].</v>
      </c>
      <c r="F147" s="5" t="s">
        <v>443</v>
      </c>
    </row>
    <row r="148" ht="15.75" customHeight="1">
      <c r="A148" s="1">
        <v>146.0</v>
      </c>
      <c r="B148" s="4" t="s">
        <v>444</v>
      </c>
      <c r="C148" s="4" t="s">
        <v>445</v>
      </c>
      <c r="D148" s="4">
        <f t="shared" si="1"/>
        <v>35</v>
      </c>
      <c r="E148" s="4" t="str">
        <f>IFERROR(__xludf.DUMMYFUNCTION("GOOGLETRANSLATE(C148,""ja"",""en"")"),"Raise the charisma for [0] for [1].")</f>
        <v>Raise the charisma for [0] for [1].</v>
      </c>
      <c r="F148" s="5" t="s">
        <v>446</v>
      </c>
    </row>
    <row r="149" ht="15.75" customHeight="1">
      <c r="A149" s="1">
        <v>147.0</v>
      </c>
      <c r="B149" s="4" t="s">
        <v>447</v>
      </c>
      <c r="C149" s="4" t="s">
        <v>448</v>
      </c>
      <c r="D149" s="4">
        <f t="shared" si="1"/>
        <v>27</v>
      </c>
      <c r="E149" s="4" t="str">
        <f>IFERROR(__xludf.DUMMYFUNCTION("GOOGLETRANSLATE(C149,""ja"",""en"")"),"Raise luck for [0] for [1].")</f>
        <v>Raise luck for [0] for [1].</v>
      </c>
      <c r="F149" s="5" t="s">
        <v>449</v>
      </c>
    </row>
    <row r="150" ht="15.75" customHeight="1">
      <c r="A150" s="1">
        <v>148.0</v>
      </c>
      <c r="B150" s="4" t="s">
        <v>450</v>
      </c>
      <c r="C150" s="4" t="s">
        <v>451</v>
      </c>
      <c r="D150" s="4">
        <f t="shared" si="1"/>
        <v>44</v>
      </c>
      <c r="E150" s="4" t="str">
        <f>IFERROR(__xludf.DUMMYFUNCTION("GOOGLETRANSLATE(C150,""ja"",""en"")"),"[0] Level levels can be used from your level")</f>
        <v>[0] Level levels can be used from your level</v>
      </c>
      <c r="F150" s="5" t="s">
        <v>452</v>
      </c>
    </row>
    <row r="151" ht="15.75" customHeight="1">
      <c r="A151" s="1">
        <v>149.0</v>
      </c>
      <c r="B151" s="4" t="s">
        <v>453</v>
      </c>
      <c r="C151" s="4" t="s">
        <v>454</v>
      </c>
      <c r="D151" s="4">
        <f t="shared" si="1"/>
        <v>80</v>
      </c>
      <c r="E151" s="4" t="str">
        <f>IFERROR(__xludf.DUMMYFUNCTION("GOOGLETRANSLATE(C151,""ja"",""en"")"),"Remember the current position in the location slot [0] and generate crystal [1].")</f>
        <v>Remember the current position in the location slot [0] and generate crystal [1].</v>
      </c>
      <c r="F151" s="7" t="s">
        <v>455</v>
      </c>
    </row>
    <row r="152" ht="15.75" customHeight="1">
      <c r="A152" s="1">
        <v>150.0</v>
      </c>
      <c r="B152" s="4" t="s">
        <v>456</v>
      </c>
      <c r="C152" s="4" t="s">
        <v>457</v>
      </c>
      <c r="D152" s="4">
        <f t="shared" si="1"/>
        <v>60</v>
      </c>
      <c r="E152" s="4" t="str">
        <f>IFERROR(__xludf.DUMMYFUNCTION("GOOGLETRANSLATE(C152,""ja"",""en"")"),"Teleport to the place you remember in the location slot [0].")</f>
        <v>Teleport to the place you remember in the location slot [0].</v>
      </c>
      <c r="F152" s="5" t="s">
        <v>458</v>
      </c>
    </row>
    <row r="153" ht="15.75" customHeight="1">
      <c r="A153" s="1">
        <v>151.0</v>
      </c>
      <c r="B153" s="4" t="s">
        <v>459</v>
      </c>
      <c r="C153" s="4" t="s">
        <v>460</v>
      </c>
      <c r="D153" s="4">
        <f t="shared" si="1"/>
        <v>128</v>
      </c>
      <c r="E153" s="4" t="str">
        <f>IFERROR(__xludf.DUMMYFUNCTION("GOOGLETRANSLATE(C153,""ja"",""en"")"),"The death penalty time is reduced &lt;c: ltgreen&gt; 90 % &lt;n&gt;, and the maximum HP is set to [1] % during &lt;c: ltgreen&gt; [0] seconds &lt;n&gt;.")</f>
        <v>The death penalty time is reduced &lt;c: ltgreen&gt; 90 % &lt;n&gt;, and the maximum HP is set to [1] % during &lt;c: ltgreen&gt; [0] seconds &lt;n&gt;.</v>
      </c>
      <c r="F153" s="7" t="s">
        <v>461</v>
      </c>
    </row>
    <row r="154" ht="15.75" customHeight="1">
      <c r="A154" s="1">
        <v>152.0</v>
      </c>
      <c r="B154" s="4" t="s">
        <v>462</v>
      </c>
      <c r="C154" s="4" t="s">
        <v>463</v>
      </c>
      <c r="D154" s="4">
        <f t="shared" si="1"/>
        <v>24</v>
      </c>
      <c r="E154" s="4" t="str">
        <f>IFERROR(__xludf.DUMMYFUNCTION("GOOGLETRANSLATE(C154,""ja"",""en"")"),"Summon a magical carpet.")</f>
        <v>Summon a magical carpet.</v>
      </c>
      <c r="F154" s="5" t="s">
        <v>464</v>
      </c>
    </row>
    <row r="155" ht="15.75" customHeight="1">
      <c r="A155" s="1">
        <v>153.0</v>
      </c>
      <c r="B155" s="4" t="s">
        <v>465</v>
      </c>
      <c r="C155" s="4" t="s">
        <v>466</v>
      </c>
      <c r="D155" s="4">
        <f t="shared" si="1"/>
        <v>71</v>
      </c>
      <c r="E155" s="4" t="str">
        <f>IFERROR(__xludf.DUMMYFUNCTION("GOOGLETRANSLATE(C155,""ja"",""en"")"),"In the [0] minute, increase the attack power [1] &lt;c: ltyellow&gt; 0 &lt;n&gt; %.")</f>
        <v>In the [0] minute, increase the attack power [1] &lt;c: ltyellow&gt; 0 &lt;n&gt; %.</v>
      </c>
      <c r="F155" s="7" t="s">
        <v>467</v>
      </c>
    </row>
    <row r="156" ht="15.75" customHeight="1">
      <c r="A156" s="1">
        <v>154.0</v>
      </c>
      <c r="B156" s="4" t="s">
        <v>468</v>
      </c>
      <c r="C156" s="4" t="s">
        <v>469</v>
      </c>
      <c r="D156" s="4">
        <f t="shared" si="1"/>
        <v>72</v>
      </c>
      <c r="E156" s="4" t="str">
        <f>IFERROR(__xludf.DUMMYFUNCTION("GOOGLETRANSLATE(C156,""ja"",""en"")"),"In the [0] minute, the defense power [1] &lt;c: ltyellow&gt; 0 &lt;n&gt; % increase.")</f>
        <v>In the [0] minute, the defense power [1] &lt;c: ltyellow&gt; 0 &lt;n&gt; % increase.</v>
      </c>
      <c r="F156" s="7" t="s">
        <v>470</v>
      </c>
    </row>
    <row r="157" ht="15.75" customHeight="1">
      <c r="A157" s="1">
        <v>155.0</v>
      </c>
      <c r="B157" s="4" t="s">
        <v>471</v>
      </c>
      <c r="C157" s="4" t="s">
        <v>472</v>
      </c>
      <c r="D157" s="4">
        <f t="shared" si="1"/>
        <v>16</v>
      </c>
      <c r="E157" s="4" t="str">
        <f>IFERROR(__xludf.DUMMYFUNCTION("GOOGLETRANSLATE(C157,""ja"",""en"")"),"Level [0] rises.")</f>
        <v>Level [0] rises.</v>
      </c>
      <c r="F157" s="5" t="s">
        <v>473</v>
      </c>
    </row>
    <row r="158" ht="15.75" customHeight="1">
      <c r="A158" s="1">
        <v>156.0</v>
      </c>
      <c r="B158" s="4" t="s">
        <v>474</v>
      </c>
      <c r="C158" s="4" t="s">
        <v>475</v>
      </c>
      <c r="D158" s="4">
        <f t="shared" si="1"/>
        <v>69</v>
      </c>
      <c r="E158" s="4" t="str">
        <f>IFERROR(__xludf.DUMMYFUNCTION("GOOGLETRANSLATE(C158,""ja"",""en"")"),"All skill level &lt;C: ltgreen&gt; +2 &lt;n&gt;
-Good luck &lt;C: ltgreen&gt; +200 &lt;n&gt;")</f>
        <v>All skill level &lt;C: ltgreen&gt; +2 &lt;n&gt;
-Good luck &lt;C: ltgreen&gt; +200 &lt;n&gt;</v>
      </c>
      <c r="F158" s="5" t="s">
        <v>476</v>
      </c>
    </row>
    <row r="159" ht="15.75" customHeight="1">
      <c r="A159" s="1">
        <v>157.0</v>
      </c>
      <c r="B159" s="4" t="s">
        <v>477</v>
      </c>
      <c r="C159" s="4" t="s">
        <v>478</v>
      </c>
      <c r="D159" s="4">
        <f t="shared" si="1"/>
        <v>78</v>
      </c>
      <c r="E159" s="4" t="str">
        <f>IFERROR(__xludf.DUMMYFUNCTION("GOOGLETRANSLATE(C159,""ja"",""en"")"),"&lt;C: ltyellow&gt; If you hold it, the pattern of the magic carpet will change. &lt;N&gt;")</f>
        <v>&lt;C: ltyellow&gt; If you hold it, the pattern of the magic carpet will change. &lt;N&gt;</v>
      </c>
      <c r="F159" s="7" t="s">
        <v>479</v>
      </c>
    </row>
    <row r="160" ht="15.75" customHeight="1">
      <c r="A160" s="1">
        <v>158.0</v>
      </c>
      <c r="B160" s="4" t="s">
        <v>480</v>
      </c>
      <c r="C160" s="4" t="s">
        <v>481</v>
      </c>
      <c r="D160" s="4">
        <f t="shared" si="1"/>
        <v>45</v>
      </c>
      <c r="E160" s="4" t="str">
        <f>IFERROR(__xludf.DUMMYFUNCTION("GOOGLETRANSLATE(C160,""ja"",""en"")"),"&lt;C: ltyellow&gt; Jim Mori's item enchantment &lt;n&gt;")</f>
        <v>&lt;C: ltyellow&gt; Jim Mori's item enchantment &lt;n&gt;</v>
      </c>
      <c r="F160" s="5" t="s">
        <v>482</v>
      </c>
    </row>
    <row r="161" ht="15.75" customHeight="1">
      <c r="A161" s="1">
        <v>159.0</v>
      </c>
      <c r="B161" s="4" t="s">
        <v>483</v>
      </c>
      <c r="C161" s="4" t="s">
        <v>484</v>
      </c>
      <c r="D161" s="4">
        <f t="shared" si="1"/>
        <v>45</v>
      </c>
      <c r="E161" s="4" t="str">
        <f>IFERROR(__xludf.DUMMYFUNCTION("GOOGLETRANSLATE(C161,""ja"",""en"")"),"&lt;C: ltyellow&gt; Repair broken items clumsy. &lt;N&gt;")</f>
        <v>&lt;C: ltyellow&gt; Repair broken items clumsy. &lt;N&gt;</v>
      </c>
      <c r="F161" s="5" t="s">
        <v>485</v>
      </c>
    </row>
    <row r="162" ht="15.75" customHeight="1">
      <c r="A162" s="1">
        <v>160.0</v>
      </c>
      <c r="B162" s="4" t="s">
        <v>486</v>
      </c>
      <c r="C162" s="4" t="s">
        <v>487</v>
      </c>
      <c r="D162" s="4">
        <f t="shared" si="1"/>
        <v>34</v>
      </c>
      <c r="E162" s="4" t="str">
        <f>IFERROR(__xludf.DUMMYFUNCTION("GOOGLETRANSLATE(C162,""ja"",""en"")"),"&lt;C: ltyellow&gt; Item Enchantment &lt;n&gt;")</f>
        <v>&lt;C: ltyellow&gt; Item Enchantment &lt;n&gt;</v>
      </c>
      <c r="F162" s="5" t="s">
        <v>488</v>
      </c>
    </row>
    <row r="163" ht="15.75" customHeight="1">
      <c r="A163" s="1">
        <v>161.0</v>
      </c>
      <c r="B163" s="4" t="s">
        <v>489</v>
      </c>
      <c r="C163" s="4" t="s">
        <v>490</v>
      </c>
      <c r="D163" s="4">
        <f t="shared" si="1"/>
        <v>48</v>
      </c>
      <c r="E163" s="4" t="str">
        <f>IFERROR(__xludf.DUMMYFUNCTION("GOOGLETRANSLATE(C163,""ja"",""en"")"),"&lt;C: ltyellow&gt; Repair broken items perfectly. &lt;N&gt;")</f>
        <v>&lt;C: ltyellow&gt; Repair broken items perfectly. &lt;N&gt;</v>
      </c>
      <c r="F163" s="5" t="s">
        <v>491</v>
      </c>
    </row>
    <row r="164" ht="15.75" customHeight="1">
      <c r="A164" s="1">
        <v>162.0</v>
      </c>
      <c r="B164" s="4" t="s">
        <v>492</v>
      </c>
      <c r="C164" s="4" t="s">
        <v>493</v>
      </c>
      <c r="D164" s="4">
        <f t="shared" si="1"/>
        <v>46</v>
      </c>
      <c r="E164" s="4" t="str">
        <f>IFERROR(__xludf.DUMMYFUNCTION("GOOGLETRANSLATE(C164,""ja"",""en"")"),"&lt;C: ltyellow&gt; Solve the curse on the item. &lt;N&gt;")</f>
        <v>&lt;C: ltyellow&gt; Solve the curse on the item. &lt;N&gt;</v>
      </c>
      <c r="F164" s="5" t="s">
        <v>494</v>
      </c>
    </row>
    <row r="165" ht="15.75" customHeight="1">
      <c r="A165" s="1">
        <v>163.0</v>
      </c>
      <c r="B165" s="4" t="s">
        <v>495</v>
      </c>
      <c r="C165" s="4" t="s">
        <v>496</v>
      </c>
      <c r="D165" s="4">
        <f t="shared" si="1"/>
        <v>51</v>
      </c>
      <c r="E165" s="4" t="str">
        <f>IFERROR(__xludf.DUMMYFUNCTION("GOOGLETRANSLATE(C165,""ja"",""en"")"),"&lt;C: ltyellow&gt; Solve the item improvement limit. &lt;N&gt;")</f>
        <v>&lt;C: ltyellow&gt; Solve the item improvement limit. &lt;N&gt;</v>
      </c>
      <c r="F165" s="5" t="s">
        <v>497</v>
      </c>
    </row>
    <row r="166" ht="15.75" customHeight="1">
      <c r="A166" s="1">
        <v>164.0</v>
      </c>
      <c r="B166" s="4" t="s">
        <v>498</v>
      </c>
      <c r="C166" s="4" t="s">
        <v>499</v>
      </c>
      <c r="D166" s="4">
        <f t="shared" si="1"/>
        <v>33</v>
      </c>
      <c r="E166" s="4" t="str">
        <f>IFERROR(__xludf.DUMMYFUNCTION("GOOGLETRANSLATE(C166,""ja"",""en"")"),"&lt;C: ltyellow&gt; ○ × quiz ticket &lt;n&gt;")</f>
        <v>&lt;C: ltyellow&gt; ○ × quiz ticket &lt;n&gt;</v>
      </c>
      <c r="F166" s="5" t="s">
        <v>500</v>
      </c>
    </row>
    <row r="167" ht="15.75" customHeight="1">
      <c r="A167" s="1">
        <v>165.0</v>
      </c>
      <c r="B167" s="4" t="s">
        <v>501</v>
      </c>
      <c r="C167" s="4" t="s">
        <v>502</v>
      </c>
      <c r="D167" s="4">
        <f t="shared" si="1"/>
        <v>67</v>
      </c>
      <c r="E167" s="4" t="str">
        <f>IFERROR(__xludf.DUMMYFUNCTION("GOOGLETRANSLATE(C167,""ja"",""en"")"),"When sitting, the recovery speed increases &lt;c: ltyellow&gt; [0] % &lt;n&gt;.")</f>
        <v>When sitting, the recovery speed increases &lt;c: ltyellow&gt; [0] % &lt;n&gt;.</v>
      </c>
      <c r="F167" s="7" t="s">
        <v>503</v>
      </c>
    </row>
    <row r="168" ht="15.75" customHeight="1">
      <c r="A168" s="1">
        <v>166.0</v>
      </c>
      <c r="B168" s="4" t="s">
        <v>504</v>
      </c>
      <c r="C168" s="4" t="s">
        <v>505</v>
      </c>
      <c r="D168" s="4">
        <f t="shared" si="1"/>
        <v>19</v>
      </c>
      <c r="E168" s="4" t="str">
        <f>IFERROR(__xludf.DUMMYFUNCTION("GOOGLETRANSLATE(C168,""ja"",""en"")"),"It creates a guild.")</f>
        <v>It creates a guild.</v>
      </c>
      <c r="F168" s="5" t="s">
        <v>506</v>
      </c>
    </row>
    <row r="169" ht="15.75" customHeight="1">
      <c r="A169" s="1">
        <v>167.0</v>
      </c>
      <c r="B169" s="4" t="s">
        <v>507</v>
      </c>
      <c r="C169" s="4" t="s">
        <v>508</v>
      </c>
      <c r="D169" s="4">
        <f t="shared" si="1"/>
        <v>41</v>
      </c>
      <c r="E169" s="4" t="str">
        <f>IFERROR(__xludf.DUMMYFUNCTION("GOOGLETRANSLATE(C169,""ja"",""en"")"),"The guild level is &lt;c: ltyellow&gt; [0] &lt;n&gt;.")</f>
        <v>The guild level is &lt;c: ltyellow&gt; [0] &lt;n&gt;.</v>
      </c>
      <c r="F169" s="5" t="s">
        <v>509</v>
      </c>
    </row>
    <row r="170" ht="15.75" customHeight="1">
      <c r="A170" s="1">
        <v>168.0</v>
      </c>
      <c r="B170" s="4" t="s">
        <v>510</v>
      </c>
      <c r="C170" s="4" t="s">
        <v>511</v>
      </c>
      <c r="D170" s="4">
        <f t="shared" si="1"/>
        <v>63</v>
      </c>
      <c r="E170" s="4" t="str">
        <f>IFERROR(__xludf.DUMMYFUNCTION("GOOGLETRANSLATE(C170,""ja"",""en"")"),"It increases the range of choices that can choose a guild mark.")</f>
        <v>It increases the range of choices that can choose a guild mark.</v>
      </c>
      <c r="F170" s="5" t="s">
        <v>512</v>
      </c>
    </row>
    <row r="171" ht="15.75" customHeight="1">
      <c r="A171" s="1">
        <v>169.0</v>
      </c>
      <c r="B171" s="4" t="s">
        <v>513</v>
      </c>
      <c r="C171" s="4" t="s">
        <v>511</v>
      </c>
      <c r="D171" s="4">
        <f t="shared" si="1"/>
        <v>63</v>
      </c>
      <c r="E171" s="4" t="str">
        <f>IFERROR(__xludf.DUMMYFUNCTION("GOOGLETRANSLATE(C171,""ja"",""en"")"),"It increases the range of choices that can choose a guild mark.")</f>
        <v>It increases the range of choices that can choose a guild mark.</v>
      </c>
      <c r="F171" s="5" t="s">
        <v>512</v>
      </c>
    </row>
    <row r="172" ht="15.75" customHeight="1">
      <c r="A172" s="1">
        <v>170.0</v>
      </c>
      <c r="B172" s="4" t="s">
        <v>514</v>
      </c>
      <c r="C172" s="4" t="s">
        <v>511</v>
      </c>
      <c r="D172" s="4">
        <f t="shared" si="1"/>
        <v>63</v>
      </c>
      <c r="E172" s="4" t="str">
        <f>IFERROR(__xludf.DUMMYFUNCTION("GOOGLETRANSLATE(C172,""ja"",""en"")"),"It increases the range of choices that can choose a guild mark.")</f>
        <v>It increases the range of choices that can choose a guild mark.</v>
      </c>
      <c r="F172" s="5" t="s">
        <v>512</v>
      </c>
    </row>
    <row r="173" ht="15.75" customHeight="1">
      <c r="A173" s="1">
        <v>171.0</v>
      </c>
      <c r="B173" s="4" t="s">
        <v>515</v>
      </c>
      <c r="C173" s="4" t="s">
        <v>511</v>
      </c>
      <c r="D173" s="4">
        <f t="shared" si="1"/>
        <v>63</v>
      </c>
      <c r="E173" s="4" t="str">
        <f>IFERROR(__xludf.DUMMYFUNCTION("GOOGLETRANSLATE(C173,""ja"",""en"")"),"It increases the range of choices that can choose a guild mark.")</f>
        <v>It increases the range of choices that can choose a guild mark.</v>
      </c>
      <c r="F173" s="5" t="s">
        <v>512</v>
      </c>
    </row>
    <row r="174" ht="15.75" customHeight="1">
      <c r="A174" s="1">
        <v>172.0</v>
      </c>
      <c r="B174" s="4" t="s">
        <v>516</v>
      </c>
      <c r="C174" s="4" t="s">
        <v>511</v>
      </c>
      <c r="D174" s="4">
        <f t="shared" si="1"/>
        <v>63</v>
      </c>
      <c r="E174" s="4" t="str">
        <f>IFERROR(__xludf.DUMMYFUNCTION("GOOGLETRANSLATE(C174,""ja"",""en"")"),"It increases the range of choices that can choose a guild mark.")</f>
        <v>It increases the range of choices that can choose a guild mark.</v>
      </c>
      <c r="F174" s="5" t="s">
        <v>512</v>
      </c>
    </row>
    <row r="175" ht="15.75" customHeight="1">
      <c r="A175" s="1">
        <v>173.0</v>
      </c>
      <c r="B175" s="4" t="s">
        <v>517</v>
      </c>
      <c r="C175" s="4" t="s">
        <v>511</v>
      </c>
      <c r="D175" s="4">
        <f t="shared" si="1"/>
        <v>63</v>
      </c>
      <c r="E175" s="4" t="str">
        <f>IFERROR(__xludf.DUMMYFUNCTION("GOOGLETRANSLATE(C175,""ja"",""en"")"),"It increases the range of choices that can choose a guild mark.")</f>
        <v>It increases the range of choices that can choose a guild mark.</v>
      </c>
      <c r="F175" s="5" t="s">
        <v>512</v>
      </c>
    </row>
    <row r="176" ht="15.75" customHeight="1">
      <c r="A176" s="1">
        <v>174.0</v>
      </c>
      <c r="B176" s="4" t="s">
        <v>518</v>
      </c>
      <c r="C176" s="4" t="s">
        <v>511</v>
      </c>
      <c r="D176" s="4">
        <f t="shared" si="1"/>
        <v>63</v>
      </c>
      <c r="E176" s="4" t="str">
        <f>IFERROR(__xludf.DUMMYFUNCTION("GOOGLETRANSLATE(C176,""ja"",""en"")"),"It increases the range of choices that can choose a guild mark.")</f>
        <v>It increases the range of choices that can choose a guild mark.</v>
      </c>
      <c r="F176" s="5" t="s">
        <v>512</v>
      </c>
    </row>
    <row r="177" ht="15.75" customHeight="1">
      <c r="A177" s="1">
        <v>175.0</v>
      </c>
      <c r="B177" s="4" t="s">
        <v>519</v>
      </c>
      <c r="C177" s="4" t="s">
        <v>511</v>
      </c>
      <c r="D177" s="4">
        <f t="shared" si="1"/>
        <v>63</v>
      </c>
      <c r="E177" s="4" t="str">
        <f>IFERROR(__xludf.DUMMYFUNCTION("GOOGLETRANSLATE(C177,""ja"",""en"")"),"It increases the range of choices that can choose a guild mark.")</f>
        <v>It increases the range of choices that can choose a guild mark.</v>
      </c>
      <c r="F177" s="5" t="s">
        <v>512</v>
      </c>
    </row>
    <row r="178" ht="15.75" customHeight="1">
      <c r="A178" s="1">
        <v>176.0</v>
      </c>
      <c r="B178" s="4" t="s">
        <v>520</v>
      </c>
      <c r="C178" s="4" t="s">
        <v>521</v>
      </c>
      <c r="D178" s="4">
        <f t="shared" si="1"/>
        <v>22</v>
      </c>
      <c r="E178" s="4" t="str">
        <f>IFERROR(__xludf.DUMMYFUNCTION("GOOGLETRANSLATE(C178,""ja"",""en"")"),"Reliable standing bill")</f>
        <v>Reliable standing bill</v>
      </c>
      <c r="F178" s="6" t="s">
        <v>522</v>
      </c>
    </row>
    <row r="179" ht="15.75" customHeight="1">
      <c r="A179" s="1">
        <v>177.0</v>
      </c>
      <c r="B179" s="4" t="s">
        <v>523</v>
      </c>
      <c r="C179" s="4" t="s">
        <v>524</v>
      </c>
      <c r="D179" s="4">
        <f t="shared" si="1"/>
        <v>86</v>
      </c>
      <c r="E179" s="4" t="str">
        <f>IFERROR(__xludf.DUMMYFUNCTION("GOOGLETRANSLATE(C179,""ja"",""en"")"),"It will be able to select the color of the contents of the standing bill of the stall.")</f>
        <v>It will be able to select the color of the contents of the standing bill of the stall.</v>
      </c>
      <c r="F179" s="7" t="s">
        <v>525</v>
      </c>
    </row>
    <row r="180" ht="15.75" customHeight="1">
      <c r="A180" s="1">
        <v>178.0</v>
      </c>
      <c r="B180" s="4" t="s">
        <v>526</v>
      </c>
      <c r="C180" s="4" t="s">
        <v>527</v>
      </c>
      <c r="D180" s="4">
        <f t="shared" si="1"/>
        <v>86</v>
      </c>
      <c r="E180" s="4" t="str">
        <f>IFERROR(__xludf.DUMMYFUNCTION("GOOGLETRANSLATE(C180,""ja"",""en"")"),"It will make the contents of the stalls of the stalls can be written in thick letters.")</f>
        <v>It will make the contents of the stalls of the stalls can be written in thick letters.</v>
      </c>
      <c r="F180" s="7" t="s">
        <v>528</v>
      </c>
    </row>
    <row r="181" ht="15.75" customHeight="1">
      <c r="A181" s="1">
        <v>179.0</v>
      </c>
      <c r="B181" s="4" t="s">
        <v>529</v>
      </c>
      <c r="C181" s="4" t="s">
        <v>530</v>
      </c>
      <c r="D181" s="4">
        <f t="shared" si="1"/>
        <v>61</v>
      </c>
      <c r="E181" s="4" t="str">
        <f>IFERROR(__xludf.DUMMYFUNCTION("GOOGLETRANSLATE(C181,""ja"",""en"")"),"It will make you write the name of the stall shop for longer.")</f>
        <v>It will make you write the name of the stall shop for longer.</v>
      </c>
      <c r="F181" s="5" t="s">
        <v>531</v>
      </c>
    </row>
    <row r="182" ht="15.75" customHeight="1">
      <c r="A182" s="1">
        <v>180.0</v>
      </c>
      <c r="B182" s="4" t="s">
        <v>532</v>
      </c>
      <c r="C182" s="4" t="s">
        <v>533</v>
      </c>
      <c r="D182" s="4">
        <f t="shared" si="1"/>
        <v>60</v>
      </c>
      <c r="E182" s="4" t="str">
        <f>IFERROR(__xludf.DUMMYFUNCTION("GOOGLETRANSLATE(C182,""ja"",""en"")"),"It gives a glittering effect around the stalls of the stall.")</f>
        <v>It gives a glittering effect around the stalls of the stall.</v>
      </c>
      <c r="F182" s="5" t="s">
        <v>534</v>
      </c>
    </row>
    <row r="183" ht="15.75" customHeight="1">
      <c r="A183" s="1">
        <v>181.0</v>
      </c>
      <c r="B183" s="4" t="s">
        <v>535</v>
      </c>
      <c r="C183" s="4" t="s">
        <v>536</v>
      </c>
      <c r="D183" s="4">
        <f t="shared" si="1"/>
        <v>73</v>
      </c>
      <c r="E183" s="4" t="str">
        <f>IFERROR(__xludf.DUMMYFUNCTION("GOOGLETRANSLATE(C183,""ja"",""en"")"),"It enables all the related functions of the stalls. (Excluding assistant)")</f>
        <v>It enables all the related functions of the stalls. (Excluding assistant)</v>
      </c>
      <c r="F183" s="5" t="s">
        <v>537</v>
      </c>
    </row>
    <row r="184" ht="15.75" customHeight="1">
      <c r="A184" s="1">
        <v>182.0</v>
      </c>
      <c r="B184" s="4" t="s">
        <v>538</v>
      </c>
      <c r="C184" s="4" t="s">
        <v>539</v>
      </c>
      <c r="D184" s="4">
        <f t="shared" si="1"/>
        <v>11</v>
      </c>
      <c r="E184" s="4" t="str">
        <f>IFERROR(__xludf.DUMMYFUNCTION("GOOGLETRANSLATE(C184,""ja"",""en"")"),"Flashy bill")</f>
        <v>Flashy bill</v>
      </c>
      <c r="F184" s="5" t="s">
        <v>540</v>
      </c>
    </row>
    <row r="185" ht="15.75" customHeight="1">
      <c r="A185" s="1">
        <v>183.0</v>
      </c>
      <c r="B185" s="4" t="s">
        <v>541</v>
      </c>
      <c r="C185" s="4" t="s">
        <v>542</v>
      </c>
      <c r="D185" s="4">
        <f t="shared" si="1"/>
        <v>15</v>
      </c>
      <c r="E185" s="4" t="str">
        <f>IFERROR(__xludf.DUMMYFUNCTION("GOOGLETRANSLATE(C185,""ja"",""en"")"),"Mysterious bill")</f>
        <v>Mysterious bill</v>
      </c>
      <c r="F185" s="5" t="s">
        <v>543</v>
      </c>
    </row>
    <row r="186" ht="15.75" customHeight="1">
      <c r="A186" s="1">
        <v>184.0</v>
      </c>
      <c r="B186" s="4" t="s">
        <v>544</v>
      </c>
      <c r="C186" s="4" t="s">
        <v>545</v>
      </c>
      <c r="D186" s="4">
        <f t="shared" si="1"/>
        <v>14</v>
      </c>
      <c r="E186" s="4" t="str">
        <f>IFERROR(__xludf.DUMMYFUNCTION("GOOGLETRANSLATE(C186,""ja"",""en"")"),"Beautiful bill")</f>
        <v>Beautiful bill</v>
      </c>
      <c r="F186" s="5" t="s">
        <v>546</v>
      </c>
    </row>
    <row r="187" ht="15.75" customHeight="1">
      <c r="A187" s="1">
        <v>185.0</v>
      </c>
      <c r="B187" s="4" t="s">
        <v>547</v>
      </c>
      <c r="C187" s="4" t="s">
        <v>548</v>
      </c>
      <c r="D187" s="4">
        <f t="shared" si="1"/>
        <v>15</v>
      </c>
      <c r="E187" s="4" t="str">
        <f>IFERROR(__xludf.DUMMYFUNCTION("GOOGLETRANSLATE(C187,""ja"",""en"")"),"Passionate bill")</f>
        <v>Passionate bill</v>
      </c>
      <c r="F187" s="5" t="s">
        <v>549</v>
      </c>
    </row>
    <row r="188" ht="15.75" customHeight="1">
      <c r="A188" s="1">
        <v>186.0</v>
      </c>
      <c r="B188" s="4" t="s">
        <v>550</v>
      </c>
      <c r="C188" s="4" t="s">
        <v>551</v>
      </c>
      <c r="D188" s="4">
        <f t="shared" si="1"/>
        <v>11</v>
      </c>
      <c r="E188" s="4" t="str">
        <f>IFERROR(__xludf.DUMMYFUNCTION("GOOGLETRANSLATE(C188,""ja"",""en"")"),"Loudspeaker")</f>
        <v>Loudspeaker</v>
      </c>
      <c r="F188" s="5" t="s">
        <v>552</v>
      </c>
    </row>
    <row r="189" ht="15.75" customHeight="1">
      <c r="A189" s="1">
        <v>187.0</v>
      </c>
      <c r="B189" s="4" t="s">
        <v>553</v>
      </c>
      <c r="C189" s="4" t="s">
        <v>554</v>
      </c>
      <c r="D189" s="4">
        <f t="shared" si="1"/>
        <v>88</v>
      </c>
      <c r="E189" s="4" t="str">
        <f>IFERROR(__xludf.DUMMYFUNCTION("GOOGLETRANSLATE(C189,""ja"",""en"")"),"Randomly generate normal items between drop levels [0] to [1]. Success probability 100 %")</f>
        <v>Randomly generate normal items between drop levels [0] to [1]. Success probability 100 %</v>
      </c>
      <c r="F189" s="7" t="s">
        <v>555</v>
      </c>
    </row>
    <row r="190" ht="15.75" customHeight="1">
      <c r="A190" s="1">
        <v>188.0</v>
      </c>
      <c r="B190" s="4" t="s">
        <v>556</v>
      </c>
      <c r="C190" s="4" t="s">
        <v>557</v>
      </c>
      <c r="D190" s="4">
        <f t="shared" si="1"/>
        <v>58</v>
      </c>
      <c r="E190" s="4" t="str">
        <f>IFERROR(__xludf.DUMMYFUNCTION("GOOGLETRANSLATE(C190,""ja"",""en"")"),"&lt;C: ltyellow&gt; [0] % &lt;n&gt; weaken the target fire resistance.")</f>
        <v>&lt;C: ltyellow&gt; [0] % &lt;n&gt; weaken the target fire resistance.</v>
      </c>
      <c r="F190" s="5" t="s">
        <v>558</v>
      </c>
    </row>
    <row r="191" ht="15.75" customHeight="1">
      <c r="A191" s="1">
        <v>189.0</v>
      </c>
      <c r="B191" s="4" t="s">
        <v>559</v>
      </c>
      <c r="C191" s="4" t="s">
        <v>560</v>
      </c>
      <c r="D191" s="4">
        <f t="shared" si="1"/>
        <v>59</v>
      </c>
      <c r="E191" s="4" t="str">
        <f>IFERROR(__xludf.DUMMYFUNCTION("GOOGLETRANSLATE(C191,""ja"",""en"")"),"&lt;C: ltyellow&gt; [0] % &lt;n&gt; weaken the target water resistance.")</f>
        <v>&lt;C: ltyellow&gt; [0] % &lt;n&gt; weaken the target water resistance.</v>
      </c>
      <c r="F191" s="5" t="s">
        <v>561</v>
      </c>
    </row>
    <row r="192" ht="15.75" customHeight="1">
      <c r="A192" s="1">
        <v>190.0</v>
      </c>
      <c r="B192" s="4" t="s">
        <v>562</v>
      </c>
      <c r="C192" s="4" t="s">
        <v>563</v>
      </c>
      <c r="D192" s="4">
        <f t="shared" si="1"/>
        <v>58</v>
      </c>
      <c r="E192" s="4" t="str">
        <f>IFERROR(__xludf.DUMMYFUNCTION("GOOGLETRANSLATE(C192,""ja"",""en"")"),"&lt;C: ltyellow&gt; [0] % &lt;n&gt; weaken the target wind resistance.")</f>
        <v>&lt;C: ltyellow&gt; [0] % &lt;n&gt; weaken the target wind resistance.</v>
      </c>
      <c r="F192" s="5" t="s">
        <v>564</v>
      </c>
    </row>
    <row r="193" ht="15.75" customHeight="1">
      <c r="A193" s="1">
        <v>191.0</v>
      </c>
      <c r="B193" s="4" t="s">
        <v>565</v>
      </c>
      <c r="C193" s="4" t="s">
        <v>566</v>
      </c>
      <c r="D193" s="4">
        <f t="shared" si="1"/>
        <v>66</v>
      </c>
      <c r="E193" s="4" t="str">
        <f>IFERROR(__xludf.DUMMYFUNCTION("GOOGLETRANSLATE(C193,""ja"",""en"")"),"&lt;C: ltyellow&gt; [0] % &lt;n&gt; weaken the resistance of the target earth.")</f>
        <v>&lt;C: ltyellow&gt; [0] % &lt;n&gt; weaken the resistance of the target earth.</v>
      </c>
      <c r="F193" s="5" t="s">
        <v>567</v>
      </c>
    </row>
    <row r="194" ht="15.75" customHeight="1">
      <c r="A194" s="1">
        <v>192.0</v>
      </c>
      <c r="B194" s="4" t="s">
        <v>568</v>
      </c>
      <c r="C194" s="4" t="s">
        <v>569</v>
      </c>
      <c r="D194" s="4">
        <f t="shared" si="1"/>
        <v>59</v>
      </c>
      <c r="E194" s="4" t="str">
        <f>IFERROR(__xludf.DUMMYFUNCTION("GOOGLETRANSLATE(C194,""ja"",""en"")"),"&lt;C: ltyellow&gt; [0] % &lt;n&gt; weaken the target light resistance.")</f>
        <v>&lt;C: ltyellow&gt; [0] % &lt;n&gt; weaken the target light resistance.</v>
      </c>
      <c r="F194" s="5" t="s">
        <v>570</v>
      </c>
    </row>
    <row r="195" ht="15.75" customHeight="1">
      <c r="A195" s="1">
        <v>193.0</v>
      </c>
      <c r="B195" s="4" t="s">
        <v>571</v>
      </c>
      <c r="C195" s="4" t="s">
        <v>572</v>
      </c>
      <c r="D195" s="4">
        <f t="shared" si="1"/>
        <v>58</v>
      </c>
      <c r="E195" s="4" t="str">
        <f>IFERROR(__xludf.DUMMYFUNCTION("GOOGLETRANSLATE(C195,""ja"",""en"")"),"&lt;C: ltyellow&gt; [0] % &lt;n&gt; weaken the target dark resistance.")</f>
        <v>&lt;C: ltyellow&gt; [0] % &lt;n&gt; weaken the target dark resistance.</v>
      </c>
      <c r="F195" s="5" t="s">
        <v>573</v>
      </c>
    </row>
    <row r="196" ht="15.75" customHeight="1">
      <c r="A196" s="1">
        <v>194.0</v>
      </c>
      <c r="B196" s="4" t="s">
        <v>574</v>
      </c>
      <c r="C196" s="4" t="s">
        <v>575</v>
      </c>
      <c r="D196" s="4">
        <f t="shared" si="1"/>
        <v>66</v>
      </c>
      <c r="E196" s="4" t="str">
        <f>IFERROR(__xludf.DUMMYFUNCTION("GOOGLETRANSLATE(C196,""ja"",""en"")"),"&lt;C: ltyellow&gt; [0] % &lt;n&gt; weaken the magic resistance of the target.")</f>
        <v>&lt;C: ltyellow&gt; [0] % &lt;n&gt; weaken the magic resistance of the target.</v>
      </c>
      <c r="F196" s="5" t="s">
        <v>576</v>
      </c>
    </row>
    <row r="197" ht="15.75" customHeight="1">
      <c r="A197" s="1">
        <v>195.0</v>
      </c>
      <c r="B197" s="4" t="s">
        <v>577</v>
      </c>
      <c r="C197" s="4" t="s">
        <v>578</v>
      </c>
      <c r="D197" s="4">
        <f t="shared" si="1"/>
        <v>67</v>
      </c>
      <c r="E197" s="4" t="str">
        <f>IFERROR(__xludf.DUMMYFUNCTION("GOOGLETRANSLATE(C197,""ja"",""en"")"),"&lt;C: ltyellow&gt; [0] % &lt;n&gt; enhance the attack power of fire attribute.")</f>
        <v>&lt;C: ltyellow&gt; [0] % &lt;n&gt; enhance the attack power of fire attribute.</v>
      </c>
      <c r="F197" s="5" t="s">
        <v>579</v>
      </c>
    </row>
    <row r="198" ht="15.75" customHeight="1">
      <c r="A198" s="1">
        <v>196.0</v>
      </c>
      <c r="B198" s="4" t="s">
        <v>580</v>
      </c>
      <c r="C198" s="4" t="s">
        <v>581</v>
      </c>
      <c r="D198" s="4">
        <f t="shared" si="1"/>
        <v>72</v>
      </c>
      <c r="E198" s="4" t="str">
        <f>IFERROR(__xludf.DUMMYFUNCTION("GOOGLETRANSLATE(C198,""ja"",""en"")"),"&lt;C: ltyellow&gt; [0] % &lt;n&gt; enhance the attack power of the water attribute.")</f>
        <v>&lt;C: ltyellow&gt; [0] % &lt;n&gt; enhance the attack power of the water attribute.</v>
      </c>
      <c r="F198" s="7" t="s">
        <v>582</v>
      </c>
    </row>
    <row r="199" ht="15.75" customHeight="1">
      <c r="A199" s="1">
        <v>197.0</v>
      </c>
      <c r="B199" s="4" t="s">
        <v>583</v>
      </c>
      <c r="C199" s="4" t="s">
        <v>584</v>
      </c>
      <c r="D199" s="4">
        <f t="shared" si="1"/>
        <v>71</v>
      </c>
      <c r="E199" s="4" t="str">
        <f>IFERROR(__xludf.DUMMYFUNCTION("GOOGLETRANSLATE(C199,""ja"",""en"")"),"&lt;C: ltyellow&gt; [0] % &lt;n&gt; enhance the attack power of the wind attribute.")</f>
        <v>&lt;C: ltyellow&gt; [0] % &lt;n&gt; enhance the attack power of the wind attribute.</v>
      </c>
      <c r="F199" s="7" t="s">
        <v>585</v>
      </c>
    </row>
    <row r="200" ht="15.75" customHeight="1">
      <c r="A200" s="1">
        <v>198.0</v>
      </c>
      <c r="B200" s="4" t="s">
        <v>586</v>
      </c>
      <c r="C200" s="4" t="s">
        <v>587</v>
      </c>
      <c r="D200" s="4">
        <f t="shared" si="1"/>
        <v>72</v>
      </c>
      <c r="E200" s="4" t="str">
        <f>IFERROR(__xludf.DUMMYFUNCTION("GOOGLETRANSLATE(C200,""ja"",""en"")"),"&lt;C: ltyellow&gt; [0] % &lt;n&gt; enhance the attack power of the earth attribute.")</f>
        <v>&lt;C: ltyellow&gt; [0] % &lt;n&gt; enhance the attack power of the earth attribute.</v>
      </c>
      <c r="F200" s="7" t="s">
        <v>588</v>
      </c>
    </row>
    <row r="201" ht="15.75" customHeight="1">
      <c r="A201" s="1">
        <v>199.0</v>
      </c>
      <c r="B201" s="4" t="s">
        <v>589</v>
      </c>
      <c r="C201" s="4" t="s">
        <v>590</v>
      </c>
      <c r="D201" s="4">
        <f t="shared" si="1"/>
        <v>68</v>
      </c>
      <c r="E201" s="4" t="str">
        <f>IFERROR(__xludf.DUMMYFUNCTION("GOOGLETRANSLATE(C201,""ja"",""en"")"),"&lt;C: ltyellow&gt; [0] % &lt;n&gt; enhance the attack power of light attribute.")</f>
        <v>&lt;C: ltyellow&gt; [0] % &lt;n&gt; enhance the attack power of light attribute.</v>
      </c>
      <c r="F201" s="7" t="s">
        <v>591</v>
      </c>
    </row>
    <row r="202" ht="15.75" customHeight="1">
      <c r="A202" s="1">
        <v>200.0</v>
      </c>
      <c r="B202" s="4" t="s">
        <v>592</v>
      </c>
      <c r="C202" s="4" t="s">
        <v>593</v>
      </c>
      <c r="D202" s="4">
        <f t="shared" si="1"/>
        <v>68</v>
      </c>
      <c r="E202" s="4" t="str">
        <f>IFERROR(__xludf.DUMMYFUNCTION("GOOGLETRANSLATE(C202,""ja"",""en"")"),"&lt;C: ltyellow&gt; [0] % &lt;n&gt; enhance the attack power of dark attributes.")</f>
        <v>&lt;C: ltyellow&gt; [0] % &lt;n&gt; enhance the attack power of dark attributes.</v>
      </c>
      <c r="F202" s="7" t="s">
        <v>594</v>
      </c>
    </row>
    <row r="203" ht="15.75" customHeight="1">
      <c r="A203" s="1">
        <v>201.0</v>
      </c>
      <c r="B203" s="4" t="s">
        <v>595</v>
      </c>
      <c r="C203" s="4" t="s">
        <v>596</v>
      </c>
      <c r="D203" s="4">
        <f t="shared" si="1"/>
        <v>55</v>
      </c>
      <c r="E203" s="4" t="str">
        <f>IFERROR(__xludf.DUMMYFUNCTION("GOOGLETRANSLATE(C203,""ja"",""en"")"),"&lt;C: ltyellow&gt; [0] % &lt;n&gt; enhance the magic attack power.")</f>
        <v>&lt;C: ltyellow&gt; [0] % &lt;n&gt; enhance the magic attack power.</v>
      </c>
      <c r="F203" s="5" t="s">
        <v>597</v>
      </c>
    </row>
    <row r="204" ht="15.75" customHeight="1">
      <c r="A204" s="1">
        <v>202.0</v>
      </c>
      <c r="B204" s="4" t="s">
        <v>598</v>
      </c>
      <c r="C204" s="4" t="s">
        <v>599</v>
      </c>
      <c r="D204" s="4">
        <f t="shared" si="1"/>
        <v>26</v>
      </c>
      <c r="E204" s="4" t="str">
        <f>IFERROR(__xludf.DUMMYFUNCTION("GOOGLETRANSLATE(C204,""ja"",""en"")"),"It is a pet breeding book.")</f>
        <v>It is a pet breeding book.</v>
      </c>
      <c r="F204" s="5" t="s">
        <v>600</v>
      </c>
    </row>
    <row r="205" ht="15.75" customHeight="1">
      <c r="A205" s="1">
        <v>203.0</v>
      </c>
      <c r="B205" s="4" t="s">
        <v>601</v>
      </c>
      <c r="C205" s="4" t="s">
        <v>602</v>
      </c>
      <c r="D205" s="4">
        <f t="shared" si="1"/>
        <v>19</v>
      </c>
      <c r="E205" s="4" t="str">
        <f>IFERROR(__xludf.DUMMYFUNCTION("GOOGLETRANSLATE(C205,""ja"",""en"")"),"Mysterious item box")</f>
        <v>Mysterious item box</v>
      </c>
      <c r="F205" s="5" t="s">
        <v>603</v>
      </c>
    </row>
    <row r="206" ht="15.75" customHeight="1">
      <c r="A206" s="1">
        <v>204.0</v>
      </c>
      <c r="B206" s="4" t="s">
        <v>604</v>
      </c>
      <c r="C206" s="4" t="s">
        <v>605</v>
      </c>
      <c r="D206" s="4">
        <f t="shared" si="1"/>
        <v>31</v>
      </c>
      <c r="E206" s="4" t="str">
        <f>IFERROR(__xludf.DUMMYFUNCTION("GOOGLETRANSLATE(C206,""ja"",""en"")"),"Magical power replenishment kit")</f>
        <v>Magical power replenishment kit</v>
      </c>
      <c r="F206" s="5" t="s">
        <v>606</v>
      </c>
    </row>
    <row r="207" ht="15.75" customHeight="1">
      <c r="A207" s="1">
        <v>205.0</v>
      </c>
      <c r="B207" s="4" t="s">
        <v>607</v>
      </c>
      <c r="C207" s="4" t="s">
        <v>608</v>
      </c>
      <c r="D207" s="4">
        <f t="shared" si="1"/>
        <v>58</v>
      </c>
      <c r="E207" s="4" t="str">
        <f>IFERROR(__xludf.DUMMYFUNCTION("GOOGLETRANSLATE(C207,""ja"",""en"")"),"Summon a turtle carpet (carpet) with HP recovery function.")</f>
        <v>Summon a turtle carpet (carpet) with HP recovery function.</v>
      </c>
      <c r="F207" s="5" t="s">
        <v>609</v>
      </c>
    </row>
    <row r="208" ht="15.75" customHeight="1">
      <c r="A208" s="1">
        <v>206.0</v>
      </c>
      <c r="B208" s="4" t="s">
        <v>610</v>
      </c>
      <c r="C208" s="4" t="s">
        <v>611</v>
      </c>
      <c r="D208" s="4">
        <f t="shared" si="1"/>
        <v>75</v>
      </c>
      <c r="E208" s="4" t="str">
        <f>IFERROR(__xludf.DUMMYFUNCTION("GOOGLETRANSLATE(C208,""ja"",""en"")"),"Summon a squirrel carpet (carpet) that does not reduce CP even if you move.")</f>
        <v>Summon a squirrel carpet (carpet) that does not reduce CP even if you move.</v>
      </c>
      <c r="F208" s="7" t="s">
        <v>612</v>
      </c>
    </row>
    <row r="209" ht="15.75" customHeight="1">
      <c r="A209" s="1">
        <v>207.0</v>
      </c>
      <c r="B209" s="4" t="s">
        <v>613</v>
      </c>
      <c r="C209" s="4" t="s">
        <v>614</v>
      </c>
      <c r="D209" s="4">
        <f t="shared" si="1"/>
        <v>77</v>
      </c>
      <c r="E209" s="4" t="str">
        <f>IFERROR(__xludf.DUMMYFUNCTION("GOOGLETRANSLATE(C209,""ja"",""en"")"),"Summon a drake carpet (carpet), which is faster than a magic carpet (carpet).")</f>
        <v>Summon a drake carpet (carpet), which is faster than a magic carpet (carpet).</v>
      </c>
      <c r="F209" s="7" t="s">
        <v>615</v>
      </c>
    </row>
    <row r="210" ht="15.75" customHeight="1">
      <c r="A210" s="1">
        <v>208.0</v>
      </c>
      <c r="B210" s="4" t="s">
        <v>616</v>
      </c>
      <c r="C210" s="4" t="s">
        <v>617</v>
      </c>
      <c r="D210" s="4">
        <f t="shared" si="1"/>
        <v>64</v>
      </c>
      <c r="E210" s="4" t="str">
        <f>IFERROR(__xludf.DUMMYFUNCTION("GOOGLETRANSLATE(C210,""ja"",""en"")"),"Summon a gear carpet (carpet) that can be attacked while riding.")</f>
        <v>Summon a gear carpet (carpet) that can be attacked while riding.</v>
      </c>
      <c r="F210" s="5" t="s">
        <v>618</v>
      </c>
    </row>
    <row r="211" ht="15.75" customHeight="1">
      <c r="A211" s="1">
        <v>209.0</v>
      </c>
      <c r="B211" s="4" t="s">
        <v>619</v>
      </c>
      <c r="C211" s="4" t="s">
        <v>620</v>
      </c>
      <c r="D211" s="4">
        <f t="shared" si="1"/>
        <v>63</v>
      </c>
      <c r="E211" s="4" t="str">
        <f>IFERROR(__xludf.DUMMYFUNCTION("GOOGLETRANSLATE(C211,""ja"",""en"")"),"&lt;C: ltyellow&gt; [0] &lt;n&gt; Extend the size of the bag for travelers.")</f>
        <v>&lt;C: ltyellow&gt; [0] &lt;n&gt; Extend the size of the bag for travelers.</v>
      </c>
      <c r="F211" s="5" t="s">
        <v>621</v>
      </c>
    </row>
    <row r="212" ht="15.75" customHeight="1">
      <c r="A212" s="1">
        <v>210.0</v>
      </c>
      <c r="B212" s="4" t="s">
        <v>622</v>
      </c>
      <c r="C212" s="4" t="s">
        <v>623</v>
      </c>
      <c r="D212" s="4">
        <f t="shared" si="1"/>
        <v>64</v>
      </c>
      <c r="E212" s="4" t="str">
        <f>IFERROR(__xludf.DUMMYFUNCTION("GOOGLETRANSLATE(C212,""ja"",""en"")"),"Increase the durability of deluxe items &lt;c: ltyellow&gt; [0] % &lt;n&gt;.")</f>
        <v>Increase the durability of deluxe items &lt;c: ltyellow&gt; [0] % &lt;n&gt;.</v>
      </c>
      <c r="F212" s="5" t="s">
        <v>624</v>
      </c>
    </row>
    <row r="213" ht="15.75" customHeight="1">
      <c r="A213" s="1">
        <v>211.0</v>
      </c>
      <c r="B213" s="4" t="s">
        <v>625</v>
      </c>
      <c r="C213" s="4" t="s">
        <v>626</v>
      </c>
      <c r="D213" s="4">
        <f t="shared" si="1"/>
        <v>11</v>
      </c>
      <c r="E213" s="4" t="str">
        <f>IFERROR(__xludf.DUMMYFUNCTION("GOOGLETRANSLATE(C213,""ja"",""en"")"),"Item pieces")</f>
        <v>Item pieces</v>
      </c>
      <c r="F213" s="5" t="s">
        <v>627</v>
      </c>
    </row>
    <row r="214" ht="15.75" customHeight="1">
      <c r="A214" s="1">
        <v>212.0</v>
      </c>
      <c r="B214" s="4" t="s">
        <v>628</v>
      </c>
      <c r="C214" s="4" t="s">
        <v>629</v>
      </c>
      <c r="D214" s="4">
        <f t="shared" si="1"/>
        <v>36</v>
      </c>
      <c r="E214" s="4" t="str">
        <f>IFERROR(__xludf.DUMMYFUNCTION("GOOGLETRANSLATE(C214,""ja"",""en"")"),"&lt;C: ltyellow&gt; Hidden dungeon key &lt;n&gt;")</f>
        <v>&lt;C: ltyellow&gt; Hidden dungeon key &lt;n&gt;</v>
      </c>
      <c r="F214" s="5" t="s">
        <v>630</v>
      </c>
    </row>
    <row r="215" ht="15.75" customHeight="1">
      <c r="A215" s="1">
        <v>213.0</v>
      </c>
      <c r="B215" s="4" t="s">
        <v>631</v>
      </c>
      <c r="C215" s="4" t="s">
        <v>632</v>
      </c>
      <c r="D215" s="4">
        <f t="shared" si="1"/>
        <v>34</v>
      </c>
      <c r="E215" s="4" t="str">
        <f>IFERROR(__xludf.DUMMYFUNCTION("GOOGLETRANSLATE(C215,""ja"",""en"")"),"&lt;C: ltyellow&gt; Delete the title &lt;n&gt;")</f>
        <v>&lt;C: ltyellow&gt; Delete the title &lt;n&gt;</v>
      </c>
      <c r="F215" s="5" t="s">
        <v>633</v>
      </c>
    </row>
    <row r="216" ht="15.75" customHeight="1">
      <c r="A216" s="1">
        <v>214.0</v>
      </c>
      <c r="B216" s="4" t="s">
        <v>634</v>
      </c>
      <c r="C216" s="4" t="s">
        <v>635</v>
      </c>
      <c r="D216" s="4">
        <f t="shared" si="1"/>
        <v>43</v>
      </c>
      <c r="E216" s="4" t="str">
        <f>IFERROR(__xludf.DUMMYFUNCTION("GOOGLETRANSLATE(C216,""ja"",""en"")"),"&lt;C: ltyellow&gt; Field moves to World Maps &lt;n&gt;")</f>
        <v>&lt;C: ltyellow&gt; Field moves to World Maps &lt;n&gt;</v>
      </c>
      <c r="F216" s="5" t="s">
        <v>636</v>
      </c>
    </row>
    <row r="217" ht="15.75" customHeight="1">
      <c r="A217" s="1">
        <v>215.0</v>
      </c>
      <c r="B217" s="4" t="s">
        <v>637</v>
      </c>
      <c r="C217" s="4" t="s">
        <v>638</v>
      </c>
      <c r="D217" s="4">
        <f t="shared" si="1"/>
        <v>46</v>
      </c>
      <c r="E217" s="4" t="str">
        <f>IFERROR(__xludf.DUMMYFUNCTION("GOOGLETRANSLATE(C217,""ja"",""en"")"),"&lt;C: ltyellow&gt; Vertical banner installation &lt;n&gt;")</f>
        <v>&lt;C: ltyellow&gt; Vertical banner installation &lt;n&gt;</v>
      </c>
      <c r="F217" s="5" t="s">
        <v>639</v>
      </c>
    </row>
    <row r="218" ht="15.75" customHeight="1">
      <c r="A218" s="1">
        <v>216.0</v>
      </c>
      <c r="B218" s="4" t="s">
        <v>640</v>
      </c>
      <c r="C218" s="4" t="s">
        <v>638</v>
      </c>
      <c r="D218" s="4">
        <f t="shared" si="1"/>
        <v>46</v>
      </c>
      <c r="E218" s="4" t="str">
        <f>IFERROR(__xludf.DUMMYFUNCTION("GOOGLETRANSLATE(C218,""ja"",""en"")"),"&lt;C: ltyellow&gt; Vertical banner installation &lt;n&gt;")</f>
        <v>&lt;C: ltyellow&gt; Vertical banner installation &lt;n&gt;</v>
      </c>
      <c r="F218" s="5" t="s">
        <v>639</v>
      </c>
    </row>
    <row r="219" ht="15.75" customHeight="1">
      <c r="A219" s="1">
        <v>217.0</v>
      </c>
      <c r="B219" s="4" t="s">
        <v>641</v>
      </c>
      <c r="C219" s="4" t="s">
        <v>642</v>
      </c>
      <c r="D219" s="4">
        <f t="shared" si="1"/>
        <v>30</v>
      </c>
      <c r="E219" s="4" t="str">
        <f>IFERROR(__xludf.DUMMYFUNCTION("GOOGLETRANSLATE(C219,""ja"",""en"")"),"&lt;C: ltyellow&gt; Treasure map &lt;n&gt;")</f>
        <v>&lt;C: ltyellow&gt; Treasure map &lt;n&gt;</v>
      </c>
      <c r="F219" s="5" t="s">
        <v>643</v>
      </c>
    </row>
    <row r="220" ht="15.75" customHeight="1">
      <c r="A220" s="1">
        <v>218.0</v>
      </c>
      <c r="B220" s="4" t="s">
        <v>644</v>
      </c>
      <c r="C220" s="4" t="s">
        <v>645</v>
      </c>
      <c r="D220" s="4">
        <f t="shared" si="1"/>
        <v>39</v>
      </c>
      <c r="E220" s="4" t="str">
        <f>IFERROR(__xludf.DUMMYFUNCTION("GOOGLETRANSLATE(C220,""ja"",""en"")"),"Good luck [+0] &lt;C: ltyellow&gt; 00 &lt;n&gt; [1]")</f>
        <v>Good luck [+0] &lt;C: ltyellow&gt; 00 &lt;n&gt; [1]</v>
      </c>
      <c r="F220" s="5" t="s">
        <v>646</v>
      </c>
    </row>
    <row r="221" ht="15.75" customHeight="1">
      <c r="A221" s="1">
        <v>219.0</v>
      </c>
      <c r="B221" s="4" t="s">
        <v>647</v>
      </c>
      <c r="C221" s="4" t="s">
        <v>648</v>
      </c>
      <c r="D221" s="4">
        <f t="shared" si="1"/>
        <v>64</v>
      </c>
      <c r="E221" s="4" t="str">
        <f>IFERROR(__xludf.DUMMYFUNCTION("GOOGLETRANSLATE(C221,""ja"",""en"")"),"Guild skill point redistribution (excluding stone statue skills)")</f>
        <v>Guild skill point redistribution (excluding stone statue skills)</v>
      </c>
      <c r="F221" s="5" t="s">
        <v>649</v>
      </c>
    </row>
    <row r="222" ht="15.75" customHeight="1">
      <c r="A222" s="1">
        <v>220.0</v>
      </c>
      <c r="B222" s="4" t="s">
        <v>650</v>
      </c>
      <c r="C222" s="4" t="s">
        <v>651</v>
      </c>
      <c r="D222" s="4">
        <f t="shared" si="1"/>
        <v>77</v>
      </c>
      <c r="E222" s="4" t="str">
        <f>IFERROR(__xludf.DUMMYFUNCTION("GOOGLETRANSLATE(C222,""ja"",""en"")"),"Open a portal that leads to the place you remember in the Way Point Slot [0].")</f>
        <v>Open a portal that leads to the place you remember in the Way Point Slot [0].</v>
      </c>
      <c r="F222" s="7" t="s">
        <v>652</v>
      </c>
    </row>
    <row r="223" ht="15.75" customHeight="1">
      <c r="A223" s="1">
        <v>221.0</v>
      </c>
      <c r="B223" s="4" t="s">
        <v>653</v>
      </c>
      <c r="C223" s="4" t="s">
        <v>654</v>
      </c>
      <c r="D223" s="4">
        <f t="shared" si="1"/>
        <v>26</v>
      </c>
      <c r="E223" s="4" t="str">
        <f>IFERROR(__xludf.DUMMYFUNCTION("GOOGLETRANSLATE(C223,""ja"",""en"")"),"Generate two couple rings.")</f>
        <v>Generate two couple rings.</v>
      </c>
      <c r="F223" s="5" t="s">
        <v>655</v>
      </c>
    </row>
    <row r="224" ht="15.75" customHeight="1">
      <c r="A224" s="1">
        <v>222.0</v>
      </c>
      <c r="B224" s="4" t="s">
        <v>656</v>
      </c>
      <c r="C224" s="4" t="s">
        <v>657</v>
      </c>
      <c r="D224" s="4">
        <f t="shared" si="1"/>
        <v>11</v>
      </c>
      <c r="E224" s="4" t="str">
        <f>IFERROR(__xludf.DUMMYFUNCTION("GOOGLETRANSLATE(C224,""ja"",""en"")"),"Couple ring")</f>
        <v>Couple ring</v>
      </c>
      <c r="F224" s="5" t="s">
        <v>658</v>
      </c>
    </row>
    <row r="225" ht="15.75" customHeight="1">
      <c r="A225" s="1">
        <v>223.0</v>
      </c>
      <c r="B225" s="4" t="s">
        <v>659</v>
      </c>
      <c r="C225" s="4" t="s">
        <v>660</v>
      </c>
      <c r="D225" s="4">
        <f t="shared" si="1"/>
        <v>39</v>
      </c>
      <c r="E225" s="4" t="str">
        <f>IFERROR(__xludf.DUMMYFUNCTION("GOOGLETRANSLATE(C225,""ja"",""en"")"),"Combine two of the same types of items.")</f>
        <v>Combine two of the same types of items.</v>
      </c>
      <c r="F225" s="5" t="s">
        <v>661</v>
      </c>
    </row>
    <row r="226" ht="15.75" customHeight="1">
      <c r="A226" s="1">
        <v>224.0</v>
      </c>
      <c r="B226" s="4" t="s">
        <v>662</v>
      </c>
      <c r="C226" s="4" t="s">
        <v>663</v>
      </c>
      <c r="D226" s="4">
        <f t="shared" si="1"/>
        <v>8</v>
      </c>
      <c r="E226" s="4" t="str">
        <f>IFERROR(__xludf.DUMMYFUNCTION("GOOGLETRANSLATE(C226,""ja"",""en"")"),"firework")</f>
        <v>firework</v>
      </c>
      <c r="F226" s="5" t="s">
        <v>664</v>
      </c>
    </row>
    <row r="227" ht="15.75" customHeight="1">
      <c r="A227" s="1">
        <v>225.0</v>
      </c>
      <c r="B227" s="4" t="s">
        <v>665</v>
      </c>
      <c r="C227" s="4" t="s">
        <v>666</v>
      </c>
      <c r="D227" s="4">
        <f t="shared" si="1"/>
        <v>55</v>
      </c>
      <c r="E227" s="4" t="str">
        <f>IFERROR(__xludf.DUMMYFUNCTION("GOOGLETRANSLATE(C227,""ja"",""en"")"),"I don't know what fireworks will come out before using.")</f>
        <v>I don't know what fireworks will come out before using.</v>
      </c>
      <c r="F227" s="5" t="s">
        <v>667</v>
      </c>
    </row>
    <row r="228" ht="15.75" customHeight="1">
      <c r="A228" s="1">
        <v>226.0</v>
      </c>
      <c r="B228" s="4" t="s">
        <v>668</v>
      </c>
      <c r="C228" s="4" t="s">
        <v>669</v>
      </c>
      <c r="D228" s="4">
        <f t="shared" si="1"/>
        <v>28</v>
      </c>
      <c r="E228" s="4" t="str">
        <f>IFERROR(__xludf.DUMMYFUNCTION("GOOGLETRANSLATE(C228,""ja"",""en"")"),"Increase in selection status")</f>
        <v>Increase in selection status</v>
      </c>
      <c r="F228" s="5" t="s">
        <v>670</v>
      </c>
    </row>
    <row r="229" ht="15.75" customHeight="1">
      <c r="A229" s="1">
        <v>227.0</v>
      </c>
      <c r="B229" s="4" t="s">
        <v>671</v>
      </c>
      <c r="C229" s="4" t="s">
        <v>672</v>
      </c>
      <c r="D229" s="4">
        <f t="shared" si="1"/>
        <v>21</v>
      </c>
      <c r="E229" s="4" t="str">
        <f>IFERROR(__xludf.DUMMYFUNCTION("GOOGLETRANSLATE(C229,""ja"",""en"")"),"Couple ring for gifts")</f>
        <v>Couple ring for gifts</v>
      </c>
      <c r="F229" s="5" t="s">
        <v>673</v>
      </c>
    </row>
    <row r="230" ht="15.75" customHeight="1">
      <c r="A230" s="1">
        <v>228.0</v>
      </c>
      <c r="B230" s="4" t="s">
        <v>674</v>
      </c>
      <c r="C230" s="4" t="s">
        <v>675</v>
      </c>
      <c r="D230" s="4">
        <f t="shared" si="1"/>
        <v>24</v>
      </c>
      <c r="E230" s="4" t="str">
        <f>IFERROR(__xludf.DUMMYFUNCTION("GOOGLETRANSLATE(C230,""ja"",""en"")"),"Coupling without partner")</f>
        <v>Coupling without partner</v>
      </c>
      <c r="F230" s="5" t="s">
        <v>676</v>
      </c>
    </row>
    <row r="231" ht="15.75" customHeight="1">
      <c r="A231" s="1">
        <v>229.0</v>
      </c>
      <c r="B231" s="4" t="s">
        <v>677</v>
      </c>
      <c r="C231" s="4" t="s">
        <v>678</v>
      </c>
      <c r="D231" s="4">
        <f t="shared" si="1"/>
        <v>21</v>
      </c>
      <c r="E231" s="4" t="str">
        <f>IFERROR(__xludf.DUMMYFUNCTION("GOOGLETRANSLATE(C231,""ja"",""en"")"),"Add category to books")</f>
        <v>Add category to books</v>
      </c>
      <c r="F231" s="5" t="s">
        <v>679</v>
      </c>
    </row>
    <row r="232" ht="15.75" customHeight="1">
      <c r="A232" s="1">
        <v>230.0</v>
      </c>
      <c r="B232" s="4" t="s">
        <v>680</v>
      </c>
      <c r="C232" s="4" t="s">
        <v>681</v>
      </c>
      <c r="D232" s="4">
        <f t="shared" si="1"/>
        <v>16</v>
      </c>
      <c r="E232" s="4" t="str">
        <f>IFERROR(__xludf.DUMMYFUNCTION("GOOGLETRANSLATE(C232,""ja"",""en"")"),"Add page to book")</f>
        <v>Add page to book</v>
      </c>
      <c r="F232" s="5" t="s">
        <v>682</v>
      </c>
    </row>
    <row r="233" ht="15.75" customHeight="1">
      <c r="A233" s="1">
        <v>231.0</v>
      </c>
      <c r="B233" s="4" t="s">
        <v>683</v>
      </c>
      <c r="C233" s="4" t="s">
        <v>684</v>
      </c>
      <c r="D233" s="4">
        <f t="shared" si="1"/>
        <v>4</v>
      </c>
      <c r="E233" s="4" t="str">
        <f>IFERROR(__xludf.DUMMYFUNCTION("GOOGLETRANSLATE(C233,""ja"",""en"")"),"Book")</f>
        <v>Book</v>
      </c>
      <c r="F233" s="5" t="s">
        <v>685</v>
      </c>
    </row>
    <row r="234" ht="15.75" customHeight="1">
      <c r="A234" s="1">
        <v>232.0</v>
      </c>
      <c r="B234" s="4" t="s">
        <v>686</v>
      </c>
      <c r="C234" s="4" t="s">
        <v>687</v>
      </c>
      <c r="D234" s="4">
        <f t="shared" si="1"/>
        <v>46</v>
      </c>
      <c r="E234" s="4" t="str">
        <f>IFERROR(__xludf.DUMMYFUNCTION("GOOGLETRANSLATE(C234,""ja"",""en"")"),"Weapons at the time of princess transformation")</f>
        <v>Weapons at the time of princess transformation</v>
      </c>
      <c r="F234" s="5" t="s">
        <v>688</v>
      </c>
    </row>
    <row r="235" ht="15.75" customHeight="1">
      <c r="A235" s="1">
        <v>233.0</v>
      </c>
      <c r="B235" s="4" t="s">
        <v>689</v>
      </c>
      <c r="C235" s="4" t="s">
        <v>690</v>
      </c>
      <c r="D235" s="4">
        <f t="shared" si="1"/>
        <v>22</v>
      </c>
      <c r="E235" s="4" t="str">
        <f>IFERROR(__xludf.DUMMYFUNCTION("GOOGLETRANSLATE(C235,""ja"",""en"")"),"Guild Hall mobile item")</f>
        <v>Guild Hall mobile item</v>
      </c>
      <c r="F235" s="5" t="s">
        <v>691</v>
      </c>
    </row>
    <row r="236" ht="15.75" customHeight="1">
      <c r="A236" s="1">
        <v>234.0</v>
      </c>
      <c r="B236" s="4" t="s">
        <v>692</v>
      </c>
      <c r="C236" s="4" t="s">
        <v>693</v>
      </c>
      <c r="D236" s="4">
        <f t="shared" si="1"/>
        <v>21</v>
      </c>
      <c r="E236" s="4" t="str">
        <f>IFERROR(__xludf.DUMMYFUNCTION("GOOGLETRANSLATE(C236,""ja"",""en"")"),"Guild Guardian Summon")</f>
        <v>Guild Guardian Summon</v>
      </c>
      <c r="F236" s="5" t="s">
        <v>694</v>
      </c>
    </row>
    <row r="237" ht="15.75" customHeight="1">
      <c r="A237" s="1">
        <v>235.0</v>
      </c>
      <c r="B237" s="4" t="s">
        <v>695</v>
      </c>
      <c r="C237" s="4" t="s">
        <v>696</v>
      </c>
      <c r="D237" s="4">
        <f t="shared" si="1"/>
        <v>33</v>
      </c>
      <c r="E237" s="4" t="str">
        <f>IFERROR(__xludf.DUMMYFUNCTION("GOOGLETRANSLATE(C237,""ja"",""en"")"),"Guild stone statue -related items")</f>
        <v>Guild stone statue -related items</v>
      </c>
      <c r="F237" s="5" t="s">
        <v>697</v>
      </c>
    </row>
    <row r="238" ht="15.75" customHeight="1">
      <c r="A238" s="1">
        <v>236.0</v>
      </c>
      <c r="B238" s="4" t="s">
        <v>698</v>
      </c>
      <c r="C238" s="4" t="s">
        <v>696</v>
      </c>
      <c r="D238" s="4">
        <f t="shared" si="1"/>
        <v>33</v>
      </c>
      <c r="E238" s="4" t="str">
        <f>IFERROR(__xludf.DUMMYFUNCTION("GOOGLETRANSLATE(C238,""ja"",""en"")"),"Guild stone statue -related items")</f>
        <v>Guild stone statue -related items</v>
      </c>
      <c r="F238" s="5" t="s">
        <v>697</v>
      </c>
    </row>
    <row r="239" ht="15.75" customHeight="1">
      <c r="A239" s="1">
        <v>237.0</v>
      </c>
      <c r="B239" s="4" t="s">
        <v>699</v>
      </c>
      <c r="C239" s="4" t="s">
        <v>700</v>
      </c>
      <c r="D239" s="4">
        <f t="shared" si="1"/>
        <v>35</v>
      </c>
      <c r="E239" s="4" t="str">
        <f>IFERROR(__xludf.DUMMYFUNCTION("GOOGLETRANSLATE(C239,""ja"",""en"")"),"You can transform into an operator.")</f>
        <v>You can transform into an operator.</v>
      </c>
      <c r="F239" s="5" t="s">
        <v>701</v>
      </c>
    </row>
    <row r="240" ht="15.75" customHeight="1">
      <c r="A240" s="1">
        <v>238.0</v>
      </c>
      <c r="B240" s="4" t="s">
        <v>702</v>
      </c>
      <c r="C240" s="4" t="s">
        <v>703</v>
      </c>
      <c r="D240" s="4">
        <f t="shared" si="1"/>
        <v>83</v>
      </c>
      <c r="E240" s="4" t="str">
        <f>IFERROR(__xludf.DUMMYFUNCTION("GOOGLETRANSLATE(C240,""ja"",""en"")"),"The final damage increases [0] &lt;c: ltyellow&gt; minutes &lt;n&gt; [1] &lt;c: ltyellow&gt; 0 % &lt;n&gt;.")</f>
        <v>The final damage increases [0] &lt;c: ltyellow&gt; minutes &lt;n&gt; [1] &lt;c: ltyellow&gt; 0 % &lt;n&gt;.</v>
      </c>
      <c r="F240" s="7" t="s">
        <v>704</v>
      </c>
    </row>
    <row r="241" ht="15.75" customHeight="1">
      <c r="A241" s="1">
        <v>239.0</v>
      </c>
      <c r="B241" s="4" t="s">
        <v>705</v>
      </c>
      <c r="C241" s="4" t="s">
        <v>706</v>
      </c>
      <c r="D241" s="4">
        <f t="shared" si="1"/>
        <v>64</v>
      </c>
      <c r="E241" s="4" t="str">
        <f>IFERROR(__xludf.DUMMYFUNCTION("GOOGLETRANSLATE(C241,""ja"",""en"")"),"[0] &lt;c: ltyellow&gt; minutes &lt;n&gt; [1] &lt;c: ltyellow&gt; 0 % &lt;n&gt; 0 % &lt;n&gt;.")</f>
        <v>[0] &lt;c: ltyellow&gt; minutes &lt;n&gt; [1] &lt;c: ltyellow&gt; 0 % &lt;n&gt; 0 % &lt;n&gt;.</v>
      </c>
      <c r="F241" s="5" t="s">
        <v>707</v>
      </c>
    </row>
    <row r="242" ht="15.75" customHeight="1">
      <c r="A242" s="1">
        <v>240.0</v>
      </c>
      <c r="B242" s="4" t="s">
        <v>708</v>
      </c>
      <c r="C242" s="4" t="s">
        <v>709</v>
      </c>
      <c r="D242" s="4">
        <f t="shared" si="1"/>
        <v>92</v>
      </c>
      <c r="E242" s="4" t="str">
        <f>IFERROR(__xludf.DUMMYFUNCTION("GOOGLETRANSLATE(C242,""ja"",""en"")"),"The item drop probability increases [0] &lt;c: ltyellow&gt; minutes &lt;n&gt; [1] &lt;c: ltyellow&gt; 0 % &lt;n&gt;.")</f>
        <v>The item drop probability increases [0] &lt;c: ltyellow&gt; minutes &lt;n&gt; [1] &lt;c: ltyellow&gt; 0 % &lt;n&gt;.</v>
      </c>
      <c r="F242" s="7" t="s">
        <v>710</v>
      </c>
    </row>
    <row r="243" ht="15.75" customHeight="1">
      <c r="A243" s="1">
        <v>241.0</v>
      </c>
      <c r="B243" s="4" t="s">
        <v>711</v>
      </c>
      <c r="C243" s="4" t="s">
        <v>712</v>
      </c>
      <c r="D243" s="4">
        <f t="shared" si="1"/>
        <v>26</v>
      </c>
      <c r="E243" s="4" t="str">
        <f>IFERROR(__xludf.DUMMYFUNCTION("GOOGLETRANSLATE(C243,""ja"",""en"")"),"Recover all death penalty.")</f>
        <v>Recover all death penalty.</v>
      </c>
      <c r="F243" s="5" t="s">
        <v>713</v>
      </c>
    </row>
    <row r="244" ht="15.75" customHeight="1">
      <c r="A244" s="1">
        <v>242.0</v>
      </c>
      <c r="B244" s="4" t="s">
        <v>714</v>
      </c>
      <c r="C244" s="4" t="s">
        <v>715</v>
      </c>
      <c r="D244" s="4">
        <f t="shared" si="1"/>
        <v>26</v>
      </c>
      <c r="E244" s="4" t="str">
        <f>IFERROR(__xludf.DUMMYFUNCTION("GOOGLETRANSLATE(C244,""ja"",""en"")"),"It increases while moving.")</f>
        <v>It increases while moving.</v>
      </c>
      <c r="F244" s="5" t="s">
        <v>716</v>
      </c>
    </row>
    <row r="245" ht="15.75" customHeight="1">
      <c r="A245" s="1">
        <v>243.0</v>
      </c>
      <c r="B245" s="4" t="s">
        <v>717</v>
      </c>
      <c r="C245" s="4" t="s">
        <v>718</v>
      </c>
      <c r="D245" s="4">
        <f t="shared" si="1"/>
        <v>13</v>
      </c>
      <c r="E245" s="4" t="str">
        <f>IFERROR(__xludf.DUMMYFUNCTION("GOOGLETRANSLATE(C245,""ja"",""en"")"),"Event balloon")</f>
        <v>Event balloon</v>
      </c>
      <c r="F245" s="5" t="s">
        <v>719</v>
      </c>
    </row>
    <row r="246" ht="15.75" customHeight="1">
      <c r="A246" s="1">
        <v>244.0</v>
      </c>
      <c r="B246" s="4" t="s">
        <v>720</v>
      </c>
      <c r="C246" s="4" t="s">
        <v>602</v>
      </c>
      <c r="D246" s="4">
        <f t="shared" si="1"/>
        <v>19</v>
      </c>
      <c r="E246" s="4" t="str">
        <f>IFERROR(__xludf.DUMMYFUNCTION("GOOGLETRANSLATE(C246,""ja"",""en"")"),"Mysterious item box")</f>
        <v>Mysterious item box</v>
      </c>
      <c r="F246" s="5" t="s">
        <v>603</v>
      </c>
    </row>
    <row r="247" ht="15.75" customHeight="1">
      <c r="A247" s="1">
        <v>245.0</v>
      </c>
      <c r="B247" s="4" t="s">
        <v>721</v>
      </c>
      <c r="C247" s="4" t="s">
        <v>722</v>
      </c>
      <c r="D247" s="4">
        <f t="shared" si="1"/>
        <v>23</v>
      </c>
      <c r="E247" s="4" t="str">
        <f>IFERROR(__xludf.DUMMYFUNCTION("GOOGLETRANSLATE(C247,""ja"",""en"")"),"Final Damage [+1] % [0]")</f>
        <v>Final Damage [+1] % [0]</v>
      </c>
      <c r="F247" s="5" t="s">
        <v>723</v>
      </c>
    </row>
    <row r="248" ht="15.75" customHeight="1">
      <c r="A248" s="1">
        <v>246.0</v>
      </c>
      <c r="B248" s="4" t="s">
        <v>724</v>
      </c>
      <c r="C248" s="4" t="s">
        <v>725</v>
      </c>
      <c r="D248" s="4">
        <f t="shared" si="1"/>
        <v>14</v>
      </c>
      <c r="E248" s="4" t="str">
        <f>IFERROR(__xludf.DUMMYFUNCTION("GOOGLETRANSLATE(C248,""ja"",""en"")"),"Mino summoning")</f>
        <v>Mino summoning</v>
      </c>
      <c r="F248" s="5" t="s">
        <v>726</v>
      </c>
    </row>
    <row r="249" ht="15.75" customHeight="1">
      <c r="A249" s="1">
        <v>247.0</v>
      </c>
      <c r="B249" s="4" t="s">
        <v>727</v>
      </c>
      <c r="C249" s="4" t="s">
        <v>728</v>
      </c>
      <c r="D249" s="4">
        <f t="shared" si="1"/>
        <v>24</v>
      </c>
      <c r="E249" s="4" t="str">
        <f>IFERROR(__xludf.DUMMYFUNCTION("GOOGLETRANSLATE(C249,""ja"",""en"")"),"Prolonged minipet period")</f>
        <v>Prolonged minipet period</v>
      </c>
      <c r="F249" s="5" t="s">
        <v>729</v>
      </c>
    </row>
    <row r="250" ht="15.75" customHeight="1">
      <c r="A250" s="1">
        <v>248.0</v>
      </c>
      <c r="B250" s="4" t="s">
        <v>730</v>
      </c>
      <c r="C250" s="4" t="s">
        <v>731</v>
      </c>
      <c r="D250" s="4">
        <f t="shared" si="1"/>
        <v>28</v>
      </c>
      <c r="E250" s="4" t="str">
        <f>IFERROR(__xludf.DUMMYFUNCTION("GOOGLETRANSLATE(C250,""ja"",""en"")"),"All minipet period extension")</f>
        <v>All minipet period extension</v>
      </c>
      <c r="F250" s="5" t="s">
        <v>732</v>
      </c>
    </row>
    <row r="251" ht="15.75" customHeight="1">
      <c r="A251" s="1">
        <v>249.0</v>
      </c>
      <c r="B251" s="4" t="s">
        <v>733</v>
      </c>
      <c r="C251" s="4" t="s">
        <v>734</v>
      </c>
      <c r="D251" s="4">
        <f t="shared" si="1"/>
        <v>13</v>
      </c>
      <c r="E251" s="4" t="str">
        <f>IFERROR(__xludf.DUMMYFUNCTION("GOOGLETRANSLATE(C251,""ja"",""en"")"),"Minippet seal")</f>
        <v>Minippet seal</v>
      </c>
      <c r="F251" s="5" t="s">
        <v>735</v>
      </c>
    </row>
    <row r="252" ht="15.75" customHeight="1">
      <c r="A252" s="1">
        <v>250.0</v>
      </c>
      <c r="B252" s="4" t="s">
        <v>736</v>
      </c>
      <c r="C252" s="4" t="s">
        <v>737</v>
      </c>
      <c r="D252" s="4">
        <f t="shared" si="1"/>
        <v>19</v>
      </c>
      <c r="E252" s="4" t="str">
        <f>IFERROR(__xludf.DUMMYFUNCTION("GOOGLETRANSLATE(C252,""ja"",""en"")"),"Minipet name change")</f>
        <v>Minipet name change</v>
      </c>
      <c r="F252" s="5" t="s">
        <v>738</v>
      </c>
    </row>
    <row r="253" ht="15.75" customHeight="1">
      <c r="A253" s="1">
        <v>251.0</v>
      </c>
      <c r="B253" s="4" t="s">
        <v>739</v>
      </c>
      <c r="C253" s="4" t="s">
        <v>740</v>
      </c>
      <c r="D253" s="4">
        <f t="shared" si="1"/>
        <v>26</v>
      </c>
      <c r="E253" s="4" t="str">
        <f>IFERROR(__xludf.DUMMYFUNCTION("GOOGLETRANSLATE(C253,""ja"",""en"")"),"A bag containing a minipet")</f>
        <v>A bag containing a minipet</v>
      </c>
      <c r="F253" s="5" t="s">
        <v>741</v>
      </c>
    </row>
    <row r="254" ht="15.75" customHeight="1">
      <c r="A254" s="1">
        <v>252.0</v>
      </c>
      <c r="B254" s="4" t="s">
        <v>742</v>
      </c>
      <c r="C254" s="4" t="s">
        <v>743</v>
      </c>
      <c r="D254" s="4">
        <f t="shared" si="1"/>
        <v>12</v>
      </c>
      <c r="E254" s="4" t="str">
        <f>IFERROR(__xludf.DUMMYFUNCTION("GOOGLETRANSLATE(C254,""ja"",""en"")"),"Minipet food")</f>
        <v>Minipet food</v>
      </c>
      <c r="F254" s="5" t="s">
        <v>744</v>
      </c>
    </row>
    <row r="255" ht="15.75" customHeight="1">
      <c r="A255" s="1">
        <v>253.0</v>
      </c>
      <c r="B255" s="4" t="s">
        <v>745</v>
      </c>
      <c r="C255" s="4" t="s">
        <v>743</v>
      </c>
      <c r="D255" s="4">
        <f t="shared" si="1"/>
        <v>12</v>
      </c>
      <c r="E255" s="4" t="str">
        <f>IFERROR(__xludf.DUMMYFUNCTION("GOOGLETRANSLATE(C255,""ja"",""en"")"),"Minipet food")</f>
        <v>Minipet food</v>
      </c>
      <c r="F255" s="5" t="s">
        <v>744</v>
      </c>
    </row>
    <row r="256" ht="15.75" customHeight="1">
      <c r="A256" s="1">
        <v>254.0</v>
      </c>
      <c r="B256" s="4" t="s">
        <v>746</v>
      </c>
      <c r="C256" s="4" t="s">
        <v>743</v>
      </c>
      <c r="D256" s="4">
        <f t="shared" si="1"/>
        <v>12</v>
      </c>
      <c r="E256" s="4" t="str">
        <f>IFERROR(__xludf.DUMMYFUNCTION("GOOGLETRANSLATE(C256,""ja"",""en"")"),"Minipet food")</f>
        <v>Minipet food</v>
      </c>
      <c r="F256" s="5" t="s">
        <v>744</v>
      </c>
    </row>
    <row r="257" ht="15.75" customHeight="1">
      <c r="A257" s="1">
        <v>255.0</v>
      </c>
      <c r="B257" s="4" t="s">
        <v>747</v>
      </c>
      <c r="C257" s="4" t="s">
        <v>748</v>
      </c>
      <c r="D257" s="4">
        <f t="shared" si="1"/>
        <v>68</v>
      </c>
      <c r="E257" s="4" t="str">
        <f>IFERROR(__xludf.DUMMYFUNCTION("GOOGLETRANSLATE(C257,""ja"",""en"")"),"You can activate two mini pets at the same time
-The period [0] day")</f>
        <v>You can activate two mini pets at the same time
-The period [0] day</v>
      </c>
      <c r="F257" s="5" t="s">
        <v>749</v>
      </c>
    </row>
    <row r="258" ht="15.75" customHeight="1">
      <c r="A258" s="1">
        <v>256.0</v>
      </c>
      <c r="B258" s="4" t="s">
        <v>750</v>
      </c>
      <c r="C258" s="4" t="s">
        <v>751</v>
      </c>
      <c r="D258" s="4">
        <f t="shared" si="1"/>
        <v>16</v>
      </c>
      <c r="E258" s="4" t="str">
        <f>IFERROR(__xludf.DUMMYFUNCTION("GOOGLETRANSLATE(C258,""ja"",""en"")"),"Title level rise")</f>
        <v>Title level rise</v>
      </c>
      <c r="F258" s="5" t="s">
        <v>752</v>
      </c>
    </row>
    <row r="259" ht="15.75" customHeight="1">
      <c r="A259" s="1">
        <v>257.0</v>
      </c>
      <c r="B259" s="4" t="s">
        <v>753</v>
      </c>
      <c r="C259" s="4" t="s">
        <v>754</v>
      </c>
      <c r="D259" s="4">
        <f t="shared" si="1"/>
        <v>38</v>
      </c>
      <c r="E259" s="4" t="str">
        <f>IFERROR(__xludf.DUMMYFUNCTION("GOOGLETRANSLATE(C259,""ja"",""en"")"),"Changed notable items to trading items")</f>
        <v>Changed notable items to trading items</v>
      </c>
      <c r="F259" s="5" t="s">
        <v>755</v>
      </c>
    </row>
    <row r="260" ht="15.75" customHeight="1">
      <c r="A260" s="1">
        <v>258.0</v>
      </c>
      <c r="B260" s="4" t="s">
        <v>756</v>
      </c>
      <c r="C260" s="4" t="s">
        <v>648</v>
      </c>
      <c r="D260" s="4">
        <f t="shared" si="1"/>
        <v>64</v>
      </c>
      <c r="E260" s="4" t="str">
        <f>IFERROR(__xludf.DUMMYFUNCTION("GOOGLETRANSLATE(C260,""ja"",""en"")"),"Guild skill point redistribution (excluding stone statue skills)")</f>
        <v>Guild skill point redistribution (excluding stone statue skills)</v>
      </c>
      <c r="F260" s="5" t="s">
        <v>649</v>
      </c>
    </row>
    <row r="261" ht="15.75" customHeight="1">
      <c r="A261" s="1">
        <v>259.0</v>
      </c>
      <c r="B261" s="4" t="s">
        <v>757</v>
      </c>
      <c r="C261" s="4" t="s">
        <v>758</v>
      </c>
      <c r="D261" s="4">
        <f t="shared" si="1"/>
        <v>7</v>
      </c>
      <c r="E261" s="4" t="str">
        <f>IFERROR(__xludf.DUMMYFUNCTION("GOOGLETRANSLATE(C261,""ja"",""en"")"),"HP [+1]")</f>
        <v>HP [+1]</v>
      </c>
      <c r="F261" s="5" t="s">
        <v>758</v>
      </c>
    </row>
    <row r="262" ht="15.75" customHeight="1">
      <c r="A262" s="1">
        <v>260.0</v>
      </c>
      <c r="B262" s="4" t="s">
        <v>759</v>
      </c>
      <c r="C262" s="4" t="s">
        <v>760</v>
      </c>
      <c r="D262" s="4">
        <f t="shared" si="1"/>
        <v>7</v>
      </c>
      <c r="E262" s="4" t="str">
        <f>IFERROR(__xludf.DUMMYFUNCTION("GOOGLETRANSLATE(C262,""ja"",""en"")"),"CP [+1]")</f>
        <v>CP [+1]</v>
      </c>
      <c r="F262" s="5" t="s">
        <v>760</v>
      </c>
    </row>
    <row r="263" ht="15.75" customHeight="1">
      <c r="A263" s="1">
        <v>261.0</v>
      </c>
      <c r="B263" s="4" t="s">
        <v>761</v>
      </c>
      <c r="C263" s="4" t="s">
        <v>762</v>
      </c>
      <c r="D263" s="4">
        <f t="shared" si="1"/>
        <v>54</v>
      </c>
      <c r="E263" s="4" t="str">
        <f>IFERROR(__xludf.DUMMYFUNCTION("GOOGLETRANSLATE(C263,""ja"",""en"")"),"[0] High level limit items can be used from your level")</f>
        <v>[0] High level limit items can be used from your level</v>
      </c>
      <c r="F263" s="5" t="s">
        <v>763</v>
      </c>
    </row>
    <row r="264" ht="15.75" customHeight="1">
      <c r="A264" s="1">
        <v>262.0</v>
      </c>
      <c r="B264" s="4" t="s">
        <v>764</v>
      </c>
      <c r="C264" s="4" t="s">
        <v>765</v>
      </c>
      <c r="D264" s="4">
        <f t="shared" si="1"/>
        <v>24</v>
      </c>
      <c r="E264" s="4" t="str">
        <f>IFERROR(__xludf.DUMMYFUNCTION("GOOGLETRANSLATE(C264,""ja"",""en"")"),"One skill initialization")</f>
        <v>One skill initialization</v>
      </c>
      <c r="F264" s="5" t="s">
        <v>766</v>
      </c>
    </row>
    <row r="265" ht="15.75" customHeight="1">
      <c r="A265" s="1">
        <v>263.0</v>
      </c>
      <c r="B265" s="4" t="s">
        <v>767</v>
      </c>
      <c r="C265" s="4" t="s">
        <v>768</v>
      </c>
      <c r="D265" s="4">
        <f t="shared" si="1"/>
        <v>25</v>
      </c>
      <c r="E265" s="4" t="str">
        <f>IFERROR(__xludf.DUMMYFUNCTION("GOOGLETRANSLATE(C265,""ja"",""en"")"),"One status initialization")</f>
        <v>One status initialization</v>
      </c>
      <c r="F265" s="5" t="s">
        <v>769</v>
      </c>
    </row>
    <row r="266" ht="15.75" customHeight="1">
      <c r="A266" s="1">
        <v>264.0</v>
      </c>
      <c r="B266" s="4" t="s">
        <v>770</v>
      </c>
      <c r="C266" s="4" t="s">
        <v>771</v>
      </c>
      <c r="D266" s="4">
        <f t="shared" si="1"/>
        <v>13</v>
      </c>
      <c r="E266" s="4" t="str">
        <f>IFERROR(__xludf.DUMMYFUNCTION("GOOGLETRANSLATE(C266,""ja"",""en"")"),"Title removal")</f>
        <v>Title removal</v>
      </c>
      <c r="F266" s="5" t="s">
        <v>772</v>
      </c>
    </row>
    <row r="267" ht="15.75" customHeight="1">
      <c r="A267" s="1">
        <v>265.0</v>
      </c>
      <c r="B267" s="4" t="s">
        <v>773</v>
      </c>
      <c r="C267" s="4" t="s">
        <v>774</v>
      </c>
      <c r="D267" s="4">
        <f t="shared" si="1"/>
        <v>16</v>
      </c>
      <c r="E267" s="4" t="str">
        <f>IFERROR(__xludf.DUMMYFUNCTION("GOOGLETRANSLATE(C267,""ja"",""en"")"),"Item duplication")</f>
        <v>Item duplication</v>
      </c>
      <c r="F267" s="5" t="s">
        <v>775</v>
      </c>
    </row>
    <row r="268" ht="15.75" customHeight="1">
      <c r="A268" s="1">
        <v>266.0</v>
      </c>
      <c r="B268" s="4" t="s">
        <v>776</v>
      </c>
      <c r="C268" s="4" t="s">
        <v>777</v>
      </c>
      <c r="D268" s="4">
        <f t="shared" si="1"/>
        <v>26</v>
      </c>
      <c r="E268" s="4" t="str">
        <f>IFERROR(__xludf.DUMMYFUNCTION("GOOGLETRANSLATE(C268,""ja"",""en"")"),"General item title upgrade")</f>
        <v>General item title upgrade</v>
      </c>
      <c r="F268" s="5" t="s">
        <v>778</v>
      </c>
    </row>
    <row r="269" ht="15.75" customHeight="1">
      <c r="A269" s="1">
        <v>267.0</v>
      </c>
      <c r="B269" s="4" t="s">
        <v>779</v>
      </c>
      <c r="C269" s="4" t="s">
        <v>780</v>
      </c>
      <c r="D269" s="4">
        <f t="shared" si="1"/>
        <v>36</v>
      </c>
      <c r="E269" s="4" t="str">
        <f>IFERROR(__xludf.DUMMYFUNCTION("GOOGLETRANSLATE(C269,""ja"",""en"")"),"General item performance improvement")</f>
        <v>General item performance improvement</v>
      </c>
      <c r="F269" s="5" t="s">
        <v>781</v>
      </c>
    </row>
    <row r="270" ht="15.75" customHeight="1">
      <c r="A270" s="1">
        <v>268.0</v>
      </c>
      <c r="B270" s="4" t="s">
        <v>782</v>
      </c>
      <c r="C270" s="4" t="s">
        <v>783</v>
      </c>
      <c r="D270" s="4">
        <f t="shared" si="1"/>
        <v>25</v>
      </c>
      <c r="E270" s="4" t="str">
        <f>IFERROR(__xludf.DUMMYFUNCTION("GOOGLETRANSLATE(C270,""ja"",""en"")"),"Unique item title upgrade")</f>
        <v>Unique item title upgrade</v>
      </c>
      <c r="F270" s="5" t="s">
        <v>784</v>
      </c>
    </row>
    <row r="271" ht="15.75" customHeight="1">
      <c r="A271" s="1">
        <v>269.0</v>
      </c>
      <c r="B271" s="4" t="s">
        <v>785</v>
      </c>
      <c r="C271" s="4" t="s">
        <v>786</v>
      </c>
      <c r="D271" s="4">
        <f t="shared" si="1"/>
        <v>38</v>
      </c>
      <c r="E271" s="4" t="str">
        <f>IFERROR(__xludf.DUMMYFUNCTION("GOOGLETRANSLATE(C271,""ja"",""en"")"),"Improvement of unique item performance")</f>
        <v>Improvement of unique item performance</v>
      </c>
      <c r="F271" s="5" t="s">
        <v>787</v>
      </c>
    </row>
    <row r="272" ht="15.75" customHeight="1">
      <c r="A272" s="1">
        <v>270.0</v>
      </c>
      <c r="B272" s="4" t="s">
        <v>788</v>
      </c>
      <c r="C272" s="4" t="s">
        <v>789</v>
      </c>
      <c r="D272" s="4">
        <f t="shared" si="1"/>
        <v>38</v>
      </c>
      <c r="E272" s="4" t="str">
        <f>IFERROR(__xludf.DUMMYFUNCTION("GOOGLETRANSLATE(C272,""ja"",""en"")"),"Combine two of the same types of items")</f>
        <v>Combine two of the same types of items</v>
      </c>
      <c r="F272" s="5" t="s">
        <v>790</v>
      </c>
    </row>
    <row r="273" ht="15.75" customHeight="1">
      <c r="A273" s="1">
        <v>271.0</v>
      </c>
      <c r="B273" s="4" t="s">
        <v>791</v>
      </c>
      <c r="C273" s="4" t="s">
        <v>792</v>
      </c>
      <c r="D273" s="4">
        <f t="shared" si="1"/>
        <v>25</v>
      </c>
      <c r="E273" s="4" t="str">
        <f>IFERROR(__xludf.DUMMYFUNCTION("GOOGLETRANSLATE(C273,""ja"",""en"")"),"Intectory value selection")</f>
        <v>Intectory value selection</v>
      </c>
      <c r="F273" s="5" t="s">
        <v>793</v>
      </c>
    </row>
    <row r="274" ht="15.75" customHeight="1">
      <c r="A274" s="1">
        <v>272.0</v>
      </c>
      <c r="B274" s="4" t="s">
        <v>794</v>
      </c>
      <c r="C274" s="4" t="s">
        <v>795</v>
      </c>
      <c r="D274" s="4">
        <f t="shared" si="1"/>
        <v>10</v>
      </c>
      <c r="E274" s="4" t="str">
        <f>IFERROR(__xludf.DUMMYFUNCTION("GOOGLETRANSLATE(C274,""ja"",""en"")"),"Time stamp")</f>
        <v>Time stamp</v>
      </c>
      <c r="F274" s="5" t="s">
        <v>796</v>
      </c>
    </row>
    <row r="275" ht="15.75" customHeight="1">
      <c r="A275" s="1">
        <v>273.0</v>
      </c>
      <c r="B275" s="4" t="s">
        <v>797</v>
      </c>
      <c r="C275" s="4" t="s">
        <v>798</v>
      </c>
      <c r="D275" s="4">
        <f t="shared" si="1"/>
        <v>11</v>
      </c>
      <c r="E275" s="4" t="str">
        <f>IFERROR(__xludf.DUMMYFUNCTION("GOOGLETRANSLATE(C275,""ja"",""en"")"),"Added title")</f>
        <v>Added title</v>
      </c>
      <c r="F275" s="5" t="s">
        <v>799</v>
      </c>
    </row>
    <row r="276" ht="15.75" customHeight="1">
      <c r="A276" s="1">
        <v>274.0</v>
      </c>
      <c r="B276" s="4" t="s">
        <v>800</v>
      </c>
      <c r="C276" s="4" t="s">
        <v>801</v>
      </c>
      <c r="D276" s="4">
        <f t="shared" si="1"/>
        <v>27</v>
      </c>
      <c r="E276" s="4" t="str">
        <f>IFERROR(__xludf.DUMMYFUNCTION("GOOGLETRANSLATE(C276,""ja"",""en"")"),"Experience bonus in hunting")</f>
        <v>Experience bonus in hunting</v>
      </c>
      <c r="F276" s="5" t="s">
        <v>802</v>
      </c>
    </row>
    <row r="277" ht="15.75" customHeight="1">
      <c r="A277" s="1">
        <v>275.0</v>
      </c>
      <c r="B277" s="4" t="s">
        <v>803</v>
      </c>
      <c r="C277" s="4" t="s">
        <v>804</v>
      </c>
      <c r="D277" s="4">
        <f t="shared" si="1"/>
        <v>21</v>
      </c>
      <c r="E277" s="4" t="str">
        <f>IFERROR(__xludf.DUMMYFUNCTION("GOOGLETRANSLATE(C277,""ja"",""en"")"),"Engraved on the badge")</f>
        <v>Engraved on the badge</v>
      </c>
      <c r="F277" s="5" t="s">
        <v>805</v>
      </c>
    </row>
    <row r="278" ht="15.75" customHeight="1">
      <c r="A278" s="1">
        <v>276.0</v>
      </c>
      <c r="B278" s="4" t="s">
        <v>806</v>
      </c>
      <c r="C278" s="4" t="s">
        <v>807</v>
      </c>
      <c r="D278" s="4">
        <f t="shared" si="1"/>
        <v>10</v>
      </c>
      <c r="E278" s="4" t="str">
        <f>IFERROR(__xludf.DUMMYFUNCTION("GOOGLETRANSLATE(C278,""ja"",""en"")"),"Life stone")</f>
        <v>Life stone</v>
      </c>
      <c r="F278" s="5" t="s">
        <v>808</v>
      </c>
    </row>
    <row r="279" ht="15.75" customHeight="1">
      <c r="A279" s="1">
        <v>277.0</v>
      </c>
      <c r="B279" s="4" t="s">
        <v>809</v>
      </c>
      <c r="C279" s="4" t="s">
        <v>810</v>
      </c>
      <c r="D279" s="4">
        <f t="shared" si="1"/>
        <v>87</v>
      </c>
      <c r="E279" s="4" t="str">
        <f>IFERROR(__xludf.DUMMYFUNCTION("GOOGLETRANSLATE(C279,""ja"",""en"")"),"Summon a fireared lake carpet (carpet), which is faster than the magic carpet (carpet).")</f>
        <v>Summon a fireared lake carpet (carpet), which is faster than the magic carpet (carpet).</v>
      </c>
      <c r="F279" s="7" t="s">
        <v>811</v>
      </c>
    </row>
    <row r="280" ht="15.75" customHeight="1">
      <c r="A280" s="1">
        <v>278.0</v>
      </c>
      <c r="B280" s="4" t="s">
        <v>812</v>
      </c>
      <c r="C280" s="4" t="s">
        <v>813</v>
      </c>
      <c r="D280" s="4">
        <f t="shared" si="1"/>
        <v>14</v>
      </c>
      <c r="E280" s="4" t="str">
        <f>IFERROR(__xludf.DUMMYFUNCTION("GOOGLETRANSLATE(C280,""ja"",""en"")"),"Fire's furious")</f>
        <v>Fire's furious</v>
      </c>
      <c r="F280" s="5" t="s">
        <v>814</v>
      </c>
    </row>
    <row r="281" ht="15.75" customHeight="1">
      <c r="A281" s="1">
        <v>279.0</v>
      </c>
      <c r="B281" s="4" t="s">
        <v>815</v>
      </c>
      <c r="C281" s="4" t="s">
        <v>816</v>
      </c>
      <c r="D281" s="4">
        <f t="shared" si="1"/>
        <v>10</v>
      </c>
      <c r="E281" s="4" t="str">
        <f>IFERROR(__xludf.DUMMYFUNCTION("GOOGLETRANSLATE(C281,""ja"",""en"")"),"Water wave")</f>
        <v>Water wave</v>
      </c>
      <c r="F281" s="5" t="s">
        <v>817</v>
      </c>
    </row>
    <row r="282" ht="15.75" customHeight="1">
      <c r="A282" s="1">
        <v>280.0</v>
      </c>
      <c r="B282" s="4" t="s">
        <v>818</v>
      </c>
      <c r="C282" s="4" t="s">
        <v>819</v>
      </c>
      <c r="D282" s="4">
        <f t="shared" si="1"/>
        <v>15</v>
      </c>
      <c r="E282" s="4" t="str">
        <f>IFERROR(__xludf.DUMMYFUNCTION("GOOGLETRANSLATE(C282,""ja"",""en"")"),"Breeze blessing")</f>
        <v>Breeze blessing</v>
      </c>
      <c r="F282" s="5" t="s">
        <v>820</v>
      </c>
    </row>
    <row r="283" ht="15.75" customHeight="1">
      <c r="A283" s="1">
        <v>281.0</v>
      </c>
      <c r="B283" s="4" t="s">
        <v>821</v>
      </c>
      <c r="C283" s="4" t="s">
        <v>822</v>
      </c>
      <c r="D283" s="4">
        <f t="shared" si="1"/>
        <v>22</v>
      </c>
      <c r="E283" s="4" t="str">
        <f>IFERROR(__xludf.DUMMYFUNCTION("GOOGLETRANSLATE(C283,""ja"",""en"")"),"The sound of the earth")</f>
        <v>The sound of the earth</v>
      </c>
      <c r="F283" s="5" t="s">
        <v>823</v>
      </c>
    </row>
    <row r="284" ht="15.75" customHeight="1">
      <c r="A284" s="1">
        <v>282.0</v>
      </c>
      <c r="B284" s="4" t="s">
        <v>824</v>
      </c>
      <c r="C284" s="4" t="s">
        <v>825</v>
      </c>
      <c r="D284" s="4">
        <f t="shared" si="1"/>
        <v>17</v>
      </c>
      <c r="E284" s="4" t="str">
        <f>IFERROR(__xludf.DUMMYFUNCTION("GOOGLETRANSLATE(C284,""ja"",""en"")"),"Engraved the rune")</f>
        <v>Engraved the rune</v>
      </c>
      <c r="F284" s="5" t="s">
        <v>826</v>
      </c>
    </row>
    <row r="285" ht="15.75" customHeight="1">
      <c r="A285" s="1">
        <v>283.0</v>
      </c>
      <c r="B285" s="4" t="s">
        <v>827</v>
      </c>
      <c r="C285" s="4" t="s">
        <v>828</v>
      </c>
      <c r="D285" s="4">
        <f t="shared" si="1"/>
        <v>17</v>
      </c>
      <c r="E285" s="4" t="str">
        <f>IFERROR(__xludf.DUMMYFUNCTION("GOOGLETRANSLATE(C285,""ja"",""en"")"),"Awakening species")</f>
        <v>Awakening species</v>
      </c>
      <c r="F285" s="5" t="s">
        <v>829</v>
      </c>
    </row>
    <row r="286" ht="15.75" customHeight="1">
      <c r="A286" s="1">
        <v>284.0</v>
      </c>
      <c r="B286" s="4" t="s">
        <v>830</v>
      </c>
      <c r="C286" s="4" t="s">
        <v>831</v>
      </c>
      <c r="D286" s="4">
        <f t="shared" si="1"/>
        <v>15</v>
      </c>
      <c r="E286" s="4" t="str">
        <f>IFERROR(__xludf.DUMMYFUNCTION("GOOGLETRANSLATE(C286,""ja"",""en"")"),"Awakening fruit")</f>
        <v>Awakening fruit</v>
      </c>
      <c r="F286" s="5" t="s">
        <v>832</v>
      </c>
    </row>
    <row r="287" ht="15.75" customHeight="1">
      <c r="A287" s="1">
        <v>285.0</v>
      </c>
      <c r="B287" s="4" t="s">
        <v>833</v>
      </c>
      <c r="C287" s="4" t="s">
        <v>834</v>
      </c>
      <c r="D287" s="4">
        <f t="shared" si="1"/>
        <v>25</v>
      </c>
      <c r="E287" s="4" t="str">
        <f>IFERROR(__xludf.DUMMYFUNCTION("GOOGLETRANSLATE(C287,""ja"",""en"")"),"Guild Mark Signal Package")</f>
        <v>Guild Mark Signal Package</v>
      </c>
      <c r="F287" s="5" t="s">
        <v>835</v>
      </c>
    </row>
    <row r="288" ht="15.75" customHeight="1">
      <c r="A288" s="1">
        <v>286.0</v>
      </c>
      <c r="B288" s="4" t="s">
        <v>836</v>
      </c>
      <c r="C288" s="4" t="s">
        <v>837</v>
      </c>
      <c r="D288" s="4">
        <f t="shared" si="1"/>
        <v>27</v>
      </c>
      <c r="E288" s="4" t="str">
        <f>IFERROR(__xludf.DUMMYFUNCTION("GOOGLETRANSLATE(C288,""ja"",""en"")"),"Guild mark unique 1 package")</f>
        <v>Guild mark unique 1 package</v>
      </c>
      <c r="F288" s="5" t="s">
        <v>838</v>
      </c>
    </row>
    <row r="289" ht="15.75" customHeight="1">
      <c r="A289" s="1">
        <v>287.0</v>
      </c>
      <c r="B289" s="4" t="s">
        <v>839</v>
      </c>
      <c r="C289" s="4" t="s">
        <v>840</v>
      </c>
      <c r="D289" s="4">
        <f t="shared" si="1"/>
        <v>27</v>
      </c>
      <c r="E289" s="4" t="str">
        <f>IFERROR(__xludf.DUMMYFUNCTION("GOOGLETRANSLATE(C289,""ja"",""en"")"),"Guild Mark Unique 2 Package")</f>
        <v>Guild Mark Unique 2 Package</v>
      </c>
      <c r="F289" s="5" t="s">
        <v>841</v>
      </c>
    </row>
    <row r="290" ht="15.75" customHeight="1">
      <c r="A290" s="1">
        <v>288.0</v>
      </c>
      <c r="B290" s="4" t="s">
        <v>842</v>
      </c>
      <c r="C290" s="4" t="s">
        <v>843</v>
      </c>
      <c r="D290" s="4">
        <f t="shared" si="1"/>
        <v>42</v>
      </c>
      <c r="E290" s="4" t="str">
        <f>IFERROR(__xludf.DUMMYFUNCTION("GOOGLETRANSLATE(C290,""ja"",""en"")"),"HP [0] &lt;c: ltyellow&gt; 00 &lt;n&gt; Point recovery")</f>
        <v>HP [0] &lt;c: ltyellow&gt; 00 &lt;n&gt; Point recovery</v>
      </c>
      <c r="F290" s="5" t="s">
        <v>844</v>
      </c>
    </row>
    <row r="291" ht="15.75" customHeight="1">
      <c r="A291" s="1">
        <v>289.0</v>
      </c>
      <c r="B291" s="4" t="s">
        <v>845</v>
      </c>
      <c r="C291" s="4" t="s">
        <v>846</v>
      </c>
      <c r="D291" s="4">
        <f t="shared" si="1"/>
        <v>41</v>
      </c>
      <c r="E291" s="4" t="str">
        <f>IFERROR(__xludf.DUMMYFUNCTION("GOOGLETRANSLATE(C291,""ja"",""en"")"),"CP [0] &lt;c: ltyellow&gt; 00 &lt;n&gt; Point filling")</f>
        <v>CP [0] &lt;c: ltyellow&gt; 00 &lt;n&gt; Point filling</v>
      </c>
      <c r="F291" s="5" t="s">
        <v>847</v>
      </c>
    </row>
    <row r="292" ht="15.75" customHeight="1">
      <c r="A292" s="1">
        <v>290.0</v>
      </c>
      <c r="B292" s="4" t="s">
        <v>848</v>
      </c>
      <c r="C292" s="4" t="s">
        <v>849</v>
      </c>
      <c r="D292" s="4">
        <f t="shared" si="1"/>
        <v>3</v>
      </c>
      <c r="E292" s="4" t="str">
        <f>IFERROR(__xludf.DUMMYFUNCTION("GOOGLETRANSLATE(C292,""ja"",""en"")"),"[*]")</f>
        <v>[*]</v>
      </c>
      <c r="F292" s="5" t="s">
        <v>849</v>
      </c>
    </row>
    <row r="293" ht="15.75" customHeight="1">
      <c r="A293" s="1">
        <v>291.0</v>
      </c>
      <c r="B293" s="4" t="s">
        <v>850</v>
      </c>
      <c r="C293" s="4" t="s">
        <v>851</v>
      </c>
      <c r="D293" s="4">
        <f t="shared" si="1"/>
        <v>33</v>
      </c>
      <c r="E293" s="4" t="str">
        <f>IFERROR(__xludf.DUMMYFUNCTION("GOOGLETRANSLATE(C293,""ja"",""en"")"),"Status point power redistribution")</f>
        <v>Status point power redistribution</v>
      </c>
      <c r="F293" s="5" t="s">
        <v>852</v>
      </c>
    </row>
    <row r="294" ht="15.75" customHeight="1">
      <c r="A294" s="1">
        <v>292.0</v>
      </c>
      <c r="B294" s="4" t="s">
        <v>853</v>
      </c>
      <c r="C294" s="4" t="s">
        <v>854</v>
      </c>
      <c r="D294" s="4">
        <f t="shared" si="1"/>
        <v>35</v>
      </c>
      <c r="E294" s="4" t="str">
        <f>IFERROR(__xludf.DUMMYFUNCTION("GOOGLETRANSLATE(C294,""ja"",""en"")"),"Status point agility redistribution")</f>
        <v>Status point agility redistribution</v>
      </c>
      <c r="F294" s="5" t="s">
        <v>855</v>
      </c>
    </row>
    <row r="295" ht="15.75" customHeight="1">
      <c r="A295" s="1">
        <v>293.0</v>
      </c>
      <c r="B295" s="4" t="s">
        <v>856</v>
      </c>
      <c r="C295" s="4" t="s">
        <v>857</v>
      </c>
      <c r="D295" s="4">
        <f t="shared" si="1"/>
        <v>34</v>
      </c>
      <c r="E295" s="4" t="str">
        <f>IFERROR(__xludf.DUMMYFUNCTION("GOOGLETRANSLATE(C295,""ja"",""en"")"),"Status point health redistribution")</f>
        <v>Status point health redistribution</v>
      </c>
      <c r="F295" s="5" t="s">
        <v>858</v>
      </c>
    </row>
    <row r="296" ht="15.75" customHeight="1">
      <c r="A296" s="1">
        <v>294.0</v>
      </c>
      <c r="B296" s="4" t="s">
        <v>859</v>
      </c>
      <c r="C296" s="4" t="s">
        <v>860</v>
      </c>
      <c r="D296" s="4">
        <f t="shared" si="1"/>
        <v>37</v>
      </c>
      <c r="E296" s="4" t="str">
        <f>IFERROR(__xludf.DUMMYFUNCTION("GOOGLETRANSLATE(C296,""ja"",""en"")"),"Status point knowledge redistribution")</f>
        <v>Status point knowledge redistribution</v>
      </c>
      <c r="F296" s="5" t="s">
        <v>861</v>
      </c>
    </row>
    <row r="297" ht="15.75" customHeight="1">
      <c r="A297" s="1">
        <v>295.0</v>
      </c>
      <c r="B297" s="4" t="s">
        <v>862</v>
      </c>
      <c r="C297" s="4" t="s">
        <v>863</v>
      </c>
      <c r="D297" s="4">
        <f t="shared" si="1"/>
        <v>34</v>
      </c>
      <c r="E297" s="4" t="str">
        <f>IFERROR(__xludf.DUMMYFUNCTION("GOOGLETRANSLATE(C297,""ja"",""en"")"),"Status point wisdom redistribution")</f>
        <v>Status point wisdom redistribution</v>
      </c>
      <c r="F297" s="5" t="s">
        <v>864</v>
      </c>
    </row>
    <row r="298" ht="15.75" customHeight="1">
      <c r="A298" s="1">
        <v>296.0</v>
      </c>
      <c r="B298" s="4" t="s">
        <v>865</v>
      </c>
      <c r="C298" s="4" t="s">
        <v>866</v>
      </c>
      <c r="D298" s="4">
        <f t="shared" si="1"/>
        <v>38</v>
      </c>
      <c r="E298" s="4" t="str">
        <f>IFERROR(__xludf.DUMMYFUNCTION("GOOGLETRANSLATE(C298,""ja"",""en"")"),"Status Point Calismatic Redistribution")</f>
        <v>Status Point Calismatic Redistribution</v>
      </c>
      <c r="F298" s="5" t="s">
        <v>867</v>
      </c>
    </row>
    <row r="299" ht="15.75" customHeight="1">
      <c r="A299" s="1">
        <v>297.0</v>
      </c>
      <c r="B299" s="4" t="s">
        <v>868</v>
      </c>
      <c r="C299" s="4" t="s">
        <v>869</v>
      </c>
      <c r="D299" s="4">
        <f t="shared" si="1"/>
        <v>32</v>
      </c>
      <c r="E299" s="4" t="str">
        <f>IFERROR(__xludf.DUMMYFUNCTION("GOOGLETRANSLATE(C299,""ja"",""en"")"),"Status point luck redistribution")</f>
        <v>Status point luck redistribution</v>
      </c>
      <c r="F299" s="5" t="s">
        <v>870</v>
      </c>
    </row>
    <row r="300" ht="15.75" customHeight="1">
      <c r="A300" s="1">
        <v>298.0</v>
      </c>
      <c r="B300" s="4" t="s">
        <v>871</v>
      </c>
      <c r="C300" s="4" t="s">
        <v>872</v>
      </c>
      <c r="D300" s="4">
        <f t="shared" si="1"/>
        <v>50</v>
      </c>
      <c r="E300" s="4" t="str">
        <f>IFERROR(__xludf.DUMMYFUNCTION("GOOGLETRANSLATE(C300,""ja"",""en"")"),"You can move freely on the field on the world map.")</f>
        <v>You can move freely on the field on the world map.</v>
      </c>
      <c r="F300" s="5" t="s">
        <v>873</v>
      </c>
    </row>
    <row r="301" ht="15.75" customHeight="1">
      <c r="A301" s="1">
        <v>299.0</v>
      </c>
      <c r="B301" s="4" t="s">
        <v>874</v>
      </c>
      <c r="C301" s="4" t="s">
        <v>875</v>
      </c>
      <c r="D301" s="4">
        <f t="shared" si="1"/>
        <v>90</v>
      </c>
      <c r="E301" s="4" t="str">
        <f>IFERROR(__xludf.DUMMYFUNCTION("GOOGLETRANSLATE(C301,""ja"",""en"")"),"[0] &lt;c: ltyellow&gt; seconds &lt;n&gt; Maximum HP and CP are increased [1] &lt;c: ltyellow&gt; % &lt;n&gt; &lt;n&gt;.")</f>
        <v>[0] &lt;c: ltyellow&gt; seconds &lt;n&gt; Maximum HP and CP are increased [1] &lt;c: ltyellow&gt; % &lt;n&gt; &lt;n&gt;.</v>
      </c>
      <c r="F301" s="7" t="s">
        <v>876</v>
      </c>
    </row>
    <row r="302" ht="15.75" customHeight="1">
      <c r="A302" s="1">
        <v>300.0</v>
      </c>
      <c r="B302" s="4" t="s">
        <v>877</v>
      </c>
      <c r="C302" s="4" t="s">
        <v>878</v>
      </c>
      <c r="D302" s="4">
        <f t="shared" si="1"/>
        <v>84</v>
      </c>
      <c r="E302" s="4" t="str">
        <f>IFERROR(__xludf.DUMMYFUNCTION("GOOGLETRANSLATE(C302,""ja"",""en"")"),"Increase [0] &lt;c: ltyellow&gt; times &lt;n&gt; the number of secret dungeon admission per day.")</f>
        <v>Increase [0] &lt;c: ltyellow&gt; times &lt;n&gt; the number of secret dungeon admission per day.</v>
      </c>
      <c r="F302" s="7" t="s">
        <v>879</v>
      </c>
    </row>
    <row r="303" ht="15.75" customHeight="1">
      <c r="A303" s="1">
        <v>301.0</v>
      </c>
      <c r="B303" s="4" t="s">
        <v>880</v>
      </c>
      <c r="C303" s="4" t="s">
        <v>881</v>
      </c>
      <c r="D303" s="4">
        <f t="shared" si="1"/>
        <v>69</v>
      </c>
      <c r="E303" s="4" t="str">
        <f>IFERROR(__xludf.DUMMYFUNCTION("GOOGLETRANSLATE(C303,""ja"",""en"")"),"[0] &lt;c: ltyellow&gt; Points &lt;n&gt; &lt;n&gt; &lt;n&gt; &lt;n&gt; where the minipet eats food.")</f>
        <v>[0] &lt;c: ltyellow&gt; Points &lt;n&gt; &lt;n&gt; &lt;n&gt; &lt;n&gt; where the minipet eats food.</v>
      </c>
      <c r="F303" s="7" t="s">
        <v>882</v>
      </c>
    </row>
    <row r="304" ht="15.75" customHeight="1">
      <c r="A304" s="1">
        <v>302.0</v>
      </c>
      <c r="B304" s="4" t="s">
        <v>883</v>
      </c>
      <c r="C304" s="4" t="s">
        <v>884</v>
      </c>
      <c r="D304" s="4">
        <f t="shared" si="1"/>
        <v>45</v>
      </c>
      <c r="E304" s="4" t="str">
        <f>IFERROR(__xludf.DUMMYFUNCTION("GOOGLETRANSLATE(C304,""ja"",""en"")"),"Moving speed [0] &lt;c: ltyellow&gt; % &lt;n&gt; increase")</f>
        <v>Moving speed [0] &lt;c: ltyellow&gt; % &lt;n&gt; increase</v>
      </c>
      <c r="F304" s="5" t="s">
        <v>885</v>
      </c>
    </row>
    <row r="305" ht="15.75" customHeight="1">
      <c r="A305" s="1">
        <v>303.0</v>
      </c>
      <c r="B305" s="4" t="s">
        <v>886</v>
      </c>
      <c r="C305" s="4" t="s">
        <v>887</v>
      </c>
      <c r="D305" s="4">
        <f t="shared" si="1"/>
        <v>47</v>
      </c>
      <c r="E305" s="4" t="str">
        <f>IFERROR(__xludf.DUMMYFUNCTION("GOOGLETRANSLATE(C305,""ja"",""en"")"),"HP [0] &lt;c: ltyellow&gt; % &lt;n&gt; Recovery immediately")</f>
        <v>HP [0] &lt;c: ltyellow&gt; % &lt;n&gt; Recovery immediately</v>
      </c>
      <c r="F305" s="5" t="s">
        <v>888</v>
      </c>
    </row>
    <row r="306" ht="15.75" customHeight="1">
      <c r="A306" s="1">
        <v>304.0</v>
      </c>
      <c r="B306" s="4" t="s">
        <v>889</v>
      </c>
      <c r="C306" s="4" t="s">
        <v>890</v>
      </c>
      <c r="D306" s="4">
        <f t="shared" si="1"/>
        <v>54</v>
      </c>
      <c r="E306" s="4" t="str">
        <f>IFERROR(__xludf.DUMMYFUNCTION("GOOGLETRANSLATE(C306,""ja"",""en"")"),"HP [0] &lt;c: ltyellow&gt; 00 Points &lt;n&gt; Recover immediately")</f>
        <v>HP [0] &lt;c: ltyellow&gt; 00 Points &lt;n&gt; Recover immediately</v>
      </c>
      <c r="F306" s="5" t="s">
        <v>891</v>
      </c>
    </row>
    <row r="307" ht="15.75" customHeight="1">
      <c r="A307" s="1">
        <v>305.0</v>
      </c>
      <c r="B307" s="4" t="s">
        <v>892</v>
      </c>
      <c r="C307" s="4" t="s">
        <v>893</v>
      </c>
      <c r="D307" s="4">
        <f t="shared" si="1"/>
        <v>95</v>
      </c>
      <c r="E307" s="4" t="str">
        <f>IFERROR(__xludf.DUMMYFUNCTION("GOOGLETRANSLATE(C307,""ja"",""en"")"),"Increase [0] &lt;c: ltyellow&gt; times &lt;n&gt; the number of guild dungeons in the guild dungeon per day.")</f>
        <v>Increase [0] &lt;c: ltyellow&gt; times &lt;n&gt; the number of guild dungeons in the guild dungeon per day.</v>
      </c>
      <c r="F307" s="7" t="s">
        <v>894</v>
      </c>
    </row>
    <row r="308" ht="15.75" customHeight="1">
      <c r="A308" s="1">
        <v>306.0</v>
      </c>
      <c r="B308" s="4" t="s">
        <v>895</v>
      </c>
      <c r="C308" s="4" t="s">
        <v>896</v>
      </c>
      <c r="D308" s="4">
        <f t="shared" si="1"/>
        <v>59</v>
      </c>
      <c r="E308" s="4" t="str">
        <f>IFERROR(__xludf.DUMMYFUNCTION("GOOGLETRANSLATE(C308,""ja"",""en"")"),"You can return the pet name to no name and change the name.")</f>
        <v>You can return the pet name to no name and change the name.</v>
      </c>
      <c r="F308" s="5" t="s">
        <v>897</v>
      </c>
    </row>
    <row r="309" ht="15.75" customHeight="1">
      <c r="A309" s="1">
        <v>307.0</v>
      </c>
      <c r="B309" s="4" t="s">
        <v>898</v>
      </c>
      <c r="C309" s="4" t="s">
        <v>899</v>
      </c>
      <c r="D309" s="4">
        <f t="shared" si="1"/>
        <v>102</v>
      </c>
      <c r="E309" s="4" t="str">
        <f>IFERROR(__xludf.DUMMYFUNCTION("GOOGLETRANSLATE(C309,""ja"",""en"")"),"[0] Increase the experience value and item drop rate of all players during the &lt;c: ltyellow&gt; time &lt;n&gt;.")</f>
        <v>[0] Increase the experience value and item drop rate of all players during the &lt;c: ltyellow&gt; time &lt;n&gt;.</v>
      </c>
      <c r="F309" s="7" t="s">
        <v>900</v>
      </c>
    </row>
    <row r="310" ht="15.75" customHeight="1">
      <c r="A310" s="1">
        <v>308.0</v>
      </c>
      <c r="B310" s="4" t="s">
        <v>901</v>
      </c>
      <c r="C310" s="4" t="s">
        <v>902</v>
      </c>
      <c r="D310" s="4">
        <f t="shared" si="1"/>
        <v>114</v>
      </c>
      <c r="E310" s="4" t="str">
        <f>IFERROR(__xludf.DUMMYFUNCTION("GOOGLETRANSLATE(C310,""ja"",""en"")"),"[0] &lt;C: ltyellow&gt; % &lt;n&gt; Absorption of &lt;c: ltyellow&gt; physical damage &lt;n&gt; with a probability [1] &lt;c: ltyellow&gt; % &lt;n&gt;")</f>
        <v>[0] &lt;C: ltyellow&gt; % &lt;n&gt; Absorption of &lt;c: ltyellow&gt; physical damage &lt;n&gt; with a probability [1] &lt;c: ltyellow&gt; % &lt;n&gt;</v>
      </c>
      <c r="F310" s="7" t="s">
        <v>903</v>
      </c>
    </row>
    <row r="311" ht="15.75" customHeight="1">
      <c r="A311" s="1">
        <v>309.0</v>
      </c>
      <c r="B311" s="4" t="s">
        <v>904</v>
      </c>
      <c r="C311" s="4" t="s">
        <v>905</v>
      </c>
      <c r="D311" s="4">
        <f t="shared" si="1"/>
        <v>20</v>
      </c>
      <c r="E311" s="4" t="str">
        <f>IFERROR(__xludf.DUMMYFUNCTION("GOOGLETRANSLATE(C311,""ja"",""en"")"),"Massive the minipet.")</f>
        <v>Massive the minipet.</v>
      </c>
      <c r="F311" s="5" t="s">
        <v>906</v>
      </c>
    </row>
    <row r="312" ht="15.75" customHeight="1">
      <c r="A312" s="1">
        <v>310.0</v>
      </c>
      <c r="B312" s="4" t="s">
        <v>907</v>
      </c>
      <c r="C312" s="4" t="s">
        <v>908</v>
      </c>
      <c r="D312" s="4">
        <f t="shared" si="1"/>
        <v>26</v>
      </c>
      <c r="E312" s="4" t="str">
        <f>IFERROR(__xludf.DUMMYFUNCTION("GOOGLETRANSLATE(C312,""ja"",""en"")"),"Incorporate a minipet aura")</f>
        <v>Incorporate a minipet aura</v>
      </c>
      <c r="F312" s="5" t="s">
        <v>909</v>
      </c>
    </row>
    <row r="313" ht="15.75" customHeight="1">
      <c r="A313" s="1">
        <v>311.0</v>
      </c>
      <c r="B313" s="4" t="s">
        <v>910</v>
      </c>
      <c r="C313" s="4" t="s">
        <v>911</v>
      </c>
      <c r="D313" s="4">
        <f t="shared" si="1"/>
        <v>87</v>
      </c>
      <c r="E313" s="4" t="str">
        <f>IFERROR(__xludf.DUMMYFUNCTION("GOOGLETRANSLATE(C313,""ja"",""en"")"),"[0] &lt;c: ltyellow&gt; 0 &lt;n&gt; One item below the level can be used regardless of the ability.")</f>
        <v>[0] &lt;c: ltyellow&gt; 0 &lt;n&gt; One item below the level can be used regardless of the ability.</v>
      </c>
      <c r="F313" s="7" t="s">
        <v>912</v>
      </c>
    </row>
    <row r="314" ht="15.75" customHeight="1">
      <c r="A314" s="1">
        <v>312.0</v>
      </c>
      <c r="B314" s="4" t="s">
        <v>913</v>
      </c>
      <c r="C314" s="4" t="s">
        <v>144</v>
      </c>
      <c r="D314" s="4">
        <f t="shared" si="1"/>
        <v>23</v>
      </c>
      <c r="E314" s="4" t="str">
        <f>IFERROR(__xludf.DUMMYFUNCTION("GOOGLETRANSLATE(C314,""ja"",""en"")"),"Fire damage damage [+0]")</f>
        <v>Fire damage damage [+0]</v>
      </c>
      <c r="F314" s="5" t="s">
        <v>145</v>
      </c>
    </row>
    <row r="315" ht="15.75" customHeight="1">
      <c r="A315" s="1">
        <v>313.0</v>
      </c>
      <c r="B315" s="4" t="s">
        <v>914</v>
      </c>
      <c r="C315" s="4" t="s">
        <v>147</v>
      </c>
      <c r="D315" s="4">
        <f t="shared" si="1"/>
        <v>27</v>
      </c>
      <c r="E315" s="4" t="str">
        <f>IFERROR(__xludf.DUMMYFUNCTION("GOOGLETRANSLATE(C315,""ja"",""en"")"),"Water attribute damage [+0]")</f>
        <v>Water attribute damage [+0]</v>
      </c>
      <c r="F315" s="5" t="s">
        <v>148</v>
      </c>
    </row>
    <row r="316" ht="15.75" customHeight="1">
      <c r="A316" s="1">
        <v>314.0</v>
      </c>
      <c r="B316" s="4" t="s">
        <v>915</v>
      </c>
      <c r="C316" s="4" t="s">
        <v>150</v>
      </c>
      <c r="D316" s="4">
        <f t="shared" si="1"/>
        <v>26</v>
      </c>
      <c r="E316" s="4" t="str">
        <f>IFERROR(__xludf.DUMMYFUNCTION("GOOGLETRANSLATE(C316,""ja"",""en"")"),"Wind attribute damage [+0]")</f>
        <v>Wind attribute damage [+0]</v>
      </c>
      <c r="F316" s="5" t="s">
        <v>151</v>
      </c>
    </row>
    <row r="317" ht="15.75" customHeight="1">
      <c r="A317" s="1">
        <v>315.0</v>
      </c>
      <c r="B317" s="4" t="s">
        <v>916</v>
      </c>
      <c r="C317" s="4" t="s">
        <v>153</v>
      </c>
      <c r="D317" s="4">
        <f t="shared" si="1"/>
        <v>27</v>
      </c>
      <c r="E317" s="4" t="str">
        <f>IFERROR(__xludf.DUMMYFUNCTION("GOOGLETRANSLATE(C317,""ja"",""en"")"),"Earth attribute damage [+0]")</f>
        <v>Earth attribute damage [+0]</v>
      </c>
      <c r="F317" s="5" t="s">
        <v>154</v>
      </c>
    </row>
    <row r="318" ht="15.75" customHeight="1">
      <c r="A318" s="1">
        <v>316.0</v>
      </c>
      <c r="B318" s="4" t="s">
        <v>917</v>
      </c>
      <c r="C318" s="4" t="s">
        <v>156</v>
      </c>
      <c r="D318" s="4">
        <f t="shared" si="1"/>
        <v>27</v>
      </c>
      <c r="E318" s="4" t="str">
        <f>IFERROR(__xludf.DUMMYFUNCTION("GOOGLETRANSLATE(C318,""ja"",""en"")"),"Light attribute damage [+0]")</f>
        <v>Light attribute damage [+0]</v>
      </c>
      <c r="F318" s="5" t="s">
        <v>157</v>
      </c>
    </row>
    <row r="319" ht="15.75" customHeight="1">
      <c r="A319" s="1">
        <v>317.0</v>
      </c>
      <c r="B319" s="4" t="s">
        <v>918</v>
      </c>
      <c r="C319" s="4" t="s">
        <v>159</v>
      </c>
      <c r="D319" s="4">
        <f t="shared" si="1"/>
        <v>26</v>
      </c>
      <c r="E319" s="4" t="str">
        <f>IFERROR(__xludf.DUMMYFUNCTION("GOOGLETRANSLATE(C319,""ja"",""en"")"),"Dark attribute damage [+0]")</f>
        <v>Dark attribute damage [+0]</v>
      </c>
      <c r="F319" s="5" t="s">
        <v>160</v>
      </c>
    </row>
    <row r="320" ht="15.75" customHeight="1">
      <c r="A320" s="1">
        <v>318.0</v>
      </c>
      <c r="B320" s="4" t="s">
        <v>919</v>
      </c>
      <c r="C320" s="4" t="s">
        <v>920</v>
      </c>
      <c r="D320" s="4">
        <f t="shared" si="1"/>
        <v>27</v>
      </c>
      <c r="E320" s="4" t="str">
        <f>IFERROR(__xludf.DUMMYFUNCTION("GOOGLETRANSLATE(C320,""ja"",""en"")"),"Skill level of psychic [+0]")</f>
        <v>Skill level of psychic [+0]</v>
      </c>
      <c r="F320" s="5" t="s">
        <v>921</v>
      </c>
    </row>
    <row r="321" ht="15.75" customHeight="1">
      <c r="A321" s="1">
        <v>319.0</v>
      </c>
      <c r="B321" s="4" t="s">
        <v>922</v>
      </c>
      <c r="C321" s="4" t="s">
        <v>923</v>
      </c>
      <c r="D321" s="4">
        <f t="shared" si="1"/>
        <v>73</v>
      </c>
      <c r="E321" s="4" t="str">
        <f>IFERROR(__xludf.DUMMYFUNCTION("GOOGLETRANSLATE(C321,""ja"",""en"")"),"Add the title of the item with the probability of &lt;c: ltyellow&gt; [0] % &lt;n&gt;")</f>
        <v>Add the title of the item with the probability of &lt;c: ltyellow&gt; [0] % &lt;n&gt;</v>
      </c>
      <c r="F321" s="7" t="s">
        <v>924</v>
      </c>
    </row>
    <row r="322" ht="15.75" customHeight="1">
      <c r="A322" s="1">
        <v>320.0</v>
      </c>
      <c r="B322" s="4" t="s">
        <v>925</v>
      </c>
      <c r="C322" s="4" t="s">
        <v>926</v>
      </c>
      <c r="D322" s="4">
        <f t="shared" si="1"/>
        <v>74</v>
      </c>
      <c r="E322" s="4" t="str">
        <f>IFERROR(__xludf.DUMMYFUNCTION("GOOGLETRANSLATE(C322,""ja"",""en"")"),"Copy the title of the item with the probability of &lt;c: ltyellow&gt; [0] % &lt;n&gt;")</f>
        <v>Copy the title of the item with the probability of &lt;c: ltyellow&gt; [0] % &lt;n&gt;</v>
      </c>
      <c r="F322" s="7" t="s">
        <v>927</v>
      </c>
    </row>
    <row r="323" ht="15.75" customHeight="1">
      <c r="A323" s="1">
        <v>321.0</v>
      </c>
      <c r="B323" s="4" t="s">
        <v>928</v>
      </c>
      <c r="C323" s="4" t="s">
        <v>929</v>
      </c>
      <c r="D323" s="4">
        <f t="shared" si="1"/>
        <v>55</v>
      </c>
      <c r="E323" s="4" t="str">
        <f>IFERROR(__xludf.DUMMYFUNCTION("GOOGLETRANSLATE(C323,""ja"",""en"")"),"&lt;C: ltyellow&gt; Delete the title of the selected item &lt;n&gt;")</f>
        <v>&lt;C: ltyellow&gt; Delete the title of the selected item &lt;n&gt;</v>
      </c>
      <c r="F323" s="5" t="s">
        <v>930</v>
      </c>
    </row>
    <row r="324" ht="15.75" customHeight="1">
      <c r="A324" s="1">
        <v>322.0</v>
      </c>
      <c r="B324" s="4" t="s">
        <v>931</v>
      </c>
      <c r="C324" s="4" t="s">
        <v>932</v>
      </c>
      <c r="D324" s="4">
        <f t="shared" si="1"/>
        <v>56</v>
      </c>
      <c r="E324" s="4" t="str">
        <f>IFERROR(__xludf.DUMMYFUNCTION("GOOGLETRANSLATE(C324,""ja"",""en"")"),"Reduce the remaining physical strength immediately [0] %")</f>
        <v>Reduce the remaining physical strength immediately [0] %</v>
      </c>
      <c r="F324" s="5" t="s">
        <v>933</v>
      </c>
    </row>
    <row r="325" ht="15.75" customHeight="1">
      <c r="A325" s="1">
        <v>323.0</v>
      </c>
      <c r="B325" s="4" t="s">
        <v>934</v>
      </c>
      <c r="C325" s="4" t="s">
        <v>935</v>
      </c>
      <c r="D325" s="4">
        <f t="shared" si="1"/>
        <v>78</v>
      </c>
      <c r="E325" s="4" t="str">
        <f>IFERROR(__xludf.DUMMYFUNCTION("GOOGLETRANSLATE(C325,""ja"",""en"")"),"&lt;C: ltyellow&gt; [0] % &lt;n&gt; Add the title of the item [Transaction is not allowed]")</f>
        <v>&lt;C: ltyellow&gt; [0] % &lt;n&gt; Add the title of the item [Transaction is not allowed]</v>
      </c>
      <c r="F325" s="7" t="s">
        <v>936</v>
      </c>
    </row>
    <row r="326" ht="15.75" customHeight="1">
      <c r="A326" s="1">
        <v>324.0</v>
      </c>
      <c r="B326" s="4" t="s">
        <v>937</v>
      </c>
      <c r="C326" s="4" t="s">
        <v>938</v>
      </c>
      <c r="D326" s="4">
        <f t="shared" si="1"/>
        <v>76</v>
      </c>
      <c r="E326" s="4" t="str">
        <f>IFERROR(__xludf.DUMMYFUNCTION("GOOGLETRANSLATE(C326,""ja"",""en"")"),"&lt;C: ltyellow&gt; [0] % &lt;n&gt; Copy the title of the item [Transaction is possible]")</f>
        <v>&lt;C: ltyellow&gt; [0] % &lt;n&gt; Copy the title of the item [Transaction is possible]</v>
      </c>
      <c r="F326" s="7" t="s">
        <v>939</v>
      </c>
    </row>
    <row r="327" ht="15.75" customHeight="1">
      <c r="A327" s="1">
        <v>325.0</v>
      </c>
      <c r="B327" s="4" t="s">
        <v>940</v>
      </c>
      <c r="C327" s="4" t="s">
        <v>929</v>
      </c>
      <c r="D327" s="4">
        <f t="shared" si="1"/>
        <v>55</v>
      </c>
      <c r="E327" s="4" t="str">
        <f>IFERROR(__xludf.DUMMYFUNCTION("GOOGLETRANSLATE(C327,""ja"",""en"")"),"&lt;C: ltyellow&gt; Delete the title of the selected item &lt;n&gt;")</f>
        <v>&lt;C: ltyellow&gt; Delete the title of the selected item &lt;n&gt;</v>
      </c>
      <c r="F327" s="5" t="s">
        <v>930</v>
      </c>
    </row>
    <row r="328" ht="15.75" customHeight="1">
      <c r="A328" s="1">
        <v>326.0</v>
      </c>
      <c r="B328" s="4" t="s">
        <v>941</v>
      </c>
      <c r="C328" s="4" t="s">
        <v>718</v>
      </c>
      <c r="D328" s="4">
        <f t="shared" si="1"/>
        <v>13</v>
      </c>
      <c r="E328" s="4" t="str">
        <f>IFERROR(__xludf.DUMMYFUNCTION("GOOGLETRANSLATE(C328,""ja"",""en"")"),"Event balloon")</f>
        <v>Event balloon</v>
      </c>
      <c r="F328" s="5" t="s">
        <v>719</v>
      </c>
    </row>
    <row r="329" ht="15.75" customHeight="1">
      <c r="A329" s="1">
        <v>327.0</v>
      </c>
      <c r="B329" s="4" t="s">
        <v>942</v>
      </c>
      <c r="C329" s="4" t="s">
        <v>943</v>
      </c>
      <c r="D329" s="4">
        <f t="shared" si="1"/>
        <v>25</v>
      </c>
      <c r="E329" s="4" t="str">
        <f>IFERROR(__xludf.DUMMYFUNCTION("GOOGLETRANSLATE(C329,""ja"",""en"")"),"All ability values ​​[+0]")</f>
        <v>All ability values ​​[+0]</v>
      </c>
      <c r="F329" s="5" t="s">
        <v>944</v>
      </c>
    </row>
    <row r="330" ht="15.75" customHeight="1">
      <c r="A330" s="1">
        <v>328.0</v>
      </c>
      <c r="B330" s="4" t="s">
        <v>945</v>
      </c>
      <c r="C330" s="4" t="s">
        <v>946</v>
      </c>
      <c r="D330" s="4">
        <f t="shared" si="1"/>
        <v>29</v>
      </c>
      <c r="E330" s="4" t="str">
        <f>IFERROR(__xludf.DUMMYFUNCTION("GOOGLETRANSLATE(C330,""ja"",""en"")"),"Selected status [+0] increase")</f>
        <v>Selected status [+0] increase</v>
      </c>
      <c r="F330" s="5" t="s">
        <v>947</v>
      </c>
    </row>
    <row r="331" ht="15.75" customHeight="1">
      <c r="A331" s="1">
        <v>329.0</v>
      </c>
      <c r="B331" s="4" t="s">
        <v>948</v>
      </c>
      <c r="C331" s="4" t="s">
        <v>949</v>
      </c>
      <c r="D331" s="4">
        <f t="shared" si="1"/>
        <v>51</v>
      </c>
      <c r="E331" s="4" t="str">
        <f>IFERROR(__xludf.DUMMYFUNCTION("GOOGLETRANSLATE(C331,""ja"",""en"")"),"[0] Transform into a hunter with a minute level [1]")</f>
        <v>[0] Transform into a hunter with a minute level [1]</v>
      </c>
      <c r="F331" s="5" t="s">
        <v>950</v>
      </c>
    </row>
    <row r="332" ht="15.75" customHeight="1">
      <c r="A332" s="1">
        <v>330.0</v>
      </c>
      <c r="B332" s="4" t="s">
        <v>951</v>
      </c>
      <c r="C332" s="4" t="s">
        <v>952</v>
      </c>
      <c r="D332" s="4">
        <f t="shared" si="1"/>
        <v>52</v>
      </c>
      <c r="E332" s="4" t="str">
        <f>IFERROR(__xludf.DUMMYFUNCTION("GOOGLETRANSLATE(C332,""ja"",""en"")"),"[0] Transform into an assassin at a minute level [1]")</f>
        <v>[0] Transform into an assassin at a minute level [1]</v>
      </c>
      <c r="F332" s="5" t="s">
        <v>953</v>
      </c>
    </row>
    <row r="333" ht="15.75" customHeight="1">
      <c r="A333" s="1">
        <v>331.0</v>
      </c>
      <c r="B333" s="4" t="s">
        <v>954</v>
      </c>
      <c r="C333" s="4" t="s">
        <v>955</v>
      </c>
      <c r="D333" s="4">
        <f t="shared" si="1"/>
        <v>51</v>
      </c>
      <c r="E333" s="4" t="str">
        <f>IFERROR(__xludf.DUMMYFUNCTION("GOOGLETRANSLATE(C333,""ja"",""en"")"),"[0] Transform into a black mage of minute level [1]")</f>
        <v>[0] Transform into a black mage of minute level [1]</v>
      </c>
      <c r="F333" s="5" t="s">
        <v>956</v>
      </c>
    </row>
    <row r="334" ht="15.75" customHeight="1">
      <c r="A334" s="1">
        <v>332.0</v>
      </c>
      <c r="B334" s="4" t="s">
        <v>957</v>
      </c>
      <c r="C334" s="4" t="s">
        <v>958</v>
      </c>
      <c r="D334" s="4">
        <f t="shared" si="1"/>
        <v>42</v>
      </c>
      <c r="E334" s="4" t="str">
        <f>IFERROR(__xludf.DUMMYFUNCTION("GOOGLETRANSLATE(C334,""ja"",""en"")"),"Currently summoning monsters in the field.")</f>
        <v>Currently summoning monsters in the field.</v>
      </c>
      <c r="F334" s="5" t="s">
        <v>959</v>
      </c>
    </row>
    <row r="335" ht="15.75" customHeight="1">
      <c r="A335" s="1">
        <v>333.0</v>
      </c>
      <c r="B335" s="4" t="s">
        <v>960</v>
      </c>
      <c r="C335" s="4" t="s">
        <v>961</v>
      </c>
      <c r="D335" s="4">
        <f t="shared" si="1"/>
        <v>18</v>
      </c>
      <c r="E335" s="4" t="str">
        <f>IFERROR(__xludf.DUMMYFUNCTION("GOOGLETRANSLATE(C335,""ja"",""en"")"),"Engraved level [0]")</f>
        <v>Engraved level [0]</v>
      </c>
      <c r="F335" s="5" t="s">
        <v>962</v>
      </c>
    </row>
    <row r="336" ht="15.75" customHeight="1">
      <c r="A336" s="1">
        <v>334.0</v>
      </c>
      <c r="B336" s="4" t="s">
        <v>963</v>
      </c>
      <c r="C336" s="4" t="s">
        <v>964</v>
      </c>
      <c r="D336" s="4">
        <f t="shared" si="1"/>
        <v>78</v>
      </c>
      <c r="E336" s="4" t="str">
        <f>IFERROR(__xludf.DUMMYFUNCTION("GOOGLETRANSLATE(C336,""ja"",""en"")"),"&lt;C: ltyellow&gt; [0] % &lt;n&gt; increase the engraving level &lt;c: ltyellow&gt; 1 ~ [1] &lt;n&gt;")</f>
        <v>&lt;C: ltyellow&gt; [0] % &lt;n&gt; increase the engraving level &lt;c: ltyellow&gt; 1 ~ [1] &lt;n&gt;</v>
      </c>
      <c r="F336" s="7" t="s">
        <v>965</v>
      </c>
    </row>
    <row r="337" ht="15.75" customHeight="1">
      <c r="A337" s="1">
        <v>335.0</v>
      </c>
      <c r="B337" s="4" t="s">
        <v>966</v>
      </c>
      <c r="C337" s="4" t="s">
        <v>967</v>
      </c>
      <c r="D337" s="4">
        <f t="shared" si="1"/>
        <v>73</v>
      </c>
      <c r="E337" s="4" t="str">
        <f>IFERROR(__xludf.DUMMYFUNCTION("GOOGLETRANSLATE(C337,""ja"",""en"")"),"&lt;C: ltyellow&gt; [0] % &lt;n&gt; The engraved level &lt;c: ltyellow&gt; [1] &lt;n&gt; Increase")</f>
        <v>&lt;C: ltyellow&gt; [0] % &lt;n&gt; The engraved level &lt;c: ltyellow&gt; [1] &lt;n&gt; Increase</v>
      </c>
      <c r="F337" s="7" t="s">
        <v>968</v>
      </c>
    </row>
    <row r="338" ht="15.75" customHeight="1">
      <c r="A338" s="1">
        <v>336.0</v>
      </c>
      <c r="B338" s="4" t="s">
        <v>969</v>
      </c>
      <c r="C338" s="4" t="s">
        <v>970</v>
      </c>
      <c r="D338" s="4">
        <f t="shared" si="1"/>
        <v>63</v>
      </c>
      <c r="E338" s="4" t="str">
        <f>IFERROR(__xludf.DUMMYFUNCTION("GOOGLETRANSLATE(C338,""ja"",""en"")"),"&lt;C: ltyellow&gt; [0] % &lt;n&gt; Damage &lt;c: ltyellow&gt; [0] % &lt;n&gt; decrease")</f>
        <v>&lt;C: ltyellow&gt; [0] % &lt;n&gt; Damage &lt;c: ltyellow&gt; [0] % &lt;n&gt; decrease</v>
      </c>
      <c r="F338" s="7" t="s">
        <v>971</v>
      </c>
    </row>
    <row r="339" ht="15.75" customHeight="1">
      <c r="A339" s="1">
        <v>337.0</v>
      </c>
      <c r="B339" s="4" t="s">
        <v>972</v>
      </c>
      <c r="C339" s="4" t="s">
        <v>973</v>
      </c>
      <c r="D339" s="4">
        <f t="shared" si="1"/>
        <v>68</v>
      </c>
      <c r="E339" s="4" t="str">
        <f>IFERROR(__xludf.DUMMYFUNCTION("GOOGLETRANSLATE(C339,""ja"",""en"")"),"&lt;C: ltyellow&gt; [0] &lt;n&gt; CP &lt;c: ltyellow&gt; [0] &lt;n&gt; recovery every second")</f>
        <v>&lt;C: ltyellow&gt; [0] &lt;n&gt; CP &lt;c: ltyellow&gt; [0] &lt;n&gt; recovery every second</v>
      </c>
      <c r="F339" s="7" t="s">
        <v>974</v>
      </c>
    </row>
    <row r="340" ht="15.75" customHeight="1">
      <c r="A340" s="1">
        <v>338.0</v>
      </c>
      <c r="B340" s="4" t="s">
        <v>975</v>
      </c>
      <c r="C340" s="4" t="s">
        <v>976</v>
      </c>
      <c r="D340" s="4">
        <f t="shared" si="1"/>
        <v>50</v>
      </c>
      <c r="E340" s="4" t="str">
        <f>IFERROR(__xludf.DUMMYFUNCTION("GOOGLETRANSLATE(C340,""ja"",""en"")"),"Gained experience &lt;c: ltyellow&gt; [0] % &lt;n&gt; increase")</f>
        <v>Gained experience &lt;c: ltyellow&gt; [0] % &lt;n&gt; increase</v>
      </c>
      <c r="F340" s="5" t="s">
        <v>977</v>
      </c>
    </row>
    <row r="341" ht="15.75" customHeight="1">
      <c r="A341" s="1">
        <v>339.0</v>
      </c>
      <c r="B341" s="4" t="s">
        <v>978</v>
      </c>
      <c r="C341" s="4" t="s">
        <v>979</v>
      </c>
      <c r="D341" s="4">
        <f t="shared" si="1"/>
        <v>63</v>
      </c>
      <c r="E341" s="4" t="str">
        <f>IFERROR(__xludf.DUMMYFUNCTION("GOOGLETRANSLATE(C341,""ja"",""en"")"),"&lt;C: ltyellow&gt; [0] % &lt;n&gt; Fire damage &lt;c: ltyellow&gt; [0] &lt;n&gt; Added")</f>
        <v>&lt;C: ltyellow&gt; [0] % &lt;n&gt; Fire damage &lt;c: ltyellow&gt; [0] &lt;n&gt; Added</v>
      </c>
      <c r="F341" s="5" t="s">
        <v>980</v>
      </c>
    </row>
    <row r="342" ht="15.75" customHeight="1">
      <c r="A342" s="1">
        <v>340.0</v>
      </c>
      <c r="B342" s="4" t="s">
        <v>981</v>
      </c>
      <c r="C342" s="4" t="s">
        <v>982</v>
      </c>
      <c r="D342" s="4">
        <f t="shared" si="1"/>
        <v>41</v>
      </c>
      <c r="E342" s="4" t="str">
        <f>IFERROR(__xludf.DUMMYFUNCTION("GOOGLETRANSLATE(C342,""ja"",""en"")"),"All status &lt;c: ltyellow&gt; [0] &lt;n&gt; increase")</f>
        <v>All status &lt;c: ltyellow&gt; [0] &lt;n&gt; increase</v>
      </c>
      <c r="F342" s="5" t="s">
        <v>983</v>
      </c>
    </row>
    <row r="343" ht="15.75" customHeight="1">
      <c r="A343" s="1">
        <v>341.0</v>
      </c>
      <c r="B343" s="4" t="s">
        <v>984</v>
      </c>
      <c r="C343" s="4" t="s">
        <v>985</v>
      </c>
      <c r="D343" s="4">
        <f t="shared" si="1"/>
        <v>51</v>
      </c>
      <c r="E343" s="4" t="str">
        <f>IFERROR(__xludf.DUMMYFUNCTION("GOOGLETRANSLATE(C343,""ja"",""en"")"),"&lt;C: ltyellow&gt; [0] &lt;n&gt; All party members for seconds")</f>
        <v>&lt;C: ltyellow&gt; [0] &lt;n&gt; All party members for seconds</v>
      </c>
      <c r="F343" s="5" t="s">
        <v>986</v>
      </c>
    </row>
    <row r="344" ht="15.75" customHeight="1">
      <c r="A344" s="1">
        <v>342.0</v>
      </c>
      <c r="B344" s="4" t="s">
        <v>987</v>
      </c>
      <c r="C344" s="4" t="s">
        <v>988</v>
      </c>
      <c r="D344" s="4">
        <f t="shared" si="1"/>
        <v>86</v>
      </c>
      <c r="E344" s="4" t="str">
        <f>IFERROR(__xludf.DUMMYFUNCTION("GOOGLETRANSLATE(C344,""ja"",""en"")"),"&lt;C: ltyellow&gt; [0] &lt;n&gt; Function transformation into the level &lt;c: ltyellow&gt; [0] &lt;n&gt; &lt;n&gt;")</f>
        <v>&lt;C: ltyellow&gt; [0] &lt;n&gt; Function transformation into the level &lt;c: ltyellow&gt; [0] &lt;n&gt; &lt;n&gt;</v>
      </c>
      <c r="F344" s="7" t="s">
        <v>989</v>
      </c>
    </row>
    <row r="345" ht="15.75" customHeight="1">
      <c r="A345" s="1">
        <v>343.0</v>
      </c>
      <c r="B345" s="4" t="s">
        <v>990</v>
      </c>
      <c r="C345" s="4" t="s">
        <v>991</v>
      </c>
      <c r="D345" s="4">
        <f t="shared" si="1"/>
        <v>56</v>
      </c>
      <c r="E345" s="4" t="str">
        <f>IFERROR(__xludf.DUMMYFUNCTION("GOOGLETRANSLATE(C345,""ja"",""en"")"),"Maximum physical strength &lt;C: ltyellow&gt; [0] &lt;n&gt; Increase")</f>
        <v>Maximum physical strength &lt;C: ltyellow&gt; [0] &lt;n&gt; Increase</v>
      </c>
      <c r="F345" s="5" t="s">
        <v>992</v>
      </c>
    </row>
    <row r="346" ht="15.75" customHeight="1">
      <c r="A346" s="1">
        <v>344.0</v>
      </c>
      <c r="B346" s="4" t="s">
        <v>993</v>
      </c>
      <c r="C346" s="4" t="s">
        <v>994</v>
      </c>
      <c r="D346" s="4">
        <f t="shared" si="1"/>
        <v>86</v>
      </c>
      <c r="E346" s="4" t="str">
        <f>IFERROR(__xludf.DUMMYFUNCTION("GOOGLETRANSLATE(C346,""ja"",""en"")"),"When used, &lt;c: ltyellow&gt; [0] &lt;n&gt; Minimal attack power &lt;c: ltyellow&gt; [0] % &lt;n&gt; increase")</f>
        <v>When used, &lt;c: ltyellow&gt; [0] &lt;n&gt; Minimal attack power &lt;c: ltyellow&gt; [0] % &lt;n&gt; increase</v>
      </c>
      <c r="F346" s="7" t="s">
        <v>995</v>
      </c>
    </row>
    <row r="347" ht="15.75" customHeight="1">
      <c r="A347" s="1">
        <v>345.0</v>
      </c>
      <c r="B347" s="4" t="s">
        <v>996</v>
      </c>
      <c r="C347" s="4" t="s">
        <v>997</v>
      </c>
      <c r="D347" s="4">
        <f t="shared" si="1"/>
        <v>39</v>
      </c>
      <c r="E347" s="4" t="str">
        <f>IFERROR(__xludf.DUMMYFUNCTION("GOOGLETRANSLATE(C347,""ja"",""en"")"),"Level &lt;C: ltyellow&gt; [0] &lt;n&gt; usage help.")</f>
        <v>Level &lt;C: ltyellow&gt; [0] &lt;n&gt; usage help.</v>
      </c>
      <c r="F347" s="5" t="s">
        <v>998</v>
      </c>
    </row>
    <row r="348" ht="15.75" customHeight="1">
      <c r="A348" s="1">
        <v>346.0</v>
      </c>
      <c r="B348" s="4" t="s">
        <v>999</v>
      </c>
      <c r="C348" s="4" t="s">
        <v>743</v>
      </c>
      <c r="D348" s="4">
        <f t="shared" si="1"/>
        <v>12</v>
      </c>
      <c r="E348" s="4" t="str">
        <f>IFERROR(__xludf.DUMMYFUNCTION("GOOGLETRANSLATE(C348,""ja"",""en"")"),"Minipet food")</f>
        <v>Minipet food</v>
      </c>
      <c r="F348" s="5" t="s">
        <v>744</v>
      </c>
    </row>
    <row r="349" ht="15.75" customHeight="1">
      <c r="A349" s="1">
        <v>347.0</v>
      </c>
      <c r="B349" s="4" t="s">
        <v>1000</v>
      </c>
      <c r="C349" s="4" t="s">
        <v>1001</v>
      </c>
      <c r="D349" s="4">
        <f t="shared" si="1"/>
        <v>34</v>
      </c>
      <c r="E349" s="4" t="str">
        <f>IFERROR(__xludf.DUMMYFUNCTION("GOOGLETRANSLATE(C349,""ja"",""en"")"),"Minipet skill point redistribution")</f>
        <v>Minipet skill point redistribution</v>
      </c>
      <c r="F349" s="5" t="s">
        <v>1002</v>
      </c>
    </row>
    <row r="350" ht="15.75" customHeight="1">
      <c r="A350" s="1">
        <v>348.0</v>
      </c>
      <c r="B350" s="4" t="s">
        <v>1003</v>
      </c>
      <c r="C350" s="4" t="s">
        <v>1004</v>
      </c>
      <c r="D350" s="4">
        <f t="shared" si="1"/>
        <v>35</v>
      </c>
      <c r="E350" s="4" t="str">
        <f>IFERROR(__xludf.DUMMYFUNCTION("GOOGLETRANSLATE(C350,""ja"",""en"")"),"Changes in the evolution of minipet")</f>
        <v>Changes in the evolution of minipet</v>
      </c>
      <c r="F350" s="5" t="s">
        <v>1005</v>
      </c>
    </row>
    <row r="351" ht="15.75" customHeight="1">
      <c r="A351" s="1">
        <v>349.0</v>
      </c>
      <c r="B351" s="4" t="s">
        <v>1006</v>
      </c>
      <c r="C351" s="4" t="s">
        <v>1007</v>
      </c>
      <c r="D351" s="4">
        <f t="shared" si="1"/>
        <v>15</v>
      </c>
      <c r="E351" s="4" t="str">
        <f>IFERROR(__xludf.DUMMYFUNCTION("GOOGLETRANSLATE(C351,""ja"",""en"")"),"Maximum HP [+0]")</f>
        <v>Maximum HP [+0]</v>
      </c>
      <c r="F351" s="5" t="s">
        <v>1008</v>
      </c>
    </row>
    <row r="352" ht="15.75" customHeight="1">
      <c r="A352" s="1">
        <v>350.0</v>
      </c>
      <c r="B352" s="4" t="s">
        <v>1009</v>
      </c>
      <c r="C352" s="4" t="s">
        <v>1010</v>
      </c>
      <c r="D352" s="4">
        <f t="shared" si="1"/>
        <v>15</v>
      </c>
      <c r="E352" s="4" t="str">
        <f>IFERROR(__xludf.DUMMYFUNCTION("GOOGLETRANSLATE(C352,""ja"",""en"")"),"Maximum CP [+0]")</f>
        <v>Maximum CP [+0]</v>
      </c>
      <c r="F352" s="5" t="s">
        <v>1011</v>
      </c>
    </row>
    <row r="353" ht="15.75" customHeight="1">
      <c r="A353" s="1">
        <v>351.0</v>
      </c>
      <c r="B353" s="4" t="s">
        <v>1012</v>
      </c>
      <c r="C353" s="4" t="s">
        <v>1013</v>
      </c>
      <c r="D353" s="4">
        <f t="shared" si="1"/>
        <v>14</v>
      </c>
      <c r="E353" s="4" t="str">
        <f>IFERROR(__xludf.DUMMYFUNCTION("GOOGLETRANSLATE(C353,""ja"",""en"")"),"Defense [+0] %")</f>
        <v>Defense [+0] %</v>
      </c>
      <c r="F353" s="5" t="s">
        <v>1014</v>
      </c>
    </row>
    <row r="354" ht="15.75" customHeight="1">
      <c r="A354" s="1">
        <v>352.0</v>
      </c>
      <c r="B354" s="4" t="s">
        <v>1015</v>
      </c>
      <c r="C354" s="4" t="s">
        <v>1016</v>
      </c>
      <c r="D354" s="4">
        <f t="shared" si="1"/>
        <v>17</v>
      </c>
      <c r="E354" s="4" t="str">
        <f>IFERROR(__xludf.DUMMYFUNCTION("GOOGLETRANSLATE(C354,""ja"",""en"")"),"Maximum HP [+0] %")</f>
        <v>Maximum HP [+0] %</v>
      </c>
      <c r="F354" s="5" t="s">
        <v>1017</v>
      </c>
    </row>
    <row r="355" ht="15.75" customHeight="1">
      <c r="A355" s="1">
        <v>353.0</v>
      </c>
      <c r="B355" s="4" t="s">
        <v>1018</v>
      </c>
      <c r="C355" s="4" t="s">
        <v>1019</v>
      </c>
      <c r="D355" s="4">
        <f t="shared" si="1"/>
        <v>17</v>
      </c>
      <c r="E355" s="4" t="str">
        <f>IFERROR(__xludf.DUMMYFUNCTION("GOOGLETRANSLATE(C355,""ja"",""en"")"),"Maximum CP [+0] %")</f>
        <v>Maximum CP [+0] %</v>
      </c>
      <c r="F355" s="5" t="s">
        <v>1020</v>
      </c>
    </row>
    <row r="356" ht="15.75" customHeight="1">
      <c r="A356" s="1">
        <v>354.0</v>
      </c>
      <c r="B356" s="4" t="s">
        <v>1021</v>
      </c>
      <c r="C356" s="4" t="s">
        <v>1022</v>
      </c>
      <c r="D356" s="4">
        <f t="shared" si="1"/>
        <v>56</v>
      </c>
      <c r="E356" s="4" t="str">
        <f>IFERROR(__xludf.DUMMYFUNCTION("GOOGLETRANSLATE(C356,""ja"",""en"")"),"Change the remaining physical strength to [(0*1)] points")</f>
        <v>Change the remaining physical strength to [(0*1)] points</v>
      </c>
      <c r="F356" s="5" t="s">
        <v>1023</v>
      </c>
    </row>
    <row r="357" ht="15.75" customHeight="1">
      <c r="A357" s="1">
        <v>355.0</v>
      </c>
      <c r="B357" s="4" t="s">
        <v>1024</v>
      </c>
      <c r="C357" s="4" t="s">
        <v>1025</v>
      </c>
      <c r="D357" s="4">
        <f t="shared" si="1"/>
        <v>14</v>
      </c>
      <c r="E357" s="4" t="str">
        <f>IFERROR(__xludf.DUMMYFUNCTION("GOOGLETRANSLATE(C357,""ja"",""en"")"),"Field movement")</f>
        <v>Field movement</v>
      </c>
      <c r="F357" s="5" t="s">
        <v>1026</v>
      </c>
    </row>
    <row r="358" ht="15.75" customHeight="1">
      <c r="A358" s="1">
        <v>356.0</v>
      </c>
      <c r="B358" s="4" t="s">
        <v>1027</v>
      </c>
      <c r="C358" s="4" t="s">
        <v>1028</v>
      </c>
      <c r="D358" s="4">
        <f t="shared" si="1"/>
        <v>32</v>
      </c>
      <c r="E358" s="4" t="str">
        <f>IFERROR(__xludf.DUMMYFUNCTION("GOOGLETRANSLATE(C358,""ja"",""en"")"),"Red Stone Acquisition Level [+0]")</f>
        <v>Red Stone Acquisition Level [+0]</v>
      </c>
      <c r="F358" s="5" t="s">
        <v>1029</v>
      </c>
    </row>
    <row r="359" ht="15.75" customHeight="1">
      <c r="A359" s="1">
        <v>357.0</v>
      </c>
      <c r="B359" s="4" t="s">
        <v>519</v>
      </c>
      <c r="C359" s="4" t="s">
        <v>1030</v>
      </c>
      <c r="D359" s="4">
        <f t="shared" si="1"/>
        <v>10</v>
      </c>
      <c r="E359" s="4" t="str">
        <f>IFERROR(__xludf.DUMMYFUNCTION("GOOGLETRANSLATE(C359,""ja"",""en"")"),"Breakpoint")</f>
        <v>Breakpoint</v>
      </c>
      <c r="F359" s="5" t="s">
        <v>1031</v>
      </c>
    </row>
    <row r="360" ht="15.75" customHeight="1">
      <c r="A360" s="1">
        <v>358.0</v>
      </c>
      <c r="B360" s="4" t="s">
        <v>5</v>
      </c>
      <c r="C360" s="4" t="s">
        <v>195</v>
      </c>
      <c r="D360" s="4">
        <f t="shared" si="1"/>
        <v>10</v>
      </c>
      <c r="E360" s="4" t="str">
        <f>IFERROR(__xludf.DUMMYFUNCTION("GOOGLETRANSLATE(C360,""ja"",""en"")"),"Power [+0]")</f>
        <v>Power [+0]</v>
      </c>
      <c r="F360" s="5" t="s">
        <v>196</v>
      </c>
    </row>
    <row r="361" ht="15.75" customHeight="1">
      <c r="A361" s="1">
        <v>359.0</v>
      </c>
      <c r="B361" s="4" t="s">
        <v>8</v>
      </c>
      <c r="C361" s="4" t="s">
        <v>207</v>
      </c>
      <c r="D361" s="4">
        <f t="shared" si="1"/>
        <v>11</v>
      </c>
      <c r="E361" s="4" t="str">
        <f>IFERROR(__xludf.DUMMYFUNCTION("GOOGLETRANSLATE(C361,""ja"",""en"")"),"Agency [+0]")</f>
        <v>Agency [+0]</v>
      </c>
      <c r="F361" s="5" t="s">
        <v>208</v>
      </c>
    </row>
    <row r="362" ht="15.75" customHeight="1">
      <c r="A362" s="1">
        <v>360.0</v>
      </c>
      <c r="B362" s="4" t="s">
        <v>11</v>
      </c>
      <c r="C362" s="4" t="s">
        <v>204</v>
      </c>
      <c r="D362" s="4">
        <f t="shared" si="1"/>
        <v>11</v>
      </c>
      <c r="E362" s="4" t="str">
        <f>IFERROR(__xludf.DUMMYFUNCTION("GOOGLETRANSLATE(C362,""ja"",""en"")"),"Health [+0]")</f>
        <v>Health [+0]</v>
      </c>
      <c r="F362" s="5" t="s">
        <v>205</v>
      </c>
    </row>
    <row r="363" ht="15.75" customHeight="1">
      <c r="A363" s="1">
        <v>361.0</v>
      </c>
      <c r="B363" s="4" t="s">
        <v>14</v>
      </c>
      <c r="C363" s="4" t="s">
        <v>198</v>
      </c>
      <c r="D363" s="4">
        <f t="shared" si="1"/>
        <v>11</v>
      </c>
      <c r="E363" s="4" t="str">
        <f>IFERROR(__xludf.DUMMYFUNCTION("GOOGLETRANSLATE(C363,""ja"",""en"")"),"Wisdom [+0]")</f>
        <v>Wisdom [+0]</v>
      </c>
      <c r="F363" s="5" t="s">
        <v>199</v>
      </c>
    </row>
    <row r="364" ht="15.75" customHeight="1">
      <c r="A364" s="1">
        <v>362.0</v>
      </c>
      <c r="B364" s="4" t="s">
        <v>17</v>
      </c>
      <c r="C364" s="4" t="s">
        <v>201</v>
      </c>
      <c r="D364" s="4">
        <f t="shared" si="1"/>
        <v>14</v>
      </c>
      <c r="E364" s="4" t="str">
        <f>IFERROR(__xludf.DUMMYFUNCTION("GOOGLETRANSLATE(C364,""ja"",""en"")"),"Knowledge [+0]")</f>
        <v>Knowledge [+0]</v>
      </c>
      <c r="F364" s="5" t="s">
        <v>202</v>
      </c>
    </row>
    <row r="365" ht="15.75" customHeight="1">
      <c r="A365" s="1">
        <v>363.0</v>
      </c>
      <c r="B365" s="4" t="s">
        <v>20</v>
      </c>
      <c r="C365" s="4" t="s">
        <v>210</v>
      </c>
      <c r="D365" s="4">
        <f t="shared" si="1"/>
        <v>13</v>
      </c>
      <c r="E365" s="4" t="str">
        <f>IFERROR(__xludf.DUMMYFUNCTION("GOOGLETRANSLATE(C365,""ja"",""en"")"),"Charisma [+0]")</f>
        <v>Charisma [+0]</v>
      </c>
      <c r="F365" s="5" t="s">
        <v>211</v>
      </c>
    </row>
    <row r="366" ht="15.75" customHeight="1">
      <c r="A366" s="1">
        <v>364.0</v>
      </c>
      <c r="B366" s="4" t="s">
        <v>23</v>
      </c>
      <c r="C366" s="4" t="s">
        <v>1032</v>
      </c>
      <c r="D366" s="4">
        <f t="shared" si="1"/>
        <v>9</v>
      </c>
      <c r="E366" s="4" t="str">
        <f>IFERROR(__xludf.DUMMYFUNCTION("GOOGLETRANSLATE(C366,""ja"",""en"")"),"Luck [+0]")</f>
        <v>Luck [+0]</v>
      </c>
      <c r="F366" s="5" t="s">
        <v>214</v>
      </c>
    </row>
    <row r="367" ht="15.75" customHeight="1">
      <c r="A367" s="1">
        <v>365.0</v>
      </c>
      <c r="B367" s="4" t="s">
        <v>26</v>
      </c>
      <c r="C367" s="4" t="s">
        <v>1033</v>
      </c>
      <c r="D367" s="4">
        <f t="shared" si="1"/>
        <v>15</v>
      </c>
      <c r="E367" s="4" t="str">
        <f>IFERROR(__xludf.DUMMYFUNCTION("GOOGLETRANSLATE(C367,""ja"",""en"")"),"Power fixed [0]")</f>
        <v>Power fixed [0]</v>
      </c>
      <c r="F367" s="5" t="s">
        <v>1034</v>
      </c>
    </row>
    <row r="368" ht="15.75" customHeight="1">
      <c r="A368" s="1">
        <v>366.0</v>
      </c>
      <c r="B368" s="4" t="s">
        <v>29</v>
      </c>
      <c r="C368" s="4" t="s">
        <v>1035</v>
      </c>
      <c r="D368" s="4">
        <f t="shared" si="1"/>
        <v>17</v>
      </c>
      <c r="E368" s="4" t="str">
        <f>IFERROR(__xludf.DUMMYFUNCTION("GOOGLETRANSLATE(C368,""ja"",""en"")"),"Agility fixed [0]")</f>
        <v>Agility fixed [0]</v>
      </c>
      <c r="F368" s="5" t="s">
        <v>1036</v>
      </c>
    </row>
    <row r="369" ht="15.75" customHeight="1">
      <c r="A369" s="1">
        <v>367.0</v>
      </c>
      <c r="B369" s="4" t="s">
        <v>32</v>
      </c>
      <c r="C369" s="4" t="s">
        <v>1037</v>
      </c>
      <c r="D369" s="4">
        <f t="shared" si="1"/>
        <v>16</v>
      </c>
      <c r="E369" s="4" t="str">
        <f>IFERROR(__xludf.DUMMYFUNCTION("GOOGLETRANSLATE(C369,""ja"",""en"")"),"Health fixed [0]")</f>
        <v>Health fixed [0]</v>
      </c>
      <c r="F369" s="5" t="s">
        <v>1038</v>
      </c>
    </row>
    <row r="370" ht="15.75" customHeight="1">
      <c r="A370" s="1">
        <v>368.0</v>
      </c>
      <c r="B370" s="4" t="s">
        <v>35</v>
      </c>
      <c r="C370" s="4" t="s">
        <v>1039</v>
      </c>
      <c r="D370" s="4">
        <f t="shared" si="1"/>
        <v>16</v>
      </c>
      <c r="E370" s="4" t="str">
        <f>IFERROR(__xludf.DUMMYFUNCTION("GOOGLETRANSLATE(C370,""ja"",""en"")"),"Wisdom fixed [0]")</f>
        <v>Wisdom fixed [0]</v>
      </c>
      <c r="F370" s="5" t="s">
        <v>1040</v>
      </c>
    </row>
    <row r="371" ht="15.75" customHeight="1">
      <c r="A371" s="1">
        <v>369.0</v>
      </c>
      <c r="B371" s="4" t="s">
        <v>38</v>
      </c>
      <c r="C371" s="4" t="s">
        <v>1041</v>
      </c>
      <c r="D371" s="4">
        <f t="shared" si="1"/>
        <v>19</v>
      </c>
      <c r="E371" s="4" t="str">
        <f>IFERROR(__xludf.DUMMYFUNCTION("GOOGLETRANSLATE(C371,""ja"",""en"")"),"Fixed knowledge [0]")</f>
        <v>Fixed knowledge [0]</v>
      </c>
      <c r="F371" s="5" t="s">
        <v>1042</v>
      </c>
    </row>
    <row r="372" ht="15.75" customHeight="1">
      <c r="A372" s="1">
        <v>370.0</v>
      </c>
      <c r="B372" s="4" t="s">
        <v>41</v>
      </c>
      <c r="C372" s="4" t="s">
        <v>1043</v>
      </c>
      <c r="D372" s="4">
        <f t="shared" si="1"/>
        <v>18</v>
      </c>
      <c r="E372" s="4" t="str">
        <f>IFERROR(__xludf.DUMMYFUNCTION("GOOGLETRANSLATE(C372,""ja"",""en"")"),"Charisma fixed [0]")</f>
        <v>Charisma fixed [0]</v>
      </c>
      <c r="F372" s="5" t="s">
        <v>1044</v>
      </c>
    </row>
    <row r="373" ht="15.75" customHeight="1">
      <c r="A373" s="1">
        <v>371.0</v>
      </c>
      <c r="B373" s="4" t="s">
        <v>44</v>
      </c>
      <c r="C373" s="4" t="s">
        <v>1045</v>
      </c>
      <c r="D373" s="4">
        <f t="shared" si="1"/>
        <v>14</v>
      </c>
      <c r="E373" s="4" t="str">
        <f>IFERROR(__xludf.DUMMYFUNCTION("GOOGLETRANSLATE(C373,""ja"",""en"")"),"Fixed luck [0]")</f>
        <v>Fixed luck [0]</v>
      </c>
      <c r="F373" s="5" t="s">
        <v>1046</v>
      </c>
    </row>
    <row r="374" ht="15.75" customHeight="1">
      <c r="A374" s="1">
        <v>372.0</v>
      </c>
      <c r="B374" s="4" t="s">
        <v>47</v>
      </c>
      <c r="C374" s="4" t="s">
        <v>1047</v>
      </c>
      <c r="D374" s="4">
        <f t="shared" si="1"/>
        <v>20</v>
      </c>
      <c r="E374" s="4" t="str">
        <f>IFERROR(__xludf.DUMMYFUNCTION("GOOGLETRANSLATE(C374,""ja"",""en"")"),"Power [+1]/Level [0]")</f>
        <v>Power [+1]/Level [0]</v>
      </c>
      <c r="F374" s="5" t="s">
        <v>1048</v>
      </c>
    </row>
    <row r="375" ht="15.75" customHeight="1">
      <c r="A375" s="1">
        <v>373.0</v>
      </c>
      <c r="B375" s="4" t="s">
        <v>50</v>
      </c>
      <c r="C375" s="4" t="s">
        <v>1049</v>
      </c>
      <c r="D375" s="4">
        <f t="shared" si="1"/>
        <v>21</v>
      </c>
      <c r="E375" s="4" t="str">
        <f>IFERROR(__xludf.DUMMYFUNCTION("GOOGLETRANSLATE(C375,""ja"",""en"")"),"Agency [+1]/Level [0]")</f>
        <v>Agency [+1]/Level [0]</v>
      </c>
      <c r="F375" s="5" t="s">
        <v>1050</v>
      </c>
    </row>
    <row r="376" ht="15.75" customHeight="1">
      <c r="A376" s="1">
        <v>374.0</v>
      </c>
      <c r="B376" s="4" t="s">
        <v>53</v>
      </c>
      <c r="C376" s="4" t="s">
        <v>1051</v>
      </c>
      <c r="D376" s="4">
        <f t="shared" si="1"/>
        <v>21</v>
      </c>
      <c r="E376" s="4" t="str">
        <f>IFERROR(__xludf.DUMMYFUNCTION("GOOGLETRANSLATE(C376,""ja"",""en"")"),"Health [+1]/Level [0]")</f>
        <v>Health [+1]/Level [0]</v>
      </c>
      <c r="F376" s="5" t="s">
        <v>1052</v>
      </c>
    </row>
    <row r="377" ht="15.75" customHeight="1">
      <c r="A377" s="1">
        <v>375.0</v>
      </c>
      <c r="B377" s="4" t="s">
        <v>56</v>
      </c>
      <c r="C377" s="4" t="s">
        <v>1053</v>
      </c>
      <c r="D377" s="4">
        <f t="shared" si="1"/>
        <v>21</v>
      </c>
      <c r="E377" s="4" t="str">
        <f>IFERROR(__xludf.DUMMYFUNCTION("GOOGLETRANSLATE(C377,""ja"",""en"")"),"Wisdom [+1]/Level [0]")</f>
        <v>Wisdom [+1]/Level [0]</v>
      </c>
      <c r="F377" s="5" t="s">
        <v>1054</v>
      </c>
    </row>
    <row r="378" ht="15.75" customHeight="1">
      <c r="A378" s="1">
        <v>376.0</v>
      </c>
      <c r="B378" s="4" t="s">
        <v>59</v>
      </c>
      <c r="C378" s="4" t="s">
        <v>1055</v>
      </c>
      <c r="D378" s="4">
        <f t="shared" si="1"/>
        <v>24</v>
      </c>
      <c r="E378" s="4" t="str">
        <f>IFERROR(__xludf.DUMMYFUNCTION("GOOGLETRANSLATE(C378,""ja"",""en"")"),"Knowledge [+1]/Level [0]")</f>
        <v>Knowledge [+1]/Level [0]</v>
      </c>
      <c r="F378" s="5" t="s">
        <v>1056</v>
      </c>
    </row>
    <row r="379" ht="15.75" customHeight="1">
      <c r="A379" s="1">
        <v>377.0</v>
      </c>
      <c r="B379" s="4" t="s">
        <v>62</v>
      </c>
      <c r="C379" s="4" t="s">
        <v>1057</v>
      </c>
      <c r="D379" s="4">
        <f t="shared" si="1"/>
        <v>23</v>
      </c>
      <c r="E379" s="4" t="str">
        <f>IFERROR(__xludf.DUMMYFUNCTION("GOOGLETRANSLATE(C379,""ja"",""en"")"),"Charisma [+1]/Level [0]")</f>
        <v>Charisma [+1]/Level [0]</v>
      </c>
      <c r="F379" s="5" t="s">
        <v>1058</v>
      </c>
    </row>
    <row r="380" ht="15.75" customHeight="1">
      <c r="A380" s="1">
        <v>378.0</v>
      </c>
      <c r="B380" s="4" t="s">
        <v>65</v>
      </c>
      <c r="C380" s="4" t="s">
        <v>1059</v>
      </c>
      <c r="D380" s="4">
        <f t="shared" si="1"/>
        <v>19</v>
      </c>
      <c r="E380" s="4" t="str">
        <f>IFERROR(__xludf.DUMMYFUNCTION("GOOGLETRANSLATE(C380,""ja"",""en"")"),"Luck [+1]/Level [0]")</f>
        <v>Luck [+1]/Level [0]</v>
      </c>
      <c r="F380" s="5" t="s">
        <v>1060</v>
      </c>
    </row>
    <row r="381" ht="15.75" customHeight="1">
      <c r="A381" s="1">
        <v>379.0</v>
      </c>
      <c r="B381" s="4" t="s">
        <v>68</v>
      </c>
      <c r="C381" s="4" t="s">
        <v>1061</v>
      </c>
      <c r="D381" s="4">
        <f t="shared" si="1"/>
        <v>13</v>
      </c>
      <c r="E381" s="4" t="str">
        <f>IFERROR(__xludf.DUMMYFUNCTION("GOOGLETRANSLATE(C381,""ja"",""en"")"),"Damage [+0] %")</f>
        <v>Damage [+0] %</v>
      </c>
      <c r="F381" s="5" t="s">
        <v>1062</v>
      </c>
    </row>
    <row r="382" ht="15.75" customHeight="1">
      <c r="A382" s="1">
        <v>380.0</v>
      </c>
      <c r="B382" s="4" t="s">
        <v>71</v>
      </c>
      <c r="C382" s="4" t="s">
        <v>1063</v>
      </c>
      <c r="D382" s="4">
        <f t="shared" si="1"/>
        <v>19</v>
      </c>
      <c r="E382" s="4" t="str">
        <f>IFERROR(__xludf.DUMMYFUNCTION("GOOGLETRANSLATE(C382,""ja"",""en"")"),"Minimum damage [+0]")</f>
        <v>Minimum damage [+0]</v>
      </c>
      <c r="F382" s="5" t="s">
        <v>1064</v>
      </c>
    </row>
    <row r="383" ht="15.75" customHeight="1">
      <c r="A383" s="1">
        <v>381.0</v>
      </c>
      <c r="B383" s="4" t="s">
        <v>74</v>
      </c>
      <c r="C383" s="4" t="s">
        <v>1065</v>
      </c>
      <c r="D383" s="4">
        <f t="shared" si="1"/>
        <v>19</v>
      </c>
      <c r="E383" s="4" t="str">
        <f>IFERROR(__xludf.DUMMYFUNCTION("GOOGLETRANSLATE(C383,""ja"",""en"")"),"Maximum damage [+0]")</f>
        <v>Maximum damage [+0]</v>
      </c>
      <c r="F383" s="5" t="s">
        <v>1066</v>
      </c>
    </row>
    <row r="384" ht="15.75" customHeight="1">
      <c r="A384" s="1">
        <v>382.0</v>
      </c>
      <c r="B384" s="4" t="s">
        <v>77</v>
      </c>
      <c r="C384" s="4" t="s">
        <v>1013</v>
      </c>
      <c r="D384" s="4">
        <f t="shared" si="1"/>
        <v>14</v>
      </c>
      <c r="E384" s="4" t="str">
        <f>IFERROR(__xludf.DUMMYFUNCTION("GOOGLETRANSLATE(C384,""ja"",""en"")"),"Defense [+0] %")</f>
        <v>Defense [+0] %</v>
      </c>
      <c r="F384" s="5" t="s">
        <v>1014</v>
      </c>
    </row>
    <row r="385" ht="15.75" customHeight="1">
      <c r="A385" s="1">
        <v>383.0</v>
      </c>
      <c r="B385" s="4" t="s">
        <v>80</v>
      </c>
      <c r="C385" s="4" t="s">
        <v>6</v>
      </c>
      <c r="D385" s="4">
        <f t="shared" si="1"/>
        <v>12</v>
      </c>
      <c r="E385" s="4" t="str">
        <f>IFERROR(__xludf.DUMMYFUNCTION("GOOGLETRANSLATE(C385,""ja"",""en"")"),"Defense [+0]")</f>
        <v>Defense [+0]</v>
      </c>
      <c r="F385" s="5" t="s">
        <v>7</v>
      </c>
    </row>
    <row r="386" ht="15.75" customHeight="1">
      <c r="A386" s="1">
        <v>384.0</v>
      </c>
      <c r="B386" s="4" t="s">
        <v>83</v>
      </c>
      <c r="C386" s="4" t="s">
        <v>1016</v>
      </c>
      <c r="D386" s="4">
        <f t="shared" si="1"/>
        <v>17</v>
      </c>
      <c r="E386" s="4" t="str">
        <f>IFERROR(__xludf.DUMMYFUNCTION("GOOGLETRANSLATE(C386,""ja"",""en"")"),"Maximum HP [+0] %")</f>
        <v>Maximum HP [+0] %</v>
      </c>
      <c r="F386" s="5" t="s">
        <v>1017</v>
      </c>
    </row>
    <row r="387" ht="15.75" customHeight="1">
      <c r="A387" s="1">
        <v>385.0</v>
      </c>
      <c r="B387" s="4" t="s">
        <v>86</v>
      </c>
      <c r="C387" s="4" t="s">
        <v>1007</v>
      </c>
      <c r="D387" s="4">
        <f t="shared" si="1"/>
        <v>15</v>
      </c>
      <c r="E387" s="4" t="str">
        <f>IFERROR(__xludf.DUMMYFUNCTION("GOOGLETRANSLATE(C387,""ja"",""en"")"),"Maximum HP [+0]")</f>
        <v>Maximum HP [+0]</v>
      </c>
      <c r="F387" s="5" t="s">
        <v>1008</v>
      </c>
    </row>
    <row r="388" ht="15.75" customHeight="1">
      <c r="A388" s="1">
        <v>386.0</v>
      </c>
      <c r="B388" s="4" t="s">
        <v>89</v>
      </c>
      <c r="C388" s="4" t="s">
        <v>1019</v>
      </c>
      <c r="D388" s="4">
        <f t="shared" si="1"/>
        <v>17</v>
      </c>
      <c r="E388" s="4" t="str">
        <f>IFERROR(__xludf.DUMMYFUNCTION("GOOGLETRANSLATE(C388,""ja"",""en"")"),"Maximum CP [+0] %")</f>
        <v>Maximum CP [+0] %</v>
      </c>
      <c r="F388" s="5" t="s">
        <v>1020</v>
      </c>
    </row>
    <row r="389" ht="15.75" customHeight="1">
      <c r="A389" s="1">
        <v>387.0</v>
      </c>
      <c r="B389" s="4" t="s">
        <v>92</v>
      </c>
      <c r="C389" s="4" t="s">
        <v>1010</v>
      </c>
      <c r="D389" s="4">
        <f t="shared" si="1"/>
        <v>15</v>
      </c>
      <c r="E389" s="4" t="str">
        <f>IFERROR(__xludf.DUMMYFUNCTION("GOOGLETRANSLATE(C389,""ja"",""en"")"),"Maximum CP [+0]")</f>
        <v>Maximum CP [+0]</v>
      </c>
      <c r="F389" s="5" t="s">
        <v>1011</v>
      </c>
    </row>
    <row r="390" ht="15.75" customHeight="1">
      <c r="A390" s="1">
        <v>388.0</v>
      </c>
      <c r="B390" s="4" t="s">
        <v>95</v>
      </c>
      <c r="C390" s="4" t="s">
        <v>1067</v>
      </c>
      <c r="D390" s="4">
        <f t="shared" si="1"/>
        <v>23</v>
      </c>
      <c r="E390" s="4" t="str">
        <f>IFERROR(__xludf.DUMMYFUNCTION("GOOGLETRANSLATE(C390,""ja"",""en"")"),"Reduction limit CP [+0]")</f>
        <v>Reduction limit CP [+0]</v>
      </c>
      <c r="F390" s="5" t="s">
        <v>1068</v>
      </c>
    </row>
    <row r="391" ht="15.75" customHeight="1">
      <c r="A391" s="1">
        <v>389.0</v>
      </c>
      <c r="B391" s="4" t="s">
        <v>98</v>
      </c>
      <c r="C391" s="4" t="s">
        <v>222</v>
      </c>
      <c r="D391" s="4">
        <f t="shared" si="1"/>
        <v>32</v>
      </c>
      <c r="E391" s="4" t="str">
        <f>IFERROR(__xludf.DUMMYFUNCTION("GOOGLETRANSLATE(C391,""ja"",""en"")"),"According to the hit rate [+0] %")</f>
        <v>According to the hit rate [+0] %</v>
      </c>
      <c r="F391" s="5" t="s">
        <v>1069</v>
      </c>
    </row>
    <row r="392" ht="15.75" customHeight="1">
      <c r="A392" s="1">
        <v>390.0</v>
      </c>
      <c r="B392" s="4" t="s">
        <v>101</v>
      </c>
      <c r="C392" s="4" t="s">
        <v>336</v>
      </c>
      <c r="D392" s="4">
        <f t="shared" si="1"/>
        <v>21</v>
      </c>
      <c r="E392" s="4" t="str">
        <f>IFERROR(__xludf.DUMMYFUNCTION("GOOGLETRANSLATE(C392,""ja"",""en"")"),"Avoidance rate [+0] %")</f>
        <v>Avoidance rate [+0] %</v>
      </c>
      <c r="F392" s="5" t="s">
        <v>337</v>
      </c>
    </row>
    <row r="393" ht="15.75" customHeight="1">
      <c r="A393" s="1">
        <v>391.0</v>
      </c>
      <c r="B393" s="4" t="s">
        <v>104</v>
      </c>
      <c r="C393" s="4" t="s">
        <v>9</v>
      </c>
      <c r="D393" s="4">
        <f t="shared" si="1"/>
        <v>17</v>
      </c>
      <c r="E393" s="4" t="str">
        <f>IFERROR(__xludf.DUMMYFUNCTION("GOOGLETRANSLATE(C393,""ja"",""en"")"),"Block rate [+0] %")</f>
        <v>Block rate [+0] %</v>
      </c>
      <c r="F393" s="5" t="s">
        <v>10</v>
      </c>
    </row>
    <row r="394" ht="15.75" customHeight="1">
      <c r="A394" s="1">
        <v>392.0</v>
      </c>
      <c r="B394" s="4" t="s">
        <v>107</v>
      </c>
      <c r="C394" s="4" t="s">
        <v>1070</v>
      </c>
      <c r="D394" s="4">
        <f t="shared" si="1"/>
        <v>32</v>
      </c>
      <c r="E394" s="4" t="str">
        <f>IFERROR(__xludf.DUMMYFUNCTION("GOOGLETRANSLATE(C394,""ja"",""en"")"),"Fatal flowing probability [+0] %")</f>
        <v>Fatal flowing probability [+0] %</v>
      </c>
      <c r="F394" s="5" t="s">
        <v>1071</v>
      </c>
    </row>
    <row r="395" ht="15.75" customHeight="1">
      <c r="A395" s="1">
        <v>393.0</v>
      </c>
      <c r="B395" s="4" t="s">
        <v>110</v>
      </c>
      <c r="C395" s="4" t="s">
        <v>1072</v>
      </c>
      <c r="D395" s="4">
        <f t="shared" si="1"/>
        <v>44</v>
      </c>
      <c r="E395" s="4" t="str">
        <f>IFERROR(__xludf.DUMMYFUNCTION("GOOGLETRANSLATE(C395,""ja"",""en"")"),"Decision hitting movement probability [+0] %")</f>
        <v>Decision hitting movement probability [+0] %</v>
      </c>
      <c r="F395" s="5" t="s">
        <v>1073</v>
      </c>
    </row>
    <row r="396" ht="15.75" customHeight="1">
      <c r="A396" s="1">
        <v>394.0</v>
      </c>
      <c r="B396" s="4" t="s">
        <v>113</v>
      </c>
      <c r="C396" s="4" t="s">
        <v>1074</v>
      </c>
      <c r="D396" s="4">
        <f t="shared" si="1"/>
        <v>64</v>
      </c>
      <c r="E396" s="4" t="str">
        <f>IFERROR(__xludf.DUMMYFUNCTION("GOOGLETRANSLATE(C396,""ja"",""en"")"),"Evasion rate correction value ignoring the target avoidance rate")</f>
        <v>Evasion rate correction value ignoring the target avoidance rate</v>
      </c>
      <c r="F396" s="5" t="s">
        <v>1075</v>
      </c>
    </row>
    <row r="397" ht="15.75" customHeight="1">
      <c r="A397" s="1">
        <v>395.0</v>
      </c>
      <c r="B397" s="4" t="s">
        <v>116</v>
      </c>
      <c r="C397" s="4" t="s">
        <v>1076</v>
      </c>
      <c r="D397" s="4">
        <f t="shared" si="1"/>
        <v>52</v>
      </c>
      <c r="E397" s="4" t="str">
        <f>IFERROR(__xludf.DUMMYFUNCTION("GOOGLETRANSLATE(C397,""ja"",""en"")"),"Ignore the hit rate correction value of the attacker")</f>
        <v>Ignore the hit rate correction value of the attacker</v>
      </c>
      <c r="F397" s="5" t="s">
        <v>1077</v>
      </c>
    </row>
    <row r="398" ht="15.75" customHeight="1">
      <c r="A398" s="1">
        <v>396.0</v>
      </c>
      <c r="B398" s="4" t="s">
        <v>119</v>
      </c>
      <c r="C398" s="4" t="s">
        <v>1078</v>
      </c>
      <c r="D398" s="4">
        <f t="shared" si="1"/>
        <v>49</v>
      </c>
      <c r="E398" s="4" t="str">
        <f>IFERROR(__xludf.DUMMYFUNCTION("GOOGLETRANSLATE(C398,""ja"",""en"")"),"According to the hit rate &lt;C: ltyellow&gt; 100 % &lt;n&gt;")</f>
        <v>According to the hit rate &lt;C: ltyellow&gt; 100 % &lt;n&gt;</v>
      </c>
      <c r="F398" s="5" t="s">
        <v>1079</v>
      </c>
    </row>
    <row r="399" ht="15.75" customHeight="1">
      <c r="A399" s="1">
        <v>397.0</v>
      </c>
      <c r="B399" s="4" t="s">
        <v>122</v>
      </c>
      <c r="C399" s="4" t="s">
        <v>1080</v>
      </c>
      <c r="D399" s="4">
        <f t="shared" si="1"/>
        <v>25</v>
      </c>
      <c r="E399" s="4" t="str">
        <f>IFERROR(__xludf.DUMMYFUNCTION("GOOGLETRANSLATE(C399,""ja"",""en"")"),"The blocking speed [+0] %")</f>
        <v>The blocking speed [+0] %</v>
      </c>
      <c r="F399" s="5" t="s">
        <v>1081</v>
      </c>
    </row>
    <row r="400" ht="15.75" customHeight="1">
      <c r="A400" s="1">
        <v>398.0</v>
      </c>
      <c r="B400" s="4" t="s">
        <v>125</v>
      </c>
      <c r="C400" s="4" t="s">
        <v>1082</v>
      </c>
      <c r="D400" s="4">
        <f t="shared" si="1"/>
        <v>19</v>
      </c>
      <c r="E400" s="4" t="str">
        <f>IFERROR(__xludf.DUMMYFUNCTION("GOOGLETRANSLATE(C400,""ja"",""en"")"),"Moving speed [+0] %")</f>
        <v>Moving speed [+0] %</v>
      </c>
      <c r="F400" s="5" t="s">
        <v>1083</v>
      </c>
    </row>
    <row r="401" ht="15.75" customHeight="1">
      <c r="A401" s="1">
        <v>399.0</v>
      </c>
      <c r="B401" s="4" t="s">
        <v>128</v>
      </c>
      <c r="C401" s="4" t="s">
        <v>228</v>
      </c>
      <c r="D401" s="4">
        <f t="shared" si="1"/>
        <v>19</v>
      </c>
      <c r="E401" s="4" t="str">
        <f>IFERROR(__xludf.DUMMYFUNCTION("GOOGLETRANSLATE(C401,""ja"",""en"")"),"Attack speed [+0] %")</f>
        <v>Attack speed [+0] %</v>
      </c>
      <c r="F401" s="5" t="s">
        <v>229</v>
      </c>
    </row>
    <row r="402" ht="15.75" customHeight="1">
      <c r="A402" s="1">
        <v>400.0</v>
      </c>
      <c r="B402" s="4" t="s">
        <v>131</v>
      </c>
      <c r="C402" s="4" t="s">
        <v>1084</v>
      </c>
      <c r="D402" s="4">
        <f t="shared" si="1"/>
        <v>37</v>
      </c>
      <c r="E402" s="4" t="str">
        <f>IFERROR(__xludf.DUMMYFUNCTION("GOOGLETRANSLATE(C402,""ja"",""en"")"),"Potion recovery speed [+0] % increase")</f>
        <v>Potion recovery speed [+0] % increase</v>
      </c>
      <c r="F402" s="5" t="s">
        <v>1085</v>
      </c>
    </row>
    <row r="403" ht="15.75" customHeight="1">
      <c r="A403" s="1">
        <v>401.0</v>
      </c>
      <c r="B403" s="4" t="s">
        <v>134</v>
      </c>
      <c r="C403" s="4" t="s">
        <v>1086</v>
      </c>
      <c r="D403" s="4">
        <f t="shared" si="1"/>
        <v>20</v>
      </c>
      <c r="E403" s="4" t="str">
        <f>IFERROR(__xludf.DUMMYFUNCTION("GOOGLETRANSLATE(C403,""ja"",""en"")"),"Concentration [+0] %")</f>
        <v>Concentration [+0] %</v>
      </c>
      <c r="F403" s="5" t="s">
        <v>1087</v>
      </c>
    </row>
    <row r="404" ht="15.75" customHeight="1">
      <c r="A404" s="1">
        <v>402.0</v>
      </c>
      <c r="B404" s="4" t="s">
        <v>137</v>
      </c>
      <c r="C404" s="4" t="s">
        <v>1088</v>
      </c>
      <c r="D404" s="4">
        <f t="shared" si="1"/>
        <v>21</v>
      </c>
      <c r="E404" s="4" t="str">
        <f>IFERROR(__xludf.DUMMYFUNCTION("GOOGLETRANSLATE(C404,""ja"",""en"")"),"Fire damage [0] - [1]")</f>
        <v>Fire damage [0] - [1]</v>
      </c>
      <c r="F404" s="5" t="s">
        <v>1089</v>
      </c>
    </row>
    <row r="405" ht="15.75" customHeight="1">
      <c r="A405" s="1">
        <v>403.0</v>
      </c>
      <c r="B405" s="4" t="s">
        <v>140</v>
      </c>
      <c r="C405" s="4" t="s">
        <v>1090</v>
      </c>
      <c r="D405" s="4">
        <f t="shared" si="1"/>
        <v>38</v>
      </c>
      <c r="E405" s="4" t="str">
        <f>IFERROR(__xludf.DUMMYFUNCTION("GOOGLETRANSLATE(C405,""ja"",""en"")"),"Water damage [0] ~ [1]
-Cold [2] Frame")</f>
        <v>Water damage [0] ~ [1]
-Cold [2] Frame</v>
      </c>
      <c r="F405" s="5" t="s">
        <v>1091</v>
      </c>
    </row>
    <row r="406" ht="15.75" customHeight="1">
      <c r="A406" s="1">
        <v>404.0</v>
      </c>
      <c r="B406" s="4" t="s">
        <v>143</v>
      </c>
      <c r="C406" s="4" t="s">
        <v>1092</v>
      </c>
      <c r="D406" s="4">
        <f t="shared" si="1"/>
        <v>37</v>
      </c>
      <c r="E406" s="4" t="str">
        <f>IFERROR(__xludf.DUMMYFUNCTION("GOOGLETRANSLATE(C406,""ja"",""en"")"),"Wind damage [0] ~ [1]
-Stan [2] Frame")</f>
        <v>Wind damage [0] ~ [1]
-Stan [2] Frame</v>
      </c>
      <c r="F406" s="5" t="s">
        <v>1093</v>
      </c>
    </row>
    <row r="407" ht="15.75" customHeight="1">
      <c r="A407" s="1">
        <v>405.0</v>
      </c>
      <c r="B407" s="4" t="s">
        <v>146</v>
      </c>
      <c r="C407" s="4" t="s">
        <v>1094</v>
      </c>
      <c r="D407" s="4">
        <f t="shared" si="1"/>
        <v>36</v>
      </c>
      <c r="E407" s="4" t="str">
        <f>IFERROR(__xludf.DUMMYFUNCTION("GOOGLETRANSLATE(C407,""ja"",""en"")"),"[2] seconds [0] to [1] Poison damage")</f>
        <v>[2] seconds [0] to [1] Poison damage</v>
      </c>
      <c r="F407" s="5" t="s">
        <v>1095</v>
      </c>
    </row>
    <row r="408" ht="15.75" customHeight="1">
      <c r="A408" s="1">
        <v>406.0</v>
      </c>
      <c r="B408" s="4" t="s">
        <v>149</v>
      </c>
      <c r="C408" s="4" t="s">
        <v>1096</v>
      </c>
      <c r="D408" s="4">
        <f t="shared" si="1"/>
        <v>67</v>
      </c>
      <c r="E408" s="4" t="str">
        <f>IFERROR(__xludf.DUMMYFUNCTION("GOOGLETRANSLATE(C408,""ja"",""en"")"),"Light damage [0] - [1]
- [2] Hit for seconds, a decrease in evasion")</f>
        <v>Light damage [0] - [1]
- [2] Hit for seconds, a decrease in evasion</v>
      </c>
      <c r="F408" s="5" t="s">
        <v>1097</v>
      </c>
    </row>
    <row r="409" ht="15.75" customHeight="1">
      <c r="A409" s="1">
        <v>407.0</v>
      </c>
      <c r="B409" s="4" t="s">
        <v>152</v>
      </c>
      <c r="C409" s="4" t="s">
        <v>1098</v>
      </c>
      <c r="D409" s="4">
        <f t="shared" si="1"/>
        <v>40</v>
      </c>
      <c r="E409" s="4" t="str">
        <f>IFERROR(__xludf.DUMMYFUNCTION("GOOGLETRANSLATE(C409,""ja"",""en"")"),"Dark damage [0] - [1]
-Curse [2] seconds")</f>
        <v>Dark damage [0] - [1]
-Curse [2] seconds</v>
      </c>
      <c r="F409" s="5" t="s">
        <v>1099</v>
      </c>
    </row>
    <row r="410" ht="15.75" customHeight="1">
      <c r="A410" s="1">
        <v>408.0</v>
      </c>
      <c r="B410" s="4" t="s">
        <v>155</v>
      </c>
      <c r="C410" s="4" t="s">
        <v>1100</v>
      </c>
      <c r="D410" s="4">
        <f t="shared" si="1"/>
        <v>66</v>
      </c>
      <c r="E410" s="4" t="str">
        <f>IFERROR(__xludf.DUMMYFUNCTION("GOOGLETRANSLATE(C410,""ja"",""en"")"),"Absorbing physical strength to the damage given to the enemy [0] %")</f>
        <v>Absorbing physical strength to the damage given to the enemy [0] %</v>
      </c>
      <c r="F410" s="7" t="s">
        <v>1101</v>
      </c>
    </row>
    <row r="411" ht="15.75" customHeight="1">
      <c r="A411" s="1">
        <v>409.0</v>
      </c>
      <c r="B411" s="4" t="s">
        <v>158</v>
      </c>
      <c r="C411" s="4" t="s">
        <v>1102</v>
      </c>
      <c r="D411" s="4">
        <f t="shared" si="1"/>
        <v>26</v>
      </c>
      <c r="E411" s="4" t="str">
        <f>IFERROR(__xludf.DUMMYFUNCTION("GOOGLETRANSLATE(C411,""ja"",""en"")"),"CP acquisition bonus [0] %")</f>
        <v>CP acquisition bonus [0] %</v>
      </c>
      <c r="F411" s="5" t="s">
        <v>1103</v>
      </c>
    </row>
    <row r="412" ht="15.75" customHeight="1">
      <c r="A412" s="1">
        <v>410.0</v>
      </c>
      <c r="B412" s="4" t="s">
        <v>161</v>
      </c>
      <c r="C412" s="4" t="s">
        <v>1104</v>
      </c>
      <c r="D412" s="4">
        <f t="shared" si="1"/>
        <v>18</v>
      </c>
      <c r="E412" s="4" t="str">
        <f>IFERROR(__xludf.DUMMYFUNCTION("GOOGLETRANSLATE(C412,""ja"",""en"")"),"Enemy escape [0] %")</f>
        <v>Enemy escape [0] %</v>
      </c>
      <c r="F412" s="5" t="s">
        <v>1105</v>
      </c>
    </row>
    <row r="413" ht="15.75" customHeight="1">
      <c r="A413" s="1">
        <v>411.0</v>
      </c>
      <c r="B413" s="4" t="s">
        <v>164</v>
      </c>
      <c r="C413" s="4" t="s">
        <v>1106</v>
      </c>
      <c r="D413" s="4">
        <f t="shared" si="1"/>
        <v>22</v>
      </c>
      <c r="E413" s="4" t="str">
        <f>IFERROR(__xludf.DUMMYFUNCTION("GOOGLETRANSLATE(C413,""ja"",""en"")"),"Knockout attack [+0] %")</f>
        <v>Knockout attack [+0] %</v>
      </c>
      <c r="F413" s="5" t="s">
        <v>1107</v>
      </c>
    </row>
    <row r="414" ht="15.75" customHeight="1">
      <c r="A414" s="1">
        <v>412.0</v>
      </c>
      <c r="B414" s="4" t="s">
        <v>167</v>
      </c>
      <c r="C414" s="4" t="s">
        <v>1108</v>
      </c>
      <c r="D414" s="4">
        <f t="shared" si="1"/>
        <v>29</v>
      </c>
      <c r="E414" s="4" t="str">
        <f>IFERROR(__xludf.DUMMYFUNCTION("GOOGLETRANSLATE(C414,""ja"",""en"")"),"Immediate death attack [+0] %")</f>
        <v>Immediate death attack [+0] %</v>
      </c>
      <c r="F414" s="5" t="s">
        <v>1109</v>
      </c>
    </row>
    <row r="415" ht="15.75" customHeight="1">
      <c r="A415" s="1">
        <v>413.0</v>
      </c>
      <c r="B415" s="4" t="s">
        <v>170</v>
      </c>
      <c r="C415" s="4" t="s">
        <v>1110</v>
      </c>
      <c r="D415" s="4">
        <f t="shared" si="1"/>
        <v>45</v>
      </c>
      <c r="E415" s="4" t="str">
        <f>IFERROR(__xludf.DUMMYFUNCTION("GOOGLETRANSLATE(C415,""ja"",""en"")"),"Weapon destruction attack [+0] % ([1] second)")</f>
        <v>Weapon destruction attack [+0] % ([1] second)</v>
      </c>
      <c r="F415" s="5" t="s">
        <v>1111</v>
      </c>
    </row>
    <row r="416" ht="15.75" customHeight="1">
      <c r="A416" s="1">
        <v>414.0</v>
      </c>
      <c r="B416" s="4" t="s">
        <v>173</v>
      </c>
      <c r="C416" s="4" t="s">
        <v>1112</v>
      </c>
      <c r="D416" s="4">
        <f t="shared" si="1"/>
        <v>44</v>
      </c>
      <c r="E416" s="4" t="str">
        <f>IFERROR(__xludf.DUMMYFUNCTION("GOOGLETRANSLATE(C416,""ja"",""en"")"),"Armor destruction attack [+0] % ([1] second)")</f>
        <v>Armor destruction attack [+0] % ([1] second)</v>
      </c>
      <c r="F416" s="5" t="s">
        <v>1113</v>
      </c>
    </row>
    <row r="417" ht="15.75" customHeight="1">
      <c r="A417" s="1">
        <v>415.0</v>
      </c>
      <c r="B417" s="4" t="s">
        <v>176</v>
      </c>
      <c r="C417" s="4" t="s">
        <v>1114</v>
      </c>
      <c r="D417" s="4">
        <f t="shared" si="1"/>
        <v>31</v>
      </c>
      <c r="E417" s="4" t="str">
        <f>IFERROR(__xludf.DUMMYFUNCTION("GOOGLETRANSLATE(C417,""ja"",""en"")"),"Cold attack+ [0] % ([1] second)")</f>
        <v>Cold attack+ [0] % ([1] second)</v>
      </c>
      <c r="F417" s="5" t="s">
        <v>1115</v>
      </c>
    </row>
    <row r="418" ht="15.75" customHeight="1">
      <c r="A418" s="1">
        <v>416.0</v>
      </c>
      <c r="B418" s="4" t="s">
        <v>179</v>
      </c>
      <c r="C418" s="4" t="s">
        <v>1116</v>
      </c>
      <c r="D418" s="4">
        <f t="shared" si="1"/>
        <v>33</v>
      </c>
      <c r="E418" s="4" t="str">
        <f>IFERROR(__xludf.DUMMYFUNCTION("GOOGLETRANSLATE(C418,""ja"",""en"")"),"Freeze attack [+0] % ([1] second)")</f>
        <v>Freeze attack [+0] % ([1] second)</v>
      </c>
      <c r="F418" s="5" t="s">
        <v>1117</v>
      </c>
    </row>
    <row r="419" ht="15.75" customHeight="1">
      <c r="A419" s="1">
        <v>417.0</v>
      </c>
      <c r="B419" s="4" t="s">
        <v>182</v>
      </c>
      <c r="C419" s="4" t="s">
        <v>1118</v>
      </c>
      <c r="D419" s="4">
        <f t="shared" si="1"/>
        <v>37</v>
      </c>
      <c r="E419" s="4" t="str">
        <f>IFERROR(__xludf.DUMMYFUNCTION("GOOGLETRANSLATE(C419,""ja"",""en"")"),"Eye Kirari Attack [+0] % ([1] second)")</f>
        <v>Eye Kirari Attack [+0] % ([1] second)</v>
      </c>
      <c r="F419" s="5" t="s">
        <v>1119</v>
      </c>
    </row>
    <row r="420" ht="15.75" customHeight="1">
      <c r="A420" s="1">
        <v>418.0</v>
      </c>
      <c r="B420" s="4" t="s">
        <v>185</v>
      </c>
      <c r="C420" s="4" t="s">
        <v>1120</v>
      </c>
      <c r="D420" s="4">
        <f t="shared" si="1"/>
        <v>31</v>
      </c>
      <c r="E420" s="4" t="str">
        <f>IFERROR(__xludf.DUMMYFUNCTION("GOOGLETRANSLATE(C420,""ja"",""en"")"),"Stan attack [+0] % ([1] second)")</f>
        <v>Stan attack [+0] % ([1] second)</v>
      </c>
      <c r="F420" s="5" t="s">
        <v>1121</v>
      </c>
    </row>
    <row r="421" ht="15.75" customHeight="1">
      <c r="A421" s="1">
        <v>419.0</v>
      </c>
      <c r="B421" s="4" t="s">
        <v>188</v>
      </c>
      <c r="C421" s="4" t="s">
        <v>1122</v>
      </c>
      <c r="D421" s="4">
        <f t="shared" si="1"/>
        <v>35</v>
      </c>
      <c r="E421" s="4" t="str">
        <f>IFERROR(__xludf.DUMMYFUNCTION("GOOGLETRANSLATE(C421,""ja"",""en"")"),"Petrular attack [+0] % ([1] second)")</f>
        <v>Petrular attack [+0] % ([1] second)</v>
      </c>
      <c r="F421" s="5" t="s">
        <v>1123</v>
      </c>
    </row>
    <row r="422" ht="15.75" customHeight="1">
      <c r="A422" s="1">
        <v>420.0</v>
      </c>
      <c r="B422" s="4" t="s">
        <v>191</v>
      </c>
      <c r="C422" s="4" t="s">
        <v>1124</v>
      </c>
      <c r="D422" s="4">
        <f t="shared" si="1"/>
        <v>36</v>
      </c>
      <c r="E422" s="4" t="str">
        <f>IFERROR(__xludf.DUMMYFUNCTION("GOOGLETRANSLATE(C422,""ja"",""en"")"),"Confusion attack [+0] % ([1] second)")</f>
        <v>Confusion attack [+0] % ([1] second)</v>
      </c>
      <c r="F422" s="5" t="s">
        <v>1125</v>
      </c>
    </row>
    <row r="423" ht="15.75" customHeight="1">
      <c r="A423" s="1">
        <v>421.0</v>
      </c>
      <c r="B423" s="4" t="s">
        <v>194</v>
      </c>
      <c r="C423" s="4" t="s">
        <v>1126</v>
      </c>
      <c r="D423" s="4">
        <f t="shared" si="1"/>
        <v>32</v>
      </c>
      <c r="E423" s="4" t="str">
        <f>IFERROR(__xludf.DUMMYFUNCTION("GOOGLETRANSLATE(C423,""ja"",""en"")"),"Sleep attack [+0] % ([1] second)")</f>
        <v>Sleep attack [+0] % ([1] second)</v>
      </c>
      <c r="F423" s="5" t="s">
        <v>1127</v>
      </c>
    </row>
    <row r="424" ht="15.75" customHeight="1">
      <c r="A424" s="1">
        <v>422.0</v>
      </c>
      <c r="B424" s="4" t="s">
        <v>197</v>
      </c>
      <c r="C424" s="4" t="s">
        <v>1128</v>
      </c>
      <c r="D424" s="4">
        <f t="shared" si="1"/>
        <v>35</v>
      </c>
      <c r="E424" s="4" t="str">
        <f>IFERROR(__xludf.DUMMYFUNCTION("GOOGLETRANSLATE(C424,""ja"",""en"")"),"Charming attack [+0] % ([1] second)")</f>
        <v>Charming attack [+0] % ([1] second)</v>
      </c>
      <c r="F424" s="5" t="s">
        <v>1129</v>
      </c>
    </row>
    <row r="425" ht="15.75" customHeight="1">
      <c r="A425" s="1">
        <v>423.0</v>
      </c>
      <c r="B425" s="4" t="s">
        <v>200</v>
      </c>
      <c r="C425" s="4" t="s">
        <v>1130</v>
      </c>
      <c r="D425" s="4">
        <f t="shared" si="1"/>
        <v>42</v>
      </c>
      <c r="E425" s="4" t="str">
        <f>IFERROR(__xludf.DUMMYFUNCTION("GOOGLETRANSLATE(C425,""ja"",""en"")"),"Priority target attack [+0] % ([1] second)")</f>
        <v>Priority target attack [+0] % ([1] second)</v>
      </c>
      <c r="F425" s="5" t="s">
        <v>1131</v>
      </c>
    </row>
    <row r="426" ht="15.75" customHeight="1">
      <c r="A426" s="1">
        <v>424.0</v>
      </c>
      <c r="B426" s="4" t="s">
        <v>203</v>
      </c>
      <c r="C426" s="4" t="s">
        <v>1132</v>
      </c>
      <c r="D426" s="4">
        <f t="shared" si="1"/>
        <v>37</v>
      </c>
      <c r="E426" s="4" t="str">
        <f>IFERROR(__xludf.DUMMYFUNCTION("GOOGLETRANSLATE(C426,""ja"",""en"")"),"AI reduced attack [+0] % ([1] second)")</f>
        <v>AI reduced attack [+0] % ([1] second)</v>
      </c>
      <c r="F426" s="5" t="s">
        <v>1133</v>
      </c>
    </row>
    <row r="427" ht="15.75" customHeight="1">
      <c r="A427" s="1">
        <v>425.0</v>
      </c>
      <c r="B427" s="4" t="s">
        <v>206</v>
      </c>
      <c r="C427" s="4" t="s">
        <v>1134</v>
      </c>
      <c r="D427" s="4">
        <f t="shared" si="1"/>
        <v>34</v>
      </c>
      <c r="E427" s="4" t="str">
        <f>IFERROR(__xludf.DUMMYFUNCTION("GOOGLETRANSLATE(C427,""ja"",""en"")"),"Berserk attack [+0] % ([1] second)")</f>
        <v>Berserk attack [+0] % ([1] second)</v>
      </c>
      <c r="F427" s="5" t="s">
        <v>1135</v>
      </c>
    </row>
    <row r="428" ht="15.75" customHeight="1">
      <c r="A428" s="1">
        <v>426.0</v>
      </c>
      <c r="B428" s="4" t="s">
        <v>209</v>
      </c>
      <c r="C428" s="4" t="s">
        <v>1136</v>
      </c>
      <c r="D428" s="4">
        <f t="shared" si="1"/>
        <v>22</v>
      </c>
      <c r="E428" s="4" t="str">
        <f>IFERROR(__xludf.DUMMYFUNCTION("GOOGLETRANSLATE(C428,""ja"",""en"")"),"Fire resistance [+0] %")</f>
        <v>Fire resistance [+0] %</v>
      </c>
      <c r="F428" s="5" t="s">
        <v>244</v>
      </c>
    </row>
    <row r="429" ht="15.75" customHeight="1">
      <c r="A429" s="1">
        <v>427.0</v>
      </c>
      <c r="B429" s="4" t="s">
        <v>212</v>
      </c>
      <c r="C429" s="4" t="s">
        <v>1137</v>
      </c>
      <c r="D429" s="4">
        <f t="shared" si="1"/>
        <v>33</v>
      </c>
      <c r="E429" s="4" t="str">
        <f>IFERROR(__xludf.DUMMYFUNCTION("GOOGLETRANSLATE(C429,""ja"",""en"")"),"Water attribute resistance [+0] %")</f>
        <v>Water attribute resistance [+0] %</v>
      </c>
      <c r="F429" s="5" t="s">
        <v>1138</v>
      </c>
    </row>
    <row r="430" ht="15.75" customHeight="1">
      <c r="A430" s="1">
        <v>428.0</v>
      </c>
      <c r="B430" s="4" t="s">
        <v>215</v>
      </c>
      <c r="C430" s="4" t="s">
        <v>1139</v>
      </c>
      <c r="D430" s="4">
        <f t="shared" si="1"/>
        <v>32</v>
      </c>
      <c r="E430" s="4" t="str">
        <f>IFERROR(__xludf.DUMMYFUNCTION("GOOGLETRANSLATE(C430,""ja"",""en"")"),"Wind attribute resistance [+0] %")</f>
        <v>Wind attribute resistance [+0] %</v>
      </c>
      <c r="F430" s="5" t="s">
        <v>1140</v>
      </c>
    </row>
    <row r="431" ht="15.75" customHeight="1">
      <c r="A431" s="1">
        <v>429.0</v>
      </c>
      <c r="B431" s="4" t="s">
        <v>218</v>
      </c>
      <c r="C431" s="4" t="s">
        <v>1141</v>
      </c>
      <c r="D431" s="4">
        <f t="shared" si="1"/>
        <v>33</v>
      </c>
      <c r="E431" s="4" t="str">
        <f>IFERROR(__xludf.DUMMYFUNCTION("GOOGLETRANSLATE(C431,""ja"",""en"")"),"Earth attribute resistance [+0] %")</f>
        <v>Earth attribute resistance [+0] %</v>
      </c>
      <c r="F431" s="5" t="s">
        <v>1142</v>
      </c>
    </row>
    <row r="432" ht="15.75" customHeight="1">
      <c r="A432" s="1">
        <v>430.0</v>
      </c>
      <c r="B432" s="4" t="s">
        <v>221</v>
      </c>
      <c r="C432" s="4" t="s">
        <v>1143</v>
      </c>
      <c r="D432" s="4">
        <f t="shared" si="1"/>
        <v>33</v>
      </c>
      <c r="E432" s="4" t="str">
        <f>IFERROR(__xludf.DUMMYFUNCTION("GOOGLETRANSLATE(C432,""ja"",""en"")"),"Light attribute resistance [+0] %")</f>
        <v>Light attribute resistance [+0] %</v>
      </c>
      <c r="F432" s="5" t="s">
        <v>1144</v>
      </c>
    </row>
    <row r="433" ht="15.75" customHeight="1">
      <c r="A433" s="1">
        <v>431.0</v>
      </c>
      <c r="B433" s="4" t="s">
        <v>224</v>
      </c>
      <c r="C433" s="4" t="s">
        <v>1145</v>
      </c>
      <c r="D433" s="4">
        <f t="shared" si="1"/>
        <v>32</v>
      </c>
      <c r="E433" s="4" t="str">
        <f>IFERROR(__xludf.DUMMYFUNCTION("GOOGLETRANSLATE(C433,""ja"",""en"")"),"Dark attribute resistance [+0] %")</f>
        <v>Dark attribute resistance [+0] %</v>
      </c>
      <c r="F433" s="5" t="s">
        <v>1146</v>
      </c>
    </row>
    <row r="434" ht="15.75" customHeight="1">
      <c r="A434" s="1">
        <v>432.0</v>
      </c>
      <c r="B434" s="4" t="s">
        <v>227</v>
      </c>
      <c r="C434" s="4" t="s">
        <v>1147</v>
      </c>
      <c r="D434" s="4">
        <f t="shared" si="1"/>
        <v>23</v>
      </c>
      <c r="E434" s="4" t="str">
        <f>IFERROR(__xludf.DUMMYFUNCTION("GOOGLETRANSLATE(C434,""ja"",""en"")"),"Magic resistance [+0] %")</f>
        <v>Magic resistance [+0] %</v>
      </c>
      <c r="F434" s="5" t="s">
        <v>265</v>
      </c>
    </row>
    <row r="435" ht="15.75" customHeight="1">
      <c r="A435" s="1">
        <v>433.0</v>
      </c>
      <c r="B435" s="4" t="s">
        <v>230</v>
      </c>
      <c r="C435" s="4" t="s">
        <v>1148</v>
      </c>
      <c r="D435" s="4">
        <f t="shared" si="1"/>
        <v>38</v>
      </c>
      <c r="E435" s="4" t="str">
        <f>IFERROR(__xludf.DUMMYFUNCTION("GOOGLETRANSLATE(C435,""ja"",""en"")"),"Fire attribute damage absorption [0] %")</f>
        <v>Fire attribute damage absorption [0] %</v>
      </c>
      <c r="F435" s="5" t="s">
        <v>1149</v>
      </c>
    </row>
    <row r="436" ht="15.75" customHeight="1">
      <c r="A436" s="1">
        <v>434.0</v>
      </c>
      <c r="B436" s="4" t="s">
        <v>233</v>
      </c>
      <c r="C436" s="4" t="s">
        <v>1150</v>
      </c>
      <c r="D436" s="4">
        <f t="shared" si="1"/>
        <v>39</v>
      </c>
      <c r="E436" s="4" t="str">
        <f>IFERROR(__xludf.DUMMYFUNCTION("GOOGLETRANSLATE(C436,""ja"",""en"")"),"Water attribute damage absorption [0] %")</f>
        <v>Water attribute damage absorption [0] %</v>
      </c>
      <c r="F436" s="5" t="s">
        <v>1151</v>
      </c>
    </row>
    <row r="437" ht="15.75" customHeight="1">
      <c r="A437" s="1">
        <v>435.0</v>
      </c>
      <c r="B437" s="4" t="s">
        <v>236</v>
      </c>
      <c r="C437" s="4" t="s">
        <v>1152</v>
      </c>
      <c r="D437" s="4">
        <f t="shared" si="1"/>
        <v>38</v>
      </c>
      <c r="E437" s="4" t="str">
        <f>IFERROR(__xludf.DUMMYFUNCTION("GOOGLETRANSLATE(C437,""ja"",""en"")"),"Wind attribute damage absorption [0] %")</f>
        <v>Wind attribute damage absorption [0] %</v>
      </c>
      <c r="F437" s="5" t="s">
        <v>1153</v>
      </c>
    </row>
    <row r="438" ht="15.75" customHeight="1">
      <c r="A438" s="1">
        <v>436.0</v>
      </c>
      <c r="B438" s="4" t="s">
        <v>239</v>
      </c>
      <c r="C438" s="4" t="s">
        <v>1154</v>
      </c>
      <c r="D438" s="4">
        <f t="shared" si="1"/>
        <v>39</v>
      </c>
      <c r="E438" s="4" t="str">
        <f>IFERROR(__xludf.DUMMYFUNCTION("GOOGLETRANSLATE(C438,""ja"",""en"")"),"Earth attribute damage absorption [0] %")</f>
        <v>Earth attribute damage absorption [0] %</v>
      </c>
      <c r="F438" s="5" t="s">
        <v>1155</v>
      </c>
    </row>
    <row r="439" ht="15.75" customHeight="1">
      <c r="A439" s="1">
        <v>437.0</v>
      </c>
      <c r="B439" s="4" t="s">
        <v>242</v>
      </c>
      <c r="C439" s="4" t="s">
        <v>1156</v>
      </c>
      <c r="D439" s="4">
        <f t="shared" si="1"/>
        <v>39</v>
      </c>
      <c r="E439" s="4" t="str">
        <f>IFERROR(__xludf.DUMMYFUNCTION("GOOGLETRANSLATE(C439,""ja"",""en"")"),"Light attribute damage absorption [0] %")</f>
        <v>Light attribute damage absorption [0] %</v>
      </c>
      <c r="F439" s="5" t="s">
        <v>1157</v>
      </c>
    </row>
    <row r="440" ht="15.75" customHeight="1">
      <c r="A440" s="1">
        <v>438.0</v>
      </c>
      <c r="B440" s="4" t="s">
        <v>245</v>
      </c>
      <c r="C440" s="4" t="s">
        <v>1158</v>
      </c>
      <c r="D440" s="4">
        <f t="shared" si="1"/>
        <v>38</v>
      </c>
      <c r="E440" s="4" t="str">
        <f>IFERROR(__xludf.DUMMYFUNCTION("GOOGLETRANSLATE(C440,""ja"",""en"")"),"Dark attribute damage absorption [0] %")</f>
        <v>Dark attribute damage absorption [0] %</v>
      </c>
      <c r="F440" s="5" t="s">
        <v>1159</v>
      </c>
    </row>
    <row r="441" ht="15.75" customHeight="1">
      <c r="A441" s="1">
        <v>439.0</v>
      </c>
      <c r="B441" s="4" t="s">
        <v>248</v>
      </c>
      <c r="C441" s="4" t="s">
        <v>1160</v>
      </c>
      <c r="D441" s="4">
        <f t="shared" si="1"/>
        <v>41</v>
      </c>
      <c r="E441" s="4" t="str">
        <f>IFERROR(__xludf.DUMMYFUNCTION("GOOGLETRANSLATE(C441,""ja"",""en"")"),"Magical attribute damage absorption [0] %")</f>
        <v>Magical attribute damage absorption [0] %</v>
      </c>
      <c r="F441" s="5" t="s">
        <v>1161</v>
      </c>
    </row>
    <row r="442" ht="15.75" customHeight="1">
      <c r="A442" s="1">
        <v>440.0</v>
      </c>
      <c r="B442" s="4" t="s">
        <v>251</v>
      </c>
      <c r="C442" s="4" t="s">
        <v>1162</v>
      </c>
      <c r="D442" s="4">
        <f t="shared" si="1"/>
        <v>24</v>
      </c>
      <c r="E442" s="4" t="str">
        <f>IFERROR(__xludf.DUMMYFUNCTION("GOOGLETRANSLATE(C442,""ja"",""en"")"),"Freeze resistance [+0] %")</f>
        <v>Freeze resistance [+0] %</v>
      </c>
      <c r="F442" s="5" t="s">
        <v>1163</v>
      </c>
    </row>
    <row r="443" ht="15.75" customHeight="1">
      <c r="A443" s="1">
        <v>441.0</v>
      </c>
      <c r="B443" s="4" t="s">
        <v>254</v>
      </c>
      <c r="C443" s="4" t="s">
        <v>1164</v>
      </c>
      <c r="D443" s="4">
        <f t="shared" si="1"/>
        <v>22</v>
      </c>
      <c r="E443" s="4" t="str">
        <f>IFERROR(__xludf.DUMMYFUNCTION("GOOGLETRANSLATE(C443,""ja"",""en"")"),"Cold resistance [+0] %")</f>
        <v>Cold resistance [+0] %</v>
      </c>
      <c r="F443" s="5" t="s">
        <v>1165</v>
      </c>
    </row>
    <row r="444" ht="15.75" customHeight="1">
      <c r="A444" s="1">
        <v>442.0</v>
      </c>
      <c r="B444" s="4" t="s">
        <v>257</v>
      </c>
      <c r="C444" s="4" t="s">
        <v>1166</v>
      </c>
      <c r="D444" s="4">
        <f t="shared" si="1"/>
        <v>22</v>
      </c>
      <c r="E444" s="4" t="str">
        <f>IFERROR(__xludf.DUMMYFUNCTION("GOOGLETRANSLATE(C444,""ja"",""en"")"),"Stun resistance [+0] %")</f>
        <v>Stun resistance [+0] %</v>
      </c>
      <c r="F444" s="5" t="s">
        <v>1167</v>
      </c>
    </row>
    <row r="445" ht="15.75" customHeight="1">
      <c r="A445" s="1">
        <v>443.0</v>
      </c>
      <c r="B445" s="4" t="s">
        <v>260</v>
      </c>
      <c r="C445" s="4" t="s">
        <v>1168</v>
      </c>
      <c r="D445" s="4">
        <f t="shared" si="1"/>
        <v>27</v>
      </c>
      <c r="E445" s="4" t="str">
        <f>IFERROR(__xludf.DUMMYFUNCTION("GOOGLETRANSLATE(C445,""ja"",""en"")"),"Confusion resistance [+0] %")</f>
        <v>Confusion resistance [+0] %</v>
      </c>
      <c r="F445" s="5" t="s">
        <v>1169</v>
      </c>
    </row>
    <row r="446" ht="15.75" customHeight="1">
      <c r="A446" s="1">
        <v>444.0</v>
      </c>
      <c r="B446" s="4" t="s">
        <v>263</v>
      </c>
      <c r="C446" s="4" t="s">
        <v>1170</v>
      </c>
      <c r="D446" s="4">
        <f t="shared" si="1"/>
        <v>26</v>
      </c>
      <c r="E446" s="4" t="str">
        <f>IFERROR(__xludf.DUMMYFUNCTION("GOOGLETRANSLATE(C446,""ja"",""en"")"),"Charming resistance [+0] %")</f>
        <v>Charming resistance [+0] %</v>
      </c>
      <c r="F446" s="5" t="s">
        <v>1171</v>
      </c>
    </row>
    <row r="447" ht="15.75" customHeight="1">
      <c r="A447" s="1">
        <v>445.0</v>
      </c>
      <c r="B447" s="4" t="s">
        <v>266</v>
      </c>
      <c r="C447" s="4" t="s">
        <v>1172</v>
      </c>
      <c r="D447" s="4">
        <f t="shared" si="1"/>
        <v>26</v>
      </c>
      <c r="E447" s="4" t="str">
        <f>IFERROR(__xludf.DUMMYFUNCTION("GOOGLETRANSLATE(C447,""ja"",""en"")"),"Petrular resistance [+0] %")</f>
        <v>Petrular resistance [+0] %</v>
      </c>
      <c r="F447" s="5" t="s">
        <v>1173</v>
      </c>
    </row>
    <row r="448" ht="15.75" customHeight="1">
      <c r="A448" s="1">
        <v>446.0</v>
      </c>
      <c r="B448" s="4" t="s">
        <v>269</v>
      </c>
      <c r="C448" s="4" t="s">
        <v>1174</v>
      </c>
      <c r="D448" s="4">
        <f t="shared" si="1"/>
        <v>33</v>
      </c>
      <c r="E448" s="4" t="str">
        <f>IFERROR(__xludf.DUMMYFUNCTION("GOOGLETRANSLATE(C448,""ja"",""en"")"),"Immediate death resistance [+0] %")</f>
        <v>Immediate death resistance [+0] %</v>
      </c>
      <c r="F448" s="5" t="s">
        <v>277</v>
      </c>
    </row>
    <row r="449" ht="15.75" customHeight="1">
      <c r="A449" s="1">
        <v>447.0</v>
      </c>
      <c r="B449" s="4" t="s">
        <v>272</v>
      </c>
      <c r="C449" s="4" t="s">
        <v>1175</v>
      </c>
      <c r="D449" s="4">
        <f t="shared" si="1"/>
        <v>24</v>
      </c>
      <c r="E449" s="4" t="str">
        <f>IFERROR(__xludf.DUMMYFUNCTION("GOOGLETRANSLATE(C449,""ja"",""en"")"),"Poison resistance [+0] %")</f>
        <v>Poison resistance [+0] %</v>
      </c>
      <c r="F449" s="5" t="s">
        <v>1176</v>
      </c>
    </row>
    <row r="450" ht="15.75" customHeight="1">
      <c r="A450" s="1">
        <v>448.0</v>
      </c>
      <c r="B450" s="4" t="s">
        <v>275</v>
      </c>
      <c r="C450" s="4" t="s">
        <v>1177</v>
      </c>
      <c r="D450" s="4">
        <f t="shared" si="1"/>
        <v>23</v>
      </c>
      <c r="E450" s="4" t="str">
        <f>IFERROR(__xludf.DUMMYFUNCTION("GOOGLETRANSLATE(C450,""ja"",""en"")"),"Sleep resistance [+0] %")</f>
        <v>Sleep resistance [+0] %</v>
      </c>
      <c r="F450" s="5" t="s">
        <v>1178</v>
      </c>
    </row>
    <row r="451" ht="15.75" customHeight="1">
      <c r="A451" s="1">
        <v>449.0</v>
      </c>
      <c r="B451" s="4" t="s">
        <v>278</v>
      </c>
      <c r="C451" s="4" t="s">
        <v>1179</v>
      </c>
      <c r="D451" s="4">
        <f t="shared" si="1"/>
        <v>33</v>
      </c>
      <c r="E451" s="4" t="str">
        <f>IFERROR(__xludf.DUMMYFUNCTION("GOOGLETRANSLATE(C451,""ja"",""en"")"),"Status abnormal resistance [+0] %")</f>
        <v>Status abnormal resistance [+0] %</v>
      </c>
      <c r="F451" s="5" t="s">
        <v>1180</v>
      </c>
    </row>
    <row r="452" ht="15.75" customHeight="1">
      <c r="A452" s="1">
        <v>450.0</v>
      </c>
      <c r="B452" s="4" t="s">
        <v>281</v>
      </c>
      <c r="C452" s="4" t="s">
        <v>1181</v>
      </c>
      <c r="D452" s="4">
        <f t="shared" si="1"/>
        <v>27</v>
      </c>
      <c r="E452" s="4" t="str">
        <f>IFERROR(__xludf.DUMMYFUNCTION("GOOGLETRANSLATE(C452,""ja"",""en"")"),"Decreased resistance [+0] %")</f>
        <v>Decreased resistance [+0] %</v>
      </c>
      <c r="F452" s="5" t="s">
        <v>1182</v>
      </c>
    </row>
    <row r="453" ht="15.75" customHeight="1">
      <c r="A453" s="1">
        <v>451.0</v>
      </c>
      <c r="B453" s="4" t="s">
        <v>284</v>
      </c>
      <c r="C453" s="4" t="s">
        <v>1183</v>
      </c>
      <c r="D453" s="4">
        <f t="shared" si="1"/>
        <v>23</v>
      </c>
      <c r="E453" s="4" t="str">
        <f>IFERROR(__xludf.DUMMYFUNCTION("GOOGLETRANSLATE(C453,""ja"",""en"")"),"Curse resistance [+0] %")</f>
        <v>Curse resistance [+0] %</v>
      </c>
      <c r="F453" s="5" t="s">
        <v>1184</v>
      </c>
    </row>
    <row r="454" ht="15.75" customHeight="1">
      <c r="A454" s="1">
        <v>452.0</v>
      </c>
      <c r="B454" s="4" t="s">
        <v>287</v>
      </c>
      <c r="C454" s="4" t="s">
        <v>1185</v>
      </c>
      <c r="D454" s="4">
        <f t="shared" si="1"/>
        <v>30</v>
      </c>
      <c r="E454" s="4" t="str">
        <f>IFERROR(__xludf.DUMMYFUNCTION("GOOGLETRANSLATE(C454,""ja"",""en"")"),"All abnormal resistance [+0] %")</f>
        <v>All abnormal resistance [+0] %</v>
      </c>
      <c r="F454" s="5" t="s">
        <v>1186</v>
      </c>
    </row>
    <row r="455" ht="15.75" customHeight="1">
      <c r="A455" s="1">
        <v>453.0</v>
      </c>
      <c r="B455" s="4" t="s">
        <v>290</v>
      </c>
      <c r="C455" s="4" t="s">
        <v>1187</v>
      </c>
      <c r="D455" s="4">
        <f t="shared" si="1"/>
        <v>27</v>
      </c>
      <c r="E455" s="4" t="str">
        <f>IFERROR(__xludf.DUMMYFUNCTION("GOOGLETRANSLATE(C455,""ja"",""en"")"),"Knockback resistance [+0] %")</f>
        <v>Knockback resistance [+0] %</v>
      </c>
      <c r="F455" s="5" t="s">
        <v>268</v>
      </c>
    </row>
    <row r="456" ht="15.75" customHeight="1">
      <c r="A456" s="1">
        <v>454.0</v>
      </c>
      <c r="B456" s="4" t="s">
        <v>293</v>
      </c>
      <c r="C456" s="4" t="s">
        <v>1188</v>
      </c>
      <c r="D456" s="4">
        <f t="shared" si="1"/>
        <v>23</v>
      </c>
      <c r="E456" s="4" t="str">
        <f>IFERROR(__xludf.DUMMYFUNCTION("GOOGLETRANSLATE(C456,""ja"",""en"")"),"Fatal resistance [+0] %")</f>
        <v>Fatal resistance [+0] %</v>
      </c>
      <c r="F456" s="5" t="s">
        <v>271</v>
      </c>
    </row>
    <row r="457" ht="15.75" customHeight="1">
      <c r="A457" s="1">
        <v>455.0</v>
      </c>
      <c r="B457" s="4" t="s">
        <v>296</v>
      </c>
      <c r="C457" s="4" t="s">
        <v>1189</v>
      </c>
      <c r="D457" s="4">
        <f t="shared" si="1"/>
        <v>34</v>
      </c>
      <c r="E457" s="4" t="str">
        <f>IFERROR(__xludf.DUMMYFUNCTION("GOOGLETRANSLATE(C457,""ja"",""en"")"),"Decisive beating resistance [+0] %")</f>
        <v>Decisive beating resistance [+0] %</v>
      </c>
      <c r="F457" s="5" t="s">
        <v>1190</v>
      </c>
    </row>
    <row r="458" ht="15.75" customHeight="1">
      <c r="A458" s="1">
        <v>456.0</v>
      </c>
      <c r="B458" s="4" t="s">
        <v>299</v>
      </c>
      <c r="C458" s="4" t="s">
        <v>1191</v>
      </c>
      <c r="D458" s="4">
        <f t="shared" si="1"/>
        <v>19</v>
      </c>
      <c r="E458" s="4" t="str">
        <f>IFERROR(__xludf.DUMMYFUNCTION("GOOGLETRANSLATE(C458,""ja"",""en"")"),"Damage return [0] %")</f>
        <v>Damage return [0] %</v>
      </c>
      <c r="F458" s="5" t="s">
        <v>187</v>
      </c>
    </row>
    <row r="459" ht="15.75" customHeight="1">
      <c r="A459" s="1">
        <v>457.0</v>
      </c>
      <c r="B459" s="4" t="s">
        <v>302</v>
      </c>
      <c r="C459" s="4" t="s">
        <v>1192</v>
      </c>
      <c r="D459" s="4">
        <f t="shared" si="1"/>
        <v>26</v>
      </c>
      <c r="E459" s="4" t="str">
        <f>IFERROR(__xludf.DUMMYFUNCTION("GOOGLETRANSLATE(C459,""ja"",""en"")"),"Changed damage to CP [0] %")</f>
        <v>Changed damage to CP [0] %</v>
      </c>
      <c r="F459" s="5" t="s">
        <v>1193</v>
      </c>
    </row>
    <row r="460" ht="15.75" customHeight="1">
      <c r="A460" s="1">
        <v>458.0</v>
      </c>
      <c r="B460" s="4" t="s">
        <v>305</v>
      </c>
      <c r="C460" s="4" t="s">
        <v>1194</v>
      </c>
      <c r="D460" s="4">
        <f t="shared" si="1"/>
        <v>33</v>
      </c>
      <c r="E460" s="4" t="str">
        <f>IFERROR(__xludf.DUMMYFUNCTION("GOOGLETRANSLATE(C460,""ja"",""en"")"),"Counter freeze [0] % ([1] second)")</f>
        <v>Counter freeze [0] % ([1] second)</v>
      </c>
      <c r="F460" s="5" t="s">
        <v>1195</v>
      </c>
    </row>
    <row r="461" ht="15.75" customHeight="1">
      <c r="A461" s="1">
        <v>459.0</v>
      </c>
      <c r="B461" s="4" t="s">
        <v>308</v>
      </c>
      <c r="C461" s="4" t="s">
        <v>1196</v>
      </c>
      <c r="D461" s="4">
        <f t="shared" si="1"/>
        <v>31</v>
      </c>
      <c r="E461" s="4" t="str">
        <f>IFERROR(__xludf.DUMMYFUNCTION("GOOGLETRANSLATE(C461,""ja"",""en"")"),"Counter cold [0] % ([1] second)")</f>
        <v>Counter cold [0] % ([1] second)</v>
      </c>
      <c r="F461" s="5" t="s">
        <v>1197</v>
      </c>
    </row>
    <row r="462" ht="15.75" customHeight="1">
      <c r="A462" s="1">
        <v>460.0</v>
      </c>
      <c r="B462" s="4" t="s">
        <v>311</v>
      </c>
      <c r="C462" s="4" t="s">
        <v>1198</v>
      </c>
      <c r="D462" s="4" t="str">
        <f t="shared" si="1"/>
        <v>#VALUE!</v>
      </c>
      <c r="E462" s="4" t="str">
        <f>IFERROR(__xludf.DUMMYFUNCTION("GOOGLETRANSLATE(C462,""ja"",""en"")"),"#VALUE!")</f>
        <v>#VALUE!</v>
      </c>
      <c r="F462" s="5" t="s">
        <v>1198</v>
      </c>
    </row>
    <row r="463" ht="15.75" customHeight="1">
      <c r="A463" s="1">
        <v>461.0</v>
      </c>
      <c r="B463" s="4" t="s">
        <v>314</v>
      </c>
      <c r="C463" s="4" t="s">
        <v>1199</v>
      </c>
      <c r="D463" s="4">
        <f t="shared" si="1"/>
        <v>44</v>
      </c>
      <c r="E463" s="4" t="str">
        <f>IFERROR(__xludf.DUMMYFUNCTION("GOOGLETRANSLATE(C463,""ja"",""en"")"),"Skill level [+0] ([1] affiliated occupation)")</f>
        <v>Skill level [+0] ([1] affiliated occupation)</v>
      </c>
      <c r="F463" s="5" t="s">
        <v>1200</v>
      </c>
    </row>
    <row r="464" ht="15.75" customHeight="1">
      <c r="A464" s="1">
        <v>462.0</v>
      </c>
      <c r="B464" s="4" t="s">
        <v>317</v>
      </c>
      <c r="C464" s="4" t="s">
        <v>1201</v>
      </c>
      <c r="D464" s="4">
        <f t="shared" si="1"/>
        <v>16</v>
      </c>
      <c r="E464" s="4" t="str">
        <f>IFERROR(__xludf.DUMMYFUNCTION("GOOGLETRANSLATE(C464,""ja"",""en"")"),"Skill level [+0]")</f>
        <v>Skill level [+0]</v>
      </c>
      <c r="F464" s="5" t="s">
        <v>1202</v>
      </c>
    </row>
    <row r="465" ht="15.75" customHeight="1">
      <c r="A465" s="1">
        <v>463.0</v>
      </c>
      <c r="B465" s="4" t="s">
        <v>320</v>
      </c>
      <c r="C465" s="4" t="s">
        <v>1203</v>
      </c>
      <c r="D465" s="4">
        <f t="shared" si="1"/>
        <v>78</v>
      </c>
      <c r="E465" s="4" t="str">
        <f>IFERROR(__xludf.DUMMYFUNCTION("GOOGLETRANSLATE(C465,""ja"",""en"")"),"When attacked, &lt;c: ltyellow&gt; 10 % &lt;n&gt; is the first aid for [0] % of the damage")</f>
        <v>When attacked, &lt;c: ltyellow&gt; 10 % &lt;n&gt; is the first aid for [0] % of the damage</v>
      </c>
      <c r="F465" s="7" t="s">
        <v>1204</v>
      </c>
    </row>
    <row r="466" ht="15.75" customHeight="1">
      <c r="A466" s="1">
        <v>464.0</v>
      </c>
      <c r="B466" s="4" t="s">
        <v>323</v>
      </c>
      <c r="C466" s="4" t="s">
        <v>1205</v>
      </c>
      <c r="D466" s="4">
        <f t="shared" si="1"/>
        <v>31</v>
      </c>
      <c r="E466" s="4" t="str">
        <f>IFERROR(__xludf.DUMMYFUNCTION("GOOGLETRANSLATE(C466,""ja"",""en"")"),"Weapon replacement speed [+0] %")</f>
        <v>Weapon replacement speed [+0] %</v>
      </c>
      <c r="F466" s="5" t="s">
        <v>1206</v>
      </c>
    </row>
    <row r="467" ht="15.75" customHeight="1">
      <c r="A467" s="1">
        <v>465.0</v>
      </c>
      <c r="B467" s="4" t="s">
        <v>326</v>
      </c>
      <c r="C467" s="4" t="s">
        <v>1207</v>
      </c>
      <c r="D467" s="4">
        <f t="shared" si="1"/>
        <v>29</v>
      </c>
      <c r="E467" s="4" t="str">
        <f>IFERROR(__xludf.DUMMYFUNCTION("GOOGLETRANSLATE(C467,""ja"",""en"")"),"HP recovery +([0]/10 seconds)")</f>
        <v>HP recovery +([0]/10 seconds)</v>
      </c>
      <c r="F467" s="5" t="s">
        <v>1208</v>
      </c>
    </row>
    <row r="468" ht="15.75" customHeight="1">
      <c r="A468" s="1">
        <v>466.0</v>
      </c>
      <c r="B468" s="4" t="s">
        <v>329</v>
      </c>
      <c r="C468" s="4" t="s">
        <v>1209</v>
      </c>
      <c r="D468" s="4">
        <f t="shared" si="1"/>
        <v>18</v>
      </c>
      <c r="E468" s="4" t="str">
        <f>IFERROR(__xludf.DUMMYFUNCTION("GOOGLETRANSLATE(C468,""ja"",""en"")"),"Resurrection [0] %")</f>
        <v>Resurrection [0] %</v>
      </c>
      <c r="F468" s="5" t="s">
        <v>1210</v>
      </c>
    </row>
    <row r="469" ht="15.75" customHeight="1">
      <c r="A469" s="1">
        <v>467.0</v>
      </c>
      <c r="B469" s="4" t="s">
        <v>332</v>
      </c>
      <c r="C469" s="4" t="s">
        <v>1211</v>
      </c>
      <c r="D469" s="4">
        <f t="shared" si="1"/>
        <v>22</v>
      </c>
      <c r="E469" s="4" t="str">
        <f>IFERROR(__xludf.DUMMYFUNCTION("GOOGLETRANSLATE(C469,""ja"",""en"")"),"&lt;C: ltyellow&gt; Blur &lt;n&gt;")</f>
        <v>&lt;C: ltyellow&gt; Blur &lt;n&gt;</v>
      </c>
      <c r="F469" s="5" t="s">
        <v>1212</v>
      </c>
    </row>
    <row r="470" ht="15.75" customHeight="1">
      <c r="A470" s="1">
        <v>468.0</v>
      </c>
      <c r="B470" s="4" t="s">
        <v>335</v>
      </c>
      <c r="C470" s="4" t="s">
        <v>1213</v>
      </c>
      <c r="D470" s="4">
        <f t="shared" si="1"/>
        <v>29</v>
      </c>
      <c r="E470" s="4" t="str">
        <f>IFERROR(__xludf.DUMMYFUNCTION("GOOGLETRANSLATE(C470,""ja"",""en"")"),"&lt;C: ltyellow&gt; Transparent &lt;n&gt;")</f>
        <v>&lt;C: ltyellow&gt; Transparent &lt;n&gt;</v>
      </c>
      <c r="F470" s="5" t="s">
        <v>1214</v>
      </c>
    </row>
    <row r="471" ht="15.75" customHeight="1">
      <c r="A471" s="1">
        <v>469.0</v>
      </c>
      <c r="B471" s="4" t="s">
        <v>338</v>
      </c>
      <c r="C471" s="4" t="s">
        <v>1215</v>
      </c>
      <c r="D471" s="4">
        <f t="shared" si="1"/>
        <v>33</v>
      </c>
      <c r="E471" s="4" t="str">
        <f>IFERROR(__xludf.DUMMYFUNCTION("GOOGLETRANSLATE(C471,""ja"",""en"")"),"&lt;C: ltyellow&gt; Aerial floating &lt;n&gt;")</f>
        <v>&lt;C: ltyellow&gt; Aerial floating &lt;n&gt;</v>
      </c>
      <c r="F471" s="5" t="s">
        <v>1216</v>
      </c>
    </row>
    <row r="472" ht="15.75" customHeight="1">
      <c r="A472" s="1">
        <v>470.0</v>
      </c>
      <c r="B472" s="4" t="s">
        <v>341</v>
      </c>
      <c r="C472" s="4" t="s">
        <v>1217</v>
      </c>
      <c r="D472" s="4">
        <f t="shared" si="1"/>
        <v>32</v>
      </c>
      <c r="E472" s="4" t="str">
        <f>IFERROR(__xludf.DUMMYFUNCTION("GOOGLETRANSLATE(C472,""ja"",""en"")"),"&lt;C: ltyellow&gt; Magical Bullet &lt;n&gt;")</f>
        <v>&lt;C: ltyellow&gt; Magical Bullet &lt;n&gt;</v>
      </c>
      <c r="F472" s="5" t="s">
        <v>1218</v>
      </c>
    </row>
    <row r="473" ht="15.75" customHeight="1">
      <c r="A473" s="1">
        <v>471.0</v>
      </c>
      <c r="B473" s="4" t="s">
        <v>344</v>
      </c>
      <c r="C473" s="4" t="s">
        <v>1219</v>
      </c>
      <c r="D473" s="4">
        <f t="shared" si="1"/>
        <v>33</v>
      </c>
      <c r="E473" s="4" t="str">
        <f>IFERROR(__xludf.DUMMYFUNCTION("GOOGLETRANSLATE(C473,""ja"",""en"")"),"&lt;C: ltyellow&gt; Infinite bullet &lt;n&gt;")</f>
        <v>&lt;C: ltyellow&gt; Infinite bullet &lt;n&gt;</v>
      </c>
      <c r="F473" s="5" t="s">
        <v>1220</v>
      </c>
    </row>
    <row r="474" ht="15.75" customHeight="1">
      <c r="A474" s="1">
        <v>472.0</v>
      </c>
      <c r="B474" s="4" t="s">
        <v>347</v>
      </c>
      <c r="C474" s="4" t="s">
        <v>1221</v>
      </c>
      <c r="D474" s="4">
        <f t="shared" si="1"/>
        <v>27</v>
      </c>
      <c r="E474" s="4" t="str">
        <f>IFERROR(__xludf.DUMMYFUNCTION("GOOGLETRANSLATE(C474,""ja"",""en"")"),"&lt;C: ltyellow&gt; Not first &lt;n&gt;")</f>
        <v>&lt;C: ltyellow&gt; Not first &lt;n&gt;</v>
      </c>
      <c r="F474" s="5" t="s">
        <v>1222</v>
      </c>
    </row>
    <row r="475" ht="15.75" customHeight="1">
      <c r="A475" s="1">
        <v>473.0</v>
      </c>
      <c r="B475" s="4" t="s">
        <v>350</v>
      </c>
      <c r="C475" s="4" t="s">
        <v>1223</v>
      </c>
      <c r="D475" s="4">
        <f t="shared" si="1"/>
        <v>36</v>
      </c>
      <c r="E475" s="4" t="str">
        <f>IFERROR(__xludf.DUMMYFUNCTION("GOOGLETRANSLATE(C475,""ja"",""en"")"),"Magical item drop probability [+0] %")</f>
        <v>Magical item drop probability [+0] %</v>
      </c>
      <c r="F475" s="5" t="s">
        <v>1224</v>
      </c>
    </row>
    <row r="476" ht="15.75" customHeight="1">
      <c r="A476" s="1">
        <v>474.0</v>
      </c>
      <c r="B476" s="4" t="s">
        <v>353</v>
      </c>
      <c r="C476" s="4" t="s">
        <v>1225</v>
      </c>
      <c r="D476" s="4">
        <f t="shared" si="1"/>
        <v>35</v>
      </c>
      <c r="E476" s="4" t="str">
        <f>IFERROR(__xludf.DUMMYFUNCTION("GOOGLETRANSLATE(C476,""ja"",""en"")"),"Unique item drop probability [+0] %")</f>
        <v>Unique item drop probability [+0] %</v>
      </c>
      <c r="F476" s="5" t="s">
        <v>1226</v>
      </c>
    </row>
    <row r="477" ht="15.75" customHeight="1">
      <c r="A477" s="1">
        <v>475.0</v>
      </c>
      <c r="B477" s="4" t="s">
        <v>356</v>
      </c>
      <c r="C477" s="4" t="s">
        <v>1227</v>
      </c>
      <c r="D477" s="4">
        <f t="shared" si="1"/>
        <v>23</v>
      </c>
      <c r="E477" s="4" t="str">
        <f>IFERROR(__xludf.DUMMYFUNCTION("GOOGLETRANSLATE(C477,""ja"",""en"")"),"Item Reload Time- [0] %")</f>
        <v>Item Reload Time- [0] %</v>
      </c>
      <c r="F477" s="5" t="s">
        <v>178</v>
      </c>
    </row>
    <row r="478" ht="15.75" customHeight="1">
      <c r="A478" s="1">
        <v>476.0</v>
      </c>
      <c r="B478" s="4" t="s">
        <v>359</v>
      </c>
      <c r="C478" s="4" t="s">
        <v>1228</v>
      </c>
      <c r="D478" s="4">
        <f t="shared" si="1"/>
        <v>39</v>
      </c>
      <c r="E478" s="4" t="str">
        <f>IFERROR(__xludf.DUMMYFUNCTION("GOOGLETRANSLATE(C478,""ja"",""en"")"),"&lt;C: ltyellow&gt; Item Automatic Reload &lt;n&gt;")</f>
        <v>&lt;C: ltyellow&gt; Item Automatic Reload &lt;n&gt;</v>
      </c>
      <c r="F478" s="5" t="s">
        <v>1229</v>
      </c>
    </row>
    <row r="479" ht="15.75" customHeight="1">
      <c r="A479" s="1">
        <v>477.0</v>
      </c>
      <c r="B479" s="4" t="s">
        <v>362</v>
      </c>
      <c r="C479" s="4" t="s">
        <v>1230</v>
      </c>
      <c r="D479" s="4">
        <f t="shared" si="1"/>
        <v>38</v>
      </c>
      <c r="E479" s="4" t="str">
        <f>IFERROR(__xludf.DUMMYFUNCTION("GOOGLETRANSLATE(C479,""ja"",""en"")"),"&lt;C: ltyellow&gt; Items cannot be used &lt;n&gt;")</f>
        <v>&lt;C: ltyellow&gt; Items cannot be used &lt;n&gt;</v>
      </c>
      <c r="F479" s="5" t="s">
        <v>1231</v>
      </c>
    </row>
    <row r="480" ht="15.75" customHeight="1">
      <c r="A480" s="1">
        <v>478.0</v>
      </c>
      <c r="B480" s="4" t="s">
        <v>365</v>
      </c>
      <c r="C480" s="4" t="s">
        <v>1232</v>
      </c>
      <c r="D480" s="4">
        <f t="shared" si="1"/>
        <v>45</v>
      </c>
      <c r="E480" s="4" t="str">
        <f>IFERROR(__xludf.DUMMYFUNCTION("GOOGLETRANSLATE(C480,""ja"",""en"")"),"&lt;C: ltyellow&gt; No equipment is not allowed &lt;n&gt;")</f>
        <v>&lt;C: ltyellow&gt; No equipment is not allowed &lt;n&gt;</v>
      </c>
      <c r="F480" s="5" t="s">
        <v>1233</v>
      </c>
    </row>
    <row r="481" ht="15.75" customHeight="1">
      <c r="A481" s="1">
        <v>479.0</v>
      </c>
      <c r="B481" s="4" t="s">
        <v>368</v>
      </c>
      <c r="C481" s="4" t="s">
        <v>1234</v>
      </c>
      <c r="D481" s="4">
        <f t="shared" si="1"/>
        <v>56</v>
      </c>
      <c r="E481" s="4" t="str">
        <f>IFERROR(__xludf.DUMMYFUNCTION("GOOGLETRANSLATE(C481,""ja"",""en"")"),"&lt;C: ltyellow&gt; Additional enchantment is not possible &lt;n&gt;")</f>
        <v>&lt;C: ltyellow&gt; Additional enchantment is not possible &lt;n&gt;</v>
      </c>
      <c r="F481" s="5" t="s">
        <v>1235</v>
      </c>
    </row>
    <row r="482" ht="15.75" customHeight="1">
      <c r="A482" s="1">
        <v>480.0</v>
      </c>
      <c r="B482" s="4" t="s">
        <v>371</v>
      </c>
      <c r="C482" s="4" t="s">
        <v>1236</v>
      </c>
      <c r="D482" s="4">
        <f t="shared" si="1"/>
        <v>47</v>
      </c>
      <c r="E482" s="4" t="str">
        <f>IFERROR(__xludf.DUMMYFUNCTION("GOOGLETRANSLATE(C482,""ja"",""en"")"),"&lt;C: ltyellow&gt; Fire attack title 1st step up &lt;n&gt;")</f>
        <v>&lt;C: ltyellow&gt; Fire attack title 1st step up &lt;n&gt;</v>
      </c>
      <c r="F482" s="5" t="s">
        <v>1237</v>
      </c>
    </row>
    <row r="483" ht="15.75" customHeight="1">
      <c r="A483" s="1">
        <v>481.0</v>
      </c>
      <c r="B483" s="4" t="s">
        <v>374</v>
      </c>
      <c r="C483" s="4" t="s">
        <v>1238</v>
      </c>
      <c r="D483" s="4">
        <f t="shared" si="1"/>
        <v>48</v>
      </c>
      <c r="E483" s="4" t="str">
        <f>IFERROR(__xludf.DUMMYFUNCTION("GOOGLETRANSLATE(C483,""ja"",""en"")"),"&lt;C: ltyellow&gt; 1st step in water attack title &lt;n&gt;")</f>
        <v>&lt;C: ltyellow&gt; 1st step in water attack title &lt;n&gt;</v>
      </c>
      <c r="F483" s="5" t="s">
        <v>1239</v>
      </c>
    </row>
    <row r="484" ht="15.75" customHeight="1">
      <c r="A484" s="1">
        <v>482.0</v>
      </c>
      <c r="B484" s="4" t="s">
        <v>377</v>
      </c>
      <c r="C484" s="4" t="s">
        <v>1240</v>
      </c>
      <c r="D484" s="4">
        <f t="shared" si="1"/>
        <v>47</v>
      </c>
      <c r="E484" s="4" t="str">
        <f>IFERROR(__xludf.DUMMYFUNCTION("GOOGLETRANSLATE(C484,""ja"",""en"")"),"&lt;C: ltyellow&gt; Wind attack title 1st step up &lt;n&gt;")</f>
        <v>&lt;C: ltyellow&gt; Wind attack title 1st step up &lt;n&gt;</v>
      </c>
      <c r="F484" s="5" t="s">
        <v>1241</v>
      </c>
    </row>
    <row r="485" ht="15.75" customHeight="1">
      <c r="A485" s="1">
        <v>483.0</v>
      </c>
      <c r="B485" s="4" t="s">
        <v>380</v>
      </c>
      <c r="C485" s="4" t="s">
        <v>1242</v>
      </c>
      <c r="D485" s="4">
        <f t="shared" si="1"/>
        <v>36</v>
      </c>
      <c r="E485" s="4" t="str">
        <f>IFERROR(__xludf.DUMMYFUNCTION("GOOGLETRANSLATE(C485,""ja"",""en"")"),"&lt;C: ltyellow&gt; 1st stage increase &lt;n&gt;")</f>
        <v>&lt;C: ltyellow&gt; 1st stage increase &lt;n&gt;</v>
      </c>
      <c r="F485" s="5" t="s">
        <v>1243</v>
      </c>
    </row>
    <row r="486" ht="15.75" customHeight="1">
      <c r="A486" s="1">
        <v>484.0</v>
      </c>
      <c r="B486" s="4" t="s">
        <v>383</v>
      </c>
      <c r="C486" s="4" t="s">
        <v>1244</v>
      </c>
      <c r="D486" s="4">
        <f t="shared" si="1"/>
        <v>54</v>
      </c>
      <c r="E486" s="4" t="str">
        <f>IFERROR(__xludf.DUMMYFUNCTION("GOOGLETRANSLATE(C486,""ja"",""en"")"),"&lt;C: ltyellow&gt; Hikari Attack Title 1st State up &lt;n&gt; &lt;n&gt;")</f>
        <v>&lt;C: ltyellow&gt; Hikari Attack Title 1st State up &lt;n&gt; &lt;n&gt;</v>
      </c>
      <c r="F486" s="5" t="s">
        <v>1245</v>
      </c>
    </row>
    <row r="487" ht="15.75" customHeight="1">
      <c r="A487" s="1">
        <v>485.0</v>
      </c>
      <c r="B487" s="4" t="s">
        <v>386</v>
      </c>
      <c r="C487" s="4" t="s">
        <v>1246</v>
      </c>
      <c r="D487" s="4">
        <f t="shared" si="1"/>
        <v>37</v>
      </c>
      <c r="E487" s="4" t="str">
        <f>IFERROR(__xludf.DUMMYFUNCTION("GOOGLETRANSLATE(C487,""ja"",""en"")"),"&lt;C: ltyellow&gt; 1 闇 称 称 &lt;&lt;&lt;&lt;&lt;&lt;&lt;&lt;&lt;&lt;&lt;&lt;&lt;&lt;&lt;")</f>
        <v>&lt;C: ltyellow&gt; 1 闇 称 称 &lt;&lt;&lt;&lt;&lt;&lt;&lt;&lt;&lt;&lt;&lt;&lt;&lt;&lt;&lt;</v>
      </c>
      <c r="F487" s="5" t="s">
        <v>1247</v>
      </c>
    </row>
    <row r="488" ht="15.75" customHeight="1">
      <c r="A488" s="1">
        <v>486.0</v>
      </c>
      <c r="B488" s="4" t="s">
        <v>389</v>
      </c>
      <c r="C488" s="4" t="s">
        <v>1248</v>
      </c>
      <c r="D488" s="4">
        <f t="shared" si="1"/>
        <v>61</v>
      </c>
      <c r="E488" s="4" t="str">
        <f>IFERROR(__xludf.DUMMYFUNCTION("GOOGLETRANSLATE(C488,""ja"",""en"")"),"Skill difficulty [0] The following skill level increases [1].")</f>
        <v>Skill difficulty [0] The following skill level increases [1].</v>
      </c>
      <c r="F488" s="5" t="s">
        <v>1249</v>
      </c>
    </row>
    <row r="489" ht="15.75" customHeight="1">
      <c r="A489" s="1">
        <v>487.0</v>
      </c>
      <c r="B489" s="4" t="s">
        <v>392</v>
      </c>
      <c r="C489" s="4" t="s">
        <v>1250</v>
      </c>
      <c r="D489" s="4">
        <f t="shared" si="1"/>
        <v>42</v>
      </c>
      <c r="E489" s="4" t="str">
        <f>IFERROR(__xludf.DUMMYFUNCTION("GOOGLETRANSLATE(C489,""ja"",""en"")"),"All status of summoned beasts increase [0]")</f>
        <v>All status of summoned beasts increase [0]</v>
      </c>
      <c r="F489" s="5" t="s">
        <v>1251</v>
      </c>
    </row>
    <row r="490" ht="15.75" customHeight="1">
      <c r="A490" s="1">
        <v>488.0</v>
      </c>
      <c r="B490" s="4" t="s">
        <v>395</v>
      </c>
      <c r="C490" s="4" t="s">
        <v>1252</v>
      </c>
      <c r="D490" s="4">
        <f t="shared" si="1"/>
        <v>26</v>
      </c>
      <c r="E490" s="4" t="str">
        <f>IFERROR(__xludf.DUMMYFUNCTION("GOOGLETRANSLATE(C490,""ja"",""en"")"),"[0] % Pet experience bonus")</f>
        <v>[0] % Pet experience bonus</v>
      </c>
      <c r="F490" s="5" t="s">
        <v>1253</v>
      </c>
    </row>
    <row r="491" ht="15.75" customHeight="1">
      <c r="A491" s="1">
        <v>489.0</v>
      </c>
      <c r="B491" s="4" t="s">
        <v>398</v>
      </c>
      <c r="C491" s="4" t="s">
        <v>1254</v>
      </c>
      <c r="D491" s="4">
        <f t="shared" si="1"/>
        <v>47</v>
      </c>
      <c r="E491" s="4" t="str">
        <f>IFERROR(__xludf.DUMMYFUNCTION("GOOGLETRANSLATE(C491,""ja"",""en"")"),"Items to be rented for a certain period of time")</f>
        <v>Items to be rented for a certain period of time</v>
      </c>
      <c r="F491" s="5" t="s">
        <v>1255</v>
      </c>
    </row>
    <row r="492" ht="15.75" customHeight="1">
      <c r="A492" s="1">
        <v>490.0</v>
      </c>
      <c r="B492" s="4" t="s">
        <v>401</v>
      </c>
      <c r="C492" s="4" t="s">
        <v>1256</v>
      </c>
      <c r="D492" s="4">
        <f t="shared" si="1"/>
        <v>58</v>
      </c>
      <c r="E492" s="4" t="str">
        <f>IFERROR(__xludf.DUMMYFUNCTION("GOOGLETRANSLATE(C492,""ja"",""en"")"),"&lt;C: ltyellow&gt; [0] % &lt;n&gt; weaken the target fire resistance.")</f>
        <v>&lt;C: ltyellow&gt; [0] % &lt;n&gt; weaken the target fire resistance.</v>
      </c>
      <c r="F492" s="5" t="s">
        <v>558</v>
      </c>
    </row>
    <row r="493" ht="15.75" customHeight="1">
      <c r="A493" s="1">
        <v>491.0</v>
      </c>
      <c r="B493" s="4" t="s">
        <v>404</v>
      </c>
      <c r="C493" s="4" t="s">
        <v>1257</v>
      </c>
      <c r="D493" s="4">
        <f t="shared" si="1"/>
        <v>59</v>
      </c>
      <c r="E493" s="4" t="str">
        <f>IFERROR(__xludf.DUMMYFUNCTION("GOOGLETRANSLATE(C493,""ja"",""en"")"),"&lt;C: ltyellow&gt; [0] % &lt;n&gt; weaken the target water resistance.")</f>
        <v>&lt;C: ltyellow&gt; [0] % &lt;n&gt; weaken the target water resistance.</v>
      </c>
      <c r="F493" s="5" t="s">
        <v>561</v>
      </c>
    </row>
    <row r="494" ht="15.75" customHeight="1">
      <c r="A494" s="1">
        <v>492.0</v>
      </c>
      <c r="B494" s="4" t="s">
        <v>407</v>
      </c>
      <c r="C494" s="4" t="s">
        <v>1258</v>
      </c>
      <c r="D494" s="4">
        <f t="shared" si="1"/>
        <v>58</v>
      </c>
      <c r="E494" s="4" t="str">
        <f>IFERROR(__xludf.DUMMYFUNCTION("GOOGLETRANSLATE(C494,""ja"",""en"")"),"&lt;C: ltyellow&gt; [0] % &lt;n&gt; weaken the target wind resistance.")</f>
        <v>&lt;C: ltyellow&gt; [0] % &lt;n&gt; weaken the target wind resistance.</v>
      </c>
      <c r="F494" s="5" t="s">
        <v>564</v>
      </c>
    </row>
    <row r="495" ht="15.75" customHeight="1">
      <c r="A495" s="1">
        <v>493.0</v>
      </c>
      <c r="B495" s="4" t="s">
        <v>411</v>
      </c>
      <c r="C495" s="4" t="s">
        <v>1259</v>
      </c>
      <c r="D495" s="4">
        <f t="shared" si="1"/>
        <v>59</v>
      </c>
      <c r="E495" s="4" t="str">
        <f>IFERROR(__xludf.DUMMYFUNCTION("GOOGLETRANSLATE(C495,""ja"",""en"")"),"&lt;C: ltyellow&gt; [0] % &lt;n&gt; weaken the target earth resistance.")</f>
        <v>&lt;C: ltyellow&gt; [0] % &lt;n&gt; weaken the target earth resistance.</v>
      </c>
      <c r="F495" s="5" t="s">
        <v>1260</v>
      </c>
    </row>
    <row r="496" ht="15.75" customHeight="1">
      <c r="A496" s="1">
        <v>494.0</v>
      </c>
      <c r="B496" s="4" t="s">
        <v>414</v>
      </c>
      <c r="C496" s="4" t="s">
        <v>1261</v>
      </c>
      <c r="D496" s="4">
        <f t="shared" si="1"/>
        <v>59</v>
      </c>
      <c r="E496" s="4" t="str">
        <f>IFERROR(__xludf.DUMMYFUNCTION("GOOGLETRANSLATE(C496,""ja"",""en"")"),"&lt;C: ltyellow&gt; [0] % &lt;n&gt; weaken the target light resistance.")</f>
        <v>&lt;C: ltyellow&gt; [0] % &lt;n&gt; weaken the target light resistance.</v>
      </c>
      <c r="F496" s="5" t="s">
        <v>570</v>
      </c>
    </row>
    <row r="497" ht="15.75" customHeight="1">
      <c r="A497" s="1">
        <v>495.0</v>
      </c>
      <c r="B497" s="4" t="s">
        <v>417</v>
      </c>
      <c r="C497" s="4" t="s">
        <v>1262</v>
      </c>
      <c r="D497" s="4">
        <f t="shared" si="1"/>
        <v>58</v>
      </c>
      <c r="E497" s="4" t="str">
        <f>IFERROR(__xludf.DUMMYFUNCTION("GOOGLETRANSLATE(C497,""ja"",""en"")"),"&lt;C: ltyellow&gt; [0] % &lt;n&gt; weaken the target dark resistance.")</f>
        <v>&lt;C: ltyellow&gt; [0] % &lt;n&gt; weaken the target dark resistance.</v>
      </c>
      <c r="F497" s="5" t="s">
        <v>573</v>
      </c>
    </row>
    <row r="498" ht="15.75" customHeight="1">
      <c r="A498" s="1">
        <v>496.0</v>
      </c>
      <c r="B498" s="4" t="s">
        <v>420</v>
      </c>
      <c r="C498" s="4" t="s">
        <v>1263</v>
      </c>
      <c r="D498" s="4">
        <f t="shared" si="1"/>
        <v>59</v>
      </c>
      <c r="E498" s="4" t="str">
        <f>IFERROR(__xludf.DUMMYFUNCTION("GOOGLETRANSLATE(C498,""ja"",""en"")"),"&lt;C: ltyellow&gt; [0] % &lt;n&gt; weaken the target magic resistance.")</f>
        <v>&lt;C: ltyellow&gt; [0] % &lt;n&gt; weaken the target magic resistance.</v>
      </c>
      <c r="F498" s="5" t="s">
        <v>1264</v>
      </c>
    </row>
    <row r="499" ht="15.75" customHeight="1">
      <c r="A499" s="1">
        <v>497.0</v>
      </c>
      <c r="B499" s="4" t="s">
        <v>423</v>
      </c>
      <c r="C499" s="4" t="s">
        <v>1265</v>
      </c>
      <c r="D499" s="4">
        <f t="shared" si="1"/>
        <v>64</v>
      </c>
      <c r="E499" s="4" t="str">
        <f>IFERROR(__xludf.DUMMYFUNCTION("GOOGLETRANSLATE(C499,""ja"",""en"")"),"&lt;C: ltyellow&gt; [0] % &lt;n&gt; enhance the fire attribute attack power.")</f>
        <v>&lt;C: ltyellow&gt; [0] % &lt;n&gt; enhance the fire attribute attack power.</v>
      </c>
      <c r="F499" s="5" t="s">
        <v>1266</v>
      </c>
    </row>
    <row r="500" ht="15.75" customHeight="1">
      <c r="A500" s="1">
        <v>498.0</v>
      </c>
      <c r="B500" s="4" t="s">
        <v>426</v>
      </c>
      <c r="C500" s="4" t="s">
        <v>1267</v>
      </c>
      <c r="D500" s="4">
        <f t="shared" si="1"/>
        <v>65</v>
      </c>
      <c r="E500" s="4" t="str">
        <f>IFERROR(__xludf.DUMMYFUNCTION("GOOGLETRANSLATE(C500,""ja"",""en"")"),"&lt;C: ltyellow&gt; [0] % &lt;n&gt; enhance the water attribute attack power.")</f>
        <v>&lt;C: ltyellow&gt; [0] % &lt;n&gt; enhance the water attribute attack power.</v>
      </c>
      <c r="F500" s="5" t="s">
        <v>1268</v>
      </c>
    </row>
    <row r="501" ht="15.75" customHeight="1">
      <c r="A501" s="1">
        <v>499.0</v>
      </c>
      <c r="B501" s="4" t="s">
        <v>429</v>
      </c>
      <c r="C501" s="4" t="s">
        <v>1269</v>
      </c>
      <c r="D501" s="4">
        <f t="shared" si="1"/>
        <v>64</v>
      </c>
      <c r="E501" s="4" t="str">
        <f>IFERROR(__xludf.DUMMYFUNCTION("GOOGLETRANSLATE(C501,""ja"",""en"")"),"&lt;C: ltyellow&gt; [0] % &lt;n&gt; enhance the wind attribute attack power.")</f>
        <v>&lt;C: ltyellow&gt; [0] % &lt;n&gt; enhance the wind attribute attack power.</v>
      </c>
      <c r="F501" s="5" t="s">
        <v>1270</v>
      </c>
    </row>
    <row r="502" ht="15.75" customHeight="1">
      <c r="A502" s="1">
        <v>500.0</v>
      </c>
      <c r="B502" s="4" t="s">
        <v>432</v>
      </c>
      <c r="C502" s="4" t="s">
        <v>1271</v>
      </c>
      <c r="D502" s="4">
        <f t="shared" si="1"/>
        <v>65</v>
      </c>
      <c r="E502" s="4" t="str">
        <f>IFERROR(__xludf.DUMMYFUNCTION("GOOGLETRANSLATE(C502,""ja"",""en"")"),"&lt;C: ltyellow&gt; [0] % &lt;n&gt; enhance the earth attribute attack power.")</f>
        <v>&lt;C: ltyellow&gt; [0] % &lt;n&gt; enhance the earth attribute attack power.</v>
      </c>
      <c r="F502" s="5" t="s">
        <v>1272</v>
      </c>
    </row>
    <row r="503" ht="15.75" customHeight="1">
      <c r="A503" s="1">
        <v>501.0</v>
      </c>
      <c r="B503" s="4" t="s">
        <v>435</v>
      </c>
      <c r="C503" s="4" t="s">
        <v>1273</v>
      </c>
      <c r="D503" s="4">
        <f t="shared" si="1"/>
        <v>65</v>
      </c>
      <c r="E503" s="4" t="str">
        <f>IFERROR(__xludf.DUMMYFUNCTION("GOOGLETRANSLATE(C503,""ja"",""en"")"),"&lt;C: ltyellow&gt; [0] % &lt;n&gt; enhance the light attribute attack power.")</f>
        <v>&lt;C: ltyellow&gt; [0] % &lt;n&gt; enhance the light attribute attack power.</v>
      </c>
      <c r="F503" s="5" t="s">
        <v>1274</v>
      </c>
    </row>
    <row r="504" ht="15.75" customHeight="1">
      <c r="A504" s="1">
        <v>502.0</v>
      </c>
      <c r="B504" s="4" t="s">
        <v>438</v>
      </c>
      <c r="C504" s="4" t="s">
        <v>1275</v>
      </c>
      <c r="D504" s="4">
        <f t="shared" si="1"/>
        <v>64</v>
      </c>
      <c r="E504" s="4" t="str">
        <f>IFERROR(__xludf.DUMMYFUNCTION("GOOGLETRANSLATE(C504,""ja"",""en"")"),"&lt;C: ltyellow&gt; [0] % &lt;n&gt; enhance the dark attribute attack power.")</f>
        <v>&lt;C: ltyellow&gt; [0] % &lt;n&gt; enhance the dark attribute attack power.</v>
      </c>
      <c r="F504" s="5" t="s">
        <v>1276</v>
      </c>
    </row>
    <row r="505" ht="15.75" customHeight="1">
      <c r="A505" s="1">
        <v>503.0</v>
      </c>
      <c r="B505" s="4" t="s">
        <v>441</v>
      </c>
      <c r="C505" s="4" t="s">
        <v>1277</v>
      </c>
      <c r="D505" s="4">
        <f t="shared" si="1"/>
        <v>55</v>
      </c>
      <c r="E505" s="4" t="str">
        <f>IFERROR(__xludf.DUMMYFUNCTION("GOOGLETRANSLATE(C505,""ja"",""en"")"),"&lt;C: ltyellow&gt; [0] % &lt;n&gt; enhance the magic attack power.")</f>
        <v>&lt;C: ltyellow&gt; [0] % &lt;n&gt; enhance the magic attack power.</v>
      </c>
      <c r="F505" s="5" t="s">
        <v>597</v>
      </c>
    </row>
    <row r="506" ht="15.75" customHeight="1">
      <c r="A506" s="1">
        <v>504.0</v>
      </c>
      <c r="B506" s="4" t="s">
        <v>444</v>
      </c>
      <c r="C506" s="4" t="s">
        <v>1278</v>
      </c>
      <c r="D506" s="4">
        <f t="shared" si="1"/>
        <v>10</v>
      </c>
      <c r="E506" s="4" t="str">
        <f>IFERROR(__xludf.DUMMYFUNCTION("GOOGLETRANSLATE(C506,""ja"",""en"")"),"Power [-0]")</f>
        <v>Power [-0]</v>
      </c>
      <c r="F506" s="5" t="s">
        <v>1279</v>
      </c>
    </row>
    <row r="507" ht="15.75" customHeight="1">
      <c r="A507" s="1">
        <v>505.0</v>
      </c>
      <c r="B507" s="4" t="s">
        <v>447</v>
      </c>
      <c r="C507" s="4" t="s">
        <v>1280</v>
      </c>
      <c r="D507" s="4">
        <f t="shared" si="1"/>
        <v>12</v>
      </c>
      <c r="E507" s="4" t="str">
        <f>IFERROR(__xludf.DUMMYFUNCTION("GOOGLETRANSLATE(C507,""ja"",""en"")"),"Agility [-0]")</f>
        <v>Agility [-0]</v>
      </c>
      <c r="F507" s="5" t="s">
        <v>1281</v>
      </c>
    </row>
    <row r="508" ht="15.75" customHeight="1">
      <c r="A508" s="1">
        <v>506.0</v>
      </c>
      <c r="B508" s="4" t="s">
        <v>450</v>
      </c>
      <c r="C508" s="4" t="s">
        <v>1282</v>
      </c>
      <c r="D508" s="4">
        <f t="shared" si="1"/>
        <v>11</v>
      </c>
      <c r="E508" s="4" t="str">
        <f>IFERROR(__xludf.DUMMYFUNCTION("GOOGLETRANSLATE(C508,""ja"",""en"")"),"Health [-0]")</f>
        <v>Health [-0]</v>
      </c>
      <c r="F508" s="5" t="s">
        <v>1283</v>
      </c>
    </row>
    <row r="509" ht="15.75" customHeight="1">
      <c r="A509" s="1">
        <v>507.0</v>
      </c>
      <c r="B509" s="4" t="s">
        <v>453</v>
      </c>
      <c r="C509" s="4" t="s">
        <v>1284</v>
      </c>
      <c r="D509" s="4">
        <f t="shared" si="1"/>
        <v>11</v>
      </c>
      <c r="E509" s="4" t="str">
        <f>IFERROR(__xludf.DUMMYFUNCTION("GOOGLETRANSLATE(C509,""ja"",""en"")"),"Wisdom [-0]")</f>
        <v>Wisdom [-0]</v>
      </c>
      <c r="F509" s="5" t="s">
        <v>1285</v>
      </c>
    </row>
    <row r="510" ht="15.75" customHeight="1">
      <c r="A510" s="1">
        <v>508.0</v>
      </c>
      <c r="B510" s="4" t="s">
        <v>456</v>
      </c>
      <c r="C510" s="4" t="s">
        <v>1286</v>
      </c>
      <c r="D510" s="4">
        <f t="shared" si="1"/>
        <v>14</v>
      </c>
      <c r="E510" s="4" t="str">
        <f>IFERROR(__xludf.DUMMYFUNCTION("GOOGLETRANSLATE(C510,""ja"",""en"")"),"Knowledge [-0]")</f>
        <v>Knowledge [-0]</v>
      </c>
      <c r="F510" s="5" t="s">
        <v>1287</v>
      </c>
    </row>
    <row r="511" ht="15.75" customHeight="1">
      <c r="A511" s="1">
        <v>509.0</v>
      </c>
      <c r="B511" s="4" t="s">
        <v>459</v>
      </c>
      <c r="C511" s="4" t="s">
        <v>1288</v>
      </c>
      <c r="D511" s="4">
        <f t="shared" si="1"/>
        <v>13</v>
      </c>
      <c r="E511" s="4" t="str">
        <f>IFERROR(__xludf.DUMMYFUNCTION("GOOGLETRANSLATE(C511,""ja"",""en"")"),"Charisma [-0]")</f>
        <v>Charisma [-0]</v>
      </c>
      <c r="F511" s="5" t="s">
        <v>1289</v>
      </c>
    </row>
    <row r="512" ht="15.75" customHeight="1">
      <c r="A512" s="1">
        <v>510.0</v>
      </c>
      <c r="B512" s="4" t="s">
        <v>462</v>
      </c>
      <c r="C512" s="4" t="s">
        <v>1290</v>
      </c>
      <c r="D512" s="4">
        <f t="shared" si="1"/>
        <v>9</v>
      </c>
      <c r="E512" s="4" t="str">
        <f>IFERROR(__xludf.DUMMYFUNCTION("GOOGLETRANSLATE(C512,""ja"",""en"")"),"Luck [-0]")</f>
        <v>Luck [-0]</v>
      </c>
      <c r="F512" s="5" t="s">
        <v>1291</v>
      </c>
    </row>
    <row r="513" ht="15.75" customHeight="1">
      <c r="A513" s="1">
        <v>511.0</v>
      </c>
      <c r="B513" s="4" t="s">
        <v>468</v>
      </c>
      <c r="C513" s="4" t="s">
        <v>1292</v>
      </c>
      <c r="D513" s="4">
        <f t="shared" si="1"/>
        <v>19</v>
      </c>
      <c r="E513" s="4" t="str">
        <f>IFERROR(__xludf.DUMMYFUNCTION("GOOGLETRANSLATE(C513,""ja"",""en"")"),"Attack speed [-0] %")</f>
        <v>Attack speed [-0] %</v>
      </c>
      <c r="F513" s="5" t="s">
        <v>1293</v>
      </c>
    </row>
    <row r="514" ht="15.75" customHeight="1">
      <c r="A514" s="1">
        <v>512.0</v>
      </c>
      <c r="B514" s="4" t="s">
        <v>465</v>
      </c>
      <c r="C514" s="4" t="s">
        <v>1294</v>
      </c>
      <c r="D514" s="4">
        <f t="shared" si="1"/>
        <v>19</v>
      </c>
      <c r="E514" s="4" t="str">
        <f>IFERROR(__xludf.DUMMYFUNCTION("GOOGLETRANSLATE(C514,""ja"",""en"")"),"Moving speed [-0] %")</f>
        <v>Moving speed [-0] %</v>
      </c>
      <c r="F514" s="5" t="s">
        <v>1295</v>
      </c>
    </row>
    <row r="515" ht="15.75" customHeight="1">
      <c r="A515" s="1">
        <v>513.0</v>
      </c>
      <c r="B515" s="4" t="s">
        <v>471</v>
      </c>
      <c r="C515" s="4" t="s">
        <v>1296</v>
      </c>
      <c r="D515" s="4">
        <f t="shared" si="1"/>
        <v>60</v>
      </c>
      <c r="E515" s="4" t="str">
        <f>IFERROR(__xludf.DUMMYFUNCTION("GOOGLETRANSLATE(C515,""ja"",""en"")"),"Adds &lt;c: ltyellow&gt; [0] % &lt;n&gt; damage to the undead character.")</f>
        <v>Adds &lt;c: ltyellow&gt; [0] % &lt;n&gt; damage to the undead character.</v>
      </c>
      <c r="F515" s="5" t="s">
        <v>1297</v>
      </c>
    </row>
    <row r="516" ht="15.75" customHeight="1">
      <c r="A516" s="1">
        <v>514.0</v>
      </c>
      <c r="B516" s="4" t="s">
        <v>474</v>
      </c>
      <c r="C516" s="4" t="s">
        <v>1298</v>
      </c>
      <c r="D516" s="4">
        <f t="shared" si="1"/>
        <v>82</v>
      </c>
      <c r="E516" s="4" t="str">
        <f>IFERROR(__xludf.DUMMYFUNCTION("GOOGLETRANSLATE(C516,""ja"",""en"")"),"In addition to the devil -type character, it deals &lt;c: ltyellow&gt; [0] % &lt;n&gt; damage.")</f>
        <v>In addition to the devil -type character, it deals &lt;c: ltyellow&gt; [0] % &lt;n&gt; damage.</v>
      </c>
      <c r="F516" s="7" t="s">
        <v>1299</v>
      </c>
    </row>
    <row r="517" ht="15.75" customHeight="1">
      <c r="A517" s="1">
        <v>515.0</v>
      </c>
      <c r="B517" s="4" t="s">
        <v>477</v>
      </c>
      <c r="C517" s="4" t="s">
        <v>1300</v>
      </c>
      <c r="D517" s="4">
        <f t="shared" si="1"/>
        <v>69</v>
      </c>
      <c r="E517" s="4" t="str">
        <f>IFERROR(__xludf.DUMMYFUNCTION("GOOGLETRANSLATE(C517,""ja"",""en"")"),"In addition to the human character, it deals &lt;C: ltyellow&gt; [0] % &lt;n&gt;.")</f>
        <v>In addition to the human character, it deals &lt;C: ltyellow&gt; [0] % &lt;n&gt;.</v>
      </c>
      <c r="F517" s="7" t="s">
        <v>1301</v>
      </c>
    </row>
    <row r="518" ht="15.75" customHeight="1">
      <c r="A518" s="1">
        <v>516.0</v>
      </c>
      <c r="B518" s="4" t="s">
        <v>480</v>
      </c>
      <c r="C518" s="4" t="s">
        <v>1302</v>
      </c>
      <c r="D518" s="4">
        <f t="shared" si="1"/>
        <v>63</v>
      </c>
      <c r="E518" s="4" t="str">
        <f>IFERROR(__xludf.DUMMYFUNCTION("GOOGLETRANSLATE(C518,""ja"",""en"")"),"Adds &lt;c: ltyellow&gt; [0] % &lt;n&gt; damage to animal -type characters.")</f>
        <v>Adds &lt;c: ltyellow&gt; [0] % &lt;n&gt; damage to animal -type characters.</v>
      </c>
      <c r="F518" s="5" t="s">
        <v>1303</v>
      </c>
    </row>
    <row r="519" ht="15.75" customHeight="1">
      <c r="A519" s="1">
        <v>517.0</v>
      </c>
      <c r="B519" s="4" t="s">
        <v>483</v>
      </c>
      <c r="C519" s="4" t="s">
        <v>1304</v>
      </c>
      <c r="D519" s="4">
        <f t="shared" si="1"/>
        <v>65</v>
      </c>
      <c r="E519" s="4" t="str">
        <f>IFERROR(__xludf.DUMMYFUNCTION("GOOGLETRANSLATE(C519,""ja"",""en"")"),"Adds &lt;C: ltyellow&gt; [0] % &lt;n&gt; damage to the beast -type character.")</f>
        <v>Adds &lt;C: ltyellow&gt; [0] % &lt;n&gt; damage to the beast -type character.</v>
      </c>
      <c r="F519" s="5" t="s">
        <v>1305</v>
      </c>
    </row>
    <row r="520" ht="15.75" customHeight="1">
      <c r="A520" s="1">
        <v>518.0</v>
      </c>
      <c r="B520" s="4" t="s">
        <v>486</v>
      </c>
      <c r="C520" s="4" t="s">
        <v>1306</v>
      </c>
      <c r="D520" s="4">
        <f t="shared" si="1"/>
        <v>54</v>
      </c>
      <c r="E520" s="4" t="str">
        <f>IFERROR(__xludf.DUMMYFUNCTION("GOOGLETRANSLATE(C520,""ja"",""en"")"),"Potion recovery speed &lt;c: ltyellow&gt; [0] % &lt;n&gt; increase")</f>
        <v>Potion recovery speed &lt;c: ltyellow&gt; [0] % &lt;n&gt; increase</v>
      </c>
      <c r="F520" s="5" t="s">
        <v>1307</v>
      </c>
    </row>
    <row r="521" ht="15.75" customHeight="1">
      <c r="A521" s="1">
        <v>519.0</v>
      </c>
      <c r="B521" s="4" t="s">
        <v>489</v>
      </c>
      <c r="C521" s="4" t="s">
        <v>1308</v>
      </c>
      <c r="D521" s="4">
        <f t="shared" si="1"/>
        <v>14</v>
      </c>
      <c r="E521" s="4" t="str">
        <f>IFERROR(__xludf.DUMMYFUNCTION("GOOGLETRANSLATE(C521,""ja"",""en"")"),"Defense [-0] %")</f>
        <v>Defense [-0] %</v>
      </c>
      <c r="F521" s="5" t="s">
        <v>1309</v>
      </c>
    </row>
    <row r="522" ht="15.75" customHeight="1">
      <c r="A522" s="1">
        <v>520.0</v>
      </c>
      <c r="B522" s="4" t="s">
        <v>492</v>
      </c>
      <c r="C522" s="4" t="s">
        <v>1310</v>
      </c>
      <c r="D522" s="4">
        <f t="shared" si="1"/>
        <v>12</v>
      </c>
      <c r="E522" s="4" t="str">
        <f>IFERROR(__xludf.DUMMYFUNCTION("GOOGLETRANSLATE(C522,""ja"",""en"")"),"Defense [-0]")</f>
        <v>Defense [-0]</v>
      </c>
      <c r="F522" s="5" t="s">
        <v>1311</v>
      </c>
    </row>
    <row r="523" ht="15.75" customHeight="1">
      <c r="A523" s="1">
        <v>521.0</v>
      </c>
      <c r="B523" s="4" t="s">
        <v>495</v>
      </c>
      <c r="C523" s="4" t="s">
        <v>1312</v>
      </c>
      <c r="D523" s="4">
        <f t="shared" si="1"/>
        <v>22</v>
      </c>
      <c r="E523" s="4" t="str">
        <f>IFERROR(__xludf.DUMMYFUNCTION("GOOGLETRANSLATE(C523,""ja"",""en"")"),"Accidental rate [-0] %")</f>
        <v>Accidental rate [-0] %</v>
      </c>
      <c r="F523" s="5" t="s">
        <v>1313</v>
      </c>
    </row>
    <row r="524" ht="15.75" customHeight="1">
      <c r="A524" s="1">
        <v>522.0</v>
      </c>
      <c r="B524" s="4" t="s">
        <v>498</v>
      </c>
      <c r="C524" s="4" t="s">
        <v>1314</v>
      </c>
      <c r="D524" s="4">
        <f t="shared" si="1"/>
        <v>21</v>
      </c>
      <c r="E524" s="4" t="str">
        <f>IFERROR(__xludf.DUMMYFUNCTION("GOOGLETRANSLATE(C524,""ja"",""en"")"),"Avoidance rate [-0] %")</f>
        <v>Avoidance rate [-0] %</v>
      </c>
      <c r="F524" s="5" t="s">
        <v>1315</v>
      </c>
    </row>
    <row r="525" ht="15.75" customHeight="1">
      <c r="A525" s="1">
        <v>523.0</v>
      </c>
      <c r="B525" s="4" t="s">
        <v>501</v>
      </c>
      <c r="C525" s="4" t="s">
        <v>1088</v>
      </c>
      <c r="D525" s="4">
        <f t="shared" si="1"/>
        <v>21</v>
      </c>
      <c r="E525" s="4" t="str">
        <f>IFERROR(__xludf.DUMMYFUNCTION("GOOGLETRANSLATE(C525,""ja"",""en"")"),"Fire damage [0] - [1]")</f>
        <v>Fire damage [0] - [1]</v>
      </c>
      <c r="F525" s="5" t="s">
        <v>1089</v>
      </c>
    </row>
    <row r="526" ht="15.75" customHeight="1">
      <c r="A526" s="1">
        <v>524.0</v>
      </c>
      <c r="B526" s="4" t="s">
        <v>504</v>
      </c>
      <c r="C526" s="4" t="s">
        <v>1316</v>
      </c>
      <c r="D526" s="4">
        <f t="shared" si="1"/>
        <v>39</v>
      </c>
      <c r="E526" s="4" t="str">
        <f>IFERROR(__xludf.DUMMYFUNCTION("GOOGLETRANSLATE(C526,""ja"",""en"")"),"Water damage [0] ~ [1]
-Cold [2] Frame")</f>
        <v>Water damage [0] ~ [1]
-Cold [2] Frame</v>
      </c>
      <c r="F526" s="5" t="s">
        <v>1091</v>
      </c>
    </row>
    <row r="527" ht="15.75" customHeight="1">
      <c r="A527" s="1">
        <v>525.0</v>
      </c>
      <c r="B527" s="4" t="s">
        <v>507</v>
      </c>
      <c r="C527" s="4" t="s">
        <v>1317</v>
      </c>
      <c r="D527" s="4">
        <f t="shared" si="1"/>
        <v>38</v>
      </c>
      <c r="E527" s="4" t="str">
        <f>IFERROR(__xludf.DUMMYFUNCTION("GOOGLETRANSLATE(C527,""ja"",""en"")"),"Wind damage [0] ~ [1]
-Stan [2] Frame")</f>
        <v>Wind damage [0] ~ [1]
-Stan [2] Frame</v>
      </c>
      <c r="F527" s="5" t="s">
        <v>1093</v>
      </c>
    </row>
    <row r="528" ht="15.75" customHeight="1">
      <c r="A528" s="1">
        <v>526.0</v>
      </c>
      <c r="B528" s="4" t="s">
        <v>510</v>
      </c>
      <c r="C528" s="4" t="s">
        <v>1094</v>
      </c>
      <c r="D528" s="4">
        <f t="shared" si="1"/>
        <v>36</v>
      </c>
      <c r="E528" s="4" t="str">
        <f>IFERROR(__xludf.DUMMYFUNCTION("GOOGLETRANSLATE(C528,""ja"",""en"")"),"[2] seconds [0] to [1] Poison damage")</f>
        <v>[2] seconds [0] to [1] Poison damage</v>
      </c>
      <c r="F528" s="5" t="s">
        <v>1095</v>
      </c>
    </row>
    <row r="529" ht="15.75" customHeight="1">
      <c r="A529" s="1">
        <v>527.0</v>
      </c>
      <c r="B529" s="4" t="s">
        <v>513</v>
      </c>
      <c r="C529" s="4" t="s">
        <v>1318</v>
      </c>
      <c r="D529" s="4">
        <f t="shared" si="1"/>
        <v>68</v>
      </c>
      <c r="E529" s="4" t="str">
        <f>IFERROR(__xludf.DUMMYFUNCTION("GOOGLETRANSLATE(C529,""ja"",""en"")"),"Light damage [0] - [1]
- [2] Hit for seconds, a decrease in evasion")</f>
        <v>Light damage [0] - [1]
- [2] Hit for seconds, a decrease in evasion</v>
      </c>
      <c r="F529" s="5" t="s">
        <v>1097</v>
      </c>
    </row>
    <row r="530" ht="15.75" customHeight="1">
      <c r="A530" s="1">
        <v>528.0</v>
      </c>
      <c r="B530" s="4" t="s">
        <v>514</v>
      </c>
      <c r="C530" s="4" t="s">
        <v>1319</v>
      </c>
      <c r="D530" s="4">
        <f t="shared" si="1"/>
        <v>41</v>
      </c>
      <c r="E530" s="4" t="str">
        <f>IFERROR(__xludf.DUMMYFUNCTION("GOOGLETRANSLATE(C530,""ja"",""en"")"),"Dark damage [0] - [1]
-Curse [2] seconds")</f>
        <v>Dark damage [0] - [1]
-Curse [2] seconds</v>
      </c>
      <c r="F530" s="5" t="s">
        <v>1099</v>
      </c>
    </row>
    <row r="531" ht="15.75" customHeight="1">
      <c r="A531" s="1">
        <v>529.0</v>
      </c>
      <c r="B531" s="4" t="s">
        <v>515</v>
      </c>
      <c r="C531" s="4" t="s">
        <v>1320</v>
      </c>
      <c r="D531" s="4">
        <f t="shared" si="1"/>
        <v>48</v>
      </c>
      <c r="E531" s="4" t="str">
        <f>IFERROR(__xludf.DUMMYFUNCTION("GOOGLETRANSLATE(C531,""ja"",""en"")"),"[1] Use level skills (duration time [3] seconds)")</f>
        <v>[1] Use level skills (duration time [3] seconds)</v>
      </c>
      <c r="F531" s="5" t="s">
        <v>1321</v>
      </c>
    </row>
    <row r="532" ht="15.75" customHeight="1">
      <c r="A532" s="1">
        <v>530.0</v>
      </c>
      <c r="B532" s="4" t="s">
        <v>516</v>
      </c>
      <c r="C532" s="4" t="s">
        <v>943</v>
      </c>
      <c r="D532" s="4">
        <f t="shared" si="1"/>
        <v>25</v>
      </c>
      <c r="E532" s="4" t="str">
        <f>IFERROR(__xludf.DUMMYFUNCTION("GOOGLETRANSLATE(C532,""ja"",""en"")"),"All ability values ​​[+0]")</f>
        <v>All ability values ​​[+0]</v>
      </c>
      <c r="F532" s="5" t="s">
        <v>944</v>
      </c>
    </row>
    <row r="533" ht="15.75" customHeight="1">
      <c r="A533" s="1">
        <v>531.0</v>
      </c>
      <c r="B533" s="4" t="s">
        <v>517</v>
      </c>
      <c r="C533" s="4" t="s">
        <v>1322</v>
      </c>
      <c r="D533" s="4">
        <f t="shared" si="1"/>
        <v>37</v>
      </c>
      <c r="E533" s="4" t="str">
        <f>IFERROR(__xludf.DUMMYFUNCTION("GOOGLETRANSLATE(C533,""ja"",""en"")"),"[0] Use skills at the engraving level")</f>
        <v>[0] Use skills at the engraving level</v>
      </c>
      <c r="F533" s="5" t="s">
        <v>1323</v>
      </c>
    </row>
    <row r="534" ht="15.75" customHeight="1">
      <c r="A534" s="1">
        <v>532.0</v>
      </c>
      <c r="B534" s="4" t="s">
        <v>518</v>
      </c>
      <c r="C534" s="4" t="s">
        <v>1324</v>
      </c>
      <c r="D534" s="4">
        <f t="shared" si="1"/>
        <v>13</v>
      </c>
      <c r="E534" s="4" t="str">
        <f>IFERROR(__xludf.DUMMYFUNCTION("GOOGLETRANSLATE(C534,""ja"",""en"")"),"Strike [+0] %")</f>
        <v>Strike [+0] %</v>
      </c>
      <c r="F534" s="5" t="s">
        <v>1325</v>
      </c>
    </row>
    <row r="535" ht="15.75" customHeight="1">
      <c r="A535" s="1">
        <v>533.0</v>
      </c>
      <c r="B535" s="4" t="s">
        <v>92</v>
      </c>
      <c r="C535" s="4" t="s">
        <v>1030</v>
      </c>
      <c r="D535" s="4">
        <f t="shared" si="1"/>
        <v>10</v>
      </c>
      <c r="E535" s="4" t="str">
        <f>IFERROR(__xludf.DUMMYFUNCTION("GOOGLETRANSLATE(C535,""ja"",""en"")"),"Breakpoint")</f>
        <v>Breakpoint</v>
      </c>
      <c r="F535" s="5" t="s">
        <v>1031</v>
      </c>
    </row>
    <row r="536" ht="15.75" customHeight="1">
      <c r="A536" s="1">
        <v>534.0</v>
      </c>
      <c r="B536" s="4" t="s">
        <v>5</v>
      </c>
      <c r="C536" s="4" t="s">
        <v>1326</v>
      </c>
      <c r="D536" s="4">
        <f t="shared" si="1"/>
        <v>27</v>
      </c>
      <c r="E536" s="4" t="str">
        <f>IFERROR(__xludf.DUMMYFUNCTION("GOOGLETRANSLATE(C536,""ja"",""en"")"),"All skill level of [1] [+0]")</f>
        <v>All skill level of [1] [+0]</v>
      </c>
      <c r="F536" s="5" t="s">
        <v>1327</v>
      </c>
    </row>
    <row r="537" ht="15.75" customHeight="1">
      <c r="A537" s="1">
        <v>535.0</v>
      </c>
      <c r="B537" s="4" t="s">
        <v>8</v>
      </c>
      <c r="C537" s="4" t="s">
        <v>1328</v>
      </c>
      <c r="D537" s="4">
        <f t="shared" si="1"/>
        <v>18</v>
      </c>
      <c r="E537" s="4" t="str">
        <f>IFERROR(__xludf.DUMMYFUNCTION("GOOGLETRANSLATE(C537,""ja"",""en"")"),"Inventory size [0]")</f>
        <v>Inventory size [0]</v>
      </c>
      <c r="F537" s="5" t="s">
        <v>1329</v>
      </c>
    </row>
    <row r="538" ht="15.75" customHeight="1">
      <c r="A538" s="1">
        <v>536.0</v>
      </c>
      <c r="B538" s="4" t="s">
        <v>11</v>
      </c>
      <c r="C538" s="4" t="s">
        <v>1330</v>
      </c>
      <c r="D538" s="4">
        <f t="shared" si="1"/>
        <v>81</v>
      </c>
      <c r="E538" s="4" t="str">
        <f>IFERROR(__xludf.DUMMYFUNCTION("GOOGLETRANSLATE(C538,""ja"",""en"")"),"Number of slots of bank items [0]
-Served fees [1] %
-Kingot purchase fee [2] %")</f>
        <v>Number of slots of bank items [0]
-Served fees [1] %
-Kingot purchase fee [2] %</v>
      </c>
      <c r="F538" s="5" t="s">
        <v>1331</v>
      </c>
    </row>
    <row r="539" ht="15.75" customHeight="1">
      <c r="A539" s="1">
        <v>537.0</v>
      </c>
      <c r="B539" s="4" t="s">
        <v>14</v>
      </c>
      <c r="C539" s="4" t="s">
        <v>1332</v>
      </c>
      <c r="D539" s="4">
        <f t="shared" si="1"/>
        <v>35</v>
      </c>
      <c r="E539" s="4" t="str">
        <f>IFERROR(__xludf.DUMMYFUNCTION("GOOGLETRANSLATE(C539,""ja"",""en"")"),"Party experience value bonus [+0] %")</f>
        <v>Party experience value bonus [+0] %</v>
      </c>
      <c r="F539" s="5" t="s">
        <v>1333</v>
      </c>
    </row>
    <row r="540" ht="15.75" customHeight="1">
      <c r="A540" s="1">
        <v>538.0</v>
      </c>
      <c r="B540" s="4" t="s">
        <v>20</v>
      </c>
      <c r="C540" s="4" t="s">
        <v>1334</v>
      </c>
      <c r="D540" s="4">
        <f t="shared" si="1"/>
        <v>46</v>
      </c>
      <c r="E540" s="4" t="str">
        <f>IFERROR(__xludf.DUMMYFUNCTION("GOOGLETRANSLATE(C540,""ja"",""en"")"),"You can qualify for a guild member application")</f>
        <v>You can qualify for a guild member application</v>
      </c>
      <c r="F540" s="5" t="s">
        <v>1335</v>
      </c>
    </row>
    <row r="541" ht="15.75" customHeight="1">
      <c r="A541" s="1">
        <v>539.0</v>
      </c>
      <c r="B541" s="4" t="s">
        <v>35</v>
      </c>
      <c r="C541" s="4" t="s">
        <v>1336</v>
      </c>
      <c r="D541" s="4">
        <f t="shared" si="1"/>
        <v>43</v>
      </c>
      <c r="E541" s="4" t="str">
        <f>IFERROR(__xludf.DUMMYFUNCTION("GOOGLETRANSLATE(C541,""ja"",""en"")"),"You can see a mini map even in a deep cave.")</f>
        <v>You can see a mini map even in a deep cave.</v>
      </c>
      <c r="F541" s="5" t="s">
        <v>1337</v>
      </c>
    </row>
    <row r="542" ht="15.75" customHeight="1">
      <c r="A542" s="1">
        <v>540.0</v>
      </c>
      <c r="B542" s="4" t="s">
        <v>17</v>
      </c>
      <c r="C542" s="4" t="s">
        <v>1338</v>
      </c>
      <c r="D542" s="4">
        <f t="shared" si="1"/>
        <v>90</v>
      </c>
      <c r="E542" s="4" t="str">
        <f>IFERROR(__xludf.DUMMYFUNCTION("GOOGLETRANSLATE(C542,""ja"",""en"")"),"You can open a stall business.
-The number of items that can be sold at the same time [0]")</f>
        <v>You can open a stall business.
-The number of items that can be sold at the same time [0]</v>
      </c>
      <c r="F542" s="5" t="s">
        <v>1339</v>
      </c>
    </row>
    <row r="543" ht="15.75" customHeight="1">
      <c r="A543" s="1">
        <v>541.0</v>
      </c>
      <c r="B543" s="4" t="s">
        <v>47</v>
      </c>
      <c r="C543" s="4" t="s">
        <v>1340</v>
      </c>
      <c r="D543" s="4">
        <f t="shared" si="1"/>
        <v>93</v>
      </c>
      <c r="E543" s="4" t="str">
        <f>IFERROR(__xludf.DUMMYFUNCTION("GOOGLETRANSLATE(C543,""ja"",""en"")"),"Differential level [0]
-The discriminatory classification [1]
-The discrimination grade [2]")</f>
        <v>Differential level [0]
-The discriminatory classification [1]
-The discrimination grade [2]</v>
      </c>
      <c r="F543" s="5" t="s">
        <v>1341</v>
      </c>
    </row>
    <row r="544" ht="15.75" customHeight="1">
      <c r="A544" s="1">
        <v>542.0</v>
      </c>
      <c r="B544" s="4" t="s">
        <v>41</v>
      </c>
      <c r="C544" s="4" t="s">
        <v>1342</v>
      </c>
      <c r="D544" s="4">
        <f t="shared" si="1"/>
        <v>39</v>
      </c>
      <c r="E544" s="4" t="str">
        <f>IFERROR(__xludf.DUMMYFUNCTION("GOOGLETRANSLATE(C544,""ja"",""en"")"),"Moving speed in the city [0] % increase")</f>
        <v>Moving speed in the city [0] % increase</v>
      </c>
      <c r="F544" s="5" t="s">
        <v>1343</v>
      </c>
    </row>
    <row r="545" ht="15.75" customHeight="1">
      <c r="A545" s="1">
        <v>543.0</v>
      </c>
      <c r="B545" s="4" t="s">
        <v>44</v>
      </c>
      <c r="C545" s="4" t="s">
        <v>1344</v>
      </c>
      <c r="D545" s="4">
        <f t="shared" si="1"/>
        <v>36</v>
      </c>
      <c r="E545" s="4" t="str">
        <f>IFERROR(__xludf.DUMMYFUNCTION("GOOGLETRANSLATE(C545,""ja"",""en"")"),"HP recovery speed when resting [0] %")</f>
        <v>HP recovery speed when resting [0] %</v>
      </c>
      <c r="F545" s="5" t="s">
        <v>1345</v>
      </c>
    </row>
    <row r="546" ht="15.75" customHeight="1">
      <c r="A546" s="1">
        <v>544.0</v>
      </c>
      <c r="B546" s="4" t="s">
        <v>53</v>
      </c>
      <c r="C546" s="4" t="s">
        <v>1346</v>
      </c>
      <c r="D546" s="4">
        <f t="shared" si="1"/>
        <v>19</v>
      </c>
      <c r="E546" s="4" t="str">
        <f>IFERROR(__xludf.DUMMYFUNCTION("GOOGLETRANSLATE(C546,""ja"",""en"")"),"Potion effect [0] %")</f>
        <v>Potion effect [0] %</v>
      </c>
      <c r="F546" s="5" t="s">
        <v>1347</v>
      </c>
    </row>
    <row r="547" ht="15.75" customHeight="1">
      <c r="A547" s="1">
        <v>545.0</v>
      </c>
      <c r="B547" s="4" t="s">
        <v>29</v>
      </c>
      <c r="C547" s="4" t="s">
        <v>1348</v>
      </c>
      <c r="D547" s="4">
        <f t="shared" si="1"/>
        <v>32</v>
      </c>
      <c r="E547" s="4" t="str">
        <f>IFERROR(__xludf.DUMMYFUNCTION("GOOGLETRANSLATE(C547,""ja"",""en"")"),"Pure magic damage [0] % increase")</f>
        <v>Pure magic damage [0] % increase</v>
      </c>
      <c r="F547" s="5" t="s">
        <v>1349</v>
      </c>
    </row>
    <row r="548" ht="15.75" customHeight="1">
      <c r="A548" s="1">
        <v>546.0</v>
      </c>
      <c r="B548" s="4" t="s">
        <v>50</v>
      </c>
      <c r="C548" s="4" t="s">
        <v>1350</v>
      </c>
      <c r="D548" s="4">
        <f t="shared" si="1"/>
        <v>25</v>
      </c>
      <c r="E548" s="4" t="str">
        <f>IFERROR(__xludf.DUMMYFUNCTION("GOOGLETRANSLATE(C548,""ja"",""en"")"),"Item price [0] % discount")</f>
        <v>Item price [0] % discount</v>
      </c>
      <c r="F548" s="5" t="s">
        <v>1351</v>
      </c>
    </row>
    <row r="549" ht="15.75" customHeight="1">
      <c r="A549" s="1">
        <v>547.0</v>
      </c>
      <c r="B549" s="4" t="s">
        <v>56</v>
      </c>
      <c r="C549" s="4" t="s">
        <v>1352</v>
      </c>
      <c r="D549" s="4">
        <f t="shared" si="1"/>
        <v>44</v>
      </c>
      <c r="E549" s="4" t="str">
        <f>IFERROR(__xludf.DUMMYFUNCTION("GOOGLETRANSLATE(C549,""ja"",""en"")"),"All state abnormal resistance [0] % increase")</f>
        <v>All state abnormal resistance [0] % increase</v>
      </c>
      <c r="F549" s="5" t="s">
        <v>1353</v>
      </c>
    </row>
    <row r="550" ht="15.75" customHeight="1">
      <c r="A550" s="1">
        <v>548.0</v>
      </c>
      <c r="B550" s="4" t="s">
        <v>26</v>
      </c>
      <c r="C550" s="4" t="s">
        <v>1354</v>
      </c>
      <c r="D550" s="4">
        <f t="shared" si="1"/>
        <v>49</v>
      </c>
      <c r="E550" s="4" t="str">
        <f>IFERROR(__xludf.DUMMYFUNCTION("GOOGLETRANSLATE(C550,""ja"",""en"")"),"[1] times, [2] minutes all abilities [0] increase")</f>
        <v>[1] times, [2] minutes all abilities [0] increase</v>
      </c>
      <c r="F550" s="5" t="s">
        <v>1355</v>
      </c>
    </row>
    <row r="551" ht="15.75" customHeight="1">
      <c r="A551" s="1">
        <v>549.0</v>
      </c>
      <c r="B551" s="4" t="s">
        <v>38</v>
      </c>
      <c r="C551" s="4" t="s">
        <v>1356</v>
      </c>
      <c r="D551" s="4">
        <f t="shared" si="1"/>
        <v>86</v>
      </c>
      <c r="E551" s="4" t="str">
        <f>IFERROR(__xludf.DUMMYFUNCTION("GOOGLETRANSLATE(C551,""ja"",""en"")"),"If the HP is [0] % or less and the HP is below [1], it will hit the [2] % probability.")</f>
        <v>If the HP is [0] % or less and the HP is below [1], it will hit the [2] % probability.</v>
      </c>
      <c r="F551" s="7" t="s">
        <v>1357</v>
      </c>
    </row>
    <row r="552" ht="15.75" customHeight="1">
      <c r="A552" s="1">
        <v>550.0</v>
      </c>
      <c r="B552" s="4" t="s">
        <v>59</v>
      </c>
      <c r="C552" s="4" t="s">
        <v>1358</v>
      </c>
      <c r="D552" s="4">
        <f t="shared" si="1"/>
        <v>20</v>
      </c>
      <c r="E552" s="4" t="str">
        <f>IFERROR(__xludf.DUMMYFUNCTION("GOOGLETRANSLATE(C552,""ja"",""en"")"),"Avoidance rate [0] %")</f>
        <v>Avoidance rate [0] %</v>
      </c>
      <c r="F552" s="5" t="s">
        <v>1359</v>
      </c>
    </row>
    <row r="553" ht="15.75" customHeight="1">
      <c r="A553" s="1">
        <v>551.0</v>
      </c>
      <c r="B553" s="4" t="s">
        <v>62</v>
      </c>
      <c r="C553" s="4" t="s">
        <v>1360</v>
      </c>
      <c r="D553" s="4">
        <f t="shared" si="1"/>
        <v>24</v>
      </c>
      <c r="E553" s="4" t="str">
        <f>IFERROR(__xludf.DUMMYFUNCTION("GOOGLETRANSLATE(C553,""ja"",""en"")"),"Key demolition level+[0]")</f>
        <v>Key demolition level+[0]</v>
      </c>
      <c r="F553" s="5" t="s">
        <v>1361</v>
      </c>
    </row>
    <row r="554" ht="15.75" customHeight="1">
      <c r="A554" s="1">
        <v>552.0</v>
      </c>
      <c r="B554" s="4" t="s">
        <v>65</v>
      </c>
      <c r="C554" s="4" t="s">
        <v>1362</v>
      </c>
      <c r="D554" s="4">
        <f t="shared" si="1"/>
        <v>56</v>
      </c>
      <c r="E554" s="4" t="str">
        <f>IFERROR(__xludf.DUMMYFUNCTION("GOOGLETRANSLATE(C554,""ja"",""en"")"),"Gate, when attacking treasure chests, attack power [0] %")</f>
        <v>Gate, when attacking treasure chests, attack power [0] %</v>
      </c>
      <c r="F554" s="5" t="s">
        <v>1363</v>
      </c>
    </row>
    <row r="555" ht="15.75" customHeight="1">
      <c r="A555" s="1">
        <v>553.0</v>
      </c>
      <c r="B555" s="4" t="s">
        <v>68</v>
      </c>
      <c r="C555" s="4" t="s">
        <v>1364</v>
      </c>
      <c r="D555" s="4">
        <f t="shared" si="1"/>
        <v>23</v>
      </c>
      <c r="E555" s="4" t="str">
        <f>IFERROR(__xludf.DUMMYFUNCTION("GOOGLETRANSLATE(C555,""ja"",""en"")"),"Penalty [0] % reduction")</f>
        <v>Penalty [0] % reduction</v>
      </c>
      <c r="F555" s="5" t="s">
        <v>1365</v>
      </c>
    </row>
    <row r="556" ht="15.75" customHeight="1">
      <c r="A556" s="1">
        <v>554.0</v>
      </c>
      <c r="B556" s="4" t="s">
        <v>71</v>
      </c>
      <c r="C556" s="4" t="s">
        <v>1364</v>
      </c>
      <c r="D556" s="4">
        <f t="shared" si="1"/>
        <v>23</v>
      </c>
      <c r="E556" s="4" t="str">
        <f>IFERROR(__xludf.DUMMYFUNCTION("GOOGLETRANSLATE(C556,""ja"",""en"")"),"Penalty [0] % reduction")</f>
        <v>Penalty [0] % reduction</v>
      </c>
      <c r="F556" s="5" t="s">
        <v>1365</v>
      </c>
    </row>
    <row r="557" ht="15.75" customHeight="1">
      <c r="A557" s="1">
        <v>555.0</v>
      </c>
      <c r="B557" s="4" t="s">
        <v>74</v>
      </c>
      <c r="C557" s="4" t="s">
        <v>1366</v>
      </c>
      <c r="D557" s="4">
        <f t="shared" si="1"/>
        <v>111</v>
      </c>
      <c r="E557" s="4" t="str">
        <f>IFERROR(__xludf.DUMMYFUNCTION("GOOGLETRANSLATE(C557,""ja"",""en"")"),"Power [+0], agility [+1], knowledge [+2], wisdom [+3], charisma [+4]
-Luck [+5], health [+6], HP [+7], CP [+8]")</f>
        <v>Power [+0], agility [+1], knowledge [+2], wisdom [+3], charisma [+4]
-Luck [+5], health [+6], HP [+7], CP [+8]</v>
      </c>
      <c r="F557" s="5" t="s">
        <v>1367</v>
      </c>
    </row>
    <row r="558" ht="15.75" customHeight="1">
      <c r="A558" s="1">
        <v>556.0</v>
      </c>
      <c r="B558" s="4" t="s">
        <v>77</v>
      </c>
      <c r="C558" s="4" t="s">
        <v>1368</v>
      </c>
      <c r="D558" s="4">
        <f t="shared" si="1"/>
        <v>157</v>
      </c>
      <c r="E558" s="4" t="str">
        <f>IFERROR(__xludf.DUMMYFUNCTION("GOOGLETRANSLATE(C558,""ja"",""en"")"),"Fire resistance [+0] %, water resistance [+0] %, wind resistance [+0] %
-The resistance of the earth [+0] %, light resistance [+0] %, dark resistance [+0] %")</f>
        <v>Fire resistance [+0] %, water resistance [+0] %, wind resistance [+0] %
-The resistance of the earth [+0] %, light resistance [+0] %, dark resistance [+0] %</v>
      </c>
      <c r="F558" s="7" t="s">
        <v>1369</v>
      </c>
    </row>
    <row r="559" ht="15.75" customHeight="1">
      <c r="A559" s="1">
        <v>557.0</v>
      </c>
      <c r="B559" s="4" t="s">
        <v>80</v>
      </c>
      <c r="C559" s="4" t="s">
        <v>1370</v>
      </c>
      <c r="D559" s="4">
        <f t="shared" si="1"/>
        <v>236</v>
      </c>
      <c r="E559" s="4" t="str">
        <f>IFERROR(__xludf.DUMMYFUNCTION("GOOGLETRANSLATE(C559,""ja"",""en"")"),"According to a hit rate for human monsters [0] % bonus
-Hates [1] % bonus for undead monsters
-Hates on the devil monster [2] % bonus
-Hates on animal -type monsters [3] % bonus
-Shexing rate for god beast -type monsters [4] % bonus")</f>
        <v>According to a hit rate for human monsters [0] % bonus
-Hates [1] % bonus for undead monsters
-Hates on the devil monster [2] % bonus
-Hates on animal -type monsters [3] % bonus
-Shexing rate for god beast -type monsters [4] % bonus</v>
      </c>
      <c r="F559" s="5" t="s">
        <v>1371</v>
      </c>
    </row>
    <row r="560" ht="15.75" customHeight="1">
      <c r="A560" s="1">
        <v>558.0</v>
      </c>
      <c r="B560" s="4" t="s">
        <v>83</v>
      </c>
      <c r="C560" s="4" t="s">
        <v>1372</v>
      </c>
      <c r="D560" s="4">
        <f t="shared" si="1"/>
        <v>113</v>
      </c>
      <c r="E560" s="4" t="str">
        <f>IFERROR(__xludf.DUMMYFUNCTION("GOOGLETRANSLATE(C560,""ja"",""en"")"),"In party play, the experience value correction value rises to [0] %
-Charismatic, wisdom, bonuses for each [1] %")</f>
        <v>In party play, the experience value correction value rises to [0] %
-Charismatic, wisdom, bonuses for each [1] %</v>
      </c>
      <c r="F560" s="5" t="s">
        <v>1373</v>
      </c>
    </row>
    <row r="561" ht="15.75" customHeight="1">
      <c r="A561" s="1">
        <v>559.0</v>
      </c>
      <c r="B561" s="4" t="s">
        <v>86</v>
      </c>
      <c r="C561" s="4" t="s">
        <v>1374</v>
      </c>
      <c r="D561" s="4">
        <f t="shared" si="1"/>
        <v>70</v>
      </c>
      <c r="E561" s="4" t="str">
        <f>IFERROR(__xludf.DUMMYFUNCTION("GOOGLETRANSLATE(C561,""ja"",""en"")"),"Party play exclusive rate increased to [0] %
-Charismatic bonus [1] %")</f>
        <v>Party play exclusive rate increased to [0] %
-Charismatic bonus [1] %</v>
      </c>
      <c r="F561" s="5" t="s">
        <v>1375</v>
      </c>
    </row>
    <row r="562" ht="15.75" customHeight="1">
      <c r="A562" s="1">
        <v>560.0</v>
      </c>
      <c r="B562" s="4" t="s">
        <v>32</v>
      </c>
      <c r="C562" s="4" t="s">
        <v>1376</v>
      </c>
      <c r="D562" s="4">
        <f t="shared" si="1"/>
        <v>63</v>
      </c>
      <c r="E562" s="4" t="str">
        <f>IFERROR(__xludf.DUMMYFUNCTION("GOOGLETRANSLATE(C562,""ja"",""en"")"),"[0] Level identification of players below the level is possible")</f>
        <v>[0] Level identification of players below the level is possible</v>
      </c>
      <c r="F562" s="5" t="s">
        <v>1377</v>
      </c>
    </row>
    <row r="563" ht="15.75" customHeight="1">
      <c r="A563" s="1">
        <v>561.0</v>
      </c>
      <c r="B563" s="4" t="s">
        <v>89</v>
      </c>
      <c r="C563" s="4" t="s">
        <v>1378</v>
      </c>
      <c r="D563" s="4">
        <f t="shared" si="1"/>
        <v>4</v>
      </c>
      <c r="E563" s="4" t="str">
        <f>IFERROR(__xludf.DUMMYFUNCTION("GOOGLETRANSLATE(C563,""ja"",""en"")"),"Bard")</f>
        <v>Bard</v>
      </c>
      <c r="F563" s="5" t="s">
        <v>1379</v>
      </c>
    </row>
    <row r="564" ht="15.75" customHeight="1">
      <c r="A564" s="1">
        <v>562.0</v>
      </c>
      <c r="B564" s="4" t="s">
        <v>92</v>
      </c>
      <c r="C564" s="4" t="s">
        <v>801</v>
      </c>
      <c r="D564" s="4">
        <f t="shared" si="1"/>
        <v>27</v>
      </c>
      <c r="E564" s="4" t="str">
        <f>IFERROR(__xludf.DUMMYFUNCTION("GOOGLETRANSLATE(C564,""ja"",""en"")"),"Experience bonus in hunting")</f>
        <v>Experience bonus in hunting</v>
      </c>
      <c r="F564" s="5" t="s">
        <v>802</v>
      </c>
    </row>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2023-07-16T17:43:24Z</dcterms:created>
  <dc:creator>openpyxl</dc:creator>
</cp:coreProperties>
</file>