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cas\Desktop\Valuation\Github\valuation\"/>
    </mc:Choice>
  </mc:AlternateContent>
  <xr:revisionPtr revIDLastSave="0" documentId="8_{E2038466-FA93-49D2-AEAD-2B0753F5341C}" xr6:coauthVersionLast="47" xr6:coauthVersionMax="47" xr10:uidLastSave="{00000000-0000-0000-0000-000000000000}"/>
  <bookViews>
    <workbookView xWindow="-96" yWindow="-96" windowWidth="23232" windowHeight="12552" activeTab="1" xr2:uid="{2827561C-4E39-44EB-8F86-8F1D8C5EC0F2}"/>
  </bookViews>
  <sheets>
    <sheet name="Model" sheetId="1" r:id="rId1"/>
    <sheet name="Revenue Build" sheetId="4"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9" i="4" l="1"/>
  <c r="D159" i="4"/>
  <c r="C159" i="4"/>
  <c r="E153" i="4"/>
  <c r="D153" i="4"/>
  <c r="C153" i="4"/>
  <c r="E146" i="4"/>
  <c r="D146" i="4"/>
  <c r="C146" i="4"/>
  <c r="E125" i="4"/>
  <c r="D125" i="4"/>
  <c r="C125" i="4"/>
  <c r="E121" i="4"/>
  <c r="D121" i="4"/>
  <c r="C121" i="4"/>
  <c r="E84" i="4"/>
  <c r="D84" i="4"/>
  <c r="E87" i="4"/>
  <c r="E85" i="4" s="1"/>
  <c r="D87" i="4"/>
  <c r="D85" i="4" s="1"/>
  <c r="C87" i="4"/>
  <c r="C85" i="4" s="1"/>
  <c r="E29" i="4"/>
  <c r="E27" i="4"/>
  <c r="E22" i="4"/>
  <c r="E20" i="4"/>
  <c r="E14" i="4"/>
  <c r="E12" i="4"/>
  <c r="E10" i="4"/>
  <c r="E8" i="4"/>
  <c r="E75" i="4"/>
  <c r="E71" i="4"/>
  <c r="E66" i="4"/>
  <c r="E61" i="4"/>
  <c r="E24" i="4"/>
  <c r="E16" i="4"/>
  <c r="K75" i="4"/>
  <c r="J75" i="4"/>
  <c r="I75" i="4"/>
  <c r="H75" i="4"/>
  <c r="G75" i="4"/>
  <c r="D75" i="4"/>
  <c r="C75" i="4"/>
  <c r="K71" i="4"/>
  <c r="J71" i="4"/>
  <c r="I71" i="4"/>
  <c r="H71" i="4"/>
  <c r="G71" i="4"/>
  <c r="D71" i="4"/>
  <c r="C71" i="4"/>
  <c r="C66" i="4"/>
  <c r="K66" i="4"/>
  <c r="J66" i="4"/>
  <c r="I66" i="4"/>
  <c r="H66" i="4"/>
  <c r="G66" i="4"/>
  <c r="D66" i="4"/>
  <c r="K61" i="4"/>
  <c r="J61" i="4"/>
  <c r="I61" i="4"/>
  <c r="H61" i="4"/>
  <c r="G61" i="4"/>
  <c r="D61" i="4"/>
  <c r="C61" i="4"/>
  <c r="D29" i="4"/>
  <c r="D27" i="4"/>
  <c r="K24" i="4"/>
  <c r="J24" i="4"/>
  <c r="I24" i="4"/>
  <c r="H24" i="4"/>
  <c r="G24" i="4"/>
  <c r="D24" i="4"/>
  <c r="C24" i="4"/>
  <c r="D22" i="4"/>
  <c r="D20" i="4"/>
  <c r="K16" i="4"/>
  <c r="J16" i="4"/>
  <c r="I16" i="4"/>
  <c r="H16" i="4"/>
  <c r="G16" i="4"/>
  <c r="D16" i="4"/>
  <c r="C16" i="4"/>
  <c r="D14" i="4"/>
  <c r="D12" i="4"/>
  <c r="D10" i="4"/>
  <c r="D8" i="4"/>
  <c r="J314" i="1"/>
  <c r="I314" i="1"/>
  <c r="H314" i="1"/>
  <c r="G314" i="1"/>
  <c r="F314" i="1"/>
  <c r="E314" i="1"/>
  <c r="D314" i="1"/>
  <c r="J313" i="1"/>
  <c r="I313" i="1"/>
  <c r="H313" i="1"/>
  <c r="G313" i="1"/>
  <c r="F313" i="1"/>
  <c r="E313" i="1"/>
  <c r="D313" i="1"/>
  <c r="D316" i="1"/>
  <c r="E316" i="1"/>
  <c r="J311" i="1"/>
  <c r="I311" i="1"/>
  <c r="H311" i="1"/>
  <c r="G311" i="1"/>
  <c r="F311" i="1"/>
  <c r="E311" i="1"/>
  <c r="D311" i="1"/>
  <c r="J310" i="1"/>
  <c r="I310" i="1"/>
  <c r="H310" i="1"/>
  <c r="G310" i="1"/>
  <c r="F310" i="1"/>
  <c r="E310" i="1"/>
  <c r="D310" i="1"/>
  <c r="C314" i="1"/>
  <c r="C316" i="1" s="1"/>
  <c r="C313" i="1"/>
  <c r="C311" i="1"/>
  <c r="C310" i="1"/>
  <c r="J308" i="1"/>
  <c r="I308" i="1"/>
  <c r="H308" i="1"/>
  <c r="G308" i="1"/>
  <c r="F308" i="1"/>
  <c r="E308" i="1"/>
  <c r="D308" i="1"/>
  <c r="J307" i="1"/>
  <c r="I307" i="1"/>
  <c r="H307" i="1"/>
  <c r="G307" i="1"/>
  <c r="F307" i="1"/>
  <c r="E307" i="1"/>
  <c r="D307" i="1"/>
  <c r="C308" i="1"/>
  <c r="C307" i="1"/>
  <c r="J306" i="1"/>
  <c r="I306" i="1"/>
  <c r="H306" i="1"/>
  <c r="G306" i="1"/>
  <c r="F306" i="1"/>
  <c r="E306" i="1"/>
  <c r="D306" i="1"/>
  <c r="C306" i="1"/>
  <c r="J305" i="1"/>
  <c r="J316" i="1" s="1"/>
  <c r="I305" i="1"/>
  <c r="I316" i="1" s="1"/>
  <c r="H305" i="1"/>
  <c r="G305" i="1"/>
  <c r="F305" i="1"/>
  <c r="E305" i="1"/>
  <c r="D305" i="1"/>
  <c r="H316" i="1"/>
  <c r="G316" i="1"/>
  <c r="C305" i="1"/>
  <c r="F316" i="1"/>
  <c r="E300" i="1"/>
  <c r="D300" i="1"/>
  <c r="E298" i="1"/>
  <c r="D298" i="1"/>
  <c r="E293" i="1"/>
  <c r="D293" i="1"/>
  <c r="E291" i="1"/>
  <c r="D291" i="1"/>
  <c r="J285" i="1"/>
  <c r="I285" i="1"/>
  <c r="H285" i="1"/>
  <c r="G285" i="1"/>
  <c r="F285" i="1"/>
  <c r="E285" i="1"/>
  <c r="D285" i="1"/>
  <c r="J283" i="1"/>
  <c r="I283" i="1"/>
  <c r="H283" i="1"/>
  <c r="G283" i="1"/>
  <c r="F283" i="1"/>
  <c r="E283" i="1"/>
  <c r="D283" i="1"/>
  <c r="J281" i="1"/>
  <c r="I281" i="1"/>
  <c r="H281" i="1"/>
  <c r="G281" i="1"/>
  <c r="F281" i="1"/>
  <c r="E281" i="1"/>
  <c r="D281" i="1"/>
  <c r="J279" i="1"/>
  <c r="I279" i="1"/>
  <c r="H279" i="1"/>
  <c r="G279" i="1"/>
  <c r="F279" i="1"/>
  <c r="E279" i="1"/>
  <c r="D279" i="1"/>
  <c r="J287" i="1"/>
  <c r="I287" i="1"/>
  <c r="H287" i="1"/>
  <c r="G287" i="1"/>
  <c r="F287" i="1"/>
  <c r="E287" i="1"/>
  <c r="D287" i="1"/>
  <c r="C287" i="1"/>
  <c r="J295" i="1"/>
  <c r="I295" i="1"/>
  <c r="H295" i="1"/>
  <c r="G295" i="1"/>
  <c r="F295" i="1"/>
  <c r="E295" i="1"/>
  <c r="D295" i="1"/>
  <c r="C295" i="1"/>
  <c r="E275" i="1"/>
  <c r="F275" i="1" s="1"/>
  <c r="G275" i="1" s="1"/>
  <c r="H275" i="1" s="1"/>
  <c r="I275" i="1" s="1"/>
  <c r="J275" i="1" s="1"/>
  <c r="B324" i="1"/>
  <c r="E322" i="1"/>
  <c r="D322" i="1" s="1"/>
  <c r="C322" i="1" s="1"/>
  <c r="E267" i="1"/>
  <c r="E269" i="1" s="1"/>
  <c r="D267" i="1"/>
  <c r="D269" i="1" s="1"/>
  <c r="D252" i="1"/>
  <c r="D253" i="1"/>
  <c r="D263" i="1" s="1"/>
  <c r="E253" i="1"/>
  <c r="E252" i="1"/>
  <c r="E250" i="1"/>
  <c r="D250" i="1" s="1"/>
  <c r="C250" i="1" s="1"/>
  <c r="E104" i="1"/>
  <c r="F104" i="1" s="1"/>
  <c r="F259" i="1" s="1"/>
  <c r="D104" i="1"/>
  <c r="D259" i="1" s="1"/>
  <c r="F237" i="1"/>
  <c r="F243" i="1"/>
  <c r="J237" i="1"/>
  <c r="I237" i="1"/>
  <c r="H237" i="1"/>
  <c r="G237" i="1"/>
  <c r="J160" i="1"/>
  <c r="I160" i="1"/>
  <c r="H160" i="1"/>
  <c r="G160" i="1"/>
  <c r="F160" i="1"/>
  <c r="F224" i="1"/>
  <c r="E234" i="1"/>
  <c r="D234" i="1" s="1"/>
  <c r="C234" i="1" s="1"/>
  <c r="E223" i="1"/>
  <c r="F223" i="1" s="1"/>
  <c r="J152" i="1"/>
  <c r="I152" i="1"/>
  <c r="H152" i="1"/>
  <c r="G152" i="1"/>
  <c r="F152" i="1"/>
  <c r="E200" i="1"/>
  <c r="D200" i="1"/>
  <c r="E201" i="1"/>
  <c r="E202" i="1" s="1"/>
  <c r="C201" i="1"/>
  <c r="C202" i="1" s="1"/>
  <c r="D201" i="1"/>
  <c r="D202" i="1" s="1"/>
  <c r="K9" i="1"/>
  <c r="C183" i="1"/>
  <c r="C189" i="1"/>
  <c r="E185" i="1"/>
  <c r="E189" i="1" s="1"/>
  <c r="D185" i="1"/>
  <c r="D189" i="1" s="1"/>
  <c r="C186" i="1"/>
  <c r="C180" i="1"/>
  <c r="E179" i="1"/>
  <c r="D179" i="1"/>
  <c r="E175" i="1"/>
  <c r="D175" i="1"/>
  <c r="D176" i="1" s="1"/>
  <c r="C176" i="1"/>
  <c r="E176" i="1"/>
  <c r="F176" i="1" s="1"/>
  <c r="E173" i="1"/>
  <c r="F173" i="1" s="1"/>
  <c r="G173" i="1" s="1"/>
  <c r="H173" i="1" s="1"/>
  <c r="I173" i="1" s="1"/>
  <c r="J173" i="1" s="1"/>
  <c r="F119" i="1"/>
  <c r="G119" i="1" s="1"/>
  <c r="H119" i="1" s="1"/>
  <c r="I119" i="1" s="1"/>
  <c r="J119" i="1" s="1"/>
  <c r="J159" i="1" s="1"/>
  <c r="F118" i="1"/>
  <c r="G118" i="1" s="1"/>
  <c r="H118" i="1" s="1"/>
  <c r="I118" i="1" s="1"/>
  <c r="J118" i="1" s="1"/>
  <c r="F117" i="1"/>
  <c r="G117" i="1" s="1"/>
  <c r="H117" i="1" s="1"/>
  <c r="I117" i="1" s="1"/>
  <c r="J117" i="1" s="1"/>
  <c r="F100" i="1"/>
  <c r="F90" i="1"/>
  <c r="F91" i="1"/>
  <c r="F154" i="1" s="1"/>
  <c r="C80" i="1"/>
  <c r="D80" i="1"/>
  <c r="E80" i="1"/>
  <c r="F51" i="1"/>
  <c r="G51" i="1" s="1"/>
  <c r="H51" i="1" s="1"/>
  <c r="I51" i="1" s="1"/>
  <c r="J51" i="1" s="1"/>
  <c r="F50" i="1"/>
  <c r="G50" i="1" s="1"/>
  <c r="H50" i="1" s="1"/>
  <c r="I50" i="1" s="1"/>
  <c r="J50" i="1" s="1"/>
  <c r="E106" i="1"/>
  <c r="F106" i="1" s="1"/>
  <c r="F256" i="1" s="1"/>
  <c r="D106" i="1"/>
  <c r="D256" i="1" s="1"/>
  <c r="E115" i="1"/>
  <c r="E121" i="1" s="1"/>
  <c r="D115" i="1"/>
  <c r="D121" i="1" s="1"/>
  <c r="D107" i="1"/>
  <c r="D257" i="1" s="1"/>
  <c r="E107" i="1"/>
  <c r="E257" i="1" s="1"/>
  <c r="D101" i="1"/>
  <c r="D102" i="1" s="1"/>
  <c r="E101" i="1"/>
  <c r="E102" i="1" s="1"/>
  <c r="D109" i="1"/>
  <c r="E109" i="1"/>
  <c r="F109" i="1" s="1"/>
  <c r="E105" i="1"/>
  <c r="F105" i="1" s="1"/>
  <c r="D105" i="1"/>
  <c r="E108" i="1"/>
  <c r="E258" i="1" s="1"/>
  <c r="D108" i="1"/>
  <c r="D258" i="1" s="1"/>
  <c r="D92" i="1"/>
  <c r="E92" i="1"/>
  <c r="F92" i="1" s="1"/>
  <c r="D89" i="1"/>
  <c r="E89" i="1"/>
  <c r="F89" i="1" s="1"/>
  <c r="E85" i="1"/>
  <c r="F85" i="1" s="1"/>
  <c r="D85" i="1"/>
  <c r="E82" i="1"/>
  <c r="F236" i="1" s="1"/>
  <c r="D82" i="1"/>
  <c r="D251" i="1" s="1"/>
  <c r="E127" i="1"/>
  <c r="D127" i="1"/>
  <c r="C127" i="1"/>
  <c r="E196" i="1"/>
  <c r="D196" i="1" s="1"/>
  <c r="C196" i="1" s="1"/>
  <c r="J62" i="1"/>
  <c r="I62" i="1"/>
  <c r="H62" i="1"/>
  <c r="G62" i="1"/>
  <c r="F62" i="1"/>
  <c r="J58" i="1"/>
  <c r="I58" i="1"/>
  <c r="H58" i="1"/>
  <c r="G58" i="1"/>
  <c r="F58" i="1"/>
  <c r="J65" i="1"/>
  <c r="I65" i="1"/>
  <c r="H65" i="1"/>
  <c r="G65" i="1"/>
  <c r="F65" i="1"/>
  <c r="F229" i="1" s="1"/>
  <c r="G229" i="1" s="1"/>
  <c r="H229" i="1" s="1"/>
  <c r="I229" i="1" s="1"/>
  <c r="J229" i="1" s="1"/>
  <c r="F43" i="1"/>
  <c r="G43" i="1" s="1"/>
  <c r="H43" i="1" s="1"/>
  <c r="I43" i="1" s="1"/>
  <c r="J43" i="1" s="1"/>
  <c r="E35" i="1"/>
  <c r="I35" i="1" s="1"/>
  <c r="I34" i="1" s="1"/>
  <c r="D35" i="1"/>
  <c r="F42" i="1"/>
  <c r="C37" i="1"/>
  <c r="D37" i="1"/>
  <c r="E37" i="1"/>
  <c r="C35" i="1"/>
  <c r="E33" i="1"/>
  <c r="J33" i="1" s="1"/>
  <c r="D33" i="1"/>
  <c r="C33" i="1"/>
  <c r="E31" i="1"/>
  <c r="F31" i="1" s="1"/>
  <c r="D31" i="1"/>
  <c r="C31" i="1"/>
  <c r="E29" i="1"/>
  <c r="D29" i="1"/>
  <c r="C29" i="1"/>
  <c r="E27" i="1"/>
  <c r="F27" i="1" s="1"/>
  <c r="G27" i="1" s="1"/>
  <c r="D27" i="1"/>
  <c r="C27" i="1"/>
  <c r="C22" i="1"/>
  <c r="E42" i="1"/>
  <c r="D42" i="1"/>
  <c r="C42" i="1"/>
  <c r="E41" i="1"/>
  <c r="D41" i="1"/>
  <c r="C41" i="1"/>
  <c r="E74" i="1"/>
  <c r="F73" i="1"/>
  <c r="G73" i="1" s="1"/>
  <c r="F71" i="1"/>
  <c r="G71" i="1" s="1"/>
  <c r="G127" i="1" s="1"/>
  <c r="D74" i="1"/>
  <c r="E72" i="1"/>
  <c r="D72" i="1"/>
  <c r="E22" i="1"/>
  <c r="D22" i="1"/>
  <c r="C23" i="1"/>
  <c r="C24" i="1" s="1"/>
  <c r="D20" i="1"/>
  <c r="E23" i="1"/>
  <c r="E24" i="1" s="1"/>
  <c r="D23" i="1"/>
  <c r="D24" i="1" s="1"/>
  <c r="J20" i="1"/>
  <c r="I20" i="1"/>
  <c r="H20" i="1"/>
  <c r="G20" i="1"/>
  <c r="F20" i="1"/>
  <c r="E20" i="1"/>
  <c r="C8" i="1"/>
  <c r="E126" i="1"/>
  <c r="D126" i="1" s="1"/>
  <c r="C126" i="1" s="1"/>
  <c r="E125" i="1"/>
  <c r="F125" i="1" s="1"/>
  <c r="G125" i="1" s="1"/>
  <c r="H125" i="1" s="1"/>
  <c r="I125" i="1" s="1"/>
  <c r="J125" i="1" s="1"/>
  <c r="E79" i="1"/>
  <c r="D79" i="1" s="1"/>
  <c r="C79" i="1" s="1"/>
  <c r="E78" i="1"/>
  <c r="F78" i="1" s="1"/>
  <c r="G78" i="1" s="1"/>
  <c r="H78" i="1" s="1"/>
  <c r="I78" i="1" s="1"/>
  <c r="J78" i="1" s="1"/>
  <c r="E17" i="1"/>
  <c r="F17" i="1" s="1"/>
  <c r="G17" i="1" s="1"/>
  <c r="H17" i="1" s="1"/>
  <c r="I17" i="1" s="1"/>
  <c r="J17" i="1" s="1"/>
  <c r="E16" i="1"/>
  <c r="F16" i="1" s="1"/>
  <c r="G16" i="1" s="1"/>
  <c r="H16" i="1" s="1"/>
  <c r="I16" i="1" s="1"/>
  <c r="J16" i="1" s="1"/>
  <c r="B2" i="1"/>
  <c r="D155" i="4" l="1"/>
  <c r="C155" i="4"/>
  <c r="C157" i="4" s="1"/>
  <c r="E155" i="4"/>
  <c r="D123" i="4"/>
  <c r="C123" i="4"/>
  <c r="E123" i="4"/>
  <c r="F113" i="4"/>
  <c r="F114" i="4"/>
  <c r="F116" i="4"/>
  <c r="F117" i="4"/>
  <c r="F119" i="4"/>
  <c r="F118" i="4"/>
  <c r="D122" i="4"/>
  <c r="E122" i="4"/>
  <c r="F115" i="4"/>
  <c r="D86" i="4"/>
  <c r="E86" i="4"/>
  <c r="E31" i="4"/>
  <c r="E35" i="4" s="1"/>
  <c r="J31" i="4"/>
  <c r="K31" i="4"/>
  <c r="E77" i="4"/>
  <c r="I31" i="4"/>
  <c r="H31" i="4"/>
  <c r="I77" i="4"/>
  <c r="J77" i="4"/>
  <c r="H77" i="4"/>
  <c r="D77" i="4"/>
  <c r="G77" i="4"/>
  <c r="C77" i="4"/>
  <c r="C79" i="4" s="1"/>
  <c r="K77" i="4"/>
  <c r="C31" i="4"/>
  <c r="C35" i="4" s="1"/>
  <c r="D31" i="4"/>
  <c r="D34" i="4" s="1"/>
  <c r="G31" i="4"/>
  <c r="D302" i="1"/>
  <c r="F302" i="1"/>
  <c r="E302" i="1"/>
  <c r="J302" i="1"/>
  <c r="C302" i="1"/>
  <c r="G302" i="1"/>
  <c r="H302" i="1"/>
  <c r="I302" i="1"/>
  <c r="D275" i="1"/>
  <c r="C275" i="1" s="1"/>
  <c r="F22" i="1"/>
  <c r="F21" i="1" s="1"/>
  <c r="E256" i="1"/>
  <c r="E266" i="1"/>
  <c r="E268" i="1" s="1"/>
  <c r="F268" i="1" s="1"/>
  <c r="F269" i="1" s="1"/>
  <c r="F48" i="1" s="1"/>
  <c r="F322" i="1"/>
  <c r="G322" i="1" s="1"/>
  <c r="H322" i="1" s="1"/>
  <c r="I322" i="1" s="1"/>
  <c r="J322" i="1" s="1"/>
  <c r="D260" i="1"/>
  <c r="D262" i="1" s="1"/>
  <c r="D266" i="1"/>
  <c r="D268" i="1" s="1"/>
  <c r="E259" i="1"/>
  <c r="E251" i="1"/>
  <c r="F250" i="1"/>
  <c r="G250" i="1" s="1"/>
  <c r="H250" i="1" s="1"/>
  <c r="I250" i="1" s="1"/>
  <c r="J250" i="1" s="1"/>
  <c r="F234" i="1"/>
  <c r="D223" i="1"/>
  <c r="C223" i="1" s="1"/>
  <c r="G223" i="1"/>
  <c r="F202" i="1"/>
  <c r="H202" i="1"/>
  <c r="H201" i="1" s="1"/>
  <c r="H36" i="1" s="1"/>
  <c r="G202" i="1"/>
  <c r="G201" i="1" s="1"/>
  <c r="G36" i="1" s="1"/>
  <c r="J202" i="1"/>
  <c r="J201" i="1" s="1"/>
  <c r="J36" i="1" s="1"/>
  <c r="I202" i="1"/>
  <c r="I201" i="1" s="1"/>
  <c r="I36" i="1" s="1"/>
  <c r="C204" i="1"/>
  <c r="D198" i="1" s="1"/>
  <c r="D204" i="1" s="1"/>
  <c r="E198" i="1" s="1"/>
  <c r="F175" i="1"/>
  <c r="F83" i="1" s="1"/>
  <c r="G176" i="1"/>
  <c r="E183" i="1"/>
  <c r="E191" i="1" s="1"/>
  <c r="E186" i="1"/>
  <c r="F186" i="1" s="1"/>
  <c r="D186" i="1"/>
  <c r="D187" i="1" s="1"/>
  <c r="E180" i="1"/>
  <c r="F180" i="1" s="1"/>
  <c r="C191" i="1"/>
  <c r="D183" i="1"/>
  <c r="D191" i="1" s="1"/>
  <c r="D180" i="1"/>
  <c r="D181" i="1" s="1"/>
  <c r="F177" i="1"/>
  <c r="D177" i="1"/>
  <c r="E177" i="1"/>
  <c r="G104" i="1"/>
  <c r="F115" i="1"/>
  <c r="F101" i="1"/>
  <c r="F146" i="1"/>
  <c r="G106" i="1"/>
  <c r="F108" i="1"/>
  <c r="F107" i="1"/>
  <c r="D173" i="1"/>
  <c r="C173" i="1" s="1"/>
  <c r="G105" i="1"/>
  <c r="H105" i="1" s="1"/>
  <c r="G109" i="1"/>
  <c r="H109" i="1" s="1"/>
  <c r="I109" i="1" s="1"/>
  <c r="J109" i="1" s="1"/>
  <c r="G89" i="1"/>
  <c r="H89" i="1" s="1"/>
  <c r="I89" i="1" s="1"/>
  <c r="J89" i="1" s="1"/>
  <c r="G92" i="1"/>
  <c r="H92" i="1" s="1"/>
  <c r="I92" i="1" s="1"/>
  <c r="J92" i="1" s="1"/>
  <c r="G85" i="1"/>
  <c r="H85" i="1" s="1"/>
  <c r="I85" i="1" s="1"/>
  <c r="J85" i="1" s="1"/>
  <c r="F159" i="1"/>
  <c r="H159" i="1"/>
  <c r="J164" i="1"/>
  <c r="G100" i="1"/>
  <c r="H100" i="1" s="1"/>
  <c r="I100" i="1" s="1"/>
  <c r="J100" i="1" s="1"/>
  <c r="G80" i="1"/>
  <c r="F80" i="1"/>
  <c r="G90" i="1"/>
  <c r="G153" i="1" s="1"/>
  <c r="F158" i="1"/>
  <c r="G91" i="1"/>
  <c r="H91" i="1" s="1"/>
  <c r="I91" i="1" s="1"/>
  <c r="J91" i="1" s="1"/>
  <c r="G159" i="1"/>
  <c r="I159" i="1"/>
  <c r="F164" i="1"/>
  <c r="G164" i="1"/>
  <c r="F153" i="1"/>
  <c r="H164" i="1"/>
  <c r="I164" i="1"/>
  <c r="F145" i="1"/>
  <c r="D110" i="1"/>
  <c r="D112" i="1" s="1"/>
  <c r="E110" i="1"/>
  <c r="E112" i="1" s="1"/>
  <c r="E93" i="1"/>
  <c r="D93" i="1"/>
  <c r="D86" i="1"/>
  <c r="E86" i="1"/>
  <c r="F127" i="1"/>
  <c r="F196" i="1"/>
  <c r="J29" i="1"/>
  <c r="J28" i="1" s="1"/>
  <c r="H22" i="1"/>
  <c r="H21" i="1" s="1"/>
  <c r="F29" i="1"/>
  <c r="F28" i="1" s="1"/>
  <c r="G29" i="1"/>
  <c r="G28" i="1" s="1"/>
  <c r="F30" i="1"/>
  <c r="G31" i="1"/>
  <c r="G38" i="1"/>
  <c r="J22" i="1"/>
  <c r="J21" i="1" s="1"/>
  <c r="H29" i="1"/>
  <c r="H28" i="1" s="1"/>
  <c r="I22" i="1"/>
  <c r="I21" i="1" s="1"/>
  <c r="I29" i="1"/>
  <c r="I28" i="1" s="1"/>
  <c r="F33" i="1"/>
  <c r="G22" i="1"/>
  <c r="G21" i="1" s="1"/>
  <c r="G33" i="1"/>
  <c r="G32" i="1" s="1"/>
  <c r="H33" i="1"/>
  <c r="I33" i="1"/>
  <c r="J35" i="1"/>
  <c r="J34" i="1" s="1"/>
  <c r="F35" i="1"/>
  <c r="F34" i="1" s="1"/>
  <c r="G35" i="1"/>
  <c r="G34" i="1" s="1"/>
  <c r="H35" i="1"/>
  <c r="H34" i="1" s="1"/>
  <c r="F26" i="1"/>
  <c r="H27" i="1"/>
  <c r="G26" i="1"/>
  <c r="C39" i="1"/>
  <c r="C45" i="1" s="1"/>
  <c r="D39" i="1"/>
  <c r="D45" i="1" s="1"/>
  <c r="E39" i="1"/>
  <c r="E45" i="1" s="1"/>
  <c r="F74" i="1"/>
  <c r="H73" i="1"/>
  <c r="G74" i="1"/>
  <c r="G72" i="1"/>
  <c r="H71" i="1"/>
  <c r="H80" i="1" s="1"/>
  <c r="F72" i="1"/>
  <c r="F126" i="1"/>
  <c r="G126" i="1" s="1"/>
  <c r="H126" i="1" s="1"/>
  <c r="I126" i="1" s="1"/>
  <c r="J126" i="1" s="1"/>
  <c r="F79" i="1"/>
  <c r="G79" i="1" s="1"/>
  <c r="H79" i="1" s="1"/>
  <c r="I79" i="1" s="1"/>
  <c r="J79" i="1" s="1"/>
  <c r="D17" i="1"/>
  <c r="C17" i="1" s="1"/>
  <c r="D78" i="1"/>
  <c r="C78" i="1" s="1"/>
  <c r="D125" i="1"/>
  <c r="C125" i="1" s="1"/>
  <c r="D16" i="1"/>
  <c r="C16" i="1" s="1"/>
  <c r="D156" i="4" l="1"/>
  <c r="D157" i="4"/>
  <c r="D158" i="4" s="1"/>
  <c r="F150" i="4"/>
  <c r="F151" i="4"/>
  <c r="F149" i="4"/>
  <c r="E157" i="4"/>
  <c r="F145" i="4"/>
  <c r="F152" i="4"/>
  <c r="F144" i="4"/>
  <c r="E156" i="4"/>
  <c r="F153" i="4"/>
  <c r="F146" i="4"/>
  <c r="D124" i="4"/>
  <c r="E124" i="4"/>
  <c r="E78" i="4"/>
  <c r="D79" i="4"/>
  <c r="D80" i="4" s="1"/>
  <c r="D78" i="4"/>
  <c r="F75" i="4"/>
  <c r="E79" i="4"/>
  <c r="F19" i="4"/>
  <c r="F16" i="4"/>
  <c r="E34" i="4"/>
  <c r="F26" i="4"/>
  <c r="F21" i="4"/>
  <c r="E39" i="4"/>
  <c r="E36" i="4"/>
  <c r="F11" i="4"/>
  <c r="E43" i="4"/>
  <c r="F9" i="4"/>
  <c r="E42" i="4"/>
  <c r="F7" i="4"/>
  <c r="E40" i="4"/>
  <c r="F28" i="4"/>
  <c r="E37" i="4"/>
  <c r="F13" i="4"/>
  <c r="F24" i="4"/>
  <c r="F58" i="4"/>
  <c r="F71" i="4"/>
  <c r="F66" i="4"/>
  <c r="F74" i="4"/>
  <c r="F70" i="4"/>
  <c r="F65" i="4"/>
  <c r="F61" i="4"/>
  <c r="F69" i="4"/>
  <c r="F64" i="4"/>
  <c r="F60" i="4"/>
  <c r="F59" i="4"/>
  <c r="D36" i="4"/>
  <c r="D40" i="4"/>
  <c r="C39" i="4"/>
  <c r="C43" i="4"/>
  <c r="D35" i="4"/>
  <c r="D39" i="4"/>
  <c r="D43" i="4"/>
  <c r="D37" i="4"/>
  <c r="D42" i="4"/>
  <c r="C40" i="4"/>
  <c r="C34" i="4"/>
  <c r="C37" i="4"/>
  <c r="C42" i="4"/>
  <c r="C36" i="4"/>
  <c r="E260" i="1"/>
  <c r="E262" i="1" s="1"/>
  <c r="G268" i="1"/>
  <c r="H268" i="1" s="1"/>
  <c r="I268" i="1" s="1"/>
  <c r="J268" i="1" s="1"/>
  <c r="G107" i="1"/>
  <c r="G257" i="1" s="1"/>
  <c r="F257" i="1"/>
  <c r="G108" i="1"/>
  <c r="G258" i="1" s="1"/>
  <c r="F258" i="1"/>
  <c r="H106" i="1"/>
  <c r="G256" i="1"/>
  <c r="H104" i="1"/>
  <c r="H158" i="1" s="1"/>
  <c r="G259" i="1"/>
  <c r="G234" i="1"/>
  <c r="H223" i="1"/>
  <c r="I132" i="1"/>
  <c r="I41" i="1"/>
  <c r="H41" i="1"/>
  <c r="H132" i="1"/>
  <c r="G132" i="1"/>
  <c r="G41" i="1"/>
  <c r="J132" i="1"/>
  <c r="J41" i="1"/>
  <c r="E204" i="1"/>
  <c r="F198" i="1" s="1"/>
  <c r="G196" i="1"/>
  <c r="B214" i="1" s="1"/>
  <c r="B213" i="1"/>
  <c r="D192" i="1"/>
  <c r="G101" i="1"/>
  <c r="H101" i="1" s="1"/>
  <c r="I101" i="1" s="1"/>
  <c r="J101" i="1" s="1"/>
  <c r="F141" i="1"/>
  <c r="F137" i="1"/>
  <c r="E192" i="1"/>
  <c r="F179" i="1"/>
  <c r="G180" i="1"/>
  <c r="G186" i="1"/>
  <c r="F185" i="1"/>
  <c r="F99" i="1" s="1"/>
  <c r="F140" i="1" s="1"/>
  <c r="H176" i="1"/>
  <c r="G175" i="1"/>
  <c r="G83" i="1" s="1"/>
  <c r="G137" i="1" s="1"/>
  <c r="E187" i="1"/>
  <c r="E181" i="1"/>
  <c r="F181" i="1"/>
  <c r="G177" i="1"/>
  <c r="H37" i="1"/>
  <c r="I37" i="1"/>
  <c r="F143" i="1"/>
  <c r="G158" i="1"/>
  <c r="H145" i="1"/>
  <c r="F144" i="1"/>
  <c r="G145" i="1"/>
  <c r="I105" i="1"/>
  <c r="J105" i="1" s="1"/>
  <c r="J145" i="1" s="1"/>
  <c r="G154" i="1"/>
  <c r="F161" i="1"/>
  <c r="H90" i="1"/>
  <c r="H153" i="1" s="1"/>
  <c r="F155" i="1"/>
  <c r="G139" i="1"/>
  <c r="F139" i="1"/>
  <c r="F142" i="1"/>
  <c r="G115" i="1"/>
  <c r="G161" i="1" s="1"/>
  <c r="D95" i="1"/>
  <c r="E95" i="1"/>
  <c r="I71" i="1"/>
  <c r="I80" i="1" s="1"/>
  <c r="H127" i="1"/>
  <c r="H23" i="1"/>
  <c r="H24" i="1" s="1"/>
  <c r="I23" i="1"/>
  <c r="I24" i="1" s="1"/>
  <c r="F23" i="1"/>
  <c r="F24" i="1" s="1"/>
  <c r="J23" i="1"/>
  <c r="J24" i="1" s="1"/>
  <c r="J37" i="1"/>
  <c r="G23" i="1"/>
  <c r="G24" i="1" s="1"/>
  <c r="G37" i="1"/>
  <c r="H38" i="1"/>
  <c r="G42" i="1"/>
  <c r="H31" i="1"/>
  <c r="G30" i="1"/>
  <c r="H32" i="1"/>
  <c r="I27" i="1"/>
  <c r="H26" i="1"/>
  <c r="I73" i="1"/>
  <c r="H74" i="1"/>
  <c r="H72" i="1"/>
  <c r="E40" i="1"/>
  <c r="D40" i="1"/>
  <c r="C40" i="1"/>
  <c r="E158" i="4" l="1"/>
  <c r="E80" i="4"/>
  <c r="E45" i="4"/>
  <c r="D45" i="4"/>
  <c r="C45" i="4"/>
  <c r="G144" i="1"/>
  <c r="H108" i="1"/>
  <c r="H258" i="1" s="1"/>
  <c r="G143" i="1"/>
  <c r="H107" i="1"/>
  <c r="H257" i="1" s="1"/>
  <c r="I106" i="1"/>
  <c r="H256" i="1"/>
  <c r="F260" i="1"/>
  <c r="G260" i="1"/>
  <c r="I104" i="1"/>
  <c r="H259" i="1"/>
  <c r="H234" i="1"/>
  <c r="I223" i="1"/>
  <c r="H196" i="1"/>
  <c r="F183" i="1"/>
  <c r="F84" i="1"/>
  <c r="H186" i="1"/>
  <c r="G185" i="1"/>
  <c r="I176" i="1"/>
  <c r="H175" i="1"/>
  <c r="H83" i="1" s="1"/>
  <c r="H137" i="1" s="1"/>
  <c r="H177" i="1"/>
  <c r="G179" i="1"/>
  <c r="H180" i="1"/>
  <c r="H181" i="1" s="1"/>
  <c r="G181" i="1"/>
  <c r="I145" i="1"/>
  <c r="I90" i="1"/>
  <c r="I153" i="1" s="1"/>
  <c r="H154" i="1"/>
  <c r="G146" i="1"/>
  <c r="F110" i="1"/>
  <c r="H139" i="1"/>
  <c r="G141" i="1"/>
  <c r="H115" i="1"/>
  <c r="H161" i="1" s="1"/>
  <c r="J71" i="1"/>
  <c r="I127" i="1"/>
  <c r="I38" i="1"/>
  <c r="H42" i="1"/>
  <c r="I31" i="1"/>
  <c r="H30" i="1"/>
  <c r="J32" i="1"/>
  <c r="I32" i="1"/>
  <c r="J27" i="1"/>
  <c r="J26" i="1" s="1"/>
  <c r="I26" i="1"/>
  <c r="J73" i="1"/>
  <c r="J74" i="1" s="1"/>
  <c r="I74" i="1"/>
  <c r="I72" i="1"/>
  <c r="E46" i="1"/>
  <c r="E52" i="1"/>
  <c r="E58" i="1" s="1"/>
  <c r="C46" i="1"/>
  <c r="C52" i="1"/>
  <c r="D46" i="1"/>
  <c r="D52" i="1"/>
  <c r="D122" i="1"/>
  <c r="E122" i="1"/>
  <c r="H144" i="1" l="1"/>
  <c r="I108" i="1"/>
  <c r="I258" i="1" s="1"/>
  <c r="H143" i="1"/>
  <c r="I107" i="1"/>
  <c r="I257" i="1" s="1"/>
  <c r="H260" i="1"/>
  <c r="H263" i="1" s="1"/>
  <c r="H49" i="1" s="1"/>
  <c r="H253" i="1" s="1"/>
  <c r="J106" i="1"/>
  <c r="J256" i="1" s="1"/>
  <c r="I256" i="1"/>
  <c r="G263" i="1"/>
  <c r="G49" i="1" s="1"/>
  <c r="F263" i="1"/>
  <c r="F49" i="1" s="1"/>
  <c r="J104" i="1"/>
  <c r="I259" i="1"/>
  <c r="I158" i="1"/>
  <c r="I234" i="1"/>
  <c r="J223" i="1"/>
  <c r="I196" i="1"/>
  <c r="B215" i="1"/>
  <c r="G183" i="1"/>
  <c r="G84" i="1"/>
  <c r="G138" i="1" s="1"/>
  <c r="G189" i="1"/>
  <c r="G99" i="1"/>
  <c r="F138" i="1"/>
  <c r="F147" i="1" s="1"/>
  <c r="J176" i="1"/>
  <c r="I175" i="1"/>
  <c r="I83" i="1" s="1"/>
  <c r="I137" i="1" s="1"/>
  <c r="I177" i="1"/>
  <c r="I180" i="1"/>
  <c r="H179" i="1"/>
  <c r="I186" i="1"/>
  <c r="H185" i="1"/>
  <c r="I154" i="1"/>
  <c r="J127" i="1"/>
  <c r="J80" i="1"/>
  <c r="J90" i="1"/>
  <c r="H142" i="1"/>
  <c r="G142" i="1"/>
  <c r="H146" i="1"/>
  <c r="H141" i="1"/>
  <c r="G110" i="1"/>
  <c r="I115" i="1"/>
  <c r="I161" i="1" s="1"/>
  <c r="J72" i="1"/>
  <c r="J31" i="1"/>
  <c r="J30" i="1" s="1"/>
  <c r="I30" i="1"/>
  <c r="J38" i="1"/>
  <c r="J42" i="1" s="1"/>
  <c r="I42" i="1"/>
  <c r="E53" i="1"/>
  <c r="E59" i="1"/>
  <c r="E63" i="1" s="1"/>
  <c r="D53" i="1"/>
  <c r="D59" i="1"/>
  <c r="D63" i="1" s="1"/>
  <c r="D58" i="1"/>
  <c r="C53" i="1"/>
  <c r="C59" i="1"/>
  <c r="C63" i="1" s="1"/>
  <c r="C58" i="1"/>
  <c r="I144" i="1" l="1"/>
  <c r="J108" i="1"/>
  <c r="J144" i="1" s="1"/>
  <c r="I143" i="1"/>
  <c r="J107" i="1"/>
  <c r="J257" i="1" s="1"/>
  <c r="I260" i="1"/>
  <c r="J158" i="1"/>
  <c r="J259" i="1"/>
  <c r="J234" i="1"/>
  <c r="J196" i="1"/>
  <c r="B217" i="1" s="1"/>
  <c r="B216" i="1"/>
  <c r="H189" i="1"/>
  <c r="H99" i="1"/>
  <c r="H183" i="1"/>
  <c r="H84" i="1"/>
  <c r="H138" i="1" s="1"/>
  <c r="G191" i="1"/>
  <c r="G140" i="1"/>
  <c r="J180" i="1"/>
  <c r="I179" i="1"/>
  <c r="I84" i="1" s="1"/>
  <c r="I181" i="1"/>
  <c r="J186" i="1"/>
  <c r="I185" i="1"/>
  <c r="I187" i="1"/>
  <c r="J175" i="1"/>
  <c r="J83" i="1" s="1"/>
  <c r="J137" i="1" s="1"/>
  <c r="J177" i="1"/>
  <c r="J153" i="1"/>
  <c r="J154" i="1"/>
  <c r="I142" i="1"/>
  <c r="H110" i="1"/>
  <c r="J146" i="1"/>
  <c r="I146" i="1"/>
  <c r="I139" i="1"/>
  <c r="J139" i="1"/>
  <c r="I141" i="1"/>
  <c r="J115" i="1"/>
  <c r="J161" i="1" s="1"/>
  <c r="E67" i="1"/>
  <c r="E225" i="1" s="1"/>
  <c r="E66" i="1"/>
  <c r="E60" i="1"/>
  <c r="C60" i="1"/>
  <c r="D60" i="1"/>
  <c r="J143" i="1" l="1"/>
  <c r="J258" i="1"/>
  <c r="J260" i="1" s="1"/>
  <c r="J263" i="1" s="1"/>
  <c r="J49" i="1" s="1"/>
  <c r="J253" i="1" s="1"/>
  <c r="I263" i="1"/>
  <c r="I49" i="1" s="1"/>
  <c r="I253" i="1" s="1"/>
  <c r="G147" i="1"/>
  <c r="E227" i="1"/>
  <c r="F227" i="1" s="1"/>
  <c r="G227" i="1" s="1"/>
  <c r="H227" i="1" s="1"/>
  <c r="I227" i="1" s="1"/>
  <c r="J227" i="1" s="1"/>
  <c r="I183" i="1"/>
  <c r="H191" i="1"/>
  <c r="I138" i="1"/>
  <c r="H140" i="1"/>
  <c r="I189" i="1"/>
  <c r="I99" i="1"/>
  <c r="J179" i="1"/>
  <c r="J181" i="1"/>
  <c r="J185" i="1"/>
  <c r="J187" i="1"/>
  <c r="I110" i="1"/>
  <c r="J141" i="1"/>
  <c r="D66" i="1"/>
  <c r="D67" i="1"/>
  <c r="D225" i="1" s="1"/>
  <c r="C66" i="1"/>
  <c r="C67" i="1"/>
  <c r="H147" i="1" l="1"/>
  <c r="H192" i="1"/>
  <c r="C69" i="1"/>
  <c r="C225" i="1"/>
  <c r="I191" i="1"/>
  <c r="J189" i="1"/>
  <c r="J99" i="1"/>
  <c r="J183" i="1"/>
  <c r="J84" i="1"/>
  <c r="J138" i="1" s="1"/>
  <c r="I140" i="1"/>
  <c r="J110" i="1"/>
  <c r="J142" i="1"/>
  <c r="D69" i="1"/>
  <c r="D70" i="1"/>
  <c r="C70" i="1"/>
  <c r="E69" i="1"/>
  <c r="E70" i="1"/>
  <c r="I192" i="1" l="1"/>
  <c r="I147" i="1"/>
  <c r="C227" i="1"/>
  <c r="C230" i="1"/>
  <c r="D224" i="1" s="1"/>
  <c r="D230" i="1" s="1"/>
  <c r="E224" i="1" s="1"/>
  <c r="E230" i="1" s="1"/>
  <c r="J191" i="1"/>
  <c r="J140" i="1"/>
  <c r="J147" i="1" s="1"/>
  <c r="J39" i="1"/>
  <c r="I39" i="1"/>
  <c r="I45" i="1" s="1"/>
  <c r="H39" i="1"/>
  <c r="G39" i="1"/>
  <c r="G45" i="1" s="1"/>
  <c r="J192" i="1" l="1"/>
  <c r="H40" i="1"/>
  <c r="H45" i="1"/>
  <c r="J40" i="1"/>
  <c r="J45" i="1"/>
  <c r="I40" i="1"/>
  <c r="I46" i="1"/>
  <c r="G46" i="1"/>
  <c r="G40" i="1"/>
  <c r="J46" i="1" l="1"/>
  <c r="H46" i="1"/>
  <c r="F32" i="1" l="1"/>
  <c r="G187" i="1" l="1"/>
  <c r="F189" i="1"/>
  <c r="F191" i="1" s="1"/>
  <c r="F187" i="1"/>
  <c r="F192" i="1" l="1"/>
  <c r="G192" i="1"/>
  <c r="H187" i="1"/>
  <c r="F201" i="1"/>
  <c r="F36" i="1" l="1"/>
  <c r="F37" i="1" s="1"/>
  <c r="F204" i="1"/>
  <c r="F88" i="1" s="1"/>
  <c r="F93" i="1" s="1"/>
  <c r="G198" i="1" l="1"/>
  <c r="G204" i="1" s="1"/>
  <c r="H198" i="1" s="1"/>
  <c r="H204" i="1" s="1"/>
  <c r="F132" i="1"/>
  <c r="F41" i="1"/>
  <c r="F39" i="1"/>
  <c r="G88" i="1" l="1"/>
  <c r="G93" i="1" s="1"/>
  <c r="F45" i="1"/>
  <c r="F40" i="1"/>
  <c r="H155" i="1"/>
  <c r="G155" i="1"/>
  <c r="I198" i="1"/>
  <c r="I204" i="1" s="1"/>
  <c r="H88" i="1"/>
  <c r="F46" i="1" l="1"/>
  <c r="H93" i="1"/>
  <c r="J198" i="1"/>
  <c r="J204" i="1" s="1"/>
  <c r="J88" i="1" s="1"/>
  <c r="J93" i="1" s="1"/>
  <c r="I88" i="1"/>
  <c r="J155" i="1" l="1"/>
  <c r="I93" i="1"/>
  <c r="I155" i="1"/>
  <c r="G253" i="1" l="1"/>
  <c r="F253" i="1" l="1"/>
  <c r="F252" i="1"/>
  <c r="F52" i="1"/>
  <c r="F53" i="1" s="1"/>
  <c r="F57" i="1" l="1"/>
  <c r="F59" i="1" s="1"/>
  <c r="F60" i="1" l="1"/>
  <c r="F63" i="1"/>
  <c r="F67" i="1" l="1"/>
  <c r="F130" i="1"/>
  <c r="F133" i="1" s="1"/>
  <c r="F149" i="1" s="1"/>
  <c r="F66" i="1"/>
  <c r="F70" i="1" l="1"/>
  <c r="F225" i="1"/>
  <c r="F69" i="1"/>
  <c r="F226" i="1" l="1"/>
  <c r="F163" i="1" s="1"/>
  <c r="F239" i="1" s="1"/>
  <c r="F240" i="1" s="1"/>
  <c r="F244" i="1" s="1"/>
  <c r="F246" i="1" s="1"/>
  <c r="F98" i="1" s="1"/>
  <c r="F230" i="1" l="1"/>
  <c r="F116" i="1" s="1"/>
  <c r="G224" i="1" s="1"/>
  <c r="G243" i="1"/>
  <c r="F162" i="1"/>
  <c r="F165" i="1" s="1"/>
  <c r="F167" i="1" s="1"/>
  <c r="F82" i="1" s="1"/>
  <c r="F102" i="1"/>
  <c r="F112" i="1" s="1"/>
  <c r="F121" i="1" l="1"/>
  <c r="G236" i="1"/>
  <c r="F266" i="1"/>
  <c r="G269" i="1" s="1"/>
  <c r="G48" i="1" s="1"/>
  <c r="F251" i="1"/>
  <c r="F86" i="1"/>
  <c r="F95" i="1" s="1"/>
  <c r="F122" i="1" l="1"/>
  <c r="G252" i="1"/>
  <c r="G52" i="1"/>
  <c r="G53" i="1" l="1"/>
  <c r="G57" i="1"/>
  <c r="G59" i="1" s="1"/>
  <c r="G60" i="1" l="1"/>
  <c r="G63" i="1"/>
  <c r="G130" i="1" l="1"/>
  <c r="G133" i="1" s="1"/>
  <c r="G149" i="1" s="1"/>
  <c r="G67" i="1"/>
  <c r="G66" i="1"/>
  <c r="G225" i="1" l="1"/>
  <c r="G70" i="1"/>
  <c r="G69" i="1"/>
  <c r="G226" i="1" l="1"/>
  <c r="G163" i="1" s="1"/>
  <c r="G239" i="1" s="1"/>
  <c r="G240" i="1" s="1"/>
  <c r="G244" i="1" s="1"/>
  <c r="G246" i="1" s="1"/>
  <c r="G98" i="1" s="1"/>
  <c r="G230" i="1" l="1"/>
  <c r="G116" i="1" s="1"/>
  <c r="H224" i="1" s="1"/>
  <c r="H243" i="1"/>
  <c r="G162" i="1"/>
  <c r="G165" i="1" s="1"/>
  <c r="G167" i="1" s="1"/>
  <c r="G82" i="1" s="1"/>
  <c r="G102" i="1"/>
  <c r="G112" i="1" s="1"/>
  <c r="G121" i="1" l="1"/>
  <c r="G266" i="1"/>
  <c r="H269" i="1" s="1"/>
  <c r="H48" i="1" s="1"/>
  <c r="H236" i="1"/>
  <c r="G86" i="1"/>
  <c r="G95" i="1" s="1"/>
  <c r="G251" i="1"/>
  <c r="G122" i="1" l="1"/>
  <c r="H252" i="1"/>
  <c r="H52" i="1"/>
  <c r="H53" i="1" l="1"/>
  <c r="H57" i="1"/>
  <c r="H59" i="1" s="1"/>
  <c r="H63" i="1" l="1"/>
  <c r="H60" i="1"/>
  <c r="H130" i="1" l="1"/>
  <c r="H133" i="1" s="1"/>
  <c r="H149" i="1" s="1"/>
  <c r="H66" i="1"/>
  <c r="H67" i="1"/>
  <c r="H225" i="1" l="1"/>
  <c r="H69" i="1"/>
  <c r="H70" i="1"/>
  <c r="H226" i="1" l="1"/>
  <c r="H163" i="1" s="1"/>
  <c r="H239" i="1" s="1"/>
  <c r="H240" i="1" s="1"/>
  <c r="H244" i="1" s="1"/>
  <c r="H246" i="1" s="1"/>
  <c r="H98" i="1" s="1"/>
  <c r="H230" i="1" l="1"/>
  <c r="H116" i="1" s="1"/>
  <c r="H121" i="1" s="1"/>
  <c r="I243" i="1"/>
  <c r="H102" i="1"/>
  <c r="H112" i="1" s="1"/>
  <c r="H162" i="1"/>
  <c r="H165" i="1" s="1"/>
  <c r="H167" i="1" s="1"/>
  <c r="H82" i="1" s="1"/>
  <c r="I224" i="1" l="1"/>
  <c r="H251" i="1"/>
  <c r="H266" i="1"/>
  <c r="I269" i="1" s="1"/>
  <c r="I48" i="1" s="1"/>
  <c r="I236" i="1"/>
  <c r="H86" i="1"/>
  <c r="H95" i="1" s="1"/>
  <c r="H122" i="1" s="1"/>
  <c r="I252" i="1" l="1"/>
  <c r="I52" i="1"/>
  <c r="I53" i="1" l="1"/>
  <c r="I57" i="1"/>
  <c r="I59" i="1" s="1"/>
  <c r="I63" i="1" l="1"/>
  <c r="I60" i="1"/>
  <c r="I130" i="1" l="1"/>
  <c r="I133" i="1" s="1"/>
  <c r="I149" i="1" s="1"/>
  <c r="I67" i="1"/>
  <c r="I66" i="1"/>
  <c r="I225" i="1" l="1"/>
  <c r="I69" i="1"/>
  <c r="I70" i="1"/>
  <c r="I226" i="1" l="1"/>
  <c r="I163" i="1" s="1"/>
  <c r="I239" i="1" s="1"/>
  <c r="I240" i="1" s="1"/>
  <c r="I244" i="1" s="1"/>
  <c r="I246" i="1" s="1"/>
  <c r="I98" i="1" s="1"/>
  <c r="I230" i="1" l="1"/>
  <c r="I116" i="1" s="1"/>
  <c r="J224" i="1" s="1"/>
  <c r="I162" i="1"/>
  <c r="I165" i="1" s="1"/>
  <c r="I167" i="1" s="1"/>
  <c r="I82" i="1" s="1"/>
  <c r="I102" i="1"/>
  <c r="I112" i="1" s="1"/>
  <c r="J243" i="1"/>
  <c r="I121" i="1" l="1"/>
  <c r="I86" i="1"/>
  <c r="I95" i="1" s="1"/>
  <c r="I266" i="1"/>
  <c r="J269" i="1" s="1"/>
  <c r="J48" i="1" s="1"/>
  <c r="J236" i="1"/>
  <c r="I251" i="1"/>
  <c r="I122" i="1" l="1"/>
  <c r="J252" i="1"/>
  <c r="J52" i="1"/>
  <c r="J57" i="1" l="1"/>
  <c r="J59" i="1" s="1"/>
  <c r="J53" i="1"/>
  <c r="J63" i="1" l="1"/>
  <c r="J60" i="1"/>
  <c r="J130" i="1" l="1"/>
  <c r="J133" i="1" s="1"/>
  <c r="J149" i="1" s="1"/>
  <c r="J67" i="1"/>
  <c r="J66" i="1"/>
  <c r="J225" i="1" l="1"/>
  <c r="J69" i="1"/>
  <c r="J70" i="1"/>
  <c r="J226" i="1" l="1"/>
  <c r="J163" i="1" s="1"/>
  <c r="J239" i="1" s="1"/>
  <c r="J240" i="1" s="1"/>
  <c r="J244" i="1" s="1"/>
  <c r="J246" i="1" s="1"/>
  <c r="J98" i="1" s="1"/>
  <c r="J230" i="1" l="1"/>
  <c r="J116" i="1" s="1"/>
  <c r="J121" i="1" s="1"/>
  <c r="J162" i="1"/>
  <c r="J165" i="1" s="1"/>
  <c r="J167" i="1" s="1"/>
  <c r="J82" i="1" s="1"/>
  <c r="J102" i="1"/>
  <c r="J112" i="1" s="1"/>
  <c r="J251" i="1" l="1"/>
  <c r="J266" i="1"/>
  <c r="J86" i="1"/>
  <c r="J95" i="1" s="1"/>
  <c r="J1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Lucas Arruda</author>
  </authors>
  <commentList>
    <comment ref="B275" authorId="0" shapeId="0" xr:uid="{6ED67050-FF38-4F99-86D6-AE43F072DD6A}">
      <text>
        <r>
          <rPr>
            <b/>
            <sz val="9"/>
            <color indexed="81"/>
            <rFont val="Tahoma"/>
            <family val="2"/>
          </rPr>
          <t>Lucas Arruda:</t>
        </r>
        <r>
          <rPr>
            <sz val="9"/>
            <color indexed="81"/>
            <rFont val="Tahoma"/>
            <family val="2"/>
          </rPr>
          <t xml:space="preserve">
Revenue are most received in dollar terms</t>
        </r>
      </text>
    </comment>
    <comment ref="B278" authorId="0" shapeId="0" xr:uid="{28751C65-C45B-4C42-8BE0-B6EE7CF6BCA7}">
      <text>
        <r>
          <rPr>
            <b/>
            <sz val="9"/>
            <color indexed="81"/>
            <rFont val="Tahoma"/>
            <family val="2"/>
          </rPr>
          <t>Lucas Arruda:</t>
        </r>
        <r>
          <rPr>
            <sz val="9"/>
            <color indexed="81"/>
            <rFont val="Tahoma"/>
            <family val="2"/>
          </rPr>
          <t xml:space="preserve">
Demand of carbon steel.
China is 58% of revenue, asia 70%.  Real state uses a lot of carbon steel
BRBF Premium low alumina (1.5%) and silica up to 5%</t>
        </r>
      </text>
    </comment>
    <comment ref="B280" authorId="0" shapeId="0" xr:uid="{F0555F2E-9B13-480E-902F-9B0619C5E72B}">
      <text>
        <r>
          <rPr>
            <b/>
            <sz val="9"/>
            <color indexed="81"/>
            <rFont val="Tahoma"/>
            <family val="2"/>
          </rPr>
          <t>Lucas Arruda:</t>
        </r>
        <r>
          <rPr>
            <sz val="9"/>
            <color indexed="81"/>
            <rFont val="Tahoma"/>
            <family val="2"/>
          </rPr>
          <t xml:space="preserve">
Demand of carbon steel</t>
        </r>
      </text>
    </comment>
    <comment ref="B290" authorId="0" shapeId="0" xr:uid="{2859DCEB-56C1-411D-8F09-03AC7C142BE3}">
      <text>
        <r>
          <rPr>
            <b/>
            <sz val="9"/>
            <color indexed="81"/>
            <rFont val="Tahoma"/>
            <family val="2"/>
          </rPr>
          <t>Lucas Arruda:</t>
        </r>
        <r>
          <rPr>
            <sz val="9"/>
            <color indexed="81"/>
            <rFont val="Tahoma"/>
            <family val="2"/>
          </rPr>
          <t xml:space="preserve">
Demand of stainless and alloy steel
Important to electric batteries (Electric cars)
Production in Canada, country with strong ESG incentives</t>
        </r>
      </text>
    </comment>
    <comment ref="B292" authorId="0" shapeId="0" xr:uid="{18E939E1-3733-4579-ADE1-DF168AD79B2F}">
      <text>
        <r>
          <rPr>
            <b/>
            <sz val="9"/>
            <color indexed="81"/>
            <rFont val="Tahoma"/>
            <family val="2"/>
          </rPr>
          <t>Lucas Arruda:</t>
        </r>
        <r>
          <rPr>
            <sz val="9"/>
            <color indexed="81"/>
            <rFont val="Tahoma"/>
            <family val="2"/>
          </rPr>
          <t xml:space="preserve">
Copper wire</t>
        </r>
      </text>
    </comment>
    <comment ref="B297" authorId="0" shapeId="0" xr:uid="{8DE5DF59-DDF9-427B-95A0-F7209FBA00E6}">
      <text>
        <r>
          <rPr>
            <b/>
            <sz val="9"/>
            <color indexed="81"/>
            <rFont val="Tahoma"/>
            <family val="2"/>
          </rPr>
          <t>Lucas Arruda:</t>
        </r>
        <r>
          <rPr>
            <sz val="9"/>
            <color indexed="81"/>
            <rFont val="Tahoma"/>
            <family val="2"/>
          </rPr>
          <t xml:space="preserve">
Demand of steel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Lucas Arruda</author>
  </authors>
  <commentList>
    <comment ref="B4" authorId="0" shapeId="0" xr:uid="{8566C609-5B78-4FBD-A291-4DF583E6D8A2}">
      <text>
        <r>
          <rPr>
            <b/>
            <sz val="9"/>
            <color indexed="81"/>
            <rFont val="Tahoma"/>
            <family val="2"/>
          </rPr>
          <t>Lucas Arruda:</t>
        </r>
        <r>
          <rPr>
            <sz val="9"/>
            <color indexed="81"/>
            <rFont val="Tahoma"/>
            <family val="2"/>
          </rPr>
          <t xml:space="preserve">
Revenue are most received in dollar terms</t>
        </r>
      </text>
    </comment>
    <comment ref="B7" authorId="0" shapeId="0" xr:uid="{009408E3-4407-4A36-AA6A-1BA6034290EB}">
      <text>
        <r>
          <rPr>
            <b/>
            <sz val="9"/>
            <color indexed="81"/>
            <rFont val="Tahoma"/>
            <family val="2"/>
          </rPr>
          <t>Lucas Arruda:</t>
        </r>
        <r>
          <rPr>
            <sz val="9"/>
            <color indexed="81"/>
            <rFont val="Tahoma"/>
            <family val="2"/>
          </rPr>
          <t xml:space="preserve">
Demand of carbon steel.
Mines concentrated in Brazil, 
China 58% of revenue, asia 70%.  Real state uses a lot of carbon steel. (Planes, bridges, buildings, etc)
BRBF Premium low alumina (1.5%) and silica up to 5%
+alumina, +coke, -productivity, + costs
This is a differencial in times of high demand</t>
        </r>
      </text>
    </comment>
    <comment ref="B9" authorId="0" shapeId="0" xr:uid="{70D66DC7-9304-4C30-AE54-9BB15D86685C}">
      <text>
        <r>
          <rPr>
            <b/>
            <sz val="9"/>
            <color indexed="81"/>
            <rFont val="Tahoma"/>
            <family val="2"/>
          </rPr>
          <t>Lucas Arruda:</t>
        </r>
        <r>
          <rPr>
            <sz val="9"/>
            <color indexed="81"/>
            <rFont val="Tahoma"/>
            <family val="2"/>
          </rPr>
          <t xml:space="preserve">
Demand of carbon steel
Pellets are small balls of iron.
Has pelletizing plants in Brazil, Oman and joint-ventures in China</t>
        </r>
      </text>
    </comment>
    <comment ref="B19" authorId="0" shapeId="0" xr:uid="{A5174957-EA73-488A-B2DE-1AE2DD5B5E2C}">
      <text>
        <r>
          <rPr>
            <b/>
            <sz val="9"/>
            <color indexed="81"/>
            <rFont val="Tahoma"/>
            <family val="2"/>
          </rPr>
          <t>Lucas Arruda:</t>
        </r>
        <r>
          <rPr>
            <sz val="9"/>
            <color indexed="81"/>
            <rFont val="Tahoma"/>
            <family val="2"/>
          </rPr>
          <t xml:space="preserve">
Demand of stainless and alloy steel
Important to electric batteries (Electric cars and mobile phones)
Production in Canada, country with strong ESG incentives
Mines in Brazil, Canada, Indonesia and refineries in China, South Korea, Japan, the U.K. and Taiwan  
Nickel mines has some byproducts such as Cobalt, Gold and PMGs</t>
        </r>
      </text>
    </comment>
    <comment ref="B21" authorId="0" shapeId="0" xr:uid="{782D3AC4-D854-4709-B705-94A1B89B820B}">
      <text>
        <r>
          <rPr>
            <b/>
            <sz val="9"/>
            <color indexed="81"/>
            <rFont val="Tahoma"/>
            <family val="2"/>
          </rPr>
          <t>Lucas Arruda:</t>
        </r>
        <r>
          <rPr>
            <sz val="9"/>
            <color indexed="81"/>
            <rFont val="Tahoma"/>
            <family val="2"/>
          </rPr>
          <t xml:space="preserve">
Copper wire
Mines in Brazil and Canada. Has synergies on logistics with iron mines.</t>
        </r>
      </text>
    </comment>
    <comment ref="B26" authorId="0" shapeId="0" xr:uid="{92D47EB0-025E-4220-977A-84FDDBD2547E}">
      <text>
        <r>
          <rPr>
            <b/>
            <sz val="9"/>
            <color indexed="81"/>
            <rFont val="Tahoma"/>
            <family val="2"/>
          </rPr>
          <t>Lucas Arruda:</t>
        </r>
        <r>
          <rPr>
            <sz val="9"/>
            <color indexed="81"/>
            <rFont val="Tahoma"/>
            <family val="2"/>
          </rPr>
          <t xml:space="preserve">
Demand of steel</t>
        </r>
      </text>
    </comment>
    <comment ref="B57" authorId="0" shapeId="0" xr:uid="{B405740D-B99E-4973-B37F-0F714C18E10A}">
      <text>
        <r>
          <rPr>
            <b/>
            <sz val="9"/>
            <color indexed="81"/>
            <rFont val="Tahoma"/>
            <family val="2"/>
          </rPr>
          <t>Lucas Arruda:</t>
        </r>
        <r>
          <rPr>
            <sz val="9"/>
            <color indexed="81"/>
            <rFont val="Tahoma"/>
            <family val="2"/>
          </rPr>
          <t xml:space="preserve">
Owner of logistics</t>
        </r>
      </text>
    </comment>
    <comment ref="B68" authorId="0" shapeId="0" xr:uid="{28C7D714-6303-4910-B1BD-66385E9AF689}">
      <text>
        <r>
          <rPr>
            <b/>
            <sz val="9"/>
            <color indexed="81"/>
            <rFont val="Tahoma"/>
            <family val="2"/>
          </rPr>
          <t>Lucas Arruda:</t>
        </r>
        <r>
          <rPr>
            <sz val="9"/>
            <color indexed="81"/>
            <rFont val="Tahoma"/>
            <family val="2"/>
          </rPr>
          <t xml:space="preserve">
Owner of logistics</t>
        </r>
      </text>
    </comment>
  </commentList>
</comments>
</file>

<file path=xl/sharedStrings.xml><?xml version="1.0" encoding="utf-8"?>
<sst xmlns="http://schemas.openxmlformats.org/spreadsheetml/2006/main" count="458" uniqueCount="318">
  <si>
    <t>Company name</t>
  </si>
  <si>
    <t>Recommendation</t>
  </si>
  <si>
    <t>Neutral</t>
  </si>
  <si>
    <t>Ticker</t>
  </si>
  <si>
    <t>Street case</t>
  </si>
  <si>
    <t>Latest closing share price</t>
  </si>
  <si>
    <t>Weak case</t>
  </si>
  <si>
    <t>Latest closing share price date</t>
  </si>
  <si>
    <t>Strong case</t>
  </si>
  <si>
    <t>Latest fiscal year end date</t>
  </si>
  <si>
    <t>Valuation date</t>
  </si>
  <si>
    <t>Historical</t>
  </si>
  <si>
    <t>Estimate</t>
  </si>
  <si>
    <t>INCOME STATEMENT</t>
  </si>
  <si>
    <t>Assumptions</t>
  </si>
  <si>
    <t>Fiscal year end date</t>
  </si>
  <si>
    <t>Shares outstanding</t>
  </si>
  <si>
    <t>Cost of sales</t>
  </si>
  <si>
    <t>Gross Profit</t>
  </si>
  <si>
    <t>Selling, general &amp; administrative</t>
  </si>
  <si>
    <t>% revenue</t>
  </si>
  <si>
    <t>Other operating income/expenses, net</t>
  </si>
  <si>
    <t>Operating profit (EBIT)</t>
  </si>
  <si>
    <t>Interest income</t>
  </si>
  <si>
    <t>Interest expense</t>
  </si>
  <si>
    <t>Taxes</t>
  </si>
  <si>
    <t>% tax rate</t>
  </si>
  <si>
    <t>CFO</t>
  </si>
  <si>
    <t>Net income</t>
  </si>
  <si>
    <t>Depreciation &amp; amortization</t>
  </si>
  <si>
    <t>EBITDA</t>
  </si>
  <si>
    <t>BALANCE SHEET</t>
  </si>
  <si>
    <t>ASSETS</t>
  </si>
  <si>
    <t>Cash and equivalents</t>
  </si>
  <si>
    <t>Deferred taxes (DTA)</t>
  </si>
  <si>
    <t>Other current assets</t>
  </si>
  <si>
    <t>*Current assets</t>
  </si>
  <si>
    <t>CFI</t>
  </si>
  <si>
    <t>Net PPE</t>
  </si>
  <si>
    <t>Investments in properties &amp; affiliates</t>
  </si>
  <si>
    <t>Other non-current assets</t>
  </si>
  <si>
    <t>Non-current assets</t>
  </si>
  <si>
    <t>Total assets</t>
  </si>
  <si>
    <t>LIABILITIES</t>
  </si>
  <si>
    <t>Revolver credit line</t>
  </si>
  <si>
    <t>Accounts payable (including long-term)</t>
  </si>
  <si>
    <t>Dividends payable</t>
  </si>
  <si>
    <t>Other current liabilities</t>
  </si>
  <si>
    <t>Current liabilities</t>
  </si>
  <si>
    <t>CFF</t>
  </si>
  <si>
    <t>Debt (including short-term)</t>
  </si>
  <si>
    <t>Deferred taxes (DTL)</t>
  </si>
  <si>
    <t>Other long-term liabilities</t>
  </si>
  <si>
    <t>Non-current liabilities</t>
  </si>
  <si>
    <t>Total liabilities</t>
  </si>
  <si>
    <t>EQUITY</t>
  </si>
  <si>
    <t>Common stock</t>
  </si>
  <si>
    <t>Retained earnings</t>
  </si>
  <si>
    <t>Other equity accounts</t>
  </si>
  <si>
    <t>Total Equity</t>
  </si>
  <si>
    <t>Check</t>
  </si>
  <si>
    <t>CASH FLOW STATEMENT</t>
  </si>
  <si>
    <t>Net Income Reconciliation</t>
  </si>
  <si>
    <t>Net Income</t>
  </si>
  <si>
    <t>Cash Flow from Operations (CFO)</t>
  </si>
  <si>
    <t>Changes in Working Capital</t>
  </si>
  <si>
    <t>(Increase) / Decrease in Accounts receivable</t>
  </si>
  <si>
    <t>(Increase) / Decrease in Other current assets</t>
  </si>
  <si>
    <t>Increase / (Decrease) in Accounts payable</t>
  </si>
  <si>
    <t>Increase / (Decrease) in Other current liabilities</t>
  </si>
  <si>
    <t>(Increase) / Decrease in Net Working Capital</t>
  </si>
  <si>
    <t>Cash Flow from Investing (CFI)</t>
  </si>
  <si>
    <t>Capital expenditures</t>
  </si>
  <si>
    <t>(Increase) / Decrease in Investments</t>
  </si>
  <si>
    <t>Cash from investing activities</t>
  </si>
  <si>
    <t>Cash Flow from Financing (CFF)</t>
  </si>
  <si>
    <t>Increase / (Decrease) in Debt</t>
  </si>
  <si>
    <t>Increase / (Decrease) in Minority Interest</t>
  </si>
  <si>
    <t>Increase / (Decrease) in Common stock</t>
  </si>
  <si>
    <t>Revolver</t>
  </si>
  <si>
    <t>(Increase) / Decrease in Share repurchases</t>
  </si>
  <si>
    <t>Increase / (Decrease) in Other equity account</t>
  </si>
  <si>
    <t>Cash from financing activities</t>
  </si>
  <si>
    <t>Net change in cash during period</t>
  </si>
  <si>
    <t>Vale</t>
  </si>
  <si>
    <t>VALE3</t>
  </si>
  <si>
    <t>Net Revenue</t>
  </si>
  <si>
    <t>COGS as a % of revenue</t>
  </si>
  <si>
    <t>% Y/Y revenue growth</t>
  </si>
  <si>
    <t>Brumadinho event</t>
  </si>
  <si>
    <t>SG&amp;A as % of revenue</t>
  </si>
  <si>
    <t>EBITDA margin (%)</t>
  </si>
  <si>
    <t>EBIT margin (%)</t>
  </si>
  <si>
    <t>Gross margin (%)</t>
  </si>
  <si>
    <t>Pretax profit (EBT)</t>
  </si>
  <si>
    <t>EBT margin (%)</t>
  </si>
  <si>
    <t>Tax rate (%)</t>
  </si>
  <si>
    <t>x</t>
  </si>
  <si>
    <t>Discontinued operations</t>
  </si>
  <si>
    <t>Net income after non-recurring events</t>
  </si>
  <si>
    <t>Income attributable to non-controlling interests</t>
  </si>
  <si>
    <t>Non-controlling interests % of Net Income</t>
  </si>
  <si>
    <t>Net income (reported)</t>
  </si>
  <si>
    <t>Basic EPS</t>
  </si>
  <si>
    <t>Diluted EPS</t>
  </si>
  <si>
    <t>Average common shares outstanding (basic)</t>
  </si>
  <si>
    <t>Average common shares outstanding (diluted)</t>
  </si>
  <si>
    <t>Brumadinho as % of revenue</t>
  </si>
  <si>
    <t>Other as % of revenue</t>
  </si>
  <si>
    <t>Pre-operating and operational stoppage</t>
  </si>
  <si>
    <t>Research and evaluation expenses</t>
  </si>
  <si>
    <t>R&amp;D as % of revenue</t>
  </si>
  <si>
    <t>Stoppage as % of revenue</t>
  </si>
  <si>
    <t>Impairment and disposals of non-current assets</t>
  </si>
  <si>
    <t>Other financial items, net</t>
  </si>
  <si>
    <t>Equity results and other results in associates</t>
  </si>
  <si>
    <t>Current tax</t>
  </si>
  <si>
    <t>Deferred tax</t>
  </si>
  <si>
    <t>Net margin (%)</t>
  </si>
  <si>
    <t>Y/Y Growth</t>
  </si>
  <si>
    <t>DEPRECIATION SCHEDULE</t>
  </si>
  <si>
    <t>WORKING CAPITAL SCHEDULE</t>
  </si>
  <si>
    <t>SCHEDULES</t>
  </si>
  <si>
    <t>FINANCIAL STATEMENTS</t>
  </si>
  <si>
    <t>DEBT SCHEDULE</t>
  </si>
  <si>
    <t>Dividends received from associates</t>
  </si>
  <si>
    <t>D&amp;A as % of COGS</t>
  </si>
  <si>
    <t>BTG Estimates</t>
  </si>
  <si>
    <t>$ mm except per share</t>
  </si>
  <si>
    <t>(Increase) / Decrease in Inventory</t>
  </si>
  <si>
    <t>Adjusted Income</t>
  </si>
  <si>
    <t>Adjusted for:</t>
  </si>
  <si>
    <t>Depreciation and amortization</t>
  </si>
  <si>
    <t>Cash flow from operations</t>
  </si>
  <si>
    <t>Inventories</t>
  </si>
  <si>
    <t>Intangibles</t>
  </si>
  <si>
    <t>Provisions</t>
  </si>
  <si>
    <t>Brumadinho</t>
  </si>
  <si>
    <t>REFIS</t>
  </si>
  <si>
    <t>Accounts receivable</t>
  </si>
  <si>
    <t>Cumulative translation adjustments</t>
  </si>
  <si>
    <t>Equity attributable to noncontrolling interests</t>
  </si>
  <si>
    <t>Deferred taxes, net</t>
  </si>
  <si>
    <t>Increase / (Decrease) in Provisions</t>
  </si>
  <si>
    <t>Increase / (Decrease) in Brumadinho</t>
  </si>
  <si>
    <t>Increase / (Decrease) in REFIS</t>
  </si>
  <si>
    <t>Other non-current assets, net</t>
  </si>
  <si>
    <t>(Increase) / Decrease in Intangibles</t>
  </si>
  <si>
    <t>PLUG</t>
  </si>
  <si>
    <t>Dividends paid</t>
  </si>
  <si>
    <t>% Y/Y growth</t>
  </si>
  <si>
    <t>-</t>
  </si>
  <si>
    <t>Inventory Turnover Days</t>
  </si>
  <si>
    <t>Accounts Payable Days</t>
  </si>
  <si>
    <t>Accounts Receivables Days</t>
  </si>
  <si>
    <t>Total Operating Current Assets</t>
  </si>
  <si>
    <t>Accounts Receivables</t>
  </si>
  <si>
    <t>Inventory</t>
  </si>
  <si>
    <t>Accounts Payable</t>
  </si>
  <si>
    <t>Total Operating Current Liabilities</t>
  </si>
  <si>
    <t>Total Operating Working Capital</t>
  </si>
  <si>
    <t>WC Schedule</t>
  </si>
  <si>
    <t>Plug</t>
  </si>
  <si>
    <t>Property, plant &amp; equipment (beg. of year)</t>
  </si>
  <si>
    <t>Useful life</t>
  </si>
  <si>
    <t>PP&amp;E years</t>
  </si>
  <si>
    <t>CAPEX years</t>
  </si>
  <si>
    <t>Depreciation</t>
  </si>
  <si>
    <t>Existing PP&amp;E</t>
  </si>
  <si>
    <t>Total book depreciation</t>
  </si>
  <si>
    <t>Depreciation Schedule</t>
  </si>
  <si>
    <t>(-) D&amp;A Related to PP&amp;E</t>
  </si>
  <si>
    <t>(+) Capital expenditures (beg. of year)</t>
  </si>
  <si>
    <t>Property, plant &amp; equipment (end of year)</t>
  </si>
  <si>
    <t>D&amp;A related to PP&amp;E as % of capex</t>
  </si>
  <si>
    <t>(-) Impairments &amp; Disposals</t>
  </si>
  <si>
    <t>RETAINED EARNINGS SCHEDULE</t>
  </si>
  <si>
    <t>Beginning of period</t>
  </si>
  <si>
    <t>(+) Net Income</t>
  </si>
  <si>
    <t>(-) Dividends</t>
  </si>
  <si>
    <t>(-) Share repurchases</t>
  </si>
  <si>
    <t>End of period</t>
  </si>
  <si>
    <t>(+)/(-) Other comprehensive income</t>
  </si>
  <si>
    <t>Payout ratio</t>
  </si>
  <si>
    <t>REVOLVER SCHEDULE</t>
  </si>
  <si>
    <t>Retained Earnings Schedule</t>
  </si>
  <si>
    <t>Cash beginning of period</t>
  </si>
  <si>
    <t>(-) Minimum cash balance</t>
  </si>
  <si>
    <t>(+) Current period cash flows, except revolver</t>
  </si>
  <si>
    <t>Cash available / (needed) to pay / (draw) revolver</t>
  </si>
  <si>
    <t>Commerical paper / Revolver</t>
  </si>
  <si>
    <t>Draw / (paydown)</t>
  </si>
  <si>
    <t>Additional discretionary draw / (paydown)</t>
  </si>
  <si>
    <t>as % of revenue</t>
  </si>
  <si>
    <t>Needs analysis</t>
  </si>
  <si>
    <t>Revolver Schedule</t>
  </si>
  <si>
    <t>Cash</t>
  </si>
  <si>
    <t>Debt &amp; Revolver</t>
  </si>
  <si>
    <t>Total interest expense</t>
  </si>
  <si>
    <t>Total interest income</t>
  </si>
  <si>
    <t>Total cash</t>
  </si>
  <si>
    <t>Debt end of period balance</t>
  </si>
  <si>
    <t>Cash end of period balance</t>
  </si>
  <si>
    <t>Implied interest rate</t>
  </si>
  <si>
    <t>REFIS end of period balance</t>
  </si>
  <si>
    <t>Brumadinho end of period balance</t>
  </si>
  <si>
    <t>Provisions end of period balance</t>
  </si>
  <si>
    <t>Total debt</t>
  </si>
  <si>
    <t>Debt schedule</t>
  </si>
  <si>
    <t>SCENARIO ANALYSIS</t>
  </si>
  <si>
    <t>SCENARIOS</t>
  </si>
  <si>
    <t>Active case:</t>
  </si>
  <si>
    <t>Scenario</t>
  </si>
  <si>
    <t>Base</t>
  </si>
  <si>
    <t>Revenue Growth</t>
  </si>
  <si>
    <t>Gross profit margin</t>
  </si>
  <si>
    <t>COGS as % of revenue</t>
  </si>
  <si>
    <t>Coal</t>
  </si>
  <si>
    <t>Total</t>
  </si>
  <si>
    <t>REVENUE BUILD</t>
  </si>
  <si>
    <t>REVENUE ANALYSIS</t>
  </si>
  <si>
    <t>Ferrous minerals:</t>
  </si>
  <si>
    <t>Iron ore</t>
  </si>
  <si>
    <t>Base metals:</t>
  </si>
  <si>
    <t>Iron ore pellets</t>
  </si>
  <si>
    <t>Ferroalloys and manganese</t>
  </si>
  <si>
    <t>Other ferrous products and services</t>
  </si>
  <si>
    <t>Nickel and other products</t>
  </si>
  <si>
    <t>Copper</t>
  </si>
  <si>
    <t>Other</t>
  </si>
  <si>
    <t>Total net revenue from ferrous minerals</t>
  </si>
  <si>
    <t>Total net revenue from base metals</t>
  </si>
  <si>
    <t>Total net revenue</t>
  </si>
  <si>
    <t>% growth</t>
  </si>
  <si>
    <t>Revenue distribution</t>
  </si>
  <si>
    <t>Costs of fuel oil, gas and electricity are a significant component of our cost of production, representing</t>
  </si>
  <si>
    <t>9.0% of our total cost of goods sold in 2020. To fulfill our energy needs, we rely on the following sources:</t>
  </si>
  <si>
    <t>oil byproducts, which represented 36% of total energy needs in 2020, electricity (31%), natural gas (13%),</t>
  </si>
  <si>
    <t>coal (16%) and other energy sources (4%).</t>
  </si>
  <si>
    <t>Electricity costs represented 3.8% of our total cost of goods sold in 2020</t>
  </si>
  <si>
    <t>REVENUE</t>
  </si>
  <si>
    <t>Total ferrous minerals</t>
  </si>
  <si>
    <t>Total base metals</t>
  </si>
  <si>
    <t>Southeastern System</t>
  </si>
  <si>
    <t>Southern System</t>
  </si>
  <si>
    <t>Northern System</t>
  </si>
  <si>
    <t>Serra Norte and Serra Leste</t>
  </si>
  <si>
    <t>Midwestern System</t>
  </si>
  <si>
    <t>Itabira</t>
  </si>
  <si>
    <t>Minas Centrais</t>
  </si>
  <si>
    <t>Mariana</t>
  </si>
  <si>
    <t>Total Southeastern</t>
  </si>
  <si>
    <t>Vargem Grande</t>
  </si>
  <si>
    <t>Paraopeba</t>
  </si>
  <si>
    <t>Total Southern</t>
  </si>
  <si>
    <t>Serra Sul</t>
  </si>
  <si>
    <t>Total Northern</t>
  </si>
  <si>
    <t>Corumbá</t>
  </si>
  <si>
    <t>Total Midwestern</t>
  </si>
  <si>
    <t>Operating and Financial</t>
  </si>
  <si>
    <t>Review and Prospects—Overview—Major factors affecting prices.</t>
  </si>
  <si>
    <t>Competitors</t>
  </si>
  <si>
    <t>BHP</t>
  </si>
  <si>
    <t>Rio Tinto</t>
  </si>
  <si>
    <t>Fortescue Metals</t>
  </si>
  <si>
    <t>Asia</t>
  </si>
  <si>
    <t>Europe</t>
  </si>
  <si>
    <t>Brazil</t>
  </si>
  <si>
    <t>Gerdau</t>
  </si>
  <si>
    <t>CSN</t>
  </si>
  <si>
    <t>LKAB</t>
  </si>
  <si>
    <t>Arcelor Mittal</t>
  </si>
  <si>
    <t>Kumba Iron Ore</t>
  </si>
  <si>
    <t>Total iron ores</t>
  </si>
  <si>
    <t>Total iron pellets</t>
  </si>
  <si>
    <t>VA</t>
  </si>
  <si>
    <t>Total iron ore revenue</t>
  </si>
  <si>
    <t>Total iron pellets revenue</t>
  </si>
  <si>
    <t>USD/ton</t>
  </si>
  <si>
    <t>in millions of tons, except for revenue</t>
  </si>
  <si>
    <t>% production growth</t>
  </si>
  <si>
    <t>% price growth</t>
  </si>
  <si>
    <t>Production</t>
  </si>
  <si>
    <t>NICKEL</t>
  </si>
  <si>
    <t>IRON</t>
  </si>
  <si>
    <t>COPPER</t>
  </si>
  <si>
    <t>MAIN SEGMENTS</t>
  </si>
  <si>
    <t>Sudbury</t>
  </si>
  <si>
    <t>Thompson</t>
  </si>
  <si>
    <t>Voise's Bay</t>
  </si>
  <si>
    <t>Sorowako</t>
  </si>
  <si>
    <t>Onça Puma</t>
  </si>
  <si>
    <t>New Caledonia</t>
  </si>
  <si>
    <t>External</t>
  </si>
  <si>
    <t>Total nickel production</t>
  </si>
  <si>
    <t>Total nickel revenue</t>
  </si>
  <si>
    <t>Nornickel</t>
  </si>
  <si>
    <t>Glencore</t>
  </si>
  <si>
    <t>Tsingshan Group</t>
  </si>
  <si>
    <t>Jiangsu Delong Nickel</t>
  </si>
  <si>
    <t>Jinchuan Corporation</t>
  </si>
  <si>
    <t>Total Brazil</t>
  </si>
  <si>
    <t>Canada</t>
  </si>
  <si>
    <t>Total Canada</t>
  </si>
  <si>
    <t>Sossego</t>
  </si>
  <si>
    <t>Salobo</t>
  </si>
  <si>
    <t>Voisey's Bay</t>
  </si>
  <si>
    <t>Total copper</t>
  </si>
  <si>
    <t>in thousands of tons</t>
  </si>
  <si>
    <t>in thousand of tons</t>
  </si>
  <si>
    <t>Codelco Chile</t>
  </si>
  <si>
    <t>Freeport McMoRan Copper</t>
  </si>
  <si>
    <t>Anglo American</t>
  </si>
  <si>
    <t>Antofagasta plc</t>
  </si>
  <si>
    <t>First Quantum</t>
  </si>
  <si>
    <t>Price index: Average Platts IODEX (62% Fe CFR China)</t>
  </si>
  <si>
    <t>Price index: LME Ni</t>
  </si>
  <si>
    <t>Price index: LME 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</si>
</sst>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m/d/yy;@"/>
    <numFmt numFmtId="165" formatCode="0\H;[Red]0\H"/>
    <numFmt numFmtId="166" formatCode="0\E_);\(0\E\)"/>
    <numFmt numFmtId="167" formatCode="0.0"/>
    <numFmt numFmtId="168" formatCode="0.0%"/>
    <numFmt numFmtId="169" formatCode="#,##0.0_);\(#,##0.0\)"/>
  </numFmts>
  <fonts count="35" x14ac:knownFonts="1">
    <font>
      <sz val="11"/>
      <color theme="1"/>
      <name val="Calibri"/>
      <family val="2"/>
      <scheme val="minor"/>
    </font>
    <font>
      <sz val="11"/>
      <color theme="1"/>
      <name val="Calibri"/>
      <family val="2"/>
      <scheme val="minor"/>
    </font>
    <font>
      <sz val="8"/>
      <name val="Arial Nova"/>
      <family val="2"/>
    </font>
    <font>
      <sz val="11"/>
      <name val="Arial Nova"/>
      <family val="2"/>
    </font>
    <font>
      <sz val="10"/>
      <name val="Arial Nova"/>
      <family val="2"/>
    </font>
    <font>
      <b/>
      <sz val="11"/>
      <name val="Arial Nova"/>
      <family val="2"/>
    </font>
    <font>
      <i/>
      <sz val="11"/>
      <name val="Arial Nova"/>
      <family val="2"/>
    </font>
    <font>
      <b/>
      <sz val="11"/>
      <color theme="4" tint="-0.249977111117893"/>
      <name val="Arial Nova"/>
      <family val="2"/>
    </font>
    <font>
      <b/>
      <sz val="10"/>
      <color theme="4" tint="-0.249977111117893"/>
      <name val="Arial Nova"/>
      <family val="2"/>
    </font>
    <font>
      <b/>
      <sz val="10"/>
      <color theme="0"/>
      <name val="Arial Nova"/>
      <family val="2"/>
    </font>
    <font>
      <b/>
      <sz val="10"/>
      <name val="Arial Nova"/>
      <family val="2"/>
    </font>
    <font>
      <i/>
      <sz val="10"/>
      <name val="Arial Nova"/>
      <family val="2"/>
    </font>
    <font>
      <b/>
      <sz val="8"/>
      <name val="Arial Nova"/>
      <family val="2"/>
    </font>
    <font>
      <i/>
      <sz val="8"/>
      <name val="Arial Nova"/>
      <family val="2"/>
    </font>
    <font>
      <b/>
      <u/>
      <sz val="11"/>
      <name val="Arial Nova"/>
      <family val="2"/>
    </font>
    <font>
      <sz val="11"/>
      <color rgb="FF000000"/>
      <name val="Calibri"/>
      <family val="2"/>
      <scheme val="minor"/>
    </font>
    <font>
      <b/>
      <i/>
      <sz val="11"/>
      <name val="Arial Nova"/>
      <family val="2"/>
    </font>
    <font>
      <i/>
      <sz val="9"/>
      <name val="Arial Nova"/>
      <family val="2"/>
    </font>
    <font>
      <b/>
      <sz val="9"/>
      <name val="Arial Nova"/>
      <family val="2"/>
    </font>
    <font>
      <sz val="6"/>
      <name val="Arial Nova"/>
      <family val="2"/>
    </font>
    <font>
      <b/>
      <sz val="6"/>
      <name val="Arial Nova"/>
      <family val="2"/>
    </font>
    <font>
      <i/>
      <sz val="6"/>
      <name val="Arial Nova"/>
      <family val="2"/>
    </font>
    <font>
      <i/>
      <sz val="10"/>
      <color theme="4"/>
      <name val="Arial Nova"/>
      <family val="2"/>
    </font>
    <font>
      <b/>
      <sz val="12"/>
      <name val="Arial Nova"/>
      <family val="2"/>
    </font>
    <font>
      <sz val="10"/>
      <color rgb="FF0070C0"/>
      <name val="Arial Nova"/>
      <family val="2"/>
    </font>
    <font>
      <sz val="9"/>
      <name val="Arial Nova"/>
      <family val="2"/>
    </font>
    <font>
      <i/>
      <sz val="8"/>
      <color rgb="FF0070C0"/>
      <name val="Arial Nova"/>
      <family val="2"/>
    </font>
    <font>
      <u/>
      <sz val="11"/>
      <name val="Arial Nova"/>
      <family val="2"/>
    </font>
    <font>
      <i/>
      <sz val="9"/>
      <color rgb="FF0070C0"/>
      <name val="Arial Nova"/>
      <family val="2"/>
    </font>
    <font>
      <b/>
      <sz val="11"/>
      <color rgb="FF000000"/>
      <name val="Calibri"/>
      <family val="2"/>
      <scheme val="minor"/>
    </font>
    <font>
      <sz val="9"/>
      <color indexed="81"/>
      <name val="Tahoma"/>
      <family val="2"/>
    </font>
    <font>
      <b/>
      <sz val="9"/>
      <color indexed="81"/>
      <name val="Tahoma"/>
      <family val="2"/>
    </font>
    <font>
      <u/>
      <sz val="9"/>
      <name val="Arial Nova"/>
      <family val="2"/>
    </font>
    <font>
      <b/>
      <i/>
      <sz val="8"/>
      <name val="Arial Nova"/>
      <family val="2"/>
    </font>
    <font>
      <b/>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darkDown"/>
    </fill>
    <fill>
      <patternFill patternType="solid">
        <fgColor theme="8" tint="0.59999389629810485"/>
        <bgColor indexed="64"/>
      </patternFill>
    </fill>
    <fill>
      <patternFill patternType="darkDown">
        <bgColor theme="0"/>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right/>
      <top style="medium">
        <color rgb="FF000000"/>
      </top>
      <bottom style="medium">
        <color rgb="FF000000"/>
      </bottom>
      <diagonal/>
    </border>
    <border>
      <left/>
      <right/>
      <top style="medium">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Dashed">
        <color indexed="64"/>
      </left>
      <right/>
      <top style="mediumDashed">
        <color indexed="64"/>
      </top>
      <bottom/>
      <diagonal/>
    </border>
    <border>
      <left style="mediumDashed">
        <color indexed="64"/>
      </left>
      <right/>
      <top/>
      <bottom/>
      <diagonal/>
    </border>
    <border>
      <left style="medium">
        <color indexed="64"/>
      </left>
      <right style="medium">
        <color indexed="64"/>
      </right>
      <top/>
      <bottom style="double">
        <color indexed="64"/>
      </bottom>
      <diagonal/>
    </border>
    <border>
      <left/>
      <right/>
      <top style="thin">
        <color indexed="64"/>
      </top>
      <bottom/>
      <diagonal/>
    </border>
    <border>
      <left/>
      <right/>
      <top/>
      <bottom style="thin">
        <color indexed="64"/>
      </bottom>
      <diagonal/>
    </border>
    <border>
      <left/>
      <right/>
      <top/>
      <bottom style="mediumDashed">
        <color indexed="64"/>
      </bottom>
      <diagonal/>
    </border>
    <border>
      <left/>
      <right/>
      <top style="mediumDashed">
        <color indexed="64"/>
      </top>
      <bottom style="mediumDashed">
        <color indexed="64"/>
      </bottom>
      <diagonal/>
    </border>
    <border>
      <left style="medium">
        <color indexed="64"/>
      </left>
      <right/>
      <top style="mediumDashed">
        <color indexed="64"/>
      </top>
      <bottom/>
      <diagonal/>
    </border>
    <border>
      <left style="mediumDashed">
        <color indexed="64"/>
      </left>
      <right/>
      <top/>
      <bottom style="mediumDashed">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7">
    <xf numFmtId="0" fontId="0" fillId="0" borderId="0" xfId="0"/>
    <xf numFmtId="0" fontId="3" fillId="2" borderId="0" xfId="0" applyFont="1" applyFill="1"/>
    <xf numFmtId="0" fontId="4" fillId="2" borderId="0" xfId="0" applyFont="1" applyFill="1" applyAlignment="1">
      <alignment horizontal="center" vertical="center"/>
    </xf>
    <xf numFmtId="0" fontId="5" fillId="2" borderId="1" xfId="0" applyFont="1" applyFill="1" applyBorder="1"/>
    <xf numFmtId="0" fontId="4" fillId="2" borderId="1" xfId="0" applyFont="1" applyFill="1" applyBorder="1" applyAlignment="1">
      <alignment horizontal="center" vertical="center"/>
    </xf>
    <xf numFmtId="14" fontId="6" fillId="2" borderId="0" xfId="0" applyNumberFormat="1" applyFont="1" applyFill="1" applyAlignment="1">
      <alignment horizontal="left"/>
    </xf>
    <xf numFmtId="0" fontId="4" fillId="2" borderId="2" xfId="0" applyFont="1" applyFill="1" applyBorder="1" applyAlignment="1">
      <alignment horizontal="center" vertical="center"/>
    </xf>
    <xf numFmtId="0" fontId="7" fillId="2" borderId="3" xfId="0" applyFont="1" applyFill="1" applyBorder="1" applyAlignment="1">
      <alignment horizontal="left" indent="1"/>
    </xf>
    <xf numFmtId="0" fontId="8" fillId="2" borderId="4" xfId="0" applyFont="1" applyFill="1" applyBorder="1" applyAlignment="1">
      <alignment horizontal="center" vertical="center"/>
    </xf>
    <xf numFmtId="0" fontId="7" fillId="2" borderId="5" xfId="0" applyFont="1" applyFill="1" applyBorder="1" applyAlignment="1">
      <alignment horizontal="left" indent="1"/>
    </xf>
    <xf numFmtId="0" fontId="8" fillId="2" borderId="6" xfId="0" applyFont="1" applyFill="1" applyBorder="1" applyAlignment="1">
      <alignment horizontal="center" vertical="center"/>
    </xf>
    <xf numFmtId="8" fontId="8" fillId="2" borderId="6" xfId="0" applyNumberFormat="1" applyFont="1" applyFill="1" applyBorder="1" applyAlignment="1">
      <alignment horizontal="center" vertical="center"/>
    </xf>
    <xf numFmtId="14" fontId="8" fillId="2" borderId="6" xfId="0" applyNumberFormat="1" applyFont="1" applyFill="1" applyBorder="1" applyAlignment="1">
      <alignment horizontal="center" vertical="center"/>
    </xf>
    <xf numFmtId="0" fontId="7" fillId="2" borderId="7" xfId="0" applyFont="1" applyFill="1" applyBorder="1" applyAlignment="1">
      <alignment horizontal="left" vertical="top" indent="1"/>
    </xf>
    <xf numFmtId="14" fontId="8" fillId="2" borderId="8" xfId="0" applyNumberFormat="1" applyFont="1" applyFill="1" applyBorder="1" applyAlignment="1">
      <alignment horizontal="center" vertical="center"/>
    </xf>
    <xf numFmtId="9" fontId="4" fillId="2" borderId="0" xfId="0" applyNumberFormat="1" applyFont="1" applyFill="1" applyAlignment="1">
      <alignment horizontal="center" vertical="center"/>
    </xf>
    <xf numFmtId="0" fontId="7" fillId="2" borderId="0" xfId="0" applyFont="1" applyFill="1" applyAlignment="1">
      <alignment horizontal="left" vertical="top" indent="1"/>
    </xf>
    <xf numFmtId="164" fontId="8" fillId="2" borderId="0" xfId="0" applyNumberFormat="1"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xf numFmtId="0" fontId="5" fillId="2" borderId="12" xfId="0" applyFont="1" applyFill="1" applyBorder="1" applyAlignment="1">
      <alignment horizontal="left" vertical="center" indent="1"/>
    </xf>
    <xf numFmtId="165" fontId="10" fillId="4" borderId="13" xfId="0" applyNumberFormat="1" applyFont="1" applyFill="1" applyBorder="1" applyAlignment="1">
      <alignment horizontal="center" vertical="center"/>
    </xf>
    <xf numFmtId="165" fontId="10" fillId="4" borderId="14" xfId="0" applyNumberFormat="1" applyFont="1" applyFill="1" applyBorder="1" applyAlignment="1">
      <alignment horizontal="center" vertical="center"/>
    </xf>
    <xf numFmtId="165" fontId="10" fillId="4" borderId="15" xfId="0" applyNumberFormat="1" applyFont="1" applyFill="1" applyBorder="1" applyAlignment="1">
      <alignment horizontal="center" vertical="center"/>
    </xf>
    <xf numFmtId="166" fontId="10" fillId="5" borderId="14" xfId="0" applyNumberFormat="1" applyFont="1" applyFill="1" applyBorder="1" applyAlignment="1">
      <alignment horizontal="center" vertical="center"/>
    </xf>
    <xf numFmtId="0" fontId="6" fillId="2" borderId="16" xfId="0" applyFont="1" applyFill="1" applyBorder="1" applyAlignment="1">
      <alignment horizontal="left" vertical="center" indent="2"/>
    </xf>
    <xf numFmtId="164" fontId="11" fillId="4" borderId="17" xfId="0" applyNumberFormat="1" applyFont="1" applyFill="1" applyBorder="1" applyAlignment="1">
      <alignment horizontal="center" vertical="center"/>
    </xf>
    <xf numFmtId="164" fontId="11" fillId="4" borderId="18" xfId="0" applyNumberFormat="1" applyFont="1" applyFill="1" applyBorder="1" applyAlignment="1">
      <alignment horizontal="center" vertical="center"/>
    </xf>
    <xf numFmtId="164" fontId="11" fillId="4" borderId="19" xfId="0" applyNumberFormat="1" applyFont="1" applyFill="1" applyBorder="1" applyAlignment="1">
      <alignment horizontal="center" vertical="center"/>
    </xf>
    <xf numFmtId="164" fontId="11" fillId="5" borderId="18" xfId="0" applyNumberFormat="1" applyFont="1" applyFill="1" applyBorder="1" applyAlignment="1">
      <alignment horizontal="center" vertical="center"/>
    </xf>
    <xf numFmtId="0" fontId="6" fillId="2" borderId="20" xfId="0" applyFont="1" applyFill="1" applyBorder="1" applyAlignment="1">
      <alignment horizontal="left" indent="2"/>
    </xf>
    <xf numFmtId="37" fontId="4" fillId="4" borderId="9" xfId="0" applyNumberFormat="1" applyFont="1" applyFill="1" applyBorder="1" applyAlignment="1">
      <alignment horizontal="center" vertical="center"/>
    </xf>
    <xf numFmtId="37" fontId="4" fillId="4" borderId="10" xfId="0" applyNumberFormat="1" applyFont="1" applyFill="1" applyBorder="1" applyAlignment="1">
      <alignment horizontal="center" vertical="center"/>
    </xf>
    <xf numFmtId="37" fontId="4" fillId="4" borderId="11" xfId="0" applyNumberFormat="1" applyFont="1" applyFill="1" applyBorder="1" applyAlignment="1">
      <alignment horizontal="center" vertical="center"/>
    </xf>
    <xf numFmtId="37" fontId="4" fillId="5" borderId="10" xfId="0" applyNumberFormat="1" applyFont="1" applyFill="1" applyBorder="1" applyAlignment="1">
      <alignment horizontal="center" vertical="center"/>
    </xf>
    <xf numFmtId="37" fontId="10" fillId="4" borderId="0" xfId="0" applyNumberFormat="1" applyFont="1" applyFill="1" applyAlignment="1">
      <alignment horizontal="center" vertical="center"/>
    </xf>
    <xf numFmtId="37" fontId="10" fillId="4" borderId="22" xfId="0" applyNumberFormat="1" applyFont="1" applyFill="1" applyBorder="1" applyAlignment="1">
      <alignment horizontal="center" vertical="center"/>
    </xf>
    <xf numFmtId="37" fontId="10" fillId="5" borderId="0" xfId="0" applyNumberFormat="1" applyFont="1" applyFill="1" applyAlignment="1">
      <alignment horizontal="center" vertical="center"/>
    </xf>
    <xf numFmtId="37" fontId="10" fillId="4" borderId="23" xfId="0" applyNumberFormat="1" applyFont="1" applyFill="1" applyBorder="1" applyAlignment="1">
      <alignment horizontal="center" vertical="center"/>
    </xf>
    <xf numFmtId="37" fontId="10" fillId="4" borderId="24" xfId="0" applyNumberFormat="1" applyFont="1" applyFill="1" applyBorder="1" applyAlignment="1">
      <alignment horizontal="center" vertical="center"/>
    </xf>
    <xf numFmtId="37" fontId="10" fillId="4" borderId="25" xfId="0" applyNumberFormat="1" applyFont="1" applyFill="1" applyBorder="1" applyAlignment="1">
      <alignment horizontal="center" vertical="center"/>
    </xf>
    <xf numFmtId="37" fontId="10" fillId="5" borderId="24" xfId="0" applyNumberFormat="1" applyFont="1" applyFill="1" applyBorder="1" applyAlignment="1">
      <alignment horizontal="center" vertical="center"/>
    </xf>
    <xf numFmtId="37" fontId="4" fillId="4" borderId="0" xfId="0" applyNumberFormat="1" applyFont="1" applyFill="1" applyAlignment="1">
      <alignment horizontal="center" vertical="center"/>
    </xf>
    <xf numFmtId="37" fontId="4" fillId="4" borderId="22" xfId="0" applyNumberFormat="1" applyFont="1" applyFill="1" applyBorder="1" applyAlignment="1">
      <alignment horizontal="center" vertical="center"/>
    </xf>
    <xf numFmtId="37" fontId="4" fillId="5" borderId="0" xfId="0" applyNumberFormat="1" applyFont="1" applyFill="1" applyAlignment="1">
      <alignment horizontal="center" vertical="center"/>
    </xf>
    <xf numFmtId="9" fontId="11" fillId="4" borderId="0" xfId="2" applyFont="1" applyFill="1" applyBorder="1" applyAlignment="1">
      <alignment horizontal="center" vertical="center"/>
    </xf>
    <xf numFmtId="9" fontId="11" fillId="4" borderId="22" xfId="2" applyFont="1" applyFill="1" applyBorder="1" applyAlignment="1">
      <alignment horizontal="center" vertical="center"/>
    </xf>
    <xf numFmtId="9" fontId="11" fillId="5" borderId="0" xfId="2" applyFont="1" applyFill="1" applyBorder="1" applyAlignment="1">
      <alignment horizontal="center" vertical="center"/>
    </xf>
    <xf numFmtId="0" fontId="6" fillId="2" borderId="0" xfId="0" applyFont="1" applyFill="1"/>
    <xf numFmtId="37" fontId="10" fillId="5" borderId="25" xfId="0" applyNumberFormat="1" applyFont="1" applyFill="1" applyBorder="1" applyAlignment="1">
      <alignment horizontal="center" vertical="center"/>
    </xf>
    <xf numFmtId="37" fontId="4" fillId="2" borderId="26" xfId="0" applyNumberFormat="1" applyFont="1" applyFill="1" applyBorder="1" applyAlignment="1">
      <alignment horizontal="center" vertical="center"/>
    </xf>
    <xf numFmtId="37" fontId="10" fillId="4" borderId="18" xfId="0" applyNumberFormat="1" applyFont="1" applyFill="1" applyBorder="1" applyAlignment="1">
      <alignment horizontal="center" vertical="center"/>
    </xf>
    <xf numFmtId="37" fontId="10" fillId="4" borderId="19" xfId="0" applyNumberFormat="1" applyFont="1" applyFill="1" applyBorder="1" applyAlignment="1">
      <alignment horizontal="center" vertical="center"/>
    </xf>
    <xf numFmtId="37" fontId="10" fillId="5" borderId="18" xfId="0" applyNumberFormat="1" applyFont="1" applyFill="1" applyBorder="1" applyAlignment="1">
      <alignment horizontal="center" vertical="center"/>
    </xf>
    <xf numFmtId="0" fontId="3" fillId="2" borderId="0" xfId="0" applyFont="1" applyFill="1" applyAlignment="1">
      <alignment horizontal="left" indent="1"/>
    </xf>
    <xf numFmtId="37" fontId="10" fillId="2" borderId="0" xfId="0" applyNumberFormat="1" applyFont="1" applyFill="1" applyAlignment="1">
      <alignment horizontal="center" vertical="center"/>
    </xf>
    <xf numFmtId="0" fontId="3" fillId="2" borderId="16" xfId="0" applyFont="1" applyFill="1" applyBorder="1" applyAlignment="1">
      <alignment horizontal="left" indent="2"/>
    </xf>
    <xf numFmtId="0" fontId="5" fillId="2" borderId="16" xfId="0" applyFont="1" applyFill="1" applyBorder="1" applyAlignment="1">
      <alignment horizontal="left" indent="2"/>
    </xf>
    <xf numFmtId="37" fontId="10" fillId="5" borderId="21" xfId="0" applyNumberFormat="1" applyFont="1" applyFill="1" applyBorder="1" applyAlignment="1">
      <alignment horizontal="center" vertical="center"/>
    </xf>
    <xf numFmtId="0" fontId="6" fillId="2" borderId="16" xfId="0" applyFont="1" applyFill="1" applyBorder="1" applyAlignment="1">
      <alignment horizontal="left" indent="3"/>
    </xf>
    <xf numFmtId="39" fontId="10" fillId="4" borderId="0" xfId="0" applyNumberFormat="1" applyFont="1" applyFill="1" applyAlignment="1">
      <alignment horizontal="center" vertical="center"/>
    </xf>
    <xf numFmtId="39" fontId="10" fillId="5" borderId="0" xfId="0" applyNumberFormat="1" applyFont="1" applyFill="1" applyAlignment="1">
      <alignment horizontal="center" vertical="center"/>
    </xf>
    <xf numFmtId="0" fontId="6" fillId="2" borderId="16" xfId="0" applyFont="1" applyFill="1" applyBorder="1"/>
    <xf numFmtId="0" fontId="14" fillId="2" borderId="16" xfId="0" applyFont="1" applyFill="1" applyBorder="1" applyAlignment="1">
      <alignment horizontal="left" indent="1"/>
    </xf>
    <xf numFmtId="0" fontId="3" fillId="2" borderId="20" xfId="0" applyFont="1" applyFill="1" applyBorder="1" applyAlignment="1">
      <alignment horizontal="left" indent="2"/>
    </xf>
    <xf numFmtId="166" fontId="10" fillId="5" borderId="15" xfId="0" applyNumberFormat="1" applyFont="1" applyFill="1" applyBorder="1" applyAlignment="1">
      <alignment horizontal="center" vertical="center"/>
    </xf>
    <xf numFmtId="164" fontId="11" fillId="5" borderId="19" xfId="0" applyNumberFormat="1" applyFont="1" applyFill="1" applyBorder="1" applyAlignment="1">
      <alignment horizontal="center" vertical="center"/>
    </xf>
    <xf numFmtId="37" fontId="4" fillId="5" borderId="11" xfId="0" applyNumberFormat="1" applyFont="1" applyFill="1" applyBorder="1" applyAlignment="1">
      <alignment horizontal="center" vertical="center"/>
    </xf>
    <xf numFmtId="0" fontId="6" fillId="2" borderId="21" xfId="0" applyFont="1" applyFill="1" applyBorder="1" applyAlignment="1">
      <alignment horizontal="left" indent="2"/>
    </xf>
    <xf numFmtId="37" fontId="4" fillId="2" borderId="0" xfId="0" applyNumberFormat="1" applyFont="1" applyFill="1" applyAlignment="1">
      <alignment horizontal="center" vertical="center"/>
    </xf>
    <xf numFmtId="37" fontId="4" fillId="2" borderId="22" xfId="0" applyNumberFormat="1" applyFont="1" applyFill="1" applyBorder="1" applyAlignment="1">
      <alignment horizontal="center" vertical="center"/>
    </xf>
    <xf numFmtId="0" fontId="14" fillId="2" borderId="12" xfId="0" applyFont="1" applyFill="1" applyBorder="1" applyAlignment="1">
      <alignment horizontal="left" indent="1"/>
    </xf>
    <xf numFmtId="0" fontId="15" fillId="7" borderId="0" xfId="0" applyFont="1" applyFill="1"/>
    <xf numFmtId="37" fontId="4" fillId="4" borderId="14" xfId="0" applyNumberFormat="1" applyFont="1" applyFill="1" applyBorder="1" applyAlignment="1">
      <alignment horizontal="center" vertical="center"/>
    </xf>
    <xf numFmtId="37" fontId="4" fillId="4" borderId="15" xfId="0" applyNumberFormat="1" applyFont="1" applyFill="1" applyBorder="1" applyAlignment="1">
      <alignment horizontal="center" vertical="center"/>
    </xf>
    <xf numFmtId="37" fontId="4" fillId="5" borderId="13" xfId="0" applyNumberFormat="1" applyFont="1" applyFill="1" applyBorder="1" applyAlignment="1">
      <alignment horizontal="center" vertical="center"/>
    </xf>
    <xf numFmtId="37" fontId="4" fillId="5" borderId="14" xfId="0" applyNumberFormat="1" applyFont="1" applyFill="1" applyBorder="1" applyAlignment="1">
      <alignment horizontal="center" vertical="center"/>
    </xf>
    <xf numFmtId="37" fontId="4" fillId="5" borderId="15" xfId="0" applyNumberFormat="1" applyFont="1" applyFill="1" applyBorder="1" applyAlignment="1">
      <alignment horizontal="center" vertical="center"/>
    </xf>
    <xf numFmtId="37" fontId="4" fillId="5" borderId="21" xfId="0" applyNumberFormat="1" applyFont="1" applyFill="1" applyBorder="1" applyAlignment="1">
      <alignment horizontal="center" vertical="center"/>
    </xf>
    <xf numFmtId="37" fontId="4" fillId="5" borderId="22" xfId="0" applyNumberFormat="1" applyFont="1" applyFill="1" applyBorder="1" applyAlignment="1">
      <alignment horizontal="center" vertical="center"/>
    </xf>
    <xf numFmtId="0" fontId="5" fillId="2" borderId="28" xfId="0" applyFont="1" applyFill="1" applyBorder="1" applyAlignment="1">
      <alignment horizontal="left" indent="2"/>
    </xf>
    <xf numFmtId="37" fontId="10" fillId="5" borderId="23" xfId="0" applyNumberFormat="1" applyFont="1" applyFill="1" applyBorder="1" applyAlignment="1">
      <alignment horizontal="center" vertical="center"/>
    </xf>
    <xf numFmtId="0" fontId="3" fillId="2" borderId="16" xfId="0" applyFont="1" applyFill="1" applyBorder="1" applyAlignment="1">
      <alignment horizontal="left" indent="1"/>
    </xf>
    <xf numFmtId="37" fontId="4" fillId="6" borderId="22" xfId="0" applyNumberFormat="1" applyFont="1" applyFill="1" applyBorder="1" applyAlignment="1">
      <alignment horizontal="center" vertical="center"/>
    </xf>
    <xf numFmtId="0" fontId="5" fillId="2" borderId="16" xfId="0" applyFont="1" applyFill="1" applyBorder="1" applyAlignment="1">
      <alignment horizontal="left" indent="1"/>
    </xf>
    <xf numFmtId="37" fontId="10" fillId="5" borderId="22" xfId="0" applyNumberFormat="1" applyFont="1" applyFill="1" applyBorder="1" applyAlignment="1">
      <alignment horizontal="center" vertical="center"/>
    </xf>
    <xf numFmtId="0" fontId="5" fillId="2" borderId="16" xfId="0" applyFont="1" applyFill="1" applyBorder="1" applyAlignment="1">
      <alignment horizontal="left" vertical="center" indent="2"/>
    </xf>
    <xf numFmtId="0" fontId="3" fillId="2" borderId="16" xfId="0" applyFont="1" applyFill="1" applyBorder="1" applyAlignment="1">
      <alignment horizontal="left" indent="3"/>
    </xf>
    <xf numFmtId="37" fontId="10" fillId="5" borderId="14" xfId="0" applyNumberFormat="1" applyFont="1" applyFill="1" applyBorder="1" applyAlignment="1">
      <alignment horizontal="center" vertical="center"/>
    </xf>
    <xf numFmtId="37" fontId="10" fillId="5" borderId="15" xfId="0" applyNumberFormat="1" applyFont="1" applyFill="1" applyBorder="1" applyAlignment="1">
      <alignment horizontal="center" vertical="center"/>
    </xf>
    <xf numFmtId="37" fontId="4" fillId="4" borderId="17" xfId="0" applyNumberFormat="1" applyFont="1" applyFill="1" applyBorder="1" applyAlignment="1">
      <alignment horizontal="center" vertical="center"/>
    </xf>
    <xf numFmtId="37" fontId="4" fillId="4" borderId="18" xfId="0" applyNumberFormat="1" applyFont="1" applyFill="1" applyBorder="1" applyAlignment="1">
      <alignment horizontal="center" vertical="center"/>
    </xf>
    <xf numFmtId="37" fontId="4" fillId="4" borderId="19" xfId="0" applyNumberFormat="1" applyFont="1" applyFill="1" applyBorder="1" applyAlignment="1">
      <alignment horizontal="center" vertical="center"/>
    </xf>
    <xf numFmtId="37" fontId="4" fillId="5" borderId="18" xfId="0" applyNumberFormat="1" applyFont="1" applyFill="1" applyBorder="1" applyAlignment="1">
      <alignment horizontal="center" vertical="center"/>
    </xf>
    <xf numFmtId="37" fontId="4" fillId="5" borderId="19" xfId="0" applyNumberFormat="1" applyFont="1" applyFill="1" applyBorder="1" applyAlignment="1">
      <alignment horizontal="center" vertical="center"/>
    </xf>
    <xf numFmtId="37" fontId="10" fillId="4" borderId="0" xfId="0" applyNumberFormat="1" applyFont="1" applyFill="1" applyBorder="1" applyAlignment="1">
      <alignment horizontal="center" vertical="center"/>
    </xf>
    <xf numFmtId="37" fontId="10" fillId="5" borderId="0" xfId="0" applyNumberFormat="1" applyFont="1" applyFill="1" applyBorder="1" applyAlignment="1">
      <alignment horizontal="center" vertical="center"/>
    </xf>
    <xf numFmtId="37" fontId="4" fillId="2" borderId="0" xfId="0" applyNumberFormat="1" applyFont="1" applyFill="1" applyBorder="1" applyAlignment="1">
      <alignment horizontal="center" vertical="center"/>
    </xf>
    <xf numFmtId="37" fontId="4" fillId="4" borderId="0" xfId="0" applyNumberFormat="1" applyFont="1" applyFill="1" applyBorder="1" applyAlignment="1">
      <alignment horizontal="center" vertical="center"/>
    </xf>
    <xf numFmtId="0" fontId="11" fillId="2" borderId="16" xfId="0" applyFont="1" applyFill="1" applyBorder="1" applyAlignment="1">
      <alignment horizontal="left" indent="3"/>
    </xf>
    <xf numFmtId="0" fontId="5" fillId="2" borderId="28" xfId="0" applyFont="1" applyFill="1" applyBorder="1" applyAlignment="1">
      <alignment horizontal="left" vertical="center" indent="2"/>
    </xf>
    <xf numFmtId="0" fontId="5" fillId="2" borderId="20" xfId="0" applyFont="1" applyFill="1" applyBorder="1" applyAlignment="1">
      <alignment horizontal="left" vertical="center" indent="2"/>
    </xf>
    <xf numFmtId="37" fontId="4" fillId="5" borderId="0" xfId="0" applyNumberFormat="1" applyFont="1" applyFill="1" applyBorder="1" applyAlignment="1">
      <alignment horizontal="center" vertical="center"/>
    </xf>
    <xf numFmtId="0" fontId="16" fillId="2" borderId="16" xfId="0" applyFont="1" applyFill="1" applyBorder="1" applyAlignment="1">
      <alignment horizontal="left" indent="3"/>
    </xf>
    <xf numFmtId="9" fontId="13" fillId="4" borderId="0" xfId="2" applyFont="1" applyFill="1" applyBorder="1" applyAlignment="1">
      <alignment horizontal="center" vertical="center"/>
    </xf>
    <xf numFmtId="168" fontId="13" fillId="4" borderId="0" xfId="2" applyNumberFormat="1" applyFont="1" applyFill="1" applyBorder="1" applyAlignment="1">
      <alignment horizontal="center" vertical="center"/>
    </xf>
    <xf numFmtId="168" fontId="13" fillId="5" borderId="0" xfId="2" applyNumberFormat="1" applyFont="1" applyFill="1" applyBorder="1" applyAlignment="1">
      <alignment horizontal="center" vertical="center"/>
    </xf>
    <xf numFmtId="168" fontId="4" fillId="4" borderId="22" xfId="2" applyNumberFormat="1" applyFont="1" applyFill="1" applyBorder="1" applyAlignment="1">
      <alignment horizontal="center" vertical="center"/>
    </xf>
    <xf numFmtId="168" fontId="11" fillId="4" borderId="0" xfId="2" applyNumberFormat="1" applyFont="1" applyFill="1" applyBorder="1" applyAlignment="1">
      <alignment horizontal="center" vertical="center"/>
    </xf>
    <xf numFmtId="168" fontId="11" fillId="4" borderId="22" xfId="2" applyNumberFormat="1" applyFont="1" applyFill="1" applyBorder="1" applyAlignment="1">
      <alignment horizontal="center" vertical="center"/>
    </xf>
    <xf numFmtId="168" fontId="13" fillId="4" borderId="0" xfId="2" applyNumberFormat="1" applyFont="1" applyFill="1" applyAlignment="1">
      <alignment horizontal="center" vertical="center"/>
    </xf>
    <xf numFmtId="168" fontId="13" fillId="4" borderId="22" xfId="2" applyNumberFormat="1" applyFont="1" applyFill="1" applyBorder="1" applyAlignment="1">
      <alignment horizontal="center" vertical="center"/>
    </xf>
    <xf numFmtId="168" fontId="13" fillId="5" borderId="0" xfId="2" applyNumberFormat="1" applyFont="1" applyFill="1" applyAlignment="1">
      <alignment horizontal="center" vertical="center"/>
    </xf>
    <xf numFmtId="9" fontId="13" fillId="4" borderId="22" xfId="2" applyFont="1" applyFill="1" applyBorder="1" applyAlignment="1">
      <alignment horizontal="center" vertical="center"/>
    </xf>
    <xf numFmtId="168" fontId="2" fillId="4" borderId="0" xfId="2" applyNumberFormat="1" applyFont="1" applyFill="1" applyBorder="1" applyAlignment="1">
      <alignment horizontal="center" vertical="center"/>
    </xf>
    <xf numFmtId="168" fontId="2" fillId="4" borderId="0" xfId="2" applyNumberFormat="1" applyFont="1" applyFill="1" applyAlignment="1">
      <alignment horizontal="center" vertical="center"/>
    </xf>
    <xf numFmtId="168" fontId="2" fillId="4" borderId="22" xfId="2" applyNumberFormat="1" applyFont="1" applyFill="1" applyBorder="1" applyAlignment="1">
      <alignment horizontal="center" vertical="center"/>
    </xf>
    <xf numFmtId="37" fontId="10" fillId="2" borderId="0" xfId="0" applyNumberFormat="1" applyFont="1" applyFill="1" applyBorder="1" applyAlignment="1">
      <alignment horizontal="center" vertical="center"/>
    </xf>
    <xf numFmtId="168" fontId="11" fillId="5" borderId="0" xfId="2" applyNumberFormat="1" applyFont="1" applyFill="1" applyBorder="1" applyAlignment="1">
      <alignment horizontal="center" vertical="center"/>
    </xf>
    <xf numFmtId="39" fontId="10" fillId="4" borderId="0" xfId="0" applyNumberFormat="1" applyFont="1" applyFill="1" applyBorder="1" applyAlignment="1">
      <alignment horizontal="center" vertical="center"/>
    </xf>
    <xf numFmtId="39" fontId="10" fillId="4" borderId="22" xfId="0" applyNumberFormat="1" applyFont="1" applyFill="1" applyBorder="1" applyAlignment="1">
      <alignment horizontal="center" vertical="center"/>
    </xf>
    <xf numFmtId="0" fontId="11" fillId="2" borderId="16" xfId="0" applyFont="1" applyFill="1" applyBorder="1" applyAlignment="1">
      <alignment horizontal="left" indent="4"/>
    </xf>
    <xf numFmtId="0" fontId="19" fillId="2" borderId="0" xfId="0" applyFont="1" applyFill="1" applyAlignment="1">
      <alignment horizontal="center" vertical="center"/>
    </xf>
    <xf numFmtId="0" fontId="20" fillId="2" borderId="0" xfId="0" applyFont="1" applyFill="1" applyAlignment="1">
      <alignment horizontal="center" vertical="center"/>
    </xf>
    <xf numFmtId="0" fontId="21" fillId="2" borderId="0" xfId="0" applyFont="1" applyFill="1" applyAlignment="1">
      <alignment horizontal="center" vertical="center"/>
    </xf>
    <xf numFmtId="0" fontId="19" fillId="2" borderId="0" xfId="0" applyFont="1" applyFill="1" applyAlignment="1">
      <alignment horizontal="center" vertical="center" wrapText="1"/>
    </xf>
    <xf numFmtId="167" fontId="10" fillId="2" borderId="0" xfId="0" applyNumberFormat="1" applyFont="1" applyFill="1" applyBorder="1" applyAlignment="1">
      <alignment horizontal="center" vertical="center"/>
    </xf>
    <xf numFmtId="0" fontId="3" fillId="2" borderId="16" xfId="0" applyFont="1" applyFill="1" applyBorder="1"/>
    <xf numFmtId="0" fontId="3" fillId="2" borderId="20" xfId="0" applyFont="1" applyFill="1" applyBorder="1"/>
    <xf numFmtId="0" fontId="5" fillId="2" borderId="24" xfId="0" applyFont="1" applyFill="1" applyBorder="1"/>
    <xf numFmtId="168" fontId="13" fillId="5" borderId="21" xfId="2" applyNumberFormat="1" applyFont="1" applyFill="1" applyBorder="1" applyAlignment="1">
      <alignment horizontal="center" vertical="center"/>
    </xf>
    <xf numFmtId="168" fontId="13" fillId="5" borderId="22" xfId="2" applyNumberFormat="1" applyFont="1" applyFill="1" applyBorder="1" applyAlignment="1">
      <alignment horizontal="center" vertical="center"/>
    </xf>
    <xf numFmtId="37" fontId="4" fillId="6" borderId="21" xfId="0" applyNumberFormat="1" applyFont="1" applyFill="1" applyBorder="1" applyAlignment="1">
      <alignment horizontal="center" vertical="center"/>
    </xf>
    <xf numFmtId="37" fontId="4" fillId="6" borderId="0" xfId="0" applyNumberFormat="1" applyFont="1" applyFill="1" applyBorder="1" applyAlignment="1">
      <alignment horizontal="center" vertical="center"/>
    </xf>
    <xf numFmtId="168" fontId="2" fillId="5" borderId="21" xfId="2" applyNumberFormat="1" applyFont="1" applyFill="1" applyBorder="1" applyAlignment="1">
      <alignment horizontal="center" vertical="center"/>
    </xf>
    <xf numFmtId="168" fontId="2" fillId="5" borderId="0" xfId="2" applyNumberFormat="1" applyFont="1" applyFill="1" applyBorder="1" applyAlignment="1">
      <alignment horizontal="center" vertical="center"/>
    </xf>
    <xf numFmtId="168" fontId="2" fillId="5" borderId="22" xfId="2" applyNumberFormat="1" applyFont="1" applyFill="1" applyBorder="1" applyAlignment="1">
      <alignment horizontal="center" vertical="center"/>
    </xf>
    <xf numFmtId="37" fontId="10" fillId="5" borderId="13" xfId="0" applyNumberFormat="1" applyFont="1" applyFill="1" applyBorder="1" applyAlignment="1">
      <alignment horizontal="center" vertical="center"/>
    </xf>
    <xf numFmtId="0" fontId="5" fillId="2" borderId="16" xfId="0" applyFont="1" applyFill="1" applyBorder="1" applyAlignment="1">
      <alignment horizontal="left" wrapText="1" indent="1"/>
    </xf>
    <xf numFmtId="0" fontId="6" fillId="2" borderId="20" xfId="0" applyFont="1" applyFill="1" applyBorder="1" applyAlignment="1">
      <alignment horizontal="left" vertical="center" indent="2"/>
    </xf>
    <xf numFmtId="0" fontId="4" fillId="2" borderId="0" xfId="0" applyFont="1" applyFill="1" applyBorder="1" applyAlignment="1">
      <alignment horizontal="center" vertical="center"/>
    </xf>
    <xf numFmtId="0" fontId="5" fillId="2" borderId="28" xfId="0" applyFont="1" applyFill="1" applyBorder="1" applyAlignment="1">
      <alignment horizontal="left" indent="1"/>
    </xf>
    <xf numFmtId="0" fontId="3" fillId="2" borderId="16" xfId="0" applyFont="1" applyFill="1" applyBorder="1" applyAlignment="1">
      <alignment horizontal="left" indent="4"/>
    </xf>
    <xf numFmtId="169" fontId="4" fillId="5" borderId="0" xfId="0" applyNumberFormat="1" applyFont="1" applyFill="1" applyBorder="1" applyAlignment="1">
      <alignment horizontal="center" vertical="center"/>
    </xf>
    <xf numFmtId="169" fontId="4" fillId="5" borderId="22" xfId="0" applyNumberFormat="1" applyFont="1" applyFill="1" applyBorder="1" applyAlignment="1">
      <alignment horizontal="center" vertical="center"/>
    </xf>
    <xf numFmtId="0" fontId="3" fillId="2" borderId="0" xfId="0" applyFont="1" applyFill="1" applyBorder="1"/>
    <xf numFmtId="169" fontId="4" fillId="4" borderId="0" xfId="0" applyNumberFormat="1" applyFont="1" applyFill="1" applyBorder="1" applyAlignment="1">
      <alignment horizontal="center" vertical="center"/>
    </xf>
    <xf numFmtId="169" fontId="4" fillId="4" borderId="22" xfId="0" applyNumberFormat="1" applyFont="1" applyFill="1" applyBorder="1" applyAlignment="1">
      <alignment horizontal="center" vertical="center"/>
    </xf>
    <xf numFmtId="169" fontId="4" fillId="4" borderId="21" xfId="0" applyNumberFormat="1" applyFont="1" applyFill="1" applyBorder="1" applyAlignment="1">
      <alignment horizontal="center" vertical="center"/>
    </xf>
    <xf numFmtId="169" fontId="4" fillId="4" borderId="18" xfId="0" applyNumberFormat="1" applyFont="1" applyFill="1" applyBorder="1" applyAlignment="1">
      <alignment horizontal="center" vertical="center"/>
    </xf>
    <xf numFmtId="37" fontId="11" fillId="2" borderId="0" xfId="0" applyNumberFormat="1" applyFont="1" applyFill="1" applyBorder="1" applyAlignment="1">
      <alignment horizontal="center" vertical="center"/>
    </xf>
    <xf numFmtId="168" fontId="13" fillId="4" borderId="21" xfId="2" applyNumberFormat="1" applyFont="1" applyFill="1" applyBorder="1" applyAlignment="1">
      <alignment horizontal="center" vertical="center"/>
    </xf>
    <xf numFmtId="0" fontId="21" fillId="2" borderId="24" xfId="0" applyFont="1" applyFill="1" applyBorder="1" applyAlignment="1">
      <alignment horizontal="center" vertical="center"/>
    </xf>
    <xf numFmtId="0" fontId="6" fillId="2" borderId="24" xfId="0" applyFont="1" applyFill="1" applyBorder="1"/>
    <xf numFmtId="0" fontId="6" fillId="2" borderId="16" xfId="0" applyFont="1" applyFill="1" applyBorder="1" applyAlignment="1">
      <alignment horizontal="left" indent="4"/>
    </xf>
    <xf numFmtId="169" fontId="11" fillId="4" borderId="21" xfId="0" applyNumberFormat="1" applyFont="1" applyFill="1" applyBorder="1" applyAlignment="1">
      <alignment horizontal="center" vertical="center"/>
    </xf>
    <xf numFmtId="169" fontId="11" fillId="4" borderId="0" xfId="0" applyNumberFormat="1" applyFont="1" applyFill="1" applyBorder="1" applyAlignment="1">
      <alignment horizontal="center" vertical="center"/>
    </xf>
    <xf numFmtId="169" fontId="11" fillId="4" borderId="22" xfId="0" applyNumberFormat="1" applyFont="1" applyFill="1" applyBorder="1" applyAlignment="1">
      <alignment horizontal="center" vertical="center"/>
    </xf>
    <xf numFmtId="169" fontId="11" fillId="5" borderId="0" xfId="0" applyNumberFormat="1" applyFont="1" applyFill="1" applyBorder="1" applyAlignment="1">
      <alignment horizontal="center" vertical="center"/>
    </xf>
    <xf numFmtId="169" fontId="11" fillId="5" borderId="22" xfId="0" applyNumberFormat="1" applyFont="1" applyFill="1" applyBorder="1" applyAlignment="1">
      <alignment horizontal="center" vertical="center"/>
    </xf>
    <xf numFmtId="0" fontId="11" fillId="2" borderId="0" xfId="0" applyFont="1" applyFill="1" applyAlignment="1">
      <alignment horizontal="center" vertical="center"/>
    </xf>
    <xf numFmtId="169" fontId="11" fillId="5" borderId="21" xfId="0" applyNumberFormat="1" applyFont="1" applyFill="1" applyBorder="1" applyAlignment="1">
      <alignment horizontal="center" vertical="center"/>
    </xf>
    <xf numFmtId="0" fontId="11" fillId="2" borderId="0" xfId="0" applyFont="1" applyFill="1"/>
    <xf numFmtId="0" fontId="17" fillId="2" borderId="16" xfId="0" applyFont="1" applyFill="1" applyBorder="1" applyAlignment="1">
      <alignment horizontal="left" indent="5"/>
    </xf>
    <xf numFmtId="0" fontId="5" fillId="2" borderId="0" xfId="0" applyFont="1" applyFill="1" applyBorder="1"/>
    <xf numFmtId="169" fontId="22" fillId="5" borderId="0" xfId="0" applyNumberFormat="1" applyFont="1" applyFill="1" applyBorder="1" applyAlignment="1">
      <alignment horizontal="center" vertical="center"/>
    </xf>
    <xf numFmtId="169" fontId="22" fillId="5" borderId="22" xfId="0" applyNumberFormat="1" applyFont="1" applyFill="1" applyBorder="1" applyAlignment="1">
      <alignment horizontal="center" vertical="center"/>
    </xf>
    <xf numFmtId="0" fontId="18" fillId="2" borderId="28" xfId="0" applyFont="1" applyFill="1" applyBorder="1" applyAlignment="1">
      <alignment horizontal="left" indent="3"/>
    </xf>
    <xf numFmtId="37" fontId="12" fillId="4" borderId="24" xfId="0" applyNumberFormat="1" applyFont="1" applyFill="1" applyBorder="1" applyAlignment="1">
      <alignment horizontal="center" vertical="center"/>
    </xf>
    <xf numFmtId="37" fontId="12" fillId="4" borderId="25" xfId="0" applyNumberFormat="1" applyFont="1" applyFill="1" applyBorder="1" applyAlignment="1">
      <alignment horizontal="center" vertical="center"/>
    </xf>
    <xf numFmtId="37" fontId="12" fillId="5" borderId="24" xfId="0" applyNumberFormat="1" applyFont="1" applyFill="1" applyBorder="1" applyAlignment="1">
      <alignment horizontal="center" vertical="center"/>
    </xf>
    <xf numFmtId="37" fontId="12" fillId="5" borderId="25" xfId="0" applyNumberFormat="1" applyFont="1" applyFill="1" applyBorder="1" applyAlignment="1">
      <alignment horizontal="center" vertical="center"/>
    </xf>
    <xf numFmtId="0" fontId="23" fillId="2" borderId="24" xfId="0" applyFont="1" applyFill="1" applyBorder="1"/>
    <xf numFmtId="9" fontId="13" fillId="5" borderId="21" xfId="2" applyFont="1" applyFill="1" applyBorder="1" applyAlignment="1">
      <alignment horizontal="center" vertical="center"/>
    </xf>
    <xf numFmtId="9" fontId="13" fillId="5" borderId="0" xfId="2" applyFont="1" applyFill="1" applyBorder="1" applyAlignment="1">
      <alignment horizontal="center" vertical="center"/>
    </xf>
    <xf numFmtId="9" fontId="13" fillId="5" borderId="22" xfId="2" applyFont="1" applyFill="1" applyBorder="1" applyAlignment="1">
      <alignment horizontal="center" vertical="center"/>
    </xf>
    <xf numFmtId="0" fontId="15" fillId="7" borderId="24" xfId="0" applyFont="1" applyFill="1" applyBorder="1"/>
    <xf numFmtId="167" fontId="10" fillId="2" borderId="20" xfId="0" applyNumberFormat="1" applyFont="1" applyFill="1" applyBorder="1" applyAlignment="1">
      <alignment horizontal="left" indent="1"/>
    </xf>
    <xf numFmtId="43" fontId="10" fillId="2" borderId="18" xfId="1" applyFont="1" applyFill="1" applyBorder="1" applyAlignment="1">
      <alignment horizontal="center" vertical="center"/>
    </xf>
    <xf numFmtId="43" fontId="10" fillId="2" borderId="19" xfId="1" applyFont="1" applyFill="1" applyBorder="1" applyAlignment="1">
      <alignment horizontal="center" vertical="center"/>
    </xf>
    <xf numFmtId="0" fontId="13" fillId="2" borderId="0" xfId="0" applyFont="1" applyFill="1" applyAlignment="1">
      <alignment horizontal="center" vertical="center"/>
    </xf>
    <xf numFmtId="0" fontId="13" fillId="2" borderId="16" xfId="0" applyFont="1" applyFill="1" applyBorder="1" applyAlignment="1">
      <alignment horizontal="left" indent="4"/>
    </xf>
    <xf numFmtId="10" fontId="2" fillId="4" borderId="0" xfId="2" applyNumberFormat="1" applyFont="1" applyFill="1" applyBorder="1" applyAlignment="1">
      <alignment horizontal="center" vertical="center"/>
    </xf>
    <xf numFmtId="168" fontId="2" fillId="5" borderId="0" xfId="2" applyNumberFormat="1" applyFont="1" applyFill="1" applyAlignment="1">
      <alignment horizontal="center" vertical="center"/>
    </xf>
    <xf numFmtId="0" fontId="13" fillId="2" borderId="0" xfId="0" applyFont="1" applyFill="1"/>
    <xf numFmtId="37" fontId="2" fillId="4" borderId="0" xfId="0" applyNumberFormat="1" applyFont="1" applyFill="1" applyBorder="1" applyAlignment="1">
      <alignment horizontal="center" vertical="center"/>
    </xf>
    <xf numFmtId="37" fontId="2" fillId="4" borderId="0" xfId="0" applyNumberFormat="1" applyFont="1" applyFill="1" applyAlignment="1">
      <alignment horizontal="center" vertical="center"/>
    </xf>
    <xf numFmtId="37" fontId="2" fillId="4" borderId="22" xfId="0" applyNumberFormat="1" applyFont="1" applyFill="1" applyBorder="1" applyAlignment="1">
      <alignment horizontal="center" vertical="center"/>
    </xf>
    <xf numFmtId="37" fontId="2" fillId="5" borderId="0" xfId="0" applyNumberFormat="1" applyFont="1" applyFill="1" applyAlignment="1">
      <alignment horizontal="center" vertical="center"/>
    </xf>
    <xf numFmtId="37" fontId="4" fillId="8" borderId="21" xfId="0" applyNumberFormat="1" applyFont="1" applyFill="1" applyBorder="1" applyAlignment="1">
      <alignment horizontal="center" vertical="center"/>
    </xf>
    <xf numFmtId="37" fontId="4" fillId="8" borderId="0" xfId="0" applyNumberFormat="1" applyFont="1" applyFill="1" applyBorder="1" applyAlignment="1">
      <alignment horizontal="center" vertical="center"/>
    </xf>
    <xf numFmtId="37" fontId="4" fillId="8" borderId="22" xfId="0" applyNumberFormat="1" applyFont="1" applyFill="1" applyBorder="1" applyAlignment="1">
      <alignment horizontal="center" vertical="center"/>
    </xf>
    <xf numFmtId="0" fontId="3" fillId="2" borderId="20" xfId="0" applyFont="1" applyFill="1" applyBorder="1" applyAlignment="1">
      <alignment horizontal="left" indent="3"/>
    </xf>
    <xf numFmtId="166" fontId="10" fillId="5" borderId="13" xfId="0" applyNumberFormat="1" applyFont="1" applyFill="1" applyBorder="1" applyAlignment="1">
      <alignment horizontal="center" vertical="center"/>
    </xf>
    <xf numFmtId="37" fontId="4" fillId="5" borderId="17" xfId="0" applyNumberFormat="1" applyFont="1" applyFill="1" applyBorder="1" applyAlignment="1">
      <alignment horizontal="center" vertical="center"/>
    </xf>
    <xf numFmtId="37" fontId="4" fillId="4" borderId="24" xfId="0" applyNumberFormat="1" applyFont="1" applyFill="1" applyBorder="1" applyAlignment="1">
      <alignment horizontal="center" vertical="center"/>
    </xf>
    <xf numFmtId="37" fontId="4" fillId="4" borderId="25" xfId="0" applyNumberFormat="1" applyFont="1" applyFill="1" applyBorder="1" applyAlignment="1">
      <alignment horizontal="center" vertical="center"/>
    </xf>
    <xf numFmtId="37" fontId="4" fillId="5" borderId="23" xfId="0" applyNumberFormat="1" applyFont="1" applyFill="1" applyBorder="1" applyAlignment="1">
      <alignment horizontal="center" vertical="center"/>
    </xf>
    <xf numFmtId="37" fontId="4" fillId="5" borderId="24" xfId="0" applyNumberFormat="1" applyFont="1" applyFill="1" applyBorder="1" applyAlignment="1">
      <alignment horizontal="center" vertical="center"/>
    </xf>
    <xf numFmtId="37" fontId="4" fillId="5" borderId="25" xfId="0" applyNumberFormat="1" applyFont="1" applyFill="1" applyBorder="1" applyAlignment="1">
      <alignment horizontal="center" vertical="center"/>
    </xf>
    <xf numFmtId="0" fontId="5" fillId="2" borderId="28" xfId="0" applyFont="1" applyFill="1" applyBorder="1" applyAlignment="1">
      <alignment horizontal="left" indent="3"/>
    </xf>
    <xf numFmtId="0" fontId="5" fillId="2" borderId="16" xfId="0" applyFont="1" applyFill="1" applyBorder="1" applyAlignment="1">
      <alignment horizontal="left" indent="3"/>
    </xf>
    <xf numFmtId="0" fontId="15" fillId="9" borderId="0" xfId="0" applyFont="1" applyFill="1"/>
    <xf numFmtId="0" fontId="11" fillId="2" borderId="0" xfId="0" applyFont="1" applyFill="1" applyBorder="1" applyAlignment="1">
      <alignment horizontal="center" vertical="center"/>
    </xf>
    <xf numFmtId="169" fontId="4" fillId="5" borderId="21" xfId="0" applyNumberFormat="1" applyFont="1" applyFill="1" applyBorder="1" applyAlignment="1">
      <alignment horizontal="center" vertical="center"/>
    </xf>
    <xf numFmtId="169" fontId="22" fillId="5" borderId="21" xfId="0" applyNumberFormat="1" applyFont="1" applyFill="1" applyBorder="1" applyAlignment="1">
      <alignment horizontal="center" vertical="center"/>
    </xf>
    <xf numFmtId="37" fontId="12" fillId="5" borderId="23" xfId="0" applyNumberFormat="1" applyFont="1" applyFill="1" applyBorder="1" applyAlignment="1">
      <alignment horizontal="center" vertical="center"/>
    </xf>
    <xf numFmtId="0" fontId="9" fillId="3" borderId="29" xfId="0" applyFont="1" applyFill="1" applyBorder="1" applyAlignment="1">
      <alignment horizontal="center" vertical="center"/>
    </xf>
    <xf numFmtId="8" fontId="9" fillId="3" borderId="0" xfId="0" applyNumberFormat="1" applyFont="1" applyFill="1" applyBorder="1" applyAlignment="1">
      <alignment horizontal="center" vertical="center"/>
    </xf>
    <xf numFmtId="14" fontId="9" fillId="3" borderId="30" xfId="0" applyNumberFormat="1" applyFont="1" applyFill="1" applyBorder="1" applyAlignment="1">
      <alignment horizontal="center" vertical="center"/>
    </xf>
    <xf numFmtId="37" fontId="4" fillId="2" borderId="31" xfId="0" applyNumberFormat="1" applyFont="1" applyFill="1" applyBorder="1" applyAlignment="1">
      <alignment horizontal="center" vertical="center"/>
    </xf>
    <xf numFmtId="37" fontId="4" fillId="2" borderId="32" xfId="0" applyNumberFormat="1" applyFont="1" applyFill="1" applyBorder="1" applyAlignment="1">
      <alignment horizontal="center" vertical="center"/>
    </xf>
    <xf numFmtId="37" fontId="11" fillId="2" borderId="21" xfId="0" applyNumberFormat="1" applyFont="1" applyFill="1" applyBorder="1" applyAlignment="1">
      <alignment horizontal="center" vertical="center"/>
    </xf>
    <xf numFmtId="37" fontId="10" fillId="2" borderId="21" xfId="0" applyNumberFormat="1" applyFont="1" applyFill="1" applyBorder="1" applyAlignment="1">
      <alignment horizontal="center" vertical="center"/>
    </xf>
    <xf numFmtId="37" fontId="4" fillId="2" borderId="33" xfId="0" applyNumberFormat="1" applyFont="1" applyFill="1" applyBorder="1" applyAlignment="1">
      <alignment horizontal="center" vertical="center"/>
    </xf>
    <xf numFmtId="37" fontId="10" fillId="2" borderId="17" xfId="0" applyNumberFormat="1" applyFont="1" applyFill="1" applyBorder="1" applyAlignment="1">
      <alignment horizontal="center" vertical="center"/>
    </xf>
    <xf numFmtId="37" fontId="13" fillId="2" borderId="21" xfId="0" applyNumberFormat="1" applyFont="1" applyFill="1" applyBorder="1" applyAlignment="1">
      <alignment horizontal="center" vertical="center"/>
    </xf>
    <xf numFmtId="37" fontId="10" fillId="2" borderId="18" xfId="0" applyNumberFormat="1" applyFont="1" applyFill="1" applyBorder="1" applyAlignment="1">
      <alignment horizontal="center" vertical="center"/>
    </xf>
    <xf numFmtId="0" fontId="10" fillId="2" borderId="21" xfId="0" applyFont="1" applyFill="1" applyBorder="1" applyAlignment="1">
      <alignment horizontal="center" vertical="center"/>
    </xf>
    <xf numFmtId="37" fontId="4" fillId="2" borderId="18" xfId="0" applyNumberFormat="1" applyFont="1" applyFill="1" applyBorder="1" applyAlignment="1">
      <alignment horizontal="center" vertical="center"/>
    </xf>
    <xf numFmtId="0" fontId="6" fillId="2" borderId="0" xfId="0" applyFont="1" applyFill="1" applyBorder="1"/>
    <xf numFmtId="0" fontId="11" fillId="2" borderId="0" xfId="0" applyFont="1" applyFill="1" applyBorder="1"/>
    <xf numFmtId="0" fontId="13" fillId="2" borderId="0" xfId="0" applyFont="1" applyFill="1" applyBorder="1"/>
    <xf numFmtId="37" fontId="24" fillId="5" borderId="0" xfId="0" applyNumberFormat="1" applyFont="1" applyFill="1" applyBorder="1" applyAlignment="1">
      <alignment horizontal="center" vertical="center"/>
    </xf>
    <xf numFmtId="37" fontId="24" fillId="2" borderId="0" xfId="0" applyNumberFormat="1" applyFont="1" applyFill="1" applyBorder="1" applyAlignment="1">
      <alignment horizontal="center" vertical="center"/>
    </xf>
    <xf numFmtId="9" fontId="26" fillId="5" borderId="21" xfId="2" applyFont="1" applyFill="1" applyBorder="1" applyAlignment="1">
      <alignment horizontal="center" vertical="center"/>
    </xf>
    <xf numFmtId="9" fontId="26" fillId="5" borderId="0" xfId="2" applyFont="1" applyFill="1" applyBorder="1" applyAlignment="1">
      <alignment horizontal="center" vertical="center"/>
    </xf>
    <xf numFmtId="9" fontId="26" fillId="5" borderId="22" xfId="2" applyFont="1" applyFill="1" applyBorder="1" applyAlignment="1">
      <alignment horizontal="center" vertical="center"/>
    </xf>
    <xf numFmtId="168" fontId="4" fillId="4" borderId="0" xfId="2" applyNumberFormat="1" applyFont="1" applyFill="1" applyBorder="1" applyAlignment="1">
      <alignment horizontal="center" vertical="center"/>
    </xf>
    <xf numFmtId="37" fontId="24" fillId="5" borderId="21" xfId="0" applyNumberFormat="1" applyFont="1" applyFill="1" applyBorder="1" applyAlignment="1">
      <alignment horizontal="center" vertical="center"/>
    </xf>
    <xf numFmtId="37" fontId="24" fillId="5" borderId="22" xfId="0" applyNumberFormat="1" applyFont="1" applyFill="1" applyBorder="1" applyAlignment="1">
      <alignment horizontal="center" vertical="center"/>
    </xf>
    <xf numFmtId="0" fontId="25" fillId="2" borderId="16" xfId="0" applyFont="1" applyFill="1" applyBorder="1" applyAlignment="1">
      <alignment horizontal="left" indent="5"/>
    </xf>
    <xf numFmtId="166" fontId="10" fillId="5" borderId="21" xfId="0" applyNumberFormat="1" applyFont="1" applyFill="1" applyBorder="1" applyAlignment="1">
      <alignment horizontal="center" vertical="center"/>
    </xf>
    <xf numFmtId="166" fontId="10" fillId="5" borderId="0" xfId="0" applyNumberFormat="1" applyFont="1" applyFill="1" applyBorder="1" applyAlignment="1">
      <alignment horizontal="center" vertical="center"/>
    </xf>
    <xf numFmtId="166" fontId="10" fillId="5" borderId="22" xfId="0" applyNumberFormat="1" applyFont="1" applyFill="1" applyBorder="1" applyAlignment="1">
      <alignment horizontal="center" vertical="center"/>
    </xf>
    <xf numFmtId="0" fontId="27" fillId="2" borderId="16" xfId="0" applyFont="1" applyFill="1" applyBorder="1" applyAlignment="1">
      <alignment horizontal="left" indent="2"/>
    </xf>
    <xf numFmtId="0" fontId="3" fillId="2" borderId="16" xfId="0" applyFont="1" applyFill="1" applyBorder="1" applyAlignment="1">
      <alignment horizontal="left" indent="5"/>
    </xf>
    <xf numFmtId="0" fontId="5" fillId="2" borderId="28" xfId="0" applyFont="1" applyFill="1" applyBorder="1" applyAlignment="1">
      <alignment horizontal="left" indent="4"/>
    </xf>
    <xf numFmtId="0" fontId="15" fillId="7" borderId="0" xfId="0" applyFont="1" applyFill="1" applyBorder="1"/>
    <xf numFmtId="0" fontId="15" fillId="7" borderId="21" xfId="0" applyFont="1" applyFill="1" applyBorder="1"/>
    <xf numFmtId="0" fontId="15" fillId="7" borderId="23" xfId="0" applyFont="1" applyFill="1" applyBorder="1"/>
    <xf numFmtId="0" fontId="15" fillId="7" borderId="17" xfId="0" applyFont="1" applyFill="1" applyBorder="1"/>
    <xf numFmtId="37" fontId="4" fillId="5" borderId="35" xfId="0" applyNumberFormat="1" applyFont="1" applyFill="1" applyBorder="1" applyAlignment="1">
      <alignment horizontal="center" vertical="center"/>
    </xf>
    <xf numFmtId="9" fontId="17" fillId="4" borderId="0" xfId="2" applyFont="1" applyFill="1" applyBorder="1" applyAlignment="1">
      <alignment horizontal="center" vertical="center"/>
    </xf>
    <xf numFmtId="9" fontId="17" fillId="4" borderId="22" xfId="2" applyFont="1" applyFill="1" applyBorder="1" applyAlignment="1">
      <alignment horizontal="center" vertical="center"/>
    </xf>
    <xf numFmtId="9" fontId="28" fillId="5" borderId="21" xfId="2" applyFont="1" applyFill="1" applyBorder="1" applyAlignment="1">
      <alignment horizontal="center" vertical="center"/>
    </xf>
    <xf numFmtId="9" fontId="28" fillId="5" borderId="0" xfId="2" applyFont="1" applyFill="1" applyBorder="1" applyAlignment="1">
      <alignment horizontal="center" vertical="center"/>
    </xf>
    <xf numFmtId="9" fontId="28" fillId="5" borderId="22" xfId="2" applyFont="1" applyFill="1" applyBorder="1" applyAlignment="1">
      <alignment horizontal="center" vertical="center"/>
    </xf>
    <xf numFmtId="0" fontId="15" fillId="7" borderId="22" xfId="0" applyFont="1" applyFill="1" applyBorder="1"/>
    <xf numFmtId="0" fontId="29" fillId="7" borderId="23" xfId="0" applyFont="1" applyFill="1" applyBorder="1"/>
    <xf numFmtId="168" fontId="28" fillId="5" borderId="21" xfId="2" applyNumberFormat="1" applyFont="1" applyFill="1" applyBorder="1" applyAlignment="1">
      <alignment horizontal="center" vertical="center"/>
    </xf>
    <xf numFmtId="168" fontId="28" fillId="5" borderId="0" xfId="2" applyNumberFormat="1" applyFont="1" applyFill="1" applyBorder="1" applyAlignment="1">
      <alignment horizontal="center" vertical="center"/>
    </xf>
    <xf numFmtId="168" fontId="28" fillId="5" borderId="22" xfId="2" applyNumberFormat="1" applyFont="1" applyFill="1" applyBorder="1" applyAlignment="1">
      <alignment horizontal="center" vertical="center"/>
    </xf>
    <xf numFmtId="37" fontId="4" fillId="8" borderId="0" xfId="0" applyNumberFormat="1" applyFont="1" applyFill="1" applyAlignment="1">
      <alignment horizontal="center" vertical="center"/>
    </xf>
    <xf numFmtId="37" fontId="4" fillId="2" borderId="27" xfId="0" applyNumberFormat="1" applyFont="1" applyFill="1" applyBorder="1" applyAlignment="1">
      <alignment vertical="center"/>
    </xf>
    <xf numFmtId="37" fontId="4" fillId="2" borderId="34" xfId="0" applyNumberFormat="1" applyFont="1" applyFill="1" applyBorder="1" applyAlignment="1">
      <alignment vertical="center"/>
    </xf>
    <xf numFmtId="168" fontId="26" fillId="5" borderId="21" xfId="2" applyNumberFormat="1" applyFont="1" applyFill="1" applyBorder="1" applyAlignment="1">
      <alignment horizontal="center" vertical="center"/>
    </xf>
    <xf numFmtId="168" fontId="26" fillId="5" borderId="0" xfId="2" applyNumberFormat="1" applyFont="1" applyFill="1" applyBorder="1" applyAlignment="1">
      <alignment horizontal="center" vertical="center"/>
    </xf>
    <xf numFmtId="168" fontId="26" fillId="5" borderId="22" xfId="2" applyNumberFormat="1" applyFont="1" applyFill="1" applyBorder="1" applyAlignment="1">
      <alignment horizontal="center" vertical="center"/>
    </xf>
    <xf numFmtId="37" fontId="4" fillId="10" borderId="21" xfId="0" applyNumberFormat="1" applyFont="1" applyFill="1" applyBorder="1" applyAlignment="1">
      <alignment horizontal="center" vertical="center"/>
    </xf>
    <xf numFmtId="37" fontId="4" fillId="10" borderId="0" xfId="0" applyNumberFormat="1" applyFont="1" applyFill="1" applyBorder="1" applyAlignment="1">
      <alignment horizontal="center" vertical="center"/>
    </xf>
    <xf numFmtId="37" fontId="4" fillId="10" borderId="22" xfId="0" applyNumberFormat="1" applyFont="1" applyFill="1" applyBorder="1" applyAlignment="1">
      <alignment horizontal="center" vertical="center"/>
    </xf>
    <xf numFmtId="0" fontId="5" fillId="2" borderId="21" xfId="0" applyFont="1" applyFill="1" applyBorder="1" applyAlignment="1">
      <alignment horizontal="left" indent="4"/>
    </xf>
    <xf numFmtId="0" fontId="5" fillId="2" borderId="13" xfId="0" applyFont="1" applyFill="1" applyBorder="1" applyAlignment="1">
      <alignment horizontal="left" vertical="center" indent="1"/>
    </xf>
    <xf numFmtId="0" fontId="27" fillId="2" borderId="21" xfId="0" applyFont="1" applyFill="1" applyBorder="1" applyAlignment="1">
      <alignment horizontal="left" indent="2"/>
    </xf>
    <xf numFmtId="0" fontId="3" fillId="2" borderId="21" xfId="0" applyFont="1" applyFill="1" applyBorder="1" applyAlignment="1">
      <alignment horizontal="left" indent="4"/>
    </xf>
    <xf numFmtId="0" fontId="3" fillId="2" borderId="21" xfId="0" applyFont="1" applyFill="1" applyBorder="1" applyAlignment="1">
      <alignment horizontal="left" indent="5"/>
    </xf>
    <xf numFmtId="0" fontId="3" fillId="2" borderId="17" xfId="0" applyFont="1" applyFill="1" applyBorder="1" applyAlignment="1">
      <alignment horizontal="left" indent="3"/>
    </xf>
    <xf numFmtId="37" fontId="4" fillId="4" borderId="21" xfId="0" applyNumberFormat="1" applyFont="1" applyFill="1" applyBorder="1" applyAlignment="1">
      <alignment horizontal="center" vertical="center"/>
    </xf>
    <xf numFmtId="0" fontId="7" fillId="2" borderId="0" xfId="0" applyFont="1" applyFill="1" applyBorder="1" applyAlignment="1">
      <alignment horizontal="left" vertical="top" indent="1"/>
    </xf>
    <xf numFmtId="14" fontId="8" fillId="2" borderId="0" xfId="0" applyNumberFormat="1" applyFont="1" applyFill="1" applyBorder="1" applyAlignment="1">
      <alignment horizontal="center" vertical="center"/>
    </xf>
    <xf numFmtId="0" fontId="7" fillId="2" borderId="0" xfId="0" applyFont="1" applyFill="1" applyBorder="1" applyAlignment="1">
      <alignment horizontal="left" vertical="center"/>
    </xf>
    <xf numFmtId="14" fontId="9" fillId="3" borderId="0" xfId="0" applyNumberFormat="1" applyFont="1" applyFill="1" applyBorder="1" applyAlignment="1">
      <alignment horizontal="center" vertical="center"/>
    </xf>
    <xf numFmtId="14" fontId="3" fillId="11" borderId="21" xfId="0" applyNumberFormat="1" applyFont="1" applyFill="1" applyBorder="1" applyAlignment="1">
      <alignment horizontal="left" indent="3"/>
    </xf>
    <xf numFmtId="14" fontId="8" fillId="11" borderId="36" xfId="0" applyNumberFormat="1" applyFont="1" applyFill="1" applyBorder="1" applyAlignment="1">
      <alignment horizontal="center" vertical="center"/>
    </xf>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11"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17" xfId="0" applyFont="1" applyFill="1" applyBorder="1" applyAlignment="1">
      <alignment horizontal="center" vertical="center"/>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7" xfId="0" applyFont="1" applyFill="1" applyBorder="1" applyAlignment="1">
      <alignment horizontal="left" vertical="center"/>
    </xf>
    <xf numFmtId="0" fontId="7" fillId="2" borderId="8" xfId="0" applyFont="1" applyFill="1" applyBorder="1" applyAlignment="1">
      <alignment horizontal="left" vertical="center"/>
    </xf>
    <xf numFmtId="14" fontId="3" fillId="12" borderId="21" xfId="0" applyNumberFormat="1" applyFont="1" applyFill="1" applyBorder="1" applyAlignment="1">
      <alignment horizontal="left" indent="3"/>
    </xf>
    <xf numFmtId="0" fontId="11" fillId="2" borderId="16" xfId="0" applyFont="1" applyFill="1" applyBorder="1" applyAlignment="1">
      <alignment horizontal="left" indent="5"/>
    </xf>
    <xf numFmtId="9" fontId="25" fillId="4" borderId="21" xfId="2" applyFont="1" applyFill="1" applyBorder="1" applyAlignment="1">
      <alignment horizontal="center" vertical="center"/>
    </xf>
    <xf numFmtId="9" fontId="25" fillId="4" borderId="0" xfId="2" applyFont="1" applyFill="1" applyBorder="1" applyAlignment="1">
      <alignment horizontal="center" vertical="center"/>
    </xf>
    <xf numFmtId="9" fontId="25" fillId="4" borderId="22" xfId="2" applyFont="1" applyFill="1" applyBorder="1" applyAlignment="1">
      <alignment horizontal="center" vertical="center"/>
    </xf>
    <xf numFmtId="168" fontId="25" fillId="4" borderId="21" xfId="2" applyNumberFormat="1" applyFont="1" applyFill="1" applyBorder="1" applyAlignment="1">
      <alignment horizontal="center" vertical="center"/>
    </xf>
    <xf numFmtId="168" fontId="25" fillId="4" borderId="0" xfId="2" applyNumberFormat="1" applyFont="1" applyFill="1" applyBorder="1" applyAlignment="1">
      <alignment horizontal="center" vertical="center"/>
    </xf>
    <xf numFmtId="168" fontId="25" fillId="4" borderId="22" xfId="2" applyNumberFormat="1" applyFont="1" applyFill="1" applyBorder="1" applyAlignment="1">
      <alignment horizontal="center" vertical="center"/>
    </xf>
    <xf numFmtId="168" fontId="25" fillId="5" borderId="0" xfId="2" applyNumberFormat="1" applyFont="1" applyFill="1" applyBorder="1" applyAlignment="1">
      <alignment horizontal="center" vertical="center"/>
    </xf>
    <xf numFmtId="168" fontId="25" fillId="5" borderId="22" xfId="2" applyNumberFormat="1" applyFont="1" applyFill="1" applyBorder="1" applyAlignment="1">
      <alignment horizontal="center" vertical="center"/>
    </xf>
    <xf numFmtId="168" fontId="18" fillId="4" borderId="21" xfId="2" applyNumberFormat="1" applyFont="1" applyFill="1" applyBorder="1" applyAlignment="1">
      <alignment horizontal="center" vertical="center"/>
    </xf>
    <xf numFmtId="168" fontId="18" fillId="4" borderId="0" xfId="2" applyNumberFormat="1" applyFont="1" applyFill="1" applyBorder="1" applyAlignment="1">
      <alignment horizontal="center" vertical="center"/>
    </xf>
    <xf numFmtId="168" fontId="18" fillId="4" borderId="22" xfId="2" applyNumberFormat="1" applyFont="1" applyFill="1" applyBorder="1" applyAlignment="1">
      <alignment horizontal="center" vertical="center"/>
    </xf>
    <xf numFmtId="0" fontId="27" fillId="2" borderId="21" xfId="0" applyFont="1" applyFill="1" applyBorder="1" applyAlignment="1">
      <alignment horizontal="left" indent="4"/>
    </xf>
    <xf numFmtId="168" fontId="32" fillId="4" borderId="21" xfId="2" applyNumberFormat="1" applyFont="1" applyFill="1" applyBorder="1" applyAlignment="1">
      <alignment horizontal="center" vertical="center"/>
    </xf>
    <xf numFmtId="168" fontId="32" fillId="4" borderId="0" xfId="2" applyNumberFormat="1" applyFont="1" applyFill="1" applyBorder="1" applyAlignment="1">
      <alignment horizontal="center" vertical="center"/>
    </xf>
    <xf numFmtId="168" fontId="32" fillId="4" borderId="22" xfId="2" applyNumberFormat="1" applyFont="1" applyFill="1" applyBorder="1" applyAlignment="1">
      <alignment horizontal="center" vertical="center"/>
    </xf>
    <xf numFmtId="9" fontId="18" fillId="5" borderId="0" xfId="2" applyFont="1" applyFill="1" applyBorder="1" applyAlignment="1">
      <alignment horizontal="center" vertical="center"/>
    </xf>
    <xf numFmtId="9" fontId="18" fillId="5" borderId="22" xfId="2" applyFont="1" applyFill="1" applyBorder="1" applyAlignment="1">
      <alignment horizontal="center" vertical="center"/>
    </xf>
    <xf numFmtId="0" fontId="19" fillId="12" borderId="0" xfId="0" applyFont="1" applyFill="1" applyAlignment="1">
      <alignment horizontal="center" vertical="center"/>
    </xf>
    <xf numFmtId="0" fontId="3" fillId="12" borderId="0" xfId="0" applyFont="1" applyFill="1"/>
    <xf numFmtId="0" fontId="4" fillId="12" borderId="0" xfId="0" applyFont="1" applyFill="1" applyAlignment="1">
      <alignment horizontal="center" vertical="center"/>
    </xf>
    <xf numFmtId="0" fontId="3" fillId="12" borderId="0" xfId="0" applyFont="1" applyFill="1" applyBorder="1"/>
    <xf numFmtId="0" fontId="0" fillId="12" borderId="0" xfId="0" applyFill="1"/>
    <xf numFmtId="0" fontId="10" fillId="4" borderId="13"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4" fillId="2" borderId="12" xfId="0" applyFont="1" applyFill="1" applyBorder="1"/>
    <xf numFmtId="0" fontId="14" fillId="2" borderId="16" xfId="0" applyFont="1" applyFill="1" applyBorder="1"/>
    <xf numFmtId="0" fontId="5" fillId="2" borderId="16" xfId="0" applyFont="1" applyFill="1" applyBorder="1"/>
    <xf numFmtId="0" fontId="5" fillId="2" borderId="28" xfId="0" applyFont="1" applyFill="1" applyBorder="1"/>
    <xf numFmtId="0" fontId="17" fillId="2" borderId="16" xfId="0" applyFont="1" applyFill="1" applyBorder="1" applyAlignment="1">
      <alignment horizontal="left" indent="1"/>
    </xf>
    <xf numFmtId="169" fontId="4" fillId="4" borderId="17" xfId="0" applyNumberFormat="1" applyFont="1" applyFill="1" applyBorder="1" applyAlignment="1">
      <alignment horizontal="center" vertical="center"/>
    </xf>
    <xf numFmtId="169" fontId="4" fillId="4" borderId="19" xfId="0" applyNumberFormat="1" applyFont="1" applyFill="1" applyBorder="1" applyAlignment="1">
      <alignment horizontal="center" vertical="center"/>
    </xf>
    <xf numFmtId="169" fontId="4" fillId="5" borderId="18" xfId="0" applyNumberFormat="1" applyFont="1" applyFill="1" applyBorder="1" applyAlignment="1">
      <alignment horizontal="center" vertical="center"/>
    </xf>
    <xf numFmtId="169" fontId="4" fillId="5" borderId="19" xfId="0" applyNumberFormat="1" applyFont="1" applyFill="1" applyBorder="1" applyAlignment="1">
      <alignment horizontal="center" vertical="center"/>
    </xf>
    <xf numFmtId="169" fontId="10" fillId="4" borderId="23" xfId="0" applyNumberFormat="1" applyFont="1" applyFill="1" applyBorder="1" applyAlignment="1">
      <alignment horizontal="center" vertical="center"/>
    </xf>
    <xf numFmtId="169" fontId="10" fillId="4" borderId="24" xfId="0" applyNumberFormat="1" applyFont="1" applyFill="1" applyBorder="1" applyAlignment="1">
      <alignment horizontal="center" vertical="center"/>
    </xf>
    <xf numFmtId="169" fontId="10" fillId="4" borderId="25" xfId="0" applyNumberFormat="1" applyFont="1" applyFill="1" applyBorder="1" applyAlignment="1">
      <alignment horizontal="center" vertical="center"/>
    </xf>
    <xf numFmtId="169" fontId="10" fillId="5" borderId="24" xfId="0" applyNumberFormat="1" applyFont="1" applyFill="1" applyBorder="1" applyAlignment="1">
      <alignment horizontal="center" vertical="center"/>
    </xf>
    <xf numFmtId="169" fontId="10" fillId="5" borderId="25" xfId="0" applyNumberFormat="1" applyFont="1" applyFill="1" applyBorder="1" applyAlignment="1">
      <alignment horizontal="center" vertical="center"/>
    </xf>
    <xf numFmtId="169" fontId="10" fillId="4" borderId="21" xfId="0" applyNumberFormat="1" applyFont="1" applyFill="1" applyBorder="1" applyAlignment="1">
      <alignment horizontal="center" vertical="center"/>
    </xf>
    <xf numFmtId="169" fontId="10" fillId="4" borderId="0" xfId="0" applyNumberFormat="1" applyFont="1" applyFill="1" applyBorder="1" applyAlignment="1">
      <alignment horizontal="center" vertical="center"/>
    </xf>
    <xf numFmtId="169" fontId="10" fillId="4" borderId="22" xfId="0" applyNumberFormat="1" applyFont="1" applyFill="1" applyBorder="1" applyAlignment="1">
      <alignment horizontal="center" vertical="center"/>
    </xf>
    <xf numFmtId="169" fontId="10" fillId="5" borderId="0" xfId="0" applyNumberFormat="1" applyFont="1" applyFill="1" applyBorder="1" applyAlignment="1">
      <alignment horizontal="center" vertical="center"/>
    </xf>
    <xf numFmtId="169" fontId="10" fillId="5" borderId="22" xfId="0" applyNumberFormat="1" applyFont="1" applyFill="1" applyBorder="1" applyAlignment="1">
      <alignment horizontal="center" vertical="center"/>
    </xf>
    <xf numFmtId="169" fontId="13" fillId="4" borderId="0" xfId="0" applyNumberFormat="1" applyFont="1" applyFill="1" applyBorder="1" applyAlignment="1">
      <alignment horizontal="center" vertical="center"/>
    </xf>
    <xf numFmtId="9" fontId="33" fillId="4" borderId="25" xfId="2" applyFont="1" applyFill="1" applyBorder="1" applyAlignment="1">
      <alignment horizontal="center" vertical="center"/>
    </xf>
    <xf numFmtId="168" fontId="33" fillId="4" borderId="25" xfId="2" applyNumberFormat="1" applyFont="1" applyFill="1" applyBorder="1" applyAlignment="1">
      <alignment horizontal="center" vertical="center"/>
    </xf>
    <xf numFmtId="169" fontId="13" fillId="4" borderId="21" xfId="0" applyNumberFormat="1" applyFont="1" applyFill="1" applyBorder="1" applyAlignment="1">
      <alignment horizontal="center" vertical="center"/>
    </xf>
    <xf numFmtId="169" fontId="13" fillId="4" borderId="22" xfId="0" applyNumberFormat="1" applyFont="1" applyFill="1" applyBorder="1" applyAlignment="1">
      <alignment horizontal="center" vertical="center"/>
    </xf>
    <xf numFmtId="169" fontId="13" fillId="5" borderId="0" xfId="0" applyNumberFormat="1" applyFont="1" applyFill="1" applyBorder="1" applyAlignment="1">
      <alignment horizontal="center" vertical="center"/>
    </xf>
    <xf numFmtId="169" fontId="13" fillId="5" borderId="22" xfId="0" applyNumberFormat="1" applyFont="1" applyFill="1" applyBorder="1" applyAlignment="1">
      <alignment horizontal="center" vertical="center"/>
    </xf>
    <xf numFmtId="0" fontId="34" fillId="12" borderId="24" xfId="0" applyFont="1" applyFill="1" applyBorder="1" applyAlignment="1">
      <alignment horizontal="center"/>
    </xf>
    <xf numFmtId="0" fontId="17" fillId="2" borderId="16" xfId="0" applyFont="1" applyFill="1" applyBorder="1" applyAlignment="1">
      <alignment horizontal="left" wrapText="1" inden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163830</xdr:colOff>
      <xdr:row>0</xdr:row>
      <xdr:rowOff>0</xdr:rowOff>
    </xdr:from>
    <xdr:to>
      <xdr:col>21</xdr:col>
      <xdr:colOff>565600</xdr:colOff>
      <xdr:row>20</xdr:row>
      <xdr:rowOff>176989</xdr:rowOff>
    </xdr:to>
    <xdr:pic>
      <xdr:nvPicPr>
        <xdr:cNvPr id="2" name="Picture 1">
          <a:extLst>
            <a:ext uri="{FF2B5EF4-FFF2-40B4-BE49-F238E27FC236}">
              <a16:creationId xmlns:a16="http://schemas.microsoft.com/office/drawing/2014/main" id="{A3637ACB-C611-4C1D-A5D8-D41D100E1287}"/>
            </a:ext>
          </a:extLst>
        </xdr:cNvPr>
        <xdr:cNvPicPr>
          <a:picLocks noChangeAspect="1"/>
        </xdr:cNvPicPr>
      </xdr:nvPicPr>
      <xdr:blipFill>
        <a:blip xmlns:r="http://schemas.openxmlformats.org/officeDocument/2006/relationships" r:embed="rId1"/>
        <a:stretch>
          <a:fillRect/>
        </a:stretch>
      </xdr:blipFill>
      <xdr:spPr>
        <a:xfrm>
          <a:off x="6564630" y="0"/>
          <a:ext cx="7442650" cy="3834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5492-619A-4AC1-9CCE-60A8509ABA4D}">
  <dimension ref="A1:AB335"/>
  <sheetViews>
    <sheetView topLeftCell="A85" workbookViewId="0">
      <selection activeCell="I199" sqref="I199"/>
    </sheetView>
  </sheetViews>
  <sheetFormatPr defaultColWidth="8.83984375" defaultRowHeight="13.8" outlineLevelRow="3" x14ac:dyDescent="0.45"/>
  <cols>
    <col min="1" max="1" width="4.1015625" style="122" customWidth="1"/>
    <col min="2" max="2" width="53.9453125" style="1" customWidth="1"/>
    <col min="3" max="3" width="12" style="2" bestFit="1" customWidth="1"/>
    <col min="4" max="5" width="14.578125" style="2" bestFit="1" customWidth="1"/>
    <col min="6" max="10" width="15.578125" style="2" bestFit="1" customWidth="1"/>
    <col min="11" max="11" width="34.3671875" style="2" bestFit="1" customWidth="1"/>
    <col min="12" max="28" width="8.83984375" style="145"/>
    <col min="29" max="16384" width="8.83984375" style="1"/>
  </cols>
  <sheetData>
    <row r="1" spans="2:11" ht="14.1" thickBot="1" x14ac:dyDescent="0.5"/>
    <row r="2" spans="2:11" ht="14.1" thickBot="1" x14ac:dyDescent="0.5">
      <c r="B2" s="3" t="str">
        <f>"Financial Statement Model for "&amp;C5</f>
        <v>Financial Statement Model for Vale</v>
      </c>
      <c r="C2" s="4"/>
      <c r="D2" s="4"/>
      <c r="E2" s="4"/>
      <c r="F2" s="4"/>
      <c r="G2" s="4"/>
      <c r="H2" s="4"/>
      <c r="I2" s="4"/>
      <c r="J2" s="4"/>
      <c r="K2" s="4"/>
    </row>
    <row r="3" spans="2:11" x14ac:dyDescent="0.45">
      <c r="B3" s="5" t="s">
        <v>128</v>
      </c>
      <c r="C3" s="6"/>
      <c r="D3" s="6"/>
      <c r="E3" s="6"/>
      <c r="F3" s="6"/>
      <c r="G3" s="6"/>
    </row>
    <row r="5" spans="2:11" ht="18.3" customHeight="1" x14ac:dyDescent="0.45">
      <c r="B5" s="7" t="s">
        <v>0</v>
      </c>
      <c r="C5" s="8" t="s">
        <v>84</v>
      </c>
      <c r="I5" s="284" t="s">
        <v>1</v>
      </c>
      <c r="J5" s="285"/>
      <c r="K5" s="207" t="s">
        <v>2</v>
      </c>
    </row>
    <row r="6" spans="2:11" x14ac:dyDescent="0.45">
      <c r="B6" s="9" t="s">
        <v>3</v>
      </c>
      <c r="C6" s="10" t="s">
        <v>85</v>
      </c>
      <c r="I6" s="286" t="s">
        <v>4</v>
      </c>
      <c r="J6" s="287"/>
      <c r="K6" s="208">
        <v>28.89</v>
      </c>
    </row>
    <row r="7" spans="2:11" x14ac:dyDescent="0.45">
      <c r="B7" s="9" t="s">
        <v>5</v>
      </c>
      <c r="C7" s="11">
        <v>108.3</v>
      </c>
      <c r="I7" s="286" t="s">
        <v>6</v>
      </c>
      <c r="J7" s="287"/>
      <c r="K7" s="208">
        <v>28.89</v>
      </c>
    </row>
    <row r="8" spans="2:11" x14ac:dyDescent="0.45">
      <c r="B8" s="9" t="s">
        <v>7</v>
      </c>
      <c r="C8" s="12">
        <f ca="1">TODAY()</f>
        <v>44437</v>
      </c>
      <c r="I8" s="286" t="s">
        <v>8</v>
      </c>
      <c r="J8" s="287"/>
      <c r="K8" s="208">
        <v>28.89</v>
      </c>
    </row>
    <row r="9" spans="2:11" ht="18.600000000000001" customHeight="1" x14ac:dyDescent="0.45">
      <c r="B9" s="13" t="s">
        <v>9</v>
      </c>
      <c r="C9" s="14">
        <v>44196</v>
      </c>
      <c r="F9" s="15"/>
      <c r="I9" s="288" t="s">
        <v>10</v>
      </c>
      <c r="J9" s="289"/>
      <c r="K9" s="209">
        <f ca="1">TODAY()</f>
        <v>44437</v>
      </c>
    </row>
    <row r="10" spans="2:11" ht="18.600000000000001" customHeight="1" x14ac:dyDescent="0.45">
      <c r="B10" s="269"/>
      <c r="C10" s="270"/>
      <c r="F10" s="15"/>
      <c r="I10" s="271"/>
      <c r="J10" s="271"/>
      <c r="K10" s="272"/>
    </row>
    <row r="11" spans="2:11" ht="18.600000000000001" customHeight="1" x14ac:dyDescent="0.45">
      <c r="B11" s="7" t="s">
        <v>212</v>
      </c>
      <c r="C11" s="274" t="s">
        <v>213</v>
      </c>
      <c r="F11" s="15"/>
      <c r="I11" s="271"/>
      <c r="J11" s="271"/>
      <c r="K11" s="272"/>
    </row>
    <row r="12" spans="2:11" ht="18.600000000000001" customHeight="1" x14ac:dyDescent="0.45">
      <c r="B12" s="13"/>
      <c r="C12" s="14"/>
      <c r="F12" s="15"/>
      <c r="I12" s="271"/>
      <c r="J12" s="271"/>
      <c r="K12" s="272"/>
    </row>
    <row r="13" spans="2:11" ht="18.600000000000001" customHeight="1" x14ac:dyDescent="0.45">
      <c r="B13" s="16"/>
      <c r="C13" s="17"/>
      <c r="F13" s="15"/>
    </row>
    <row r="14" spans="2:11" ht="14.1" thickBot="1" x14ac:dyDescent="0.5">
      <c r="B14" s="129" t="s">
        <v>123</v>
      </c>
      <c r="C14" s="18"/>
      <c r="F14" s="15"/>
    </row>
    <row r="15" spans="2:11" ht="14.4" thickTop="1" thickBot="1" x14ac:dyDescent="0.5">
      <c r="B15" s="19"/>
      <c r="C15" s="275" t="s">
        <v>11</v>
      </c>
      <c r="D15" s="276"/>
      <c r="E15" s="277"/>
      <c r="F15" s="280" t="s">
        <v>12</v>
      </c>
      <c r="G15" s="278"/>
      <c r="H15" s="278"/>
      <c r="I15" s="278"/>
      <c r="J15" s="279"/>
    </row>
    <row r="16" spans="2:11" ht="18.600000000000001" customHeight="1" x14ac:dyDescent="0.45">
      <c r="B16" s="20" t="s">
        <v>13</v>
      </c>
      <c r="C16" s="22">
        <f>D16-1</f>
        <v>2018</v>
      </c>
      <c r="D16" s="22">
        <f>E16-1</f>
        <v>2019</v>
      </c>
      <c r="E16" s="23">
        <f>YEAR($C$9)</f>
        <v>2020</v>
      </c>
      <c r="F16" s="24">
        <f>E16+1</f>
        <v>2021</v>
      </c>
      <c r="G16" s="24">
        <f>F16+1</f>
        <v>2022</v>
      </c>
      <c r="H16" s="24">
        <f>G16+1</f>
        <v>2023</v>
      </c>
      <c r="I16" s="24">
        <f>H16+1</f>
        <v>2024</v>
      </c>
      <c r="J16" s="24">
        <f>I16+1</f>
        <v>2025</v>
      </c>
      <c r="K16" s="281" t="s">
        <v>14</v>
      </c>
    </row>
    <row r="17" spans="1:28" ht="14.1" outlineLevel="1" thickBot="1" x14ac:dyDescent="0.5">
      <c r="B17" s="139" t="s">
        <v>15</v>
      </c>
      <c r="C17" s="27">
        <f>EOMONTH(D17,-12)</f>
        <v>43465</v>
      </c>
      <c r="D17" s="27">
        <f>EOMONTH(E17,-12)</f>
        <v>43830</v>
      </c>
      <c r="E17" s="28">
        <f>$C$9</f>
        <v>44196</v>
      </c>
      <c r="F17" s="29">
        <f>EOMONTH(E17,12)</f>
        <v>44561</v>
      </c>
      <c r="G17" s="29">
        <f t="shared" ref="G17:J17" si="0">EOMONTH(F17,12)</f>
        <v>44926</v>
      </c>
      <c r="H17" s="29">
        <f t="shared" si="0"/>
        <v>45291</v>
      </c>
      <c r="I17" s="29">
        <f t="shared" si="0"/>
        <v>45657</v>
      </c>
      <c r="J17" s="29">
        <f t="shared" si="0"/>
        <v>46022</v>
      </c>
      <c r="K17" s="282"/>
    </row>
    <row r="18" spans="1:28" ht="9.6" customHeight="1" outlineLevel="1" x14ac:dyDescent="0.45">
      <c r="B18" s="138"/>
      <c r="C18" s="95"/>
      <c r="D18" s="35"/>
      <c r="E18" s="95"/>
      <c r="F18" s="137"/>
      <c r="G18" s="88"/>
      <c r="H18" s="88"/>
      <c r="I18" s="88"/>
      <c r="J18" s="89"/>
      <c r="K18" s="117"/>
    </row>
    <row r="19" spans="1:28" ht="14.7" customHeight="1" outlineLevel="1" thickBot="1" x14ac:dyDescent="0.5">
      <c r="B19" s="57" t="s">
        <v>86</v>
      </c>
      <c r="C19" s="98">
        <v>36575</v>
      </c>
      <c r="D19" s="98">
        <v>37570</v>
      </c>
      <c r="E19" s="98">
        <v>40018</v>
      </c>
      <c r="F19" s="78">
        <v>64727.9</v>
      </c>
      <c r="G19" s="102">
        <v>60800.4</v>
      </c>
      <c r="H19" s="102">
        <v>55731.9</v>
      </c>
      <c r="I19" s="102">
        <v>50000</v>
      </c>
      <c r="J19" s="79">
        <v>45000</v>
      </c>
      <c r="K19" s="210"/>
    </row>
    <row r="20" spans="1:28" ht="14.7" customHeight="1" outlineLevel="1" thickBot="1" x14ac:dyDescent="0.5">
      <c r="B20" s="99" t="s">
        <v>88</v>
      </c>
      <c r="C20" s="105"/>
      <c r="D20" s="105">
        <f>D19/C19-1</f>
        <v>2.7204374572795675E-2</v>
      </c>
      <c r="E20" s="105">
        <f t="shared" ref="E20:J20" si="1">E19/D19-1</f>
        <v>6.5158371040723972E-2</v>
      </c>
      <c r="F20" s="130">
        <f t="shared" si="1"/>
        <v>0.61746963866260196</v>
      </c>
      <c r="G20" s="106">
        <f t="shared" si="1"/>
        <v>-6.0677080517056781E-2</v>
      </c>
      <c r="H20" s="106">
        <f t="shared" si="1"/>
        <v>-8.3362938401721043E-2</v>
      </c>
      <c r="I20" s="106">
        <f t="shared" si="1"/>
        <v>-0.10284774070146541</v>
      </c>
      <c r="J20" s="131">
        <f t="shared" si="1"/>
        <v>-9.9999999999999978E-2</v>
      </c>
      <c r="K20" s="210" t="s">
        <v>127</v>
      </c>
    </row>
    <row r="21" spans="1:28" ht="15.9" customHeight="1" outlineLevel="1" thickBot="1" x14ac:dyDescent="0.5">
      <c r="B21" s="57" t="s">
        <v>17</v>
      </c>
      <c r="C21" s="98">
        <v>-22109</v>
      </c>
      <c r="D21" s="42">
        <v>-21187</v>
      </c>
      <c r="E21" s="98">
        <v>-19039</v>
      </c>
      <c r="F21" s="78">
        <f>-F22*F19</f>
        <v>-35474.747729209797</v>
      </c>
      <c r="G21" s="102">
        <f t="shared" ref="G21:J21" si="2">-G22*G19</f>
        <v>-33322.24360492226</v>
      </c>
      <c r="H21" s="102">
        <f t="shared" si="2"/>
        <v>-30544.403463877981</v>
      </c>
      <c r="I21" s="102">
        <f t="shared" si="2"/>
        <v>-27402.980576544116</v>
      </c>
      <c r="J21" s="79">
        <f t="shared" si="2"/>
        <v>-24662.682518889706</v>
      </c>
      <c r="K21" s="211"/>
    </row>
    <row r="22" spans="1:28" outlineLevel="1" x14ac:dyDescent="0.45">
      <c r="B22" s="99" t="s">
        <v>87</v>
      </c>
      <c r="C22" s="105">
        <f>ABS(C21/C$19)</f>
        <v>0.60448393711551607</v>
      </c>
      <c r="D22" s="105">
        <f t="shared" ref="D22:E22" si="3">ABS(D21/D$19)</f>
        <v>0.56393398988554699</v>
      </c>
      <c r="E22" s="105">
        <f t="shared" si="3"/>
        <v>0.47576090759158379</v>
      </c>
      <c r="F22" s="130">
        <f>AVERAGE($C$22:$E$22)</f>
        <v>0.54805961153088234</v>
      </c>
      <c r="G22" s="106">
        <f t="shared" ref="G22:J22" si="4">AVERAGE($C$22:$E$22)</f>
        <v>0.54805961153088234</v>
      </c>
      <c r="H22" s="106">
        <f t="shared" si="4"/>
        <v>0.54805961153088234</v>
      </c>
      <c r="I22" s="106">
        <f t="shared" si="4"/>
        <v>0.54805961153088234</v>
      </c>
      <c r="J22" s="131">
        <f t="shared" si="4"/>
        <v>0.54805961153088234</v>
      </c>
      <c r="K22" s="97"/>
    </row>
    <row r="23" spans="1:28" s="19" customFormat="1" ht="14.1" outlineLevel="1" thickBot="1" x14ac:dyDescent="0.5">
      <c r="A23" s="123"/>
      <c r="B23" s="80" t="s">
        <v>18</v>
      </c>
      <c r="C23" s="39">
        <f>C19+C21</f>
        <v>14466</v>
      </c>
      <c r="D23" s="39">
        <f t="shared" ref="D23:J23" si="5">D19+D21</f>
        <v>16383</v>
      </c>
      <c r="E23" s="39">
        <f t="shared" si="5"/>
        <v>20979</v>
      </c>
      <c r="F23" s="81">
        <f t="shared" si="5"/>
        <v>29253.152270790204</v>
      </c>
      <c r="G23" s="41">
        <f t="shared" si="5"/>
        <v>27478.156395077742</v>
      </c>
      <c r="H23" s="41">
        <f t="shared" si="5"/>
        <v>25187.49653612202</v>
      </c>
      <c r="I23" s="41">
        <f t="shared" si="5"/>
        <v>22597.019423455884</v>
      </c>
      <c r="J23" s="49">
        <f t="shared" si="5"/>
        <v>20337.317481110294</v>
      </c>
      <c r="K23" s="117"/>
      <c r="L23" s="164"/>
      <c r="M23" s="164"/>
      <c r="N23" s="164"/>
      <c r="O23" s="164"/>
      <c r="P23" s="164"/>
      <c r="Q23" s="164"/>
      <c r="R23" s="164"/>
      <c r="S23" s="164"/>
      <c r="T23" s="164"/>
      <c r="U23" s="164"/>
      <c r="V23" s="164"/>
      <c r="W23" s="164"/>
      <c r="X23" s="164"/>
      <c r="Y23" s="164"/>
      <c r="Z23" s="164"/>
      <c r="AA23" s="164"/>
      <c r="AB23" s="164"/>
    </row>
    <row r="24" spans="1:28" s="48" customFormat="1" ht="14.1" outlineLevel="1" thickTop="1" x14ac:dyDescent="0.45">
      <c r="A24" s="124"/>
      <c r="B24" s="99" t="s">
        <v>93</v>
      </c>
      <c r="C24" s="104">
        <f>C23/C19</f>
        <v>0.39551606288448393</v>
      </c>
      <c r="D24" s="104">
        <f t="shared" ref="D24:J24" si="6">D23/D19</f>
        <v>0.43606601011445301</v>
      </c>
      <c r="E24" s="113">
        <f t="shared" si="6"/>
        <v>0.52423909240841626</v>
      </c>
      <c r="F24" s="173">
        <f t="shared" si="6"/>
        <v>0.45194038846911772</v>
      </c>
      <c r="G24" s="174">
        <f t="shared" si="6"/>
        <v>0.45194038846911766</v>
      </c>
      <c r="H24" s="174">
        <f t="shared" si="6"/>
        <v>0.45194038846911766</v>
      </c>
      <c r="I24" s="174">
        <f t="shared" si="6"/>
        <v>0.45194038846911766</v>
      </c>
      <c r="J24" s="175">
        <f t="shared" si="6"/>
        <v>0.45194038846911766</v>
      </c>
      <c r="K24" s="150"/>
      <c r="L24" s="220"/>
      <c r="M24" s="220"/>
      <c r="N24" s="220"/>
      <c r="O24" s="220"/>
      <c r="P24" s="220"/>
      <c r="Q24" s="220"/>
      <c r="R24" s="220"/>
      <c r="S24" s="220"/>
      <c r="T24" s="220"/>
      <c r="U24" s="220"/>
      <c r="V24" s="220"/>
      <c r="W24" s="220"/>
      <c r="X24" s="220"/>
      <c r="Y24" s="220"/>
      <c r="Z24" s="220"/>
      <c r="AA24" s="220"/>
      <c r="AB24" s="220"/>
    </row>
    <row r="25" spans="1:28" ht="14.1" outlineLevel="1" thickBot="1" x14ac:dyDescent="0.5">
      <c r="B25" s="57"/>
      <c r="C25" s="95"/>
      <c r="D25" s="35"/>
      <c r="E25" s="36"/>
      <c r="F25" s="58"/>
      <c r="G25" s="96"/>
      <c r="H25" s="96"/>
      <c r="I25" s="96"/>
      <c r="J25" s="85"/>
      <c r="K25" s="117"/>
    </row>
    <row r="26" spans="1:28" ht="14.1" outlineLevel="1" thickBot="1" x14ac:dyDescent="0.5">
      <c r="B26" s="57" t="s">
        <v>19</v>
      </c>
      <c r="C26" s="98">
        <v>-523</v>
      </c>
      <c r="D26" s="42">
        <v>-487</v>
      </c>
      <c r="E26" s="43">
        <v>-554</v>
      </c>
      <c r="F26" s="78">
        <f>F27*F19</f>
        <v>896.07817981908147</v>
      </c>
      <c r="G26" s="102">
        <f t="shared" ref="G26:J26" si="7">-G27*G19</f>
        <v>-841.70677195262135</v>
      </c>
      <c r="H26" s="102">
        <f t="shared" si="7"/>
        <v>-771.53962217002356</v>
      </c>
      <c r="I26" s="102">
        <f t="shared" si="7"/>
        <v>-692.18851516817438</v>
      </c>
      <c r="J26" s="79">
        <f t="shared" si="7"/>
        <v>-622.96966365135688</v>
      </c>
      <c r="K26" s="211" t="s">
        <v>20</v>
      </c>
    </row>
    <row r="27" spans="1:28" ht="14.1" outlineLevel="1" thickBot="1" x14ac:dyDescent="0.5">
      <c r="B27" s="99" t="s">
        <v>90</v>
      </c>
      <c r="C27" s="105">
        <f>ABS(C26/C$19)</f>
        <v>1.4299384825700616E-2</v>
      </c>
      <c r="D27" s="110">
        <f t="shared" ref="D27:E27" si="8">ABS(D26/D$19)</f>
        <v>1.2962470055895662E-2</v>
      </c>
      <c r="E27" s="111">
        <f t="shared" si="8"/>
        <v>1.3843770303363487E-2</v>
      </c>
      <c r="F27" s="130">
        <f>E27</f>
        <v>1.3843770303363487E-2</v>
      </c>
      <c r="G27" s="106">
        <f t="shared" ref="G27:J27" si="9">F27</f>
        <v>1.3843770303363487E-2</v>
      </c>
      <c r="H27" s="106">
        <f t="shared" si="9"/>
        <v>1.3843770303363487E-2</v>
      </c>
      <c r="I27" s="106">
        <f t="shared" si="9"/>
        <v>1.3843770303363487E-2</v>
      </c>
      <c r="J27" s="131">
        <f t="shared" si="9"/>
        <v>1.3843770303363487E-2</v>
      </c>
      <c r="K27" s="211"/>
    </row>
    <row r="28" spans="1:28" ht="14.1" outlineLevel="1" thickBot="1" x14ac:dyDescent="0.5">
      <c r="B28" s="57" t="s">
        <v>109</v>
      </c>
      <c r="C28" s="98">
        <v>-271</v>
      </c>
      <c r="D28" s="42">
        <v>-1153</v>
      </c>
      <c r="E28" s="43">
        <v>-887</v>
      </c>
      <c r="F28" s="78">
        <f>-F19*F29</f>
        <v>-1986.4591083311152</v>
      </c>
      <c r="G28" s="102">
        <f t="shared" ref="G28:J28" si="10">-G19*G29</f>
        <v>-1865.9265690710674</v>
      </c>
      <c r="H28" s="102">
        <f t="shared" si="10"/>
        <v>-1710.3774474314614</v>
      </c>
      <c r="I28" s="102">
        <f t="shared" si="10"/>
        <v>-1534.468991216396</v>
      </c>
      <c r="J28" s="79">
        <f t="shared" si="10"/>
        <v>-1381.0220920947565</v>
      </c>
      <c r="K28" s="211"/>
    </row>
    <row r="29" spans="1:28" ht="14.1" outlineLevel="1" thickBot="1" x14ac:dyDescent="0.5">
      <c r="B29" s="99" t="s">
        <v>112</v>
      </c>
      <c r="C29" s="105">
        <f>ABS(C28/C$19)</f>
        <v>7.4094326725905671E-3</v>
      </c>
      <c r="D29" s="110">
        <f t="shared" ref="D29:E29" si="11">ABS(D28/D$19)</f>
        <v>3.0689379824327921E-2</v>
      </c>
      <c r="E29" s="111">
        <f t="shared" si="11"/>
        <v>2.216502573841771E-2</v>
      </c>
      <c r="F29" s="130">
        <f>MAX($C$29:$E$29)</f>
        <v>3.0689379824327921E-2</v>
      </c>
      <c r="G29" s="106">
        <f t="shared" ref="G29:J29" si="12">MAX($C$29:$E$29)</f>
        <v>3.0689379824327921E-2</v>
      </c>
      <c r="H29" s="106">
        <f t="shared" si="12"/>
        <v>3.0689379824327921E-2</v>
      </c>
      <c r="I29" s="106">
        <f t="shared" si="12"/>
        <v>3.0689379824327921E-2</v>
      </c>
      <c r="J29" s="131">
        <f t="shared" si="12"/>
        <v>3.0689379824327921E-2</v>
      </c>
      <c r="K29" s="211"/>
    </row>
    <row r="30" spans="1:28" ht="14.1" outlineLevel="1" thickBot="1" x14ac:dyDescent="0.5">
      <c r="B30" s="57" t="s">
        <v>110</v>
      </c>
      <c r="C30" s="98">
        <v>-373</v>
      </c>
      <c r="D30" s="42">
        <v>-443</v>
      </c>
      <c r="E30" s="43">
        <v>-443</v>
      </c>
      <c r="F30" s="78">
        <f>-F31*F19</f>
        <v>-716.53904992753257</v>
      </c>
      <c r="G30" s="102">
        <f t="shared" ref="G30:J30" si="13">-G31*G19</f>
        <v>-673.0615523014643</v>
      </c>
      <c r="H30" s="102">
        <f t="shared" si="13"/>
        <v>-616.95316357639058</v>
      </c>
      <c r="I30" s="102">
        <f t="shared" si="13"/>
        <v>-553.50092458393715</v>
      </c>
      <c r="J30" s="79">
        <f t="shared" si="13"/>
        <v>-498.15083212554345</v>
      </c>
      <c r="K30" s="211"/>
    </row>
    <row r="31" spans="1:28" ht="14.1" outlineLevel="1" thickBot="1" x14ac:dyDescent="0.5">
      <c r="B31" s="99" t="s">
        <v>111</v>
      </c>
      <c r="C31" s="105">
        <f>ABS(C30/C$19)</f>
        <v>1.0198222829801777E-2</v>
      </c>
      <c r="D31" s="110">
        <f t="shared" ref="D31:E31" si="14">ABS(D30/D$19)</f>
        <v>1.1791322863987224E-2</v>
      </c>
      <c r="E31" s="111">
        <f t="shared" si="14"/>
        <v>1.1070018491678744E-2</v>
      </c>
      <c r="F31" s="130">
        <f>E31</f>
        <v>1.1070018491678744E-2</v>
      </c>
      <c r="G31" s="106">
        <f t="shared" ref="G31:J31" si="15">F31</f>
        <v>1.1070018491678744E-2</v>
      </c>
      <c r="H31" s="106">
        <f t="shared" si="15"/>
        <v>1.1070018491678744E-2</v>
      </c>
      <c r="I31" s="106">
        <f t="shared" si="15"/>
        <v>1.1070018491678744E-2</v>
      </c>
      <c r="J31" s="131">
        <f t="shared" si="15"/>
        <v>1.1070018491678744E-2</v>
      </c>
      <c r="K31" s="211"/>
    </row>
    <row r="32" spans="1:28" ht="14.1" outlineLevel="1" thickBot="1" x14ac:dyDescent="0.5">
      <c r="B32" s="57" t="s">
        <v>89</v>
      </c>
      <c r="C32" s="98">
        <v>0</v>
      </c>
      <c r="D32" s="42">
        <v>-7402</v>
      </c>
      <c r="E32" s="43">
        <v>-5257</v>
      </c>
      <c r="F32" s="78">
        <f>-F33*F19</f>
        <v>-8503.0378904492973</v>
      </c>
      <c r="G32" s="102">
        <f t="shared" ref="G32:J32" si="16">-G33*G19</f>
        <v>-7987.0983757309205</v>
      </c>
      <c r="H32" s="102">
        <f t="shared" si="16"/>
        <v>-7321.2703858263776</v>
      </c>
      <c r="I32" s="102">
        <f t="shared" si="16"/>
        <v>-6568.2942675795884</v>
      </c>
      <c r="J32" s="79">
        <f t="shared" si="16"/>
        <v>-5911.4648408216299</v>
      </c>
      <c r="K32" s="211"/>
    </row>
    <row r="33" spans="1:28" ht="14.1" outlineLevel="1" thickBot="1" x14ac:dyDescent="0.5">
      <c r="B33" s="99" t="s">
        <v>107</v>
      </c>
      <c r="C33" s="105">
        <f>ABS(C32/C$19)</f>
        <v>0</v>
      </c>
      <c r="D33" s="110">
        <f t="shared" ref="D33:E33" si="17">ABS(D32/D$19)</f>
        <v>0.19701889805696035</v>
      </c>
      <c r="E33" s="111">
        <f t="shared" si="17"/>
        <v>0.13136588535159177</v>
      </c>
      <c r="F33" s="130">
        <f>$E$33</f>
        <v>0.13136588535159177</v>
      </c>
      <c r="G33" s="106">
        <f t="shared" ref="G33:J33" si="18">$E$33</f>
        <v>0.13136588535159177</v>
      </c>
      <c r="H33" s="106">
        <f t="shared" si="18"/>
        <v>0.13136588535159177</v>
      </c>
      <c r="I33" s="106">
        <f t="shared" si="18"/>
        <v>0.13136588535159177</v>
      </c>
      <c r="J33" s="131">
        <f t="shared" si="18"/>
        <v>0.13136588535159177</v>
      </c>
      <c r="K33" s="211"/>
    </row>
    <row r="34" spans="1:28" ht="14.1" outlineLevel="1" thickBot="1" x14ac:dyDescent="0.5">
      <c r="B34" s="57" t="s">
        <v>21</v>
      </c>
      <c r="C34" s="98">
        <v>-445</v>
      </c>
      <c r="D34" s="42">
        <v>-505</v>
      </c>
      <c r="E34" s="43">
        <v>-752</v>
      </c>
      <c r="F34" s="78">
        <f>-F35*F19</f>
        <v>-1216.3371682742768</v>
      </c>
      <c r="G34" s="102">
        <f t="shared" ref="G34:J34" si="19">-G35*G19</f>
        <v>-1142.5333799790096</v>
      </c>
      <c r="H34" s="102">
        <f t="shared" si="19"/>
        <v>-1047.2884402019092</v>
      </c>
      <c r="I34" s="102">
        <f t="shared" si="19"/>
        <v>-939.5771902643811</v>
      </c>
      <c r="J34" s="79">
        <f t="shared" si="19"/>
        <v>-845.619471237943</v>
      </c>
      <c r="K34" s="211"/>
    </row>
    <row r="35" spans="1:28" outlineLevel="1" x14ac:dyDescent="0.45">
      <c r="B35" s="99" t="s">
        <v>108</v>
      </c>
      <c r="C35" s="105">
        <f>ABS(C34/C$19)</f>
        <v>1.216678058783322E-2</v>
      </c>
      <c r="D35" s="110">
        <f t="shared" ref="D35:E35" si="20">ABS(D34/D$19)</f>
        <v>1.344157572531275E-2</v>
      </c>
      <c r="E35" s="111">
        <f t="shared" si="20"/>
        <v>1.8791543805287622E-2</v>
      </c>
      <c r="F35" s="130">
        <f>$E$35</f>
        <v>1.8791543805287622E-2</v>
      </c>
      <c r="G35" s="106">
        <f t="shared" ref="G35:J35" si="21">$E$35</f>
        <v>1.8791543805287622E-2</v>
      </c>
      <c r="H35" s="106">
        <f t="shared" si="21"/>
        <v>1.8791543805287622E-2</v>
      </c>
      <c r="I35" s="106">
        <f t="shared" si="21"/>
        <v>1.8791543805287622E-2</v>
      </c>
      <c r="J35" s="131">
        <f t="shared" si="21"/>
        <v>1.8791543805287622E-2</v>
      </c>
      <c r="K35" s="97"/>
    </row>
    <row r="36" spans="1:28" outlineLevel="1" x14ac:dyDescent="0.45">
      <c r="B36" s="57" t="s">
        <v>29</v>
      </c>
      <c r="C36" s="98">
        <v>3351</v>
      </c>
      <c r="D36" s="42">
        <v>3726</v>
      </c>
      <c r="E36" s="43">
        <v>3234</v>
      </c>
      <c r="F36" s="189">
        <f>-F201</f>
        <v>5076.1615827046417</v>
      </c>
      <c r="G36" s="190">
        <f t="shared" ref="G36:J36" si="22">-G201</f>
        <v>5243.0658454515151</v>
      </c>
      <c r="H36" s="190">
        <f t="shared" si="22"/>
        <v>5243.0658454515151</v>
      </c>
      <c r="I36" s="190">
        <f t="shared" si="22"/>
        <v>5243.0658454515151</v>
      </c>
      <c r="J36" s="191">
        <f t="shared" si="22"/>
        <v>5243.0658454515151</v>
      </c>
      <c r="K36" s="97" t="s">
        <v>170</v>
      </c>
    </row>
    <row r="37" spans="1:28" outlineLevel="1" x14ac:dyDescent="0.45">
      <c r="B37" s="99" t="s">
        <v>126</v>
      </c>
      <c r="C37" s="114">
        <f>ABS(C36/C21)</f>
        <v>0.15156723506264416</v>
      </c>
      <c r="D37" s="115">
        <f t="shared" ref="D37:E37" si="23">ABS(D36/D21)</f>
        <v>0.17586255722848917</v>
      </c>
      <c r="E37" s="116">
        <f t="shared" si="23"/>
        <v>0.16986186249277799</v>
      </c>
      <c r="F37" s="134">
        <f>ABS(F36/F21)</f>
        <v>0.14309225315575524</v>
      </c>
      <c r="G37" s="135">
        <f t="shared" ref="G37:J37" si="24">ABS(G36/G21)</f>
        <v>0.15734432253766448</v>
      </c>
      <c r="H37" s="135">
        <f t="shared" si="24"/>
        <v>0.17165389566871064</v>
      </c>
      <c r="I37" s="135">
        <f t="shared" si="24"/>
        <v>0.1913319549603803</v>
      </c>
      <c r="J37" s="136">
        <f t="shared" si="24"/>
        <v>0.21259106106708922</v>
      </c>
      <c r="K37" s="97"/>
    </row>
    <row r="38" spans="1:28" outlineLevel="1" x14ac:dyDescent="0.45">
      <c r="B38" s="57" t="s">
        <v>125</v>
      </c>
      <c r="C38" s="98">
        <v>388</v>
      </c>
      <c r="D38" s="42">
        <v>466</v>
      </c>
      <c r="E38" s="43">
        <v>268</v>
      </c>
      <c r="F38" s="78">
        <v>0</v>
      </c>
      <c r="G38" s="102">
        <f t="shared" ref="G38:J38" si="25">F38</f>
        <v>0</v>
      </c>
      <c r="H38" s="102">
        <f t="shared" si="25"/>
        <v>0</v>
      </c>
      <c r="I38" s="102">
        <f t="shared" si="25"/>
        <v>0</v>
      </c>
      <c r="J38" s="79">
        <f t="shared" si="25"/>
        <v>0</v>
      </c>
      <c r="K38" s="97"/>
    </row>
    <row r="39" spans="1:28" ht="14.1" outlineLevel="1" thickBot="1" x14ac:dyDescent="0.5">
      <c r="B39" s="80" t="s">
        <v>30</v>
      </c>
      <c r="C39" s="39">
        <f>SUM(C23+C26+C32+C34+C36+C28+C30+C38)</f>
        <v>16593</v>
      </c>
      <c r="D39" s="39">
        <f>SUM(D23+D26+D32+D34+D36+D28+D30+D38)</f>
        <v>10585</v>
      </c>
      <c r="E39" s="40">
        <f>SUM(E23+E26+E32+E34+E36+E28+E30+E38)</f>
        <v>16588</v>
      </c>
      <c r="F39" s="81">
        <f t="shared" ref="F39:J39" si="26">SUM(F23+F26+F32+F34+F36+F28+F30+F38)</f>
        <v>22803.018816331707</v>
      </c>
      <c r="G39" s="41">
        <f t="shared" si="26"/>
        <v>20210.895591494176</v>
      </c>
      <c r="H39" s="41">
        <f t="shared" si="26"/>
        <v>18963.133322367372</v>
      </c>
      <c r="I39" s="41">
        <f t="shared" si="26"/>
        <v>17552.055380094924</v>
      </c>
      <c r="J39" s="49">
        <f t="shared" si="26"/>
        <v>16321.156426630574</v>
      </c>
      <c r="K39" s="97"/>
    </row>
    <row r="40" spans="1:28" ht="14.1" outlineLevel="1" thickTop="1" x14ac:dyDescent="0.45">
      <c r="B40" s="99" t="s">
        <v>91</v>
      </c>
      <c r="C40" s="105">
        <f>C39/C$19</f>
        <v>0.45367053998632945</v>
      </c>
      <c r="D40" s="110">
        <f t="shared" ref="D40:J40" si="27">D39/D$19</f>
        <v>0.28174075059888209</v>
      </c>
      <c r="E40" s="111">
        <f t="shared" si="27"/>
        <v>0.41451346893897745</v>
      </c>
      <c r="F40" s="130">
        <f t="shared" si="27"/>
        <v>0.35229041597721705</v>
      </c>
      <c r="G40" s="106">
        <f t="shared" si="27"/>
        <v>0.33241385897945042</v>
      </c>
      <c r="H40" s="106">
        <f t="shared" si="27"/>
        <v>0.34025635807082427</v>
      </c>
      <c r="I40" s="106">
        <f t="shared" si="27"/>
        <v>0.35104110760189849</v>
      </c>
      <c r="J40" s="131">
        <f t="shared" si="27"/>
        <v>0.36269236503623498</v>
      </c>
      <c r="K40" s="97"/>
    </row>
    <row r="41" spans="1:28" outlineLevel="1" x14ac:dyDescent="0.45">
      <c r="B41" s="57" t="s">
        <v>29</v>
      </c>
      <c r="C41" s="98">
        <f>-C36</f>
        <v>-3351</v>
      </c>
      <c r="D41" s="42">
        <f>-D36</f>
        <v>-3726</v>
      </c>
      <c r="E41" s="43">
        <f>-E36</f>
        <v>-3234</v>
      </c>
      <c r="F41" s="78">
        <f t="shared" ref="F41:J41" si="28">-F36</f>
        <v>-5076.1615827046417</v>
      </c>
      <c r="G41" s="102">
        <f t="shared" si="28"/>
        <v>-5243.0658454515151</v>
      </c>
      <c r="H41" s="102">
        <f t="shared" si="28"/>
        <v>-5243.0658454515151</v>
      </c>
      <c r="I41" s="102">
        <f t="shared" si="28"/>
        <v>-5243.0658454515151</v>
      </c>
      <c r="J41" s="79">
        <f t="shared" si="28"/>
        <v>-5243.0658454515151</v>
      </c>
      <c r="K41" s="97"/>
    </row>
    <row r="42" spans="1:28" outlineLevel="1" x14ac:dyDescent="0.45">
      <c r="B42" s="57" t="s">
        <v>125</v>
      </c>
      <c r="C42" s="98">
        <f>-C38</f>
        <v>-388</v>
      </c>
      <c r="D42" s="42">
        <f t="shared" ref="D42:J42" si="29">-D38</f>
        <v>-466</v>
      </c>
      <c r="E42" s="43">
        <f t="shared" si="29"/>
        <v>-268</v>
      </c>
      <c r="F42" s="78">
        <f t="shared" si="29"/>
        <v>0</v>
      </c>
      <c r="G42" s="102">
        <f t="shared" si="29"/>
        <v>0</v>
      </c>
      <c r="H42" s="102">
        <f t="shared" si="29"/>
        <v>0</v>
      </c>
      <c r="I42" s="102">
        <f t="shared" si="29"/>
        <v>0</v>
      </c>
      <c r="J42" s="79">
        <f t="shared" si="29"/>
        <v>0</v>
      </c>
      <c r="K42" s="97"/>
    </row>
    <row r="43" spans="1:28" outlineLevel="1" x14ac:dyDescent="0.45">
      <c r="B43" s="57" t="s">
        <v>113</v>
      </c>
      <c r="C43" s="98">
        <v>-899</v>
      </c>
      <c r="D43" s="42">
        <v>-5074</v>
      </c>
      <c r="E43" s="43">
        <v>-2243</v>
      </c>
      <c r="F43" s="78">
        <f>E43</f>
        <v>-2243</v>
      </c>
      <c r="G43" s="102">
        <f t="shared" ref="G43:J43" si="30">F43</f>
        <v>-2243</v>
      </c>
      <c r="H43" s="102">
        <f t="shared" si="30"/>
        <v>-2243</v>
      </c>
      <c r="I43" s="102">
        <f t="shared" si="30"/>
        <v>-2243</v>
      </c>
      <c r="J43" s="79">
        <f t="shared" si="30"/>
        <v>-2243</v>
      </c>
      <c r="K43" s="97"/>
    </row>
    <row r="44" spans="1:28" outlineLevel="1" x14ac:dyDescent="0.45">
      <c r="B44" s="56"/>
      <c r="C44" s="98"/>
      <c r="D44" s="42"/>
      <c r="E44" s="43"/>
      <c r="F44" s="78"/>
      <c r="G44" s="102"/>
      <c r="H44" s="102"/>
      <c r="I44" s="102"/>
      <c r="J44" s="79"/>
      <c r="K44" s="97"/>
    </row>
    <row r="45" spans="1:28" s="19" customFormat="1" ht="14.1" outlineLevel="1" thickBot="1" x14ac:dyDescent="0.5">
      <c r="A45" s="123"/>
      <c r="B45" s="80" t="s">
        <v>22</v>
      </c>
      <c r="C45" s="39">
        <f>C39+SUM(C41:C43)</f>
        <v>11955</v>
      </c>
      <c r="D45" s="39">
        <f t="shared" ref="D45:J45" si="31">D39+SUM(D41:D43)</f>
        <v>1319</v>
      </c>
      <c r="E45" s="40">
        <f>E39+SUM(E41:E43)</f>
        <v>10843</v>
      </c>
      <c r="F45" s="81">
        <f t="shared" si="31"/>
        <v>15483.857233627066</v>
      </c>
      <c r="G45" s="41">
        <f t="shared" si="31"/>
        <v>12724.829746042662</v>
      </c>
      <c r="H45" s="41">
        <f t="shared" si="31"/>
        <v>11477.067476915858</v>
      </c>
      <c r="I45" s="41">
        <f t="shared" si="31"/>
        <v>10065.98953464341</v>
      </c>
      <c r="J45" s="49">
        <f t="shared" si="31"/>
        <v>8835.0905811790581</v>
      </c>
      <c r="K45" s="117"/>
      <c r="L45" s="164"/>
      <c r="M45" s="164"/>
      <c r="N45" s="164"/>
      <c r="O45" s="164"/>
      <c r="P45" s="164"/>
      <c r="Q45" s="164"/>
      <c r="R45" s="164"/>
      <c r="S45" s="164"/>
      <c r="T45" s="164"/>
      <c r="U45" s="164"/>
      <c r="V45" s="164"/>
      <c r="W45" s="164"/>
      <c r="X45" s="164"/>
      <c r="Y45" s="164"/>
      <c r="Z45" s="164"/>
      <c r="AA45" s="164"/>
      <c r="AB45" s="164"/>
    </row>
    <row r="46" spans="1:28" s="48" customFormat="1" ht="14.1" outlineLevel="1" thickTop="1" x14ac:dyDescent="0.45">
      <c r="A46" s="124"/>
      <c r="B46" s="59" t="s">
        <v>92</v>
      </c>
      <c r="C46" s="105">
        <f>C45/C$19</f>
        <v>0.32686261107313741</v>
      </c>
      <c r="D46" s="110">
        <f t="shared" ref="D46" si="32">D45/D$19</f>
        <v>3.5107798775618843E-2</v>
      </c>
      <c r="E46" s="111">
        <f t="shared" ref="E46" si="33">E45/E$19</f>
        <v>0.27095307111799688</v>
      </c>
      <c r="F46" s="112">
        <f t="shared" ref="F46" si="34">F45/F$19</f>
        <v>0.23921457723218373</v>
      </c>
      <c r="G46" s="112">
        <f t="shared" ref="G46" si="35">G45/G$19</f>
        <v>0.20928858602974096</v>
      </c>
      <c r="H46" s="112">
        <f t="shared" ref="H46" si="36">H45/H$19</f>
        <v>0.20593354034073588</v>
      </c>
      <c r="I46" s="112">
        <f t="shared" ref="I46" si="37">I45/I$19</f>
        <v>0.20131979069286818</v>
      </c>
      <c r="J46" s="112">
        <f t="shared" ref="J46" si="38">J45/J$19</f>
        <v>0.19633534624842353</v>
      </c>
      <c r="K46" s="212"/>
      <c r="L46" s="220"/>
      <c r="M46" s="220"/>
      <c r="N46" s="220"/>
      <c r="O46" s="220"/>
      <c r="P46" s="220"/>
      <c r="Q46" s="220"/>
      <c r="R46" s="220"/>
      <c r="S46" s="220"/>
      <c r="T46" s="220"/>
      <c r="U46" s="220"/>
      <c r="V46" s="220"/>
      <c r="W46" s="220"/>
      <c r="X46" s="220"/>
      <c r="Y46" s="220"/>
      <c r="Z46" s="220"/>
      <c r="AA46" s="220"/>
      <c r="AB46" s="220"/>
    </row>
    <row r="47" spans="1:28" ht="14.1" outlineLevel="1" thickBot="1" x14ac:dyDescent="0.5">
      <c r="B47" s="56"/>
      <c r="C47" s="95"/>
      <c r="D47" s="35"/>
      <c r="E47" s="36"/>
      <c r="F47" s="37"/>
      <c r="G47" s="37"/>
      <c r="H47" s="37"/>
      <c r="I47" s="37"/>
      <c r="J47" s="37"/>
      <c r="K47" s="213"/>
    </row>
    <row r="48" spans="1:28" ht="14.1" outlineLevel="1" thickBot="1" x14ac:dyDescent="0.5">
      <c r="B48" s="56" t="s">
        <v>23</v>
      </c>
      <c r="C48" s="98">
        <v>423</v>
      </c>
      <c r="D48" s="42">
        <v>527</v>
      </c>
      <c r="E48" s="43">
        <v>375</v>
      </c>
      <c r="F48" s="253">
        <f>F269</f>
        <v>375</v>
      </c>
      <c r="G48" s="253">
        <f t="shared" ref="G48:J48" si="39">G269</f>
        <v>375.2812983711579</v>
      </c>
      <c r="H48" s="253">
        <f t="shared" si="39"/>
        <v>346.10490510876605</v>
      </c>
      <c r="I48" s="253">
        <f t="shared" si="39"/>
        <v>364.05311423045504</v>
      </c>
      <c r="J48" s="253">
        <f t="shared" si="39"/>
        <v>374.39878717216357</v>
      </c>
      <c r="K48" s="50" t="s">
        <v>208</v>
      </c>
    </row>
    <row r="49" spans="1:28" outlineLevel="1" x14ac:dyDescent="0.45">
      <c r="B49" s="56" t="s">
        <v>24</v>
      </c>
      <c r="C49" s="98">
        <v>-2314</v>
      </c>
      <c r="D49" s="42">
        <v>-3746</v>
      </c>
      <c r="E49" s="43">
        <v>-3283</v>
      </c>
      <c r="F49" s="253">
        <f>F263</f>
        <v>-3996.96</v>
      </c>
      <c r="G49" s="253">
        <f t="shared" ref="G49:J49" si="40">G263</f>
        <v>-3996.96</v>
      </c>
      <c r="H49" s="253">
        <f t="shared" si="40"/>
        <v>-3996.96</v>
      </c>
      <c r="I49" s="253">
        <f t="shared" si="40"/>
        <v>-3996.96</v>
      </c>
      <c r="J49" s="253">
        <f t="shared" si="40"/>
        <v>-3996.96</v>
      </c>
      <c r="K49" s="50" t="s">
        <v>208</v>
      </c>
    </row>
    <row r="50" spans="1:28" outlineLevel="1" x14ac:dyDescent="0.45">
      <c r="B50" s="56" t="s">
        <v>115</v>
      </c>
      <c r="C50" s="98">
        <v>-182</v>
      </c>
      <c r="D50" s="42">
        <v>-681</v>
      </c>
      <c r="E50" s="43">
        <v>-1063</v>
      </c>
      <c r="F50" s="44">
        <f>E50</f>
        <v>-1063</v>
      </c>
      <c r="G50" s="44">
        <f t="shared" ref="G50:J50" si="41">F50</f>
        <v>-1063</v>
      </c>
      <c r="H50" s="44">
        <f t="shared" si="41"/>
        <v>-1063</v>
      </c>
      <c r="I50" s="44">
        <f t="shared" si="41"/>
        <v>-1063</v>
      </c>
      <c r="J50" s="44">
        <f t="shared" si="41"/>
        <v>-1063</v>
      </c>
      <c r="K50" s="254"/>
    </row>
    <row r="51" spans="1:28" ht="14.1" outlineLevel="1" thickBot="1" x14ac:dyDescent="0.5">
      <c r="B51" s="56" t="s">
        <v>114</v>
      </c>
      <c r="C51" s="98">
        <v>-3066</v>
      </c>
      <c r="D51" s="42">
        <v>-194</v>
      </c>
      <c r="E51" s="43">
        <v>-1903</v>
      </c>
      <c r="F51" s="44">
        <f>E51</f>
        <v>-1903</v>
      </c>
      <c r="G51" s="44">
        <f t="shared" ref="G51:J51" si="42">F51</f>
        <v>-1903</v>
      </c>
      <c r="H51" s="44">
        <f t="shared" si="42"/>
        <v>-1903</v>
      </c>
      <c r="I51" s="44">
        <f t="shared" si="42"/>
        <v>-1903</v>
      </c>
      <c r="J51" s="44">
        <f t="shared" si="42"/>
        <v>-1903</v>
      </c>
      <c r="K51" s="255"/>
    </row>
    <row r="52" spans="1:28" s="19" customFormat="1" ht="14.1" outlineLevel="1" thickBot="1" x14ac:dyDescent="0.5">
      <c r="A52" s="123"/>
      <c r="B52" s="80" t="s">
        <v>94</v>
      </c>
      <c r="C52" s="39">
        <f>C45+SUM(C48:C51)</f>
        <v>6816</v>
      </c>
      <c r="D52" s="39">
        <f t="shared" ref="D52:J52" si="43">D45+SUM(D48:D51)</f>
        <v>-2775</v>
      </c>
      <c r="E52" s="40">
        <f t="shared" si="43"/>
        <v>4969</v>
      </c>
      <c r="F52" s="41">
        <f t="shared" si="43"/>
        <v>8895.8972336270672</v>
      </c>
      <c r="G52" s="41">
        <f>G45+SUM(G48:G51)</f>
        <v>6137.1510444138203</v>
      </c>
      <c r="H52" s="41">
        <f t="shared" si="43"/>
        <v>4860.2123820246234</v>
      </c>
      <c r="I52" s="41">
        <f t="shared" si="43"/>
        <v>3467.0826488738639</v>
      </c>
      <c r="J52" s="49">
        <f t="shared" si="43"/>
        <v>2246.5293683512218</v>
      </c>
      <c r="K52" s="214"/>
      <c r="L52" s="164"/>
      <c r="M52" s="164"/>
      <c r="N52" s="164"/>
      <c r="O52" s="164"/>
      <c r="P52" s="164"/>
      <c r="Q52" s="164"/>
      <c r="R52" s="164"/>
      <c r="S52" s="164"/>
      <c r="T52" s="164"/>
      <c r="U52" s="164"/>
      <c r="V52" s="164"/>
      <c r="W52" s="164"/>
      <c r="X52" s="164"/>
      <c r="Y52" s="164"/>
      <c r="Z52" s="164"/>
      <c r="AA52" s="164"/>
      <c r="AB52" s="164"/>
    </row>
    <row r="53" spans="1:28" ht="14.1" outlineLevel="1" thickTop="1" x14ac:dyDescent="0.45">
      <c r="B53" s="59" t="s">
        <v>95</v>
      </c>
      <c r="C53" s="105">
        <f>C52/C$19</f>
        <v>0.18635680109364319</v>
      </c>
      <c r="D53" s="110">
        <f t="shared" ref="D53:J53" si="44">D52/D$19</f>
        <v>-7.386212403513441E-2</v>
      </c>
      <c r="E53" s="111">
        <f t="shared" si="44"/>
        <v>0.12416912389424759</v>
      </c>
      <c r="F53" s="130">
        <f t="shared" si="44"/>
        <v>0.13743528267759447</v>
      </c>
      <c r="G53" s="106">
        <f t="shared" si="44"/>
        <v>0.10093932020864699</v>
      </c>
      <c r="H53" s="106">
        <f t="shared" si="44"/>
        <v>8.7207010384082059E-2</v>
      </c>
      <c r="I53" s="106">
        <f t="shared" si="44"/>
        <v>6.9341652977477283E-2</v>
      </c>
      <c r="J53" s="131">
        <f t="shared" si="44"/>
        <v>4.9922874852249374E-2</v>
      </c>
      <c r="K53" s="117"/>
    </row>
    <row r="54" spans="1:28" outlineLevel="1" x14ac:dyDescent="0.45">
      <c r="B54" s="59"/>
      <c r="C54" s="105"/>
      <c r="D54" s="110"/>
      <c r="E54" s="111"/>
      <c r="F54" s="130"/>
      <c r="G54" s="106"/>
      <c r="H54" s="106"/>
      <c r="I54" s="106"/>
      <c r="J54" s="131"/>
      <c r="K54" s="117"/>
    </row>
    <row r="55" spans="1:28" outlineLevel="1" x14ac:dyDescent="0.45">
      <c r="B55" s="56" t="s">
        <v>116</v>
      </c>
      <c r="C55" s="98">
        <v>-752</v>
      </c>
      <c r="D55" s="42">
        <v>-1522</v>
      </c>
      <c r="E55" s="43">
        <v>-3398</v>
      </c>
      <c r="F55" s="130"/>
      <c r="G55" s="106"/>
      <c r="H55" s="106"/>
      <c r="I55" s="106"/>
      <c r="J55" s="131"/>
      <c r="K55" s="117"/>
    </row>
    <row r="56" spans="1:28" ht="14.1" outlineLevel="1" thickBot="1" x14ac:dyDescent="0.5">
      <c r="B56" s="56" t="s">
        <v>117</v>
      </c>
      <c r="C56" s="98">
        <v>924</v>
      </c>
      <c r="D56" s="42">
        <v>2117</v>
      </c>
      <c r="E56" s="43">
        <v>2960</v>
      </c>
      <c r="F56" s="130"/>
      <c r="G56" s="106"/>
      <c r="H56" s="106"/>
      <c r="I56" s="106"/>
      <c r="J56" s="131"/>
      <c r="K56" s="117"/>
    </row>
    <row r="57" spans="1:28" ht="14.1" outlineLevel="1" thickBot="1" x14ac:dyDescent="0.5">
      <c r="B57" s="80" t="s">
        <v>25</v>
      </c>
      <c r="C57" s="39">
        <v>172</v>
      </c>
      <c r="D57" s="39">
        <v>595</v>
      </c>
      <c r="E57" s="40">
        <v>-438</v>
      </c>
      <c r="F57" s="81">
        <f>-F52*F58</f>
        <v>-889.58972336270676</v>
      </c>
      <c r="G57" s="41">
        <f>-G52*G58</f>
        <v>-613.7151044413821</v>
      </c>
      <c r="H57" s="41">
        <f>-H52*H58</f>
        <v>-486.02123820246237</v>
      </c>
      <c r="I57" s="41">
        <f>-I52*I58</f>
        <v>-346.70826488738641</v>
      </c>
      <c r="J57" s="49">
        <f>-J52*J58</f>
        <v>-224.6529368351222</v>
      </c>
      <c r="K57" s="211" t="s">
        <v>26</v>
      </c>
    </row>
    <row r="58" spans="1:28" ht="14.1" outlineLevel="1" thickTop="1" x14ac:dyDescent="0.45">
      <c r="B58" s="59" t="s">
        <v>96</v>
      </c>
      <c r="C58" s="105">
        <f>C$57/C52</f>
        <v>2.5234741784037559E-2</v>
      </c>
      <c r="D58" s="110">
        <f>D$57/D52</f>
        <v>-0.21441441441441442</v>
      </c>
      <c r="E58" s="111">
        <f>E$57/E52</f>
        <v>-8.8146508351781047E-2</v>
      </c>
      <c r="F58" s="112">
        <f>10%</f>
        <v>0.1</v>
      </c>
      <c r="G58" s="112">
        <f>10%</f>
        <v>0.1</v>
      </c>
      <c r="H58" s="112">
        <f>10%</f>
        <v>0.1</v>
      </c>
      <c r="I58" s="112">
        <f>10%</f>
        <v>0.1</v>
      </c>
      <c r="J58" s="112">
        <f>10%</f>
        <v>0.1</v>
      </c>
      <c r="K58" s="50"/>
    </row>
    <row r="59" spans="1:28" s="19" customFormat="1" ht="14.1" outlineLevel="1" thickBot="1" x14ac:dyDescent="0.5">
      <c r="A59" s="123"/>
      <c r="B59" s="80" t="s">
        <v>28</v>
      </c>
      <c r="C59" s="39">
        <f t="shared" ref="C59:J59" si="45">C52+C57</f>
        <v>6988</v>
      </c>
      <c r="D59" s="39">
        <f t="shared" si="45"/>
        <v>-2180</v>
      </c>
      <c r="E59" s="40">
        <f t="shared" si="45"/>
        <v>4531</v>
      </c>
      <c r="F59" s="41">
        <f t="shared" si="45"/>
        <v>8006.3075102643606</v>
      </c>
      <c r="G59" s="41">
        <f>G52+G57</f>
        <v>5523.4359399724381</v>
      </c>
      <c r="H59" s="41">
        <f t="shared" si="45"/>
        <v>4374.1911438221614</v>
      </c>
      <c r="I59" s="41">
        <f t="shared" si="45"/>
        <v>3120.3743839864774</v>
      </c>
      <c r="J59" s="49">
        <f t="shared" si="45"/>
        <v>2021.8764315160997</v>
      </c>
      <c r="K59" s="213"/>
      <c r="L59" s="164"/>
      <c r="M59" s="164"/>
      <c r="N59" s="164"/>
      <c r="O59" s="164"/>
      <c r="P59" s="164"/>
      <c r="Q59" s="164"/>
      <c r="R59" s="164"/>
      <c r="S59" s="164"/>
      <c r="T59" s="164"/>
      <c r="U59" s="164"/>
      <c r="V59" s="164"/>
      <c r="W59" s="164"/>
      <c r="X59" s="164"/>
      <c r="Y59" s="164"/>
      <c r="Z59" s="164"/>
      <c r="AA59" s="164"/>
      <c r="AB59" s="164"/>
    </row>
    <row r="60" spans="1:28" s="48" customFormat="1" ht="14.1" outlineLevel="1" thickTop="1" x14ac:dyDescent="0.45">
      <c r="A60" s="124"/>
      <c r="B60" s="59" t="s">
        <v>118</v>
      </c>
      <c r="C60" s="105">
        <f>C59/C$19</f>
        <v>0.19105946684894054</v>
      </c>
      <c r="D60" s="105">
        <f t="shared" ref="D60:J60" si="46">D59/D$19</f>
        <v>-5.8025019962736228E-2</v>
      </c>
      <c r="E60" s="111">
        <f t="shared" si="46"/>
        <v>0.11322404917786996</v>
      </c>
      <c r="F60" s="106">
        <f t="shared" si="46"/>
        <v>0.12369175440983503</v>
      </c>
      <c r="G60" s="106">
        <f t="shared" si="46"/>
        <v>9.0845388187782289E-2</v>
      </c>
      <c r="H60" s="106">
        <f t="shared" si="46"/>
        <v>7.8486309345673869E-2</v>
      </c>
      <c r="I60" s="106">
        <f t="shared" si="46"/>
        <v>6.2407487679729548E-2</v>
      </c>
      <c r="J60" s="106">
        <f t="shared" si="46"/>
        <v>4.493058736702444E-2</v>
      </c>
      <c r="K60" s="212"/>
      <c r="L60" s="220"/>
      <c r="M60" s="220"/>
      <c r="N60" s="220"/>
      <c r="O60" s="220"/>
      <c r="P60" s="220"/>
      <c r="Q60" s="220"/>
      <c r="R60" s="220"/>
      <c r="S60" s="220"/>
      <c r="T60" s="220"/>
      <c r="U60" s="220"/>
      <c r="V60" s="220"/>
      <c r="W60" s="220"/>
      <c r="X60" s="220"/>
      <c r="Y60" s="220"/>
      <c r="Z60" s="220"/>
      <c r="AA60" s="220"/>
      <c r="AB60" s="220"/>
    </row>
    <row r="61" spans="1:28" s="48" customFormat="1" outlineLevel="1" x14ac:dyDescent="0.45">
      <c r="A61" s="124"/>
      <c r="B61" s="59"/>
      <c r="C61" s="45"/>
      <c r="D61" s="45"/>
      <c r="E61" s="46"/>
      <c r="F61" s="47"/>
      <c r="G61" s="47"/>
      <c r="H61" s="47"/>
      <c r="I61" s="47"/>
      <c r="J61" s="47"/>
      <c r="K61" s="212"/>
      <c r="L61" s="220"/>
      <c r="M61" s="220"/>
      <c r="N61" s="220"/>
      <c r="O61" s="220"/>
      <c r="P61" s="220"/>
      <c r="Q61" s="220"/>
      <c r="R61" s="220"/>
      <c r="S61" s="220"/>
      <c r="T61" s="220"/>
      <c r="U61" s="220"/>
      <c r="V61" s="220"/>
      <c r="W61" s="220"/>
      <c r="X61" s="220"/>
      <c r="Y61" s="220"/>
      <c r="Z61" s="220"/>
      <c r="AA61" s="220"/>
      <c r="AB61" s="220"/>
    </row>
    <row r="62" spans="1:28" s="48" customFormat="1" outlineLevel="1" x14ac:dyDescent="0.45">
      <c r="A62" s="125"/>
      <c r="B62" s="56" t="s">
        <v>98</v>
      </c>
      <c r="C62" s="98">
        <v>-92</v>
      </c>
      <c r="D62" s="42">
        <v>0</v>
      </c>
      <c r="E62" s="43">
        <v>0</v>
      </c>
      <c r="F62" s="44">
        <f>$E$62</f>
        <v>0</v>
      </c>
      <c r="G62" s="44">
        <f t="shared" ref="G62:J62" si="47">$E$62</f>
        <v>0</v>
      </c>
      <c r="H62" s="44">
        <f t="shared" si="47"/>
        <v>0</v>
      </c>
      <c r="I62" s="44">
        <f t="shared" si="47"/>
        <v>0</v>
      </c>
      <c r="J62" s="44">
        <f t="shared" si="47"/>
        <v>0</v>
      </c>
      <c r="K62" s="212"/>
      <c r="L62" s="220"/>
      <c r="M62" s="220"/>
      <c r="N62" s="220"/>
      <c r="O62" s="220"/>
      <c r="P62" s="220"/>
      <c r="Q62" s="220"/>
      <c r="R62" s="220"/>
      <c r="S62" s="220"/>
      <c r="T62" s="220"/>
      <c r="U62" s="220"/>
      <c r="V62" s="220"/>
      <c r="W62" s="220"/>
      <c r="X62" s="220"/>
      <c r="Y62" s="220"/>
      <c r="Z62" s="220"/>
      <c r="AA62" s="220"/>
      <c r="AB62" s="220"/>
    </row>
    <row r="63" spans="1:28" s="48" customFormat="1" ht="14.1" outlineLevel="1" thickBot="1" x14ac:dyDescent="0.5">
      <c r="A63" s="124"/>
      <c r="B63" s="80" t="s">
        <v>99</v>
      </c>
      <c r="C63" s="39">
        <f t="shared" ref="C63:J63" si="48">C59+C62</f>
        <v>6896</v>
      </c>
      <c r="D63" s="39">
        <f t="shared" si="48"/>
        <v>-2180</v>
      </c>
      <c r="E63" s="40">
        <f t="shared" si="48"/>
        <v>4531</v>
      </c>
      <c r="F63" s="41">
        <f t="shared" si="48"/>
        <v>8006.3075102643606</v>
      </c>
      <c r="G63" s="41">
        <f t="shared" si="48"/>
        <v>5523.4359399724381</v>
      </c>
      <c r="H63" s="41">
        <f t="shared" si="48"/>
        <v>4374.1911438221614</v>
      </c>
      <c r="I63" s="41">
        <f t="shared" si="48"/>
        <v>3120.3743839864774</v>
      </c>
      <c r="J63" s="49">
        <f t="shared" si="48"/>
        <v>2021.8764315160997</v>
      </c>
      <c r="K63" s="212"/>
      <c r="L63" s="220"/>
      <c r="M63" s="220"/>
      <c r="N63" s="220"/>
      <c r="O63" s="220"/>
      <c r="P63" s="220"/>
      <c r="Q63" s="220"/>
      <c r="R63" s="220"/>
      <c r="S63" s="220"/>
      <c r="T63" s="220"/>
      <c r="U63" s="220"/>
      <c r="V63" s="220"/>
      <c r="W63" s="220"/>
      <c r="X63" s="220"/>
      <c r="Y63" s="220"/>
      <c r="Z63" s="220"/>
      <c r="AA63" s="220"/>
      <c r="AB63" s="220"/>
    </row>
    <row r="64" spans="1:28" s="48" customFormat="1" ht="14.1" outlineLevel="1" thickTop="1" x14ac:dyDescent="0.45">
      <c r="A64" s="124"/>
      <c r="B64" s="62"/>
      <c r="C64" s="45"/>
      <c r="D64" s="45"/>
      <c r="E64" s="46"/>
      <c r="F64" s="47"/>
      <c r="G64" s="47"/>
      <c r="H64" s="47"/>
      <c r="I64" s="47"/>
      <c r="J64" s="47"/>
      <c r="K64" s="212"/>
      <c r="L64" s="220"/>
      <c r="M64" s="220"/>
      <c r="N64" s="220"/>
      <c r="O64" s="220"/>
      <c r="P64" s="220"/>
      <c r="Q64" s="220"/>
      <c r="R64" s="220"/>
      <c r="S64" s="220"/>
      <c r="T64" s="220"/>
      <c r="U64" s="220"/>
      <c r="V64" s="220"/>
      <c r="W64" s="220"/>
      <c r="X64" s="220"/>
      <c r="Y64" s="220"/>
      <c r="Z64" s="220"/>
      <c r="AA64" s="220"/>
      <c r="AB64" s="220"/>
    </row>
    <row r="65" spans="1:28" s="48" customFormat="1" outlineLevel="1" x14ac:dyDescent="0.45">
      <c r="A65" s="122"/>
      <c r="B65" s="56" t="s">
        <v>100</v>
      </c>
      <c r="C65" s="98">
        <v>36</v>
      </c>
      <c r="D65" s="42">
        <v>-497</v>
      </c>
      <c r="E65" s="43">
        <v>-350</v>
      </c>
      <c r="F65" s="44">
        <f>MIN($C$65:$E$65)</f>
        <v>-497</v>
      </c>
      <c r="G65" s="44">
        <f t="shared" ref="G65:J65" si="49">MIN($C$65:$E$65)</f>
        <v>-497</v>
      </c>
      <c r="H65" s="44">
        <f t="shared" si="49"/>
        <v>-497</v>
      </c>
      <c r="I65" s="44">
        <f t="shared" si="49"/>
        <v>-497</v>
      </c>
      <c r="J65" s="44">
        <f t="shared" si="49"/>
        <v>-497</v>
      </c>
      <c r="K65" s="212"/>
      <c r="L65" s="220"/>
      <c r="M65" s="220"/>
      <c r="N65" s="220"/>
      <c r="O65" s="220"/>
      <c r="P65" s="220"/>
      <c r="Q65" s="220"/>
      <c r="R65" s="220"/>
      <c r="S65" s="220"/>
      <c r="T65" s="220"/>
      <c r="U65" s="220"/>
      <c r="V65" s="220"/>
      <c r="W65" s="220"/>
      <c r="X65" s="220"/>
      <c r="Y65" s="220"/>
      <c r="Z65" s="220"/>
      <c r="AA65" s="220"/>
      <c r="AB65" s="220"/>
    </row>
    <row r="66" spans="1:28" s="48" customFormat="1" outlineLevel="1" x14ac:dyDescent="0.45">
      <c r="A66" s="124"/>
      <c r="B66" s="99" t="s">
        <v>101</v>
      </c>
      <c r="C66" s="108">
        <f>C65/C63</f>
        <v>5.2204176334106726E-3</v>
      </c>
      <c r="D66" s="108">
        <f t="shared" ref="D66:J66" si="50">D65/D63</f>
        <v>0.22798165137614679</v>
      </c>
      <c r="E66" s="109">
        <f>E65/E63</f>
        <v>-7.7245641138821458E-2</v>
      </c>
      <c r="F66" s="118">
        <f t="shared" si="50"/>
        <v>-6.2076056829297274E-2</v>
      </c>
      <c r="G66" s="118">
        <f t="shared" si="50"/>
        <v>-8.998022343361875E-2</v>
      </c>
      <c r="H66" s="118">
        <f t="shared" si="50"/>
        <v>-0.11362100641210712</v>
      </c>
      <c r="I66" s="118">
        <f t="shared" si="50"/>
        <v>-0.15927575952121834</v>
      </c>
      <c r="J66" s="118">
        <f t="shared" si="50"/>
        <v>-0.24581126336554882</v>
      </c>
      <c r="K66" s="212"/>
      <c r="L66" s="220"/>
      <c r="M66" s="220"/>
      <c r="N66" s="220"/>
      <c r="O66" s="220"/>
      <c r="P66" s="220"/>
      <c r="Q66" s="220"/>
      <c r="R66" s="220"/>
      <c r="S66" s="220"/>
      <c r="T66" s="220"/>
      <c r="U66" s="220"/>
      <c r="V66" s="220"/>
      <c r="W66" s="220"/>
      <c r="X66" s="220"/>
      <c r="Y66" s="220"/>
      <c r="Z66" s="220"/>
      <c r="AA66" s="220"/>
      <c r="AB66" s="220"/>
    </row>
    <row r="67" spans="1:28" s="19" customFormat="1" ht="13.8" customHeight="1" thickBot="1" x14ac:dyDescent="0.5">
      <c r="A67" s="123"/>
      <c r="B67" s="100" t="s">
        <v>102</v>
      </c>
      <c r="C67" s="39">
        <f>C63-C65</f>
        <v>6860</v>
      </c>
      <c r="D67" s="39">
        <f t="shared" ref="D67:J67" si="51">D63-D65</f>
        <v>-1683</v>
      </c>
      <c r="E67" s="40">
        <f>E63-E65</f>
        <v>4881</v>
      </c>
      <c r="F67" s="41">
        <f t="shared" si="51"/>
        <v>8503.3075102643597</v>
      </c>
      <c r="G67" s="41">
        <f t="shared" si="51"/>
        <v>6020.4359399724381</v>
      </c>
      <c r="H67" s="41">
        <f t="shared" si="51"/>
        <v>4871.1911438221614</v>
      </c>
      <c r="I67" s="41">
        <f t="shared" si="51"/>
        <v>3617.3743839864774</v>
      </c>
      <c r="J67" s="49">
        <f t="shared" si="51"/>
        <v>2518.8764315160997</v>
      </c>
      <c r="K67" s="215"/>
      <c r="L67" s="164"/>
      <c r="M67" s="164"/>
      <c r="N67" s="164"/>
      <c r="O67" s="164"/>
      <c r="P67" s="164"/>
      <c r="Q67" s="164"/>
      <c r="R67" s="164"/>
      <c r="S67" s="164"/>
      <c r="T67" s="164"/>
      <c r="U67" s="164"/>
      <c r="V67" s="164"/>
      <c r="W67" s="164"/>
      <c r="X67" s="164"/>
      <c r="Y67" s="164"/>
      <c r="Z67" s="164"/>
      <c r="AA67" s="164"/>
      <c r="AB67" s="164"/>
    </row>
    <row r="68" spans="1:28" s="48" customFormat="1" ht="14.1" hidden="1" outlineLevel="1" thickTop="1" x14ac:dyDescent="0.45">
      <c r="A68" s="124"/>
      <c r="B68" s="59"/>
      <c r="C68" s="45"/>
      <c r="D68" s="45"/>
      <c r="E68" s="46"/>
      <c r="F68" s="47"/>
      <c r="G68" s="47"/>
      <c r="H68" s="47"/>
      <c r="I68" s="47"/>
      <c r="J68" s="47"/>
      <c r="K68" s="212"/>
      <c r="L68" s="220"/>
      <c r="M68" s="220"/>
      <c r="N68" s="220"/>
      <c r="O68" s="220"/>
      <c r="P68" s="220"/>
      <c r="Q68" s="220"/>
      <c r="R68" s="220"/>
      <c r="S68" s="220"/>
      <c r="T68" s="220"/>
      <c r="U68" s="220"/>
      <c r="V68" s="220"/>
      <c r="W68" s="220"/>
      <c r="X68" s="220"/>
      <c r="Y68" s="220"/>
      <c r="Z68" s="220"/>
      <c r="AA68" s="220"/>
      <c r="AB68" s="220"/>
    </row>
    <row r="69" spans="1:28" s="48" customFormat="1" hidden="1" outlineLevel="1" x14ac:dyDescent="0.45">
      <c r="A69" s="124"/>
      <c r="B69" s="103" t="s">
        <v>103</v>
      </c>
      <c r="C69" s="119">
        <f>C$67*1000/C71</f>
        <v>1.3248297033771956</v>
      </c>
      <c r="D69" s="60">
        <f t="shared" ref="D69:J69" si="52">D$67*1000/D71</f>
        <v>-0.32820132801606877</v>
      </c>
      <c r="E69" s="120">
        <f t="shared" si="52"/>
        <v>0.95153896465308596</v>
      </c>
      <c r="F69" s="61">
        <f t="shared" si="52"/>
        <v>1.6576989191648759</v>
      </c>
      <c r="G69" s="61">
        <f t="shared" si="52"/>
        <v>1.1736692032537599</v>
      </c>
      <c r="H69" s="61">
        <f t="shared" si="52"/>
        <v>0.94962675222696602</v>
      </c>
      <c r="I69" s="61">
        <f t="shared" si="52"/>
        <v>0.70519825365726019</v>
      </c>
      <c r="J69" s="61">
        <f t="shared" si="52"/>
        <v>0.49104877519645346</v>
      </c>
      <c r="K69" s="212"/>
      <c r="L69" s="220"/>
      <c r="M69" s="220"/>
      <c r="N69" s="220"/>
      <c r="O69" s="220"/>
      <c r="P69" s="220"/>
      <c r="Q69" s="220"/>
      <c r="R69" s="220"/>
      <c r="S69" s="220"/>
      <c r="T69" s="220"/>
      <c r="U69" s="220"/>
      <c r="V69" s="220"/>
      <c r="W69" s="220"/>
      <c r="X69" s="220"/>
      <c r="Y69" s="220"/>
      <c r="Z69" s="220"/>
      <c r="AA69" s="220"/>
      <c r="AB69" s="220"/>
    </row>
    <row r="70" spans="1:28" s="48" customFormat="1" hidden="1" outlineLevel="1" x14ac:dyDescent="0.45">
      <c r="A70" s="124"/>
      <c r="B70" s="103" t="s">
        <v>104</v>
      </c>
      <c r="C70" s="119">
        <f>C$67*1000/C73</f>
        <v>1.3248297033771956</v>
      </c>
      <c r="D70" s="60">
        <f t="shared" ref="D70:J70" si="53">D$67*1000/D73</f>
        <v>-0.32820132801606877</v>
      </c>
      <c r="E70" s="120">
        <f t="shared" si="53"/>
        <v>0.95153896465308596</v>
      </c>
      <c r="F70" s="61">
        <f t="shared" si="53"/>
        <v>1.6576989191648759</v>
      </c>
      <c r="G70" s="61">
        <f t="shared" si="53"/>
        <v>1.1736692032537599</v>
      </c>
      <c r="H70" s="61">
        <f t="shared" si="53"/>
        <v>0.94962675222696602</v>
      </c>
      <c r="I70" s="61">
        <f t="shared" si="53"/>
        <v>0.70519825365726019</v>
      </c>
      <c r="J70" s="61">
        <f t="shared" si="53"/>
        <v>0.49104877519645346</v>
      </c>
      <c r="K70" s="212"/>
      <c r="L70" s="220"/>
      <c r="M70" s="220"/>
      <c r="N70" s="220"/>
      <c r="O70" s="220"/>
      <c r="P70" s="220"/>
      <c r="Q70" s="220"/>
      <c r="R70" s="220"/>
      <c r="S70" s="220"/>
      <c r="T70" s="220"/>
      <c r="U70" s="220"/>
      <c r="V70" s="220"/>
      <c r="W70" s="220"/>
      <c r="X70" s="220"/>
      <c r="Y70" s="220"/>
      <c r="Z70" s="220"/>
      <c r="AA70" s="220"/>
      <c r="AB70" s="220"/>
    </row>
    <row r="71" spans="1:28" s="162" customFormat="1" ht="12.6" hidden="1" outlineLevel="1" x14ac:dyDescent="0.45">
      <c r="A71" s="160"/>
      <c r="B71" s="99" t="s">
        <v>105</v>
      </c>
      <c r="C71" s="185">
        <v>5178024</v>
      </c>
      <c r="D71" s="186">
        <v>5127950</v>
      </c>
      <c r="E71" s="187">
        <v>5129585</v>
      </c>
      <c r="F71" s="188">
        <f>E71</f>
        <v>5129585</v>
      </c>
      <c r="G71" s="188">
        <f t="shared" ref="G71:J71" si="54">F71</f>
        <v>5129585</v>
      </c>
      <c r="H71" s="188">
        <f t="shared" si="54"/>
        <v>5129585</v>
      </c>
      <c r="I71" s="188">
        <f t="shared" si="54"/>
        <v>5129585</v>
      </c>
      <c r="J71" s="188">
        <f t="shared" si="54"/>
        <v>5129585</v>
      </c>
      <c r="K71" s="212"/>
      <c r="L71" s="221"/>
      <c r="M71" s="221"/>
      <c r="N71" s="221"/>
      <c r="O71" s="221"/>
      <c r="P71" s="221"/>
      <c r="Q71" s="221"/>
      <c r="R71" s="221"/>
      <c r="S71" s="221"/>
      <c r="T71" s="221"/>
      <c r="U71" s="221"/>
      <c r="V71" s="221"/>
      <c r="W71" s="221"/>
      <c r="X71" s="221"/>
      <c r="Y71" s="221"/>
      <c r="Z71" s="221"/>
      <c r="AA71" s="221"/>
      <c r="AB71" s="221"/>
    </row>
    <row r="72" spans="1:28" s="184" customFormat="1" ht="10.199999999999999" hidden="1" outlineLevel="1" x14ac:dyDescent="0.35">
      <c r="A72" s="180"/>
      <c r="B72" s="181" t="s">
        <v>119</v>
      </c>
      <c r="C72" s="182"/>
      <c r="D72" s="115">
        <f>D71/C71-1</f>
        <v>-9.6704843391997031E-3</v>
      </c>
      <c r="E72" s="116">
        <f t="shared" ref="E72:J72" si="55">E71/D71-1</f>
        <v>3.188408623329142E-4</v>
      </c>
      <c r="F72" s="183">
        <f t="shared" si="55"/>
        <v>0</v>
      </c>
      <c r="G72" s="183">
        <f t="shared" si="55"/>
        <v>0</v>
      </c>
      <c r="H72" s="183">
        <f t="shared" si="55"/>
        <v>0</v>
      </c>
      <c r="I72" s="183">
        <f t="shared" si="55"/>
        <v>0</v>
      </c>
      <c r="J72" s="183">
        <f t="shared" si="55"/>
        <v>0</v>
      </c>
      <c r="K72" s="216"/>
      <c r="L72" s="222"/>
      <c r="M72" s="222"/>
      <c r="N72" s="222"/>
      <c r="O72" s="222"/>
      <c r="P72" s="222"/>
      <c r="Q72" s="222"/>
      <c r="R72" s="222"/>
      <c r="S72" s="222"/>
      <c r="T72" s="222"/>
      <c r="U72" s="222"/>
      <c r="V72" s="222"/>
      <c r="W72" s="222"/>
      <c r="X72" s="222"/>
      <c r="Y72" s="222"/>
      <c r="Z72" s="222"/>
      <c r="AA72" s="222"/>
      <c r="AB72" s="222"/>
    </row>
    <row r="73" spans="1:28" s="162" customFormat="1" ht="12.6" hidden="1" outlineLevel="1" x14ac:dyDescent="0.45">
      <c r="A73" s="160"/>
      <c r="B73" s="99" t="s">
        <v>106</v>
      </c>
      <c r="C73" s="185">
        <v>5178024</v>
      </c>
      <c r="D73" s="186">
        <v>5127950</v>
      </c>
      <c r="E73" s="187">
        <v>5129585</v>
      </c>
      <c r="F73" s="188">
        <f>E73</f>
        <v>5129585</v>
      </c>
      <c r="G73" s="188">
        <f t="shared" ref="G73:J73" si="56">F73</f>
        <v>5129585</v>
      </c>
      <c r="H73" s="188">
        <f t="shared" si="56"/>
        <v>5129585</v>
      </c>
      <c r="I73" s="188">
        <f t="shared" si="56"/>
        <v>5129585</v>
      </c>
      <c r="J73" s="188">
        <f t="shared" si="56"/>
        <v>5129585</v>
      </c>
      <c r="K73" s="212"/>
      <c r="L73" s="221"/>
      <c r="M73" s="221"/>
      <c r="N73" s="221"/>
      <c r="O73" s="221"/>
      <c r="P73" s="221"/>
      <c r="Q73" s="221"/>
      <c r="R73" s="221"/>
      <c r="S73" s="221"/>
      <c r="T73" s="221"/>
      <c r="U73" s="221"/>
      <c r="V73" s="221"/>
      <c r="W73" s="221"/>
      <c r="X73" s="221"/>
      <c r="Y73" s="221"/>
      <c r="Z73" s="221"/>
      <c r="AA73" s="221"/>
      <c r="AB73" s="221"/>
    </row>
    <row r="74" spans="1:28" s="184" customFormat="1" ht="10.199999999999999" hidden="1" outlineLevel="1" x14ac:dyDescent="0.35">
      <c r="A74" s="180"/>
      <c r="B74" s="181" t="s">
        <v>119</v>
      </c>
      <c r="C74" s="185"/>
      <c r="D74" s="115">
        <f>D73/C73-1</f>
        <v>-9.6704843391997031E-3</v>
      </c>
      <c r="E74" s="116">
        <f t="shared" ref="E74:J74" si="57">E73/D73-1</f>
        <v>3.188408623329142E-4</v>
      </c>
      <c r="F74" s="183">
        <f t="shared" si="57"/>
        <v>0</v>
      </c>
      <c r="G74" s="183">
        <f t="shared" si="57"/>
        <v>0</v>
      </c>
      <c r="H74" s="183">
        <f t="shared" si="57"/>
        <v>0</v>
      </c>
      <c r="I74" s="183">
        <f t="shared" si="57"/>
        <v>0</v>
      </c>
      <c r="J74" s="183">
        <f t="shared" si="57"/>
        <v>0</v>
      </c>
      <c r="K74" s="216"/>
      <c r="L74" s="222"/>
      <c r="M74" s="222"/>
      <c r="N74" s="222"/>
      <c r="O74" s="222"/>
      <c r="P74" s="222"/>
      <c r="Q74" s="222"/>
      <c r="R74" s="222"/>
      <c r="S74" s="222"/>
      <c r="T74" s="222"/>
      <c r="U74" s="222"/>
      <c r="V74" s="222"/>
      <c r="W74" s="222"/>
      <c r="X74" s="222"/>
      <c r="Y74" s="222"/>
      <c r="Z74" s="222"/>
      <c r="AA74" s="222"/>
      <c r="AB74" s="222"/>
    </row>
    <row r="75" spans="1:28" s="19" customFormat="1" ht="13.8" customHeight="1" collapsed="1" thickTop="1" thickBot="1" x14ac:dyDescent="0.5">
      <c r="A75" s="123"/>
      <c r="B75" s="101"/>
      <c r="C75" s="51"/>
      <c r="D75" s="51"/>
      <c r="E75" s="52"/>
      <c r="F75" s="53"/>
      <c r="G75" s="53"/>
      <c r="H75" s="53"/>
      <c r="I75" s="53"/>
      <c r="J75" s="53"/>
      <c r="K75" s="215"/>
      <c r="L75" s="164"/>
      <c r="M75" s="164"/>
      <c r="N75" s="164"/>
      <c r="O75" s="164"/>
      <c r="P75" s="164"/>
      <c r="Q75" s="164"/>
      <c r="R75" s="164"/>
      <c r="S75" s="164"/>
      <c r="T75" s="164"/>
      <c r="U75" s="164"/>
      <c r="V75" s="164"/>
      <c r="W75" s="164"/>
      <c r="X75" s="164"/>
      <c r="Y75" s="164"/>
      <c r="Z75" s="164"/>
      <c r="AA75" s="164"/>
      <c r="AB75" s="164"/>
    </row>
    <row r="77" spans="1:28" ht="14.1" thickBot="1" x14ac:dyDescent="0.5">
      <c r="B77" s="54"/>
      <c r="C77" s="55"/>
      <c r="D77" s="55"/>
      <c r="E77" s="55"/>
      <c r="F77" s="55"/>
      <c r="G77" s="55"/>
      <c r="H77" s="55"/>
      <c r="I77" s="55"/>
      <c r="J77" s="55"/>
      <c r="K77" s="55"/>
    </row>
    <row r="78" spans="1:28" x14ac:dyDescent="0.45">
      <c r="B78" s="20" t="s">
        <v>31</v>
      </c>
      <c r="C78" s="22">
        <f>D78-1</f>
        <v>2018</v>
      </c>
      <c r="D78" s="22">
        <f>E78-1</f>
        <v>2019</v>
      </c>
      <c r="E78" s="23">
        <f>YEAR($C$9)</f>
        <v>2020</v>
      </c>
      <c r="F78" s="24">
        <f>E78+1</f>
        <v>2021</v>
      </c>
      <c r="G78" s="24">
        <f>F78+1</f>
        <v>2022</v>
      </c>
      <c r="H78" s="24">
        <f>G78+1</f>
        <v>2023</v>
      </c>
      <c r="I78" s="24">
        <f>H78+1</f>
        <v>2024</v>
      </c>
      <c r="J78" s="65">
        <f>I78+1</f>
        <v>2025</v>
      </c>
      <c r="K78" s="281" t="s">
        <v>14</v>
      </c>
    </row>
    <row r="79" spans="1:28" ht="14.1" outlineLevel="1" thickBot="1" x14ac:dyDescent="0.5">
      <c r="B79" s="25" t="s">
        <v>15</v>
      </c>
      <c r="C79" s="27">
        <f>EOMONTH(D79,-12)</f>
        <v>43465</v>
      </c>
      <c r="D79" s="27">
        <f>EOMONTH(E79,-12)</f>
        <v>43830</v>
      </c>
      <c r="E79" s="28">
        <f>$C$9</f>
        <v>44196</v>
      </c>
      <c r="F79" s="29">
        <f>EOMONTH(E79,12)</f>
        <v>44561</v>
      </c>
      <c r="G79" s="29">
        <f t="shared" ref="G79:J79" si="58">EOMONTH(F79,12)</f>
        <v>44926</v>
      </c>
      <c r="H79" s="29">
        <f t="shared" si="58"/>
        <v>45291</v>
      </c>
      <c r="I79" s="29">
        <f t="shared" si="58"/>
        <v>45657</v>
      </c>
      <c r="J79" s="66">
        <f t="shared" si="58"/>
        <v>46022</v>
      </c>
      <c r="K79" s="282"/>
    </row>
    <row r="80" spans="1:28" ht="14.1" outlineLevel="1" thickBot="1" x14ac:dyDescent="0.5">
      <c r="B80" s="30" t="s">
        <v>16</v>
      </c>
      <c r="C80" s="32">
        <f>C71</f>
        <v>5178024</v>
      </c>
      <c r="D80" s="32">
        <f t="shared" ref="D80:J80" si="59">D71</f>
        <v>5127950</v>
      </c>
      <c r="E80" s="33">
        <f t="shared" si="59"/>
        <v>5129585</v>
      </c>
      <c r="F80" s="34">
        <f t="shared" si="59"/>
        <v>5129585</v>
      </c>
      <c r="G80" s="34">
        <f t="shared" si="59"/>
        <v>5129585</v>
      </c>
      <c r="H80" s="34">
        <f t="shared" si="59"/>
        <v>5129585</v>
      </c>
      <c r="I80" s="34">
        <f t="shared" si="59"/>
        <v>5129585</v>
      </c>
      <c r="J80" s="67">
        <f t="shared" si="59"/>
        <v>5129585</v>
      </c>
      <c r="K80" s="283"/>
    </row>
    <row r="81" spans="1:28" ht="15.9" customHeight="1" outlineLevel="1" x14ac:dyDescent="0.55000000000000004">
      <c r="B81" s="71" t="s">
        <v>32</v>
      </c>
      <c r="C81" s="72"/>
      <c r="D81" s="73"/>
      <c r="E81" s="74"/>
      <c r="F81" s="75"/>
      <c r="G81" s="76"/>
      <c r="H81" s="76"/>
      <c r="I81" s="76"/>
      <c r="J81" s="77"/>
      <c r="K81" s="97"/>
    </row>
    <row r="82" spans="1:28" ht="14.4" outlineLevel="2" x14ac:dyDescent="0.55000000000000004">
      <c r="A82" s="122" t="s">
        <v>148</v>
      </c>
      <c r="B82" s="56" t="s">
        <v>33</v>
      </c>
      <c r="C82" s="72"/>
      <c r="D82" s="42">
        <f>7350+826</f>
        <v>8176</v>
      </c>
      <c r="E82" s="43">
        <f>13487+771</f>
        <v>14258</v>
      </c>
      <c r="F82" s="189">
        <f>E82+F167</f>
        <v>14268.695339135918</v>
      </c>
      <c r="G82" s="190">
        <f>F82+G167</f>
        <v>13159.369965442098</v>
      </c>
      <c r="H82" s="190">
        <f>G82+H167</f>
        <v>13841.784807194208</v>
      </c>
      <c r="I82" s="190">
        <f>H82+I167</f>
        <v>14235.141086668555</v>
      </c>
      <c r="J82" s="191">
        <f>I82+J167</f>
        <v>11235.563105580175</v>
      </c>
      <c r="K82" s="97" t="s">
        <v>162</v>
      </c>
    </row>
    <row r="83" spans="1:28" ht="14.4" outlineLevel="2" x14ac:dyDescent="0.55000000000000004">
      <c r="A83" s="122" t="s">
        <v>27</v>
      </c>
      <c r="B83" s="56" t="s">
        <v>139</v>
      </c>
      <c r="C83" s="72"/>
      <c r="D83" s="42">
        <v>2529</v>
      </c>
      <c r="E83" s="43">
        <v>4993</v>
      </c>
      <c r="F83" s="189">
        <f>F175</f>
        <v>6083.303311010045</v>
      </c>
      <c r="G83" s="190">
        <f t="shared" ref="G83:J83" si="60">G175</f>
        <v>5714.1862261982105</v>
      </c>
      <c r="H83" s="190">
        <f t="shared" si="60"/>
        <v>5237.8348718076868</v>
      </c>
      <c r="I83" s="190">
        <f t="shared" si="60"/>
        <v>4699.135389074916</v>
      </c>
      <c r="J83" s="191">
        <f t="shared" si="60"/>
        <v>4229.2218501674242</v>
      </c>
      <c r="K83" s="97" t="s">
        <v>161</v>
      </c>
    </row>
    <row r="84" spans="1:28" ht="14.7" customHeight="1" outlineLevel="2" x14ac:dyDescent="0.55000000000000004">
      <c r="A84" s="122" t="s">
        <v>27</v>
      </c>
      <c r="B84" s="56" t="s">
        <v>134</v>
      </c>
      <c r="C84" s="72"/>
      <c r="D84" s="42">
        <v>4274</v>
      </c>
      <c r="E84" s="43">
        <v>4061</v>
      </c>
      <c r="F84" s="189">
        <f>F179</f>
        <v>7765.1668239656419</v>
      </c>
      <c r="G84" s="190">
        <f t="shared" ref="G84:J84" si="61">G179</f>
        <v>7293.9991713595009</v>
      </c>
      <c r="H84" s="190">
        <f t="shared" si="61"/>
        <v>6685.9499677352542</v>
      </c>
      <c r="I84" s="190">
        <f t="shared" si="61"/>
        <v>5998.3151191106481</v>
      </c>
      <c r="J84" s="191">
        <f t="shared" si="61"/>
        <v>5398.4836071995833</v>
      </c>
      <c r="K84" s="97" t="s">
        <v>161</v>
      </c>
    </row>
    <row r="85" spans="1:28" ht="14.7" outlineLevel="2" thickBot="1" x14ac:dyDescent="0.6">
      <c r="A85" s="122" t="s">
        <v>27</v>
      </c>
      <c r="B85" s="56" t="s">
        <v>35</v>
      </c>
      <c r="C85" s="72"/>
      <c r="D85" s="42">
        <f>607+534</f>
        <v>1141</v>
      </c>
      <c r="E85" s="43">
        <f>329+253</f>
        <v>582</v>
      </c>
      <c r="F85" s="78">
        <f>E85</f>
        <v>582</v>
      </c>
      <c r="G85" s="102">
        <f t="shared" ref="G85:J85" si="62">F85</f>
        <v>582</v>
      </c>
      <c r="H85" s="102">
        <f t="shared" si="62"/>
        <v>582</v>
      </c>
      <c r="I85" s="102">
        <f t="shared" si="62"/>
        <v>582</v>
      </c>
      <c r="J85" s="79">
        <f t="shared" si="62"/>
        <v>582</v>
      </c>
      <c r="K85" s="97"/>
    </row>
    <row r="86" spans="1:28" ht="14.7" outlineLevel="2" thickBot="1" x14ac:dyDescent="0.6">
      <c r="B86" s="80" t="s">
        <v>36</v>
      </c>
      <c r="C86" s="176"/>
      <c r="D86" s="39">
        <f>SUM(D82:D85)</f>
        <v>16120</v>
      </c>
      <c r="E86" s="40">
        <f t="shared" ref="E86:J86" si="63">SUM(E82:E85)</f>
        <v>23894</v>
      </c>
      <c r="F86" s="81">
        <f>SUM(F82:F85)</f>
        <v>28699.165474111607</v>
      </c>
      <c r="G86" s="41">
        <f t="shared" si="63"/>
        <v>26749.55536299981</v>
      </c>
      <c r="H86" s="41">
        <f t="shared" si="63"/>
        <v>26347.569646737149</v>
      </c>
      <c r="I86" s="41">
        <f t="shared" si="63"/>
        <v>25514.591594854119</v>
      </c>
      <c r="J86" s="49">
        <f t="shared" si="63"/>
        <v>21445.268562947182</v>
      </c>
      <c r="K86" s="211"/>
    </row>
    <row r="87" spans="1:28" ht="14.7" outlineLevel="2" thickTop="1" x14ac:dyDescent="0.55000000000000004">
      <c r="B87" s="56"/>
      <c r="C87" s="72"/>
      <c r="D87" s="42"/>
      <c r="E87" s="43"/>
      <c r="F87" s="78"/>
      <c r="G87" s="102"/>
      <c r="H87" s="102"/>
      <c r="I87" s="102"/>
      <c r="J87" s="79"/>
      <c r="K87" s="97"/>
    </row>
    <row r="88" spans="1:28" ht="14.4" outlineLevel="2" x14ac:dyDescent="0.55000000000000004">
      <c r="A88" s="122" t="s">
        <v>37</v>
      </c>
      <c r="B88" s="56" t="s">
        <v>38</v>
      </c>
      <c r="C88" s="72"/>
      <c r="D88" s="42">
        <v>46576</v>
      </c>
      <c r="E88" s="43">
        <v>41148</v>
      </c>
      <c r="F88" s="189">
        <f>F204</f>
        <v>41880.838417295359</v>
      </c>
      <c r="G88" s="190">
        <f t="shared" ref="G88:J88" si="64">G204</f>
        <v>42637.772571843845</v>
      </c>
      <c r="H88" s="190">
        <f t="shared" si="64"/>
        <v>43394.706726392331</v>
      </c>
      <c r="I88" s="190">
        <f t="shared" si="64"/>
        <v>44151.640880940817</v>
      </c>
      <c r="J88" s="191">
        <f t="shared" si="64"/>
        <v>44908.575035489303</v>
      </c>
      <c r="K88" s="97" t="s">
        <v>170</v>
      </c>
    </row>
    <row r="89" spans="1:28" ht="14.4" outlineLevel="2" x14ac:dyDescent="0.55000000000000004">
      <c r="A89" s="122" t="s">
        <v>27</v>
      </c>
      <c r="B89" s="56" t="s">
        <v>34</v>
      </c>
      <c r="C89" s="72"/>
      <c r="D89" s="42">
        <f>9217+922+1204</f>
        <v>11343</v>
      </c>
      <c r="E89" s="43">
        <f>10335+509+1091</f>
        <v>11935</v>
      </c>
      <c r="F89" s="132">
        <f>E89</f>
        <v>11935</v>
      </c>
      <c r="G89" s="133">
        <f t="shared" ref="G89:J89" si="65">F89</f>
        <v>11935</v>
      </c>
      <c r="H89" s="133">
        <f t="shared" si="65"/>
        <v>11935</v>
      </c>
      <c r="I89" s="133">
        <f t="shared" si="65"/>
        <v>11935</v>
      </c>
      <c r="J89" s="83">
        <f t="shared" si="65"/>
        <v>11935</v>
      </c>
      <c r="K89" s="97"/>
    </row>
    <row r="90" spans="1:28" ht="14.4" outlineLevel="2" x14ac:dyDescent="0.55000000000000004">
      <c r="A90" s="122" t="s">
        <v>37</v>
      </c>
      <c r="B90" s="56" t="s">
        <v>39</v>
      </c>
      <c r="C90" s="72"/>
      <c r="D90" s="42">
        <v>2798</v>
      </c>
      <c r="E90" s="43">
        <v>2031</v>
      </c>
      <c r="F90" s="78">
        <f>E90</f>
        <v>2031</v>
      </c>
      <c r="G90" s="102">
        <f t="shared" ref="G90:J90" si="66">F90</f>
        <v>2031</v>
      </c>
      <c r="H90" s="102">
        <f t="shared" si="66"/>
        <v>2031</v>
      </c>
      <c r="I90" s="102">
        <f t="shared" si="66"/>
        <v>2031</v>
      </c>
      <c r="J90" s="79">
        <f t="shared" si="66"/>
        <v>2031</v>
      </c>
      <c r="K90" s="97"/>
    </row>
    <row r="91" spans="1:28" ht="14.4" outlineLevel="2" x14ac:dyDescent="0.55000000000000004">
      <c r="A91" s="122" t="s">
        <v>37</v>
      </c>
      <c r="B91" s="56" t="s">
        <v>135</v>
      </c>
      <c r="C91" s="72"/>
      <c r="D91" s="42">
        <v>8499</v>
      </c>
      <c r="E91" s="43">
        <v>9296</v>
      </c>
      <c r="F91" s="78">
        <f>E91</f>
        <v>9296</v>
      </c>
      <c r="G91" s="102">
        <f t="shared" ref="G91:J91" si="67">F91</f>
        <v>9296</v>
      </c>
      <c r="H91" s="102">
        <f t="shared" si="67"/>
        <v>9296</v>
      </c>
      <c r="I91" s="102">
        <f t="shared" si="67"/>
        <v>9296</v>
      </c>
      <c r="J91" s="79">
        <f t="shared" si="67"/>
        <v>9296</v>
      </c>
      <c r="K91" s="97"/>
    </row>
    <row r="92" spans="1:28" ht="14.4" outlineLevel="2" x14ac:dyDescent="0.55000000000000004">
      <c r="A92" s="122" t="s">
        <v>27</v>
      </c>
      <c r="B92" s="56" t="s">
        <v>40</v>
      </c>
      <c r="C92" s="72"/>
      <c r="D92" s="42">
        <f>583+2661+3133</f>
        <v>6377</v>
      </c>
      <c r="E92" s="43">
        <f>651+1784+1268</f>
        <v>3703</v>
      </c>
      <c r="F92" s="78">
        <f>E92</f>
        <v>3703</v>
      </c>
      <c r="G92" s="102">
        <f t="shared" ref="G92:J92" si="68">F92</f>
        <v>3703</v>
      </c>
      <c r="H92" s="102">
        <f t="shared" si="68"/>
        <v>3703</v>
      </c>
      <c r="I92" s="102">
        <f t="shared" si="68"/>
        <v>3703</v>
      </c>
      <c r="J92" s="79">
        <f t="shared" si="68"/>
        <v>3703</v>
      </c>
      <c r="K92" s="97"/>
    </row>
    <row r="93" spans="1:28" ht="14.7" outlineLevel="2" thickBot="1" x14ac:dyDescent="0.6">
      <c r="B93" s="80" t="s">
        <v>41</v>
      </c>
      <c r="C93" s="176"/>
      <c r="D93" s="39">
        <f>SUM(D88:D92)</f>
        <v>75593</v>
      </c>
      <c r="E93" s="40">
        <f t="shared" ref="E93:J93" si="69">SUM(E88:E92)</f>
        <v>68113</v>
      </c>
      <c r="F93" s="81">
        <f t="shared" si="69"/>
        <v>68845.838417295367</v>
      </c>
      <c r="G93" s="41">
        <f t="shared" si="69"/>
        <v>69602.772571843845</v>
      </c>
      <c r="H93" s="41">
        <f t="shared" si="69"/>
        <v>70359.706726392324</v>
      </c>
      <c r="I93" s="41">
        <f t="shared" si="69"/>
        <v>71116.640880940817</v>
      </c>
      <c r="J93" s="49">
        <f t="shared" si="69"/>
        <v>71873.57503548931</v>
      </c>
      <c r="K93" s="97"/>
    </row>
    <row r="94" spans="1:28" ht="14.7" outlineLevel="2" thickTop="1" x14ac:dyDescent="0.55000000000000004">
      <c r="B94" s="56"/>
      <c r="C94" s="72"/>
      <c r="D94" s="42"/>
      <c r="E94" s="43"/>
      <c r="F94" s="78"/>
      <c r="G94" s="44"/>
      <c r="H94" s="44"/>
      <c r="I94" s="44"/>
      <c r="J94" s="79"/>
      <c r="K94" s="97"/>
    </row>
    <row r="95" spans="1:28" s="19" customFormat="1" ht="16.2" customHeight="1" outlineLevel="1" thickBot="1" x14ac:dyDescent="0.6">
      <c r="A95" s="123"/>
      <c r="B95" s="141" t="s">
        <v>42</v>
      </c>
      <c r="C95" s="176"/>
      <c r="D95" s="39">
        <f>D86+D93</f>
        <v>91713</v>
      </c>
      <c r="E95" s="40">
        <f t="shared" ref="E95:J95" si="70">E86+E93</f>
        <v>92007</v>
      </c>
      <c r="F95" s="81">
        <f t="shared" si="70"/>
        <v>97545.003891406974</v>
      </c>
      <c r="G95" s="41">
        <f t="shared" si="70"/>
        <v>96352.327934843663</v>
      </c>
      <c r="H95" s="41">
        <f t="shared" si="70"/>
        <v>96707.276373129469</v>
      </c>
      <c r="I95" s="41">
        <f t="shared" si="70"/>
        <v>96631.232475794939</v>
      </c>
      <c r="J95" s="49">
        <f t="shared" si="70"/>
        <v>93318.843598436491</v>
      </c>
      <c r="K95" s="117"/>
      <c r="L95" s="164"/>
      <c r="M95" s="164"/>
      <c r="N95" s="164"/>
      <c r="O95" s="164"/>
      <c r="P95" s="164"/>
      <c r="Q95" s="164"/>
      <c r="R95" s="164"/>
      <c r="S95" s="164"/>
      <c r="T95" s="164"/>
      <c r="U95" s="164"/>
      <c r="V95" s="164"/>
      <c r="W95" s="164"/>
      <c r="X95" s="164"/>
      <c r="Y95" s="164"/>
      <c r="Z95" s="164"/>
      <c r="AA95" s="164"/>
      <c r="AB95" s="164"/>
    </row>
    <row r="96" spans="1:28" ht="14.4" outlineLevel="1" thickTop="1" thickBot="1" x14ac:dyDescent="0.5">
      <c r="B96" s="84"/>
      <c r="C96" s="69"/>
      <c r="D96" s="69"/>
      <c r="E96" s="69"/>
      <c r="F96" s="69"/>
      <c r="G96" s="69"/>
      <c r="H96" s="69"/>
      <c r="I96" s="69"/>
      <c r="J96" s="70"/>
      <c r="K96" s="97"/>
    </row>
    <row r="97" spans="1:28" ht="14.4" outlineLevel="1" x14ac:dyDescent="0.55000000000000004">
      <c r="B97" s="71" t="s">
        <v>43</v>
      </c>
      <c r="C97" s="72"/>
      <c r="D97" s="73"/>
      <c r="E97" s="74"/>
      <c r="F97" s="75"/>
      <c r="G97" s="76"/>
      <c r="H97" s="76"/>
      <c r="I97" s="76"/>
      <c r="J97" s="77"/>
      <c r="K97" s="97"/>
    </row>
    <row r="98" spans="1:28" ht="14.4" outlineLevel="2" x14ac:dyDescent="0.55000000000000004">
      <c r="A98" s="122" t="s">
        <v>148</v>
      </c>
      <c r="B98" s="56" t="s">
        <v>44</v>
      </c>
      <c r="C98" s="72"/>
      <c r="D98" s="42">
        <v>5000</v>
      </c>
      <c r="E98" s="43">
        <v>5000</v>
      </c>
      <c r="F98" s="189">
        <f>F246</f>
        <v>5000</v>
      </c>
      <c r="G98" s="190">
        <f>G246</f>
        <v>3000</v>
      </c>
      <c r="H98" s="190">
        <f t="shared" ref="H98:J98" si="71">H246</f>
        <v>3000</v>
      </c>
      <c r="I98" s="190">
        <f t="shared" si="71"/>
        <v>3000</v>
      </c>
      <c r="J98" s="191">
        <f t="shared" si="71"/>
        <v>0</v>
      </c>
      <c r="K98" s="97" t="s">
        <v>195</v>
      </c>
    </row>
    <row r="99" spans="1:28" ht="14.4" outlineLevel="2" x14ac:dyDescent="0.55000000000000004">
      <c r="A99" s="122" t="s">
        <v>27</v>
      </c>
      <c r="B99" s="56" t="s">
        <v>45</v>
      </c>
      <c r="C99" s="72"/>
      <c r="D99" s="42">
        <v>4107</v>
      </c>
      <c r="E99" s="43">
        <v>3367</v>
      </c>
      <c r="F99" s="189">
        <f>F185</f>
        <v>6963.0302150352973</v>
      </c>
      <c r="G99" s="190">
        <f t="shared" ref="G99:J99" si="72">G185</f>
        <v>6540.5338700349012</v>
      </c>
      <c r="H99" s="190">
        <f t="shared" si="72"/>
        <v>5995.2957479128117</v>
      </c>
      <c r="I99" s="190">
        <f t="shared" si="72"/>
        <v>5378.6931254028768</v>
      </c>
      <c r="J99" s="191">
        <f t="shared" si="72"/>
        <v>4840.823812862589</v>
      </c>
      <c r="K99" s="97" t="s">
        <v>161</v>
      </c>
    </row>
    <row r="100" spans="1:28" ht="15.75" customHeight="1" outlineLevel="2" x14ac:dyDescent="0.55000000000000004">
      <c r="A100" s="122" t="s">
        <v>49</v>
      </c>
      <c r="B100" s="56" t="s">
        <v>46</v>
      </c>
      <c r="C100" s="72"/>
      <c r="D100" s="42">
        <v>1560</v>
      </c>
      <c r="E100" s="43">
        <v>1220</v>
      </c>
      <c r="F100" s="78">
        <f>E100</f>
        <v>1220</v>
      </c>
      <c r="G100" s="102">
        <f t="shared" ref="G100:J100" si="73">F100</f>
        <v>1220</v>
      </c>
      <c r="H100" s="102">
        <f t="shared" si="73"/>
        <v>1220</v>
      </c>
      <c r="I100" s="102">
        <f t="shared" si="73"/>
        <v>1220</v>
      </c>
      <c r="J100" s="79">
        <f t="shared" si="73"/>
        <v>1220</v>
      </c>
      <c r="K100" s="97"/>
    </row>
    <row r="101" spans="1:28" ht="14.4" outlineLevel="2" x14ac:dyDescent="0.55000000000000004">
      <c r="A101" s="122" t="s">
        <v>27</v>
      </c>
      <c r="B101" s="56" t="s">
        <v>47</v>
      </c>
      <c r="C101" s="72"/>
      <c r="D101" s="42">
        <f>1404+516+769</f>
        <v>2689</v>
      </c>
      <c r="E101" s="43">
        <f>1906+876+680</f>
        <v>3462</v>
      </c>
      <c r="F101" s="78">
        <f>E101</f>
        <v>3462</v>
      </c>
      <c r="G101" s="102">
        <f t="shared" ref="G101:J101" si="74">F101</f>
        <v>3462</v>
      </c>
      <c r="H101" s="102">
        <f t="shared" si="74"/>
        <v>3462</v>
      </c>
      <c r="I101" s="102">
        <f t="shared" si="74"/>
        <v>3462</v>
      </c>
      <c r="J101" s="79">
        <f t="shared" si="74"/>
        <v>3462</v>
      </c>
      <c r="K101" s="97"/>
    </row>
    <row r="102" spans="1:28" ht="14.7" outlineLevel="2" thickBot="1" x14ac:dyDescent="0.6">
      <c r="B102" s="80" t="s">
        <v>48</v>
      </c>
      <c r="C102" s="176"/>
      <c r="D102" s="39">
        <f>SUM(D98:D101)</f>
        <v>13356</v>
      </c>
      <c r="E102" s="40">
        <f>SUM(E98:E101)</f>
        <v>13049</v>
      </c>
      <c r="F102" s="81">
        <f t="shared" ref="F102:J102" si="75">SUM(F98:F101)</f>
        <v>16645.030215035298</v>
      </c>
      <c r="G102" s="41">
        <f t="shared" si="75"/>
        <v>14222.533870034902</v>
      </c>
      <c r="H102" s="41">
        <f t="shared" si="75"/>
        <v>13677.295747912813</v>
      </c>
      <c r="I102" s="41">
        <f t="shared" si="75"/>
        <v>13060.693125402877</v>
      </c>
      <c r="J102" s="49">
        <f t="shared" si="75"/>
        <v>9522.823812862589</v>
      </c>
      <c r="K102" s="97"/>
    </row>
    <row r="103" spans="1:28" ht="14.1" outlineLevel="2" thickTop="1" x14ac:dyDescent="0.45">
      <c r="B103" s="57"/>
      <c r="C103" s="98"/>
      <c r="D103" s="42"/>
      <c r="E103" s="43"/>
      <c r="F103" s="78"/>
      <c r="G103" s="102"/>
      <c r="H103" s="102"/>
      <c r="I103" s="102"/>
      <c r="J103" s="79"/>
      <c r="K103" s="97"/>
    </row>
    <row r="104" spans="1:28" ht="14.4" outlineLevel="2" x14ac:dyDescent="0.55000000000000004">
      <c r="A104" s="122" t="s">
        <v>49</v>
      </c>
      <c r="B104" s="56" t="s">
        <v>50</v>
      </c>
      <c r="C104" s="72"/>
      <c r="D104" s="42">
        <f>1439+13408+2584-5000</f>
        <v>12431</v>
      </c>
      <c r="E104" s="43">
        <f>1136+13891+3413-5000</f>
        <v>13440</v>
      </c>
      <c r="F104" s="132">
        <f t="shared" ref="F104:F109" si="76">E104</f>
        <v>13440</v>
      </c>
      <c r="G104" s="133">
        <f t="shared" ref="G104:J104" si="77">F104</f>
        <v>13440</v>
      </c>
      <c r="H104" s="133">
        <f t="shared" si="77"/>
        <v>13440</v>
      </c>
      <c r="I104" s="133">
        <f t="shared" si="77"/>
        <v>13440</v>
      </c>
      <c r="J104" s="83">
        <f t="shared" si="77"/>
        <v>13440</v>
      </c>
      <c r="K104" s="97"/>
    </row>
    <row r="105" spans="1:28" ht="14.4" outlineLevel="2" x14ac:dyDescent="0.55000000000000004">
      <c r="A105" s="122" t="s">
        <v>27</v>
      </c>
      <c r="B105" s="56" t="s">
        <v>51</v>
      </c>
      <c r="C105" s="72"/>
      <c r="D105" s="42">
        <f>512+1882</f>
        <v>2394</v>
      </c>
      <c r="E105" s="43">
        <f>952+1770</f>
        <v>2722</v>
      </c>
      <c r="F105" s="132">
        <f t="shared" si="76"/>
        <v>2722</v>
      </c>
      <c r="G105" s="133">
        <f t="shared" ref="G105:J105" si="78">F105</f>
        <v>2722</v>
      </c>
      <c r="H105" s="133">
        <f t="shared" si="78"/>
        <v>2722</v>
      </c>
      <c r="I105" s="133">
        <f t="shared" si="78"/>
        <v>2722</v>
      </c>
      <c r="J105" s="83">
        <f t="shared" si="78"/>
        <v>2722</v>
      </c>
      <c r="K105" s="97"/>
    </row>
    <row r="106" spans="1:28" ht="14.4" outlineLevel="2" x14ac:dyDescent="0.55000000000000004">
      <c r="A106" s="122" t="s">
        <v>27</v>
      </c>
      <c r="B106" s="56" t="s">
        <v>136</v>
      </c>
      <c r="C106" s="72"/>
      <c r="D106" s="42">
        <f>1230+8493</f>
        <v>9723</v>
      </c>
      <c r="E106" s="43">
        <f>1826+8434</f>
        <v>10260</v>
      </c>
      <c r="F106" s="132">
        <f t="shared" si="76"/>
        <v>10260</v>
      </c>
      <c r="G106" s="133">
        <f t="shared" ref="G106:J106" si="79">F106</f>
        <v>10260</v>
      </c>
      <c r="H106" s="133">
        <f t="shared" si="79"/>
        <v>10260</v>
      </c>
      <c r="I106" s="133">
        <f t="shared" si="79"/>
        <v>10260</v>
      </c>
      <c r="J106" s="83">
        <f t="shared" si="79"/>
        <v>10260</v>
      </c>
      <c r="K106" s="97"/>
    </row>
    <row r="107" spans="1:28" ht="14.4" outlineLevel="2" x14ac:dyDescent="0.55000000000000004">
      <c r="A107" s="122" t="s">
        <v>27</v>
      </c>
      <c r="B107" s="56" t="s">
        <v>137</v>
      </c>
      <c r="C107" s="72"/>
      <c r="D107" s="42">
        <f>1568+309+1415+2180</f>
        <v>5472</v>
      </c>
      <c r="E107" s="43">
        <f>1910+381+2665+1908</f>
        <v>6864</v>
      </c>
      <c r="F107" s="132">
        <f t="shared" si="76"/>
        <v>6864</v>
      </c>
      <c r="G107" s="133">
        <f t="shared" ref="G107:J107" si="80">F107</f>
        <v>6864</v>
      </c>
      <c r="H107" s="133">
        <f t="shared" si="80"/>
        <v>6864</v>
      </c>
      <c r="I107" s="133">
        <f t="shared" si="80"/>
        <v>6864</v>
      </c>
      <c r="J107" s="83">
        <f t="shared" si="80"/>
        <v>6864</v>
      </c>
      <c r="K107" s="97"/>
    </row>
    <row r="108" spans="1:28" ht="14.4" outlineLevel="2" x14ac:dyDescent="0.55000000000000004">
      <c r="A108" s="122" t="s">
        <v>27</v>
      </c>
      <c r="B108" s="56" t="s">
        <v>138</v>
      </c>
      <c r="C108" s="72"/>
      <c r="D108" s="42">
        <f>431+3476</f>
        <v>3907</v>
      </c>
      <c r="E108" s="43">
        <f>340+2404</f>
        <v>2744</v>
      </c>
      <c r="F108" s="132">
        <f t="shared" si="76"/>
        <v>2744</v>
      </c>
      <c r="G108" s="133">
        <f t="shared" ref="G108:J108" si="81">F108</f>
        <v>2744</v>
      </c>
      <c r="H108" s="133">
        <f t="shared" si="81"/>
        <v>2744</v>
      </c>
      <c r="I108" s="133">
        <f t="shared" si="81"/>
        <v>2744</v>
      </c>
      <c r="J108" s="83">
        <f t="shared" si="81"/>
        <v>2744</v>
      </c>
      <c r="K108" s="97"/>
    </row>
    <row r="109" spans="1:28" ht="14.4" outlineLevel="2" x14ac:dyDescent="0.55000000000000004">
      <c r="A109" s="122" t="s">
        <v>27</v>
      </c>
      <c r="B109" s="56" t="s">
        <v>52</v>
      </c>
      <c r="C109" s="72"/>
      <c r="D109" s="42">
        <f>1788+1184+2063+402</f>
        <v>5437</v>
      </c>
      <c r="E109" s="43">
        <f>4612+1198+2005+292</f>
        <v>8107</v>
      </c>
      <c r="F109" s="78">
        <f t="shared" si="76"/>
        <v>8107</v>
      </c>
      <c r="G109" s="102">
        <f t="shared" ref="G109:J109" si="82">F109</f>
        <v>8107</v>
      </c>
      <c r="H109" s="102">
        <f t="shared" si="82"/>
        <v>8107</v>
      </c>
      <c r="I109" s="102">
        <f t="shared" si="82"/>
        <v>8107</v>
      </c>
      <c r="J109" s="79">
        <f t="shared" si="82"/>
        <v>8107</v>
      </c>
      <c r="K109" s="97"/>
    </row>
    <row r="110" spans="1:28" ht="14.7" outlineLevel="2" thickBot="1" x14ac:dyDescent="0.6">
      <c r="B110" s="80" t="s">
        <v>53</v>
      </c>
      <c r="C110" s="176"/>
      <c r="D110" s="39">
        <f t="shared" ref="D110:J110" si="83">SUM(D104:D109)</f>
        <v>39364</v>
      </c>
      <c r="E110" s="40">
        <f t="shared" si="83"/>
        <v>44137</v>
      </c>
      <c r="F110" s="81">
        <f t="shared" si="83"/>
        <v>44137</v>
      </c>
      <c r="G110" s="41">
        <f t="shared" si="83"/>
        <v>44137</v>
      </c>
      <c r="H110" s="41">
        <f t="shared" si="83"/>
        <v>44137</v>
      </c>
      <c r="I110" s="41">
        <f t="shared" si="83"/>
        <v>44137</v>
      </c>
      <c r="J110" s="49">
        <f t="shared" si="83"/>
        <v>44137</v>
      </c>
      <c r="K110" s="97"/>
    </row>
    <row r="111" spans="1:28" ht="14.1" outlineLevel="2" thickTop="1" x14ac:dyDescent="0.45">
      <c r="B111" s="82"/>
      <c r="C111" s="98"/>
      <c r="D111" s="42"/>
      <c r="E111" s="43"/>
      <c r="F111" s="78"/>
      <c r="G111" s="44"/>
      <c r="H111" s="44"/>
      <c r="I111" s="44"/>
      <c r="J111" s="79"/>
      <c r="K111" s="97"/>
    </row>
    <row r="112" spans="1:28" s="19" customFormat="1" ht="14.7" outlineLevel="1" thickBot="1" x14ac:dyDescent="0.6">
      <c r="A112" s="123"/>
      <c r="B112" s="141" t="s">
        <v>54</v>
      </c>
      <c r="C112" s="176"/>
      <c r="D112" s="39">
        <f t="shared" ref="D112:J112" si="84">D110+D102</f>
        <v>52720</v>
      </c>
      <c r="E112" s="40">
        <f t="shared" si="84"/>
        <v>57186</v>
      </c>
      <c r="F112" s="81">
        <f t="shared" si="84"/>
        <v>60782.030215035295</v>
      </c>
      <c r="G112" s="41">
        <f t="shared" si="84"/>
        <v>58359.533870034902</v>
      </c>
      <c r="H112" s="41">
        <f t="shared" si="84"/>
        <v>57814.295747912809</v>
      </c>
      <c r="I112" s="41">
        <f t="shared" si="84"/>
        <v>57197.693125402875</v>
      </c>
      <c r="J112" s="49">
        <f t="shared" si="84"/>
        <v>53659.823812862589</v>
      </c>
      <c r="K112" s="117"/>
      <c r="L112" s="164"/>
      <c r="M112" s="164"/>
      <c r="N112" s="164"/>
      <c r="O112" s="164"/>
      <c r="P112" s="164"/>
      <c r="Q112" s="164"/>
      <c r="R112" s="164"/>
      <c r="S112" s="164"/>
      <c r="T112" s="164"/>
      <c r="U112" s="164"/>
      <c r="V112" s="164"/>
      <c r="W112" s="164"/>
      <c r="X112" s="164"/>
      <c r="Y112" s="164"/>
      <c r="Z112" s="164"/>
      <c r="AA112" s="164"/>
      <c r="AB112" s="164"/>
    </row>
    <row r="113" spans="1:28" ht="14.4" outlineLevel="1" thickTop="1" thickBot="1" x14ac:dyDescent="0.5">
      <c r="B113" s="82"/>
      <c r="C113" s="69"/>
      <c r="D113" s="69"/>
      <c r="E113" s="69"/>
      <c r="F113" s="69"/>
      <c r="G113" s="69"/>
      <c r="H113" s="69"/>
      <c r="I113" s="69"/>
      <c r="J113" s="70"/>
      <c r="K113" s="97"/>
    </row>
    <row r="114" spans="1:28" ht="14.4" outlineLevel="1" x14ac:dyDescent="0.55000000000000004">
      <c r="B114" s="71" t="s">
        <v>55</v>
      </c>
      <c r="C114" s="72"/>
      <c r="D114" s="73"/>
      <c r="E114" s="73"/>
      <c r="F114" s="75"/>
      <c r="G114" s="76"/>
      <c r="H114" s="76"/>
      <c r="I114" s="76"/>
      <c r="J114" s="77"/>
      <c r="K114" s="97"/>
    </row>
    <row r="115" spans="1:28" ht="14.4" outlineLevel="3" x14ac:dyDescent="0.55000000000000004">
      <c r="A115" s="122" t="s">
        <v>49</v>
      </c>
      <c r="B115" s="56" t="s">
        <v>56</v>
      </c>
      <c r="C115" s="72"/>
      <c r="D115" s="42">
        <f>61614+1139</f>
        <v>62753</v>
      </c>
      <c r="E115" s="42">
        <f>61614+1139</f>
        <v>62753</v>
      </c>
      <c r="F115" s="78">
        <f>E115</f>
        <v>62753</v>
      </c>
      <c r="G115" s="102">
        <f t="shared" ref="G115:J115" si="85">F115</f>
        <v>62753</v>
      </c>
      <c r="H115" s="102">
        <f t="shared" si="85"/>
        <v>62753</v>
      </c>
      <c r="I115" s="102">
        <f t="shared" si="85"/>
        <v>62753</v>
      </c>
      <c r="J115" s="79">
        <f t="shared" si="85"/>
        <v>62753</v>
      </c>
      <c r="K115" s="97"/>
    </row>
    <row r="116" spans="1:28" ht="14.4" outlineLevel="3" x14ac:dyDescent="0.55000000000000004">
      <c r="B116" s="56" t="s">
        <v>57</v>
      </c>
      <c r="C116" s="72"/>
      <c r="D116" s="42">
        <v>4635</v>
      </c>
      <c r="E116" s="98">
        <v>4601</v>
      </c>
      <c r="F116" s="189">
        <f>F230</f>
        <v>6542.9736763716664</v>
      </c>
      <c r="G116" s="190">
        <f t="shared" ref="G116:J116" si="86">G230</f>
        <v>7772.7940648087515</v>
      </c>
      <c r="H116" s="190">
        <f t="shared" si="86"/>
        <v>8672.9806252166654</v>
      </c>
      <c r="I116" s="190">
        <f t="shared" si="86"/>
        <v>9213.5393503920532</v>
      </c>
      <c r="J116" s="191">
        <f t="shared" si="86"/>
        <v>9439.0197855738879</v>
      </c>
      <c r="K116" s="97"/>
    </row>
    <row r="117" spans="1:28" ht="14.4" outlineLevel="3" x14ac:dyDescent="0.55000000000000004">
      <c r="A117" s="122" t="s">
        <v>49</v>
      </c>
      <c r="B117" s="56" t="s">
        <v>58</v>
      </c>
      <c r="C117" s="72"/>
      <c r="D117" s="42">
        <v>-2110</v>
      </c>
      <c r="E117" s="98">
        <v>-2056</v>
      </c>
      <c r="F117" s="78">
        <f>E117</f>
        <v>-2056</v>
      </c>
      <c r="G117" s="102">
        <f t="shared" ref="G117:J117" si="87">F117</f>
        <v>-2056</v>
      </c>
      <c r="H117" s="102">
        <f t="shared" si="87"/>
        <v>-2056</v>
      </c>
      <c r="I117" s="102">
        <f t="shared" si="87"/>
        <v>-2056</v>
      </c>
      <c r="J117" s="79">
        <f t="shared" si="87"/>
        <v>-2056</v>
      </c>
      <c r="K117" s="97"/>
    </row>
    <row r="118" spans="1:28" ht="14.4" outlineLevel="3" x14ac:dyDescent="0.55000000000000004">
      <c r="A118" s="122" t="s">
        <v>49</v>
      </c>
      <c r="B118" s="56" t="s">
        <v>140</v>
      </c>
      <c r="C118" s="72"/>
      <c r="D118" s="42">
        <v>-25211</v>
      </c>
      <c r="E118" s="98">
        <v>-29554</v>
      </c>
      <c r="F118" s="78">
        <f>E118</f>
        <v>-29554</v>
      </c>
      <c r="G118" s="102">
        <f t="shared" ref="G118:J118" si="88">F118</f>
        <v>-29554</v>
      </c>
      <c r="H118" s="102">
        <f t="shared" si="88"/>
        <v>-29554</v>
      </c>
      <c r="I118" s="102">
        <f t="shared" si="88"/>
        <v>-29554</v>
      </c>
      <c r="J118" s="79">
        <f t="shared" si="88"/>
        <v>-29554</v>
      </c>
      <c r="K118" s="97"/>
    </row>
    <row r="119" spans="1:28" ht="14.4" outlineLevel="3" x14ac:dyDescent="0.55000000000000004">
      <c r="B119" s="56" t="s">
        <v>141</v>
      </c>
      <c r="C119" s="72"/>
      <c r="D119" s="42">
        <v>-1074</v>
      </c>
      <c r="E119" s="98">
        <v>-923</v>
      </c>
      <c r="F119" s="78">
        <f>E119</f>
        <v>-923</v>
      </c>
      <c r="G119" s="102">
        <f t="shared" ref="G119:J119" si="89">F119</f>
        <v>-923</v>
      </c>
      <c r="H119" s="102">
        <f t="shared" si="89"/>
        <v>-923</v>
      </c>
      <c r="I119" s="102">
        <f t="shared" si="89"/>
        <v>-923</v>
      </c>
      <c r="J119" s="79">
        <f t="shared" si="89"/>
        <v>-923</v>
      </c>
      <c r="K119" s="97"/>
    </row>
    <row r="120" spans="1:28" ht="14.4" outlineLevel="3" x14ac:dyDescent="0.55000000000000004">
      <c r="B120" s="82"/>
      <c r="C120" s="72"/>
      <c r="D120" s="42"/>
      <c r="E120" s="98"/>
      <c r="F120" s="78"/>
      <c r="G120" s="102"/>
      <c r="H120" s="102"/>
      <c r="I120" s="102"/>
      <c r="J120" s="79"/>
      <c r="K120" s="97"/>
    </row>
    <row r="121" spans="1:28" ht="14.7" outlineLevel="2" thickBot="1" x14ac:dyDescent="0.6">
      <c r="B121" s="141" t="s">
        <v>59</v>
      </c>
      <c r="C121" s="176"/>
      <c r="D121" s="39">
        <f t="shared" ref="D121:J121" si="90">SUM(D115:D119)</f>
        <v>38993</v>
      </c>
      <c r="E121" s="39">
        <f t="shared" si="90"/>
        <v>34821</v>
      </c>
      <c r="F121" s="81">
        <f t="shared" si="90"/>
        <v>36762.973676371665</v>
      </c>
      <c r="G121" s="41">
        <f t="shared" si="90"/>
        <v>37992.794064808753</v>
      </c>
      <c r="H121" s="41">
        <f t="shared" si="90"/>
        <v>38892.98062521666</v>
      </c>
      <c r="I121" s="41">
        <f t="shared" si="90"/>
        <v>39433.53935039205</v>
      </c>
      <c r="J121" s="49">
        <f t="shared" si="90"/>
        <v>39659.019785573881</v>
      </c>
      <c r="K121" s="97"/>
    </row>
    <row r="122" spans="1:28" s="19" customFormat="1" ht="15" thickTop="1" thickBot="1" x14ac:dyDescent="0.6">
      <c r="A122" s="122"/>
      <c r="B122" s="177" t="s">
        <v>60</v>
      </c>
      <c r="C122" s="72"/>
      <c r="D122" s="178">
        <f t="shared" ref="D122:J122" si="91">D121+D112-D95</f>
        <v>0</v>
      </c>
      <c r="E122" s="178">
        <f t="shared" si="91"/>
        <v>0</v>
      </c>
      <c r="F122" s="178">
        <f t="shared" si="91"/>
        <v>0</v>
      </c>
      <c r="G122" s="178">
        <f t="shared" si="91"/>
        <v>0</v>
      </c>
      <c r="H122" s="178">
        <f t="shared" si="91"/>
        <v>0</v>
      </c>
      <c r="I122" s="178">
        <f t="shared" si="91"/>
        <v>0</v>
      </c>
      <c r="J122" s="179">
        <f t="shared" si="91"/>
        <v>0</v>
      </c>
      <c r="K122" s="217"/>
      <c r="L122" s="164"/>
      <c r="M122" s="164"/>
      <c r="N122" s="164"/>
      <c r="O122" s="164"/>
      <c r="P122" s="164"/>
      <c r="Q122" s="164"/>
      <c r="R122" s="164"/>
      <c r="S122" s="164"/>
      <c r="T122" s="164"/>
      <c r="U122" s="164"/>
      <c r="V122" s="164"/>
      <c r="W122" s="164"/>
      <c r="X122" s="164"/>
      <c r="Y122" s="164"/>
      <c r="Z122" s="164"/>
      <c r="AA122" s="164"/>
      <c r="AB122" s="164"/>
    </row>
    <row r="123" spans="1:28" x14ac:dyDescent="0.45">
      <c r="B123" s="126"/>
      <c r="C123" s="69"/>
      <c r="D123" s="69"/>
      <c r="E123" s="69"/>
      <c r="F123" s="69"/>
      <c r="G123" s="69"/>
      <c r="H123" s="69"/>
      <c r="I123" s="69"/>
      <c r="J123" s="69"/>
      <c r="K123" s="69"/>
    </row>
    <row r="124" spans="1:28" ht="14.1" thickBot="1" x14ac:dyDescent="0.5">
      <c r="B124" s="126"/>
      <c r="C124" s="69"/>
      <c r="D124" s="69"/>
      <c r="E124" s="69"/>
      <c r="F124" s="69"/>
      <c r="G124" s="69"/>
      <c r="H124" s="69"/>
      <c r="I124" s="69"/>
      <c r="J124" s="69"/>
      <c r="K124" s="69"/>
    </row>
    <row r="125" spans="1:28" x14ac:dyDescent="0.45">
      <c r="B125" s="20" t="s">
        <v>61</v>
      </c>
      <c r="C125" s="21">
        <f>D125-1</f>
        <v>2018</v>
      </c>
      <c r="D125" s="22">
        <f>E125-1</f>
        <v>2019</v>
      </c>
      <c r="E125" s="23">
        <f>YEAR($C$9)</f>
        <v>2020</v>
      </c>
      <c r="F125" s="24">
        <f>E125+1</f>
        <v>2021</v>
      </c>
      <c r="G125" s="24">
        <f>F125+1</f>
        <v>2022</v>
      </c>
      <c r="H125" s="24">
        <f>G125+1</f>
        <v>2023</v>
      </c>
      <c r="I125" s="24">
        <f>H125+1</f>
        <v>2024</v>
      </c>
      <c r="J125" s="24">
        <f>I125+1</f>
        <v>2025</v>
      </c>
      <c r="K125" s="281" t="s">
        <v>14</v>
      </c>
    </row>
    <row r="126" spans="1:28" ht="14.1" outlineLevel="1" thickBot="1" x14ac:dyDescent="0.5">
      <c r="B126" s="25" t="s">
        <v>15</v>
      </c>
      <c r="C126" s="26">
        <f>EOMONTH(D126,-12)</f>
        <v>43465</v>
      </c>
      <c r="D126" s="27">
        <f>EOMONTH(E126,-12)</f>
        <v>43830</v>
      </c>
      <c r="E126" s="28">
        <f>$C$9</f>
        <v>44196</v>
      </c>
      <c r="F126" s="29">
        <f>EOMONTH(E126,12)</f>
        <v>44561</v>
      </c>
      <c r="G126" s="29">
        <f t="shared" ref="G126:J126" si="92">EOMONTH(F126,12)</f>
        <v>44926</v>
      </c>
      <c r="H126" s="29">
        <f t="shared" si="92"/>
        <v>45291</v>
      </c>
      <c r="I126" s="29">
        <f t="shared" si="92"/>
        <v>45657</v>
      </c>
      <c r="J126" s="29">
        <f t="shared" si="92"/>
        <v>46022</v>
      </c>
      <c r="K126" s="282"/>
    </row>
    <row r="127" spans="1:28" ht="14.1" outlineLevel="1" thickBot="1" x14ac:dyDescent="0.5">
      <c r="B127" s="30" t="s">
        <v>16</v>
      </c>
      <c r="C127" s="31">
        <f>C$71</f>
        <v>5178024</v>
      </c>
      <c r="D127" s="32">
        <f t="shared" ref="D127:J127" si="93">D$71</f>
        <v>5127950</v>
      </c>
      <c r="E127" s="33">
        <f t="shared" si="93"/>
        <v>5129585</v>
      </c>
      <c r="F127" s="34">
        <f t="shared" si="93"/>
        <v>5129585</v>
      </c>
      <c r="G127" s="34">
        <f t="shared" si="93"/>
        <v>5129585</v>
      </c>
      <c r="H127" s="34">
        <f t="shared" si="93"/>
        <v>5129585</v>
      </c>
      <c r="I127" s="34">
        <f t="shared" si="93"/>
        <v>5129585</v>
      </c>
      <c r="J127" s="34">
        <f t="shared" si="93"/>
        <v>5129585</v>
      </c>
      <c r="K127" s="283"/>
    </row>
    <row r="128" spans="1:28" ht="14.1" outlineLevel="1" thickBot="1" x14ac:dyDescent="0.5">
      <c r="B128" s="68"/>
      <c r="C128" s="69"/>
      <c r="D128" s="69"/>
      <c r="E128" s="69"/>
      <c r="F128" s="69"/>
      <c r="G128" s="69"/>
      <c r="H128" s="69"/>
      <c r="I128" s="69"/>
      <c r="J128" s="69"/>
      <c r="K128" s="218"/>
    </row>
    <row r="129" spans="1:28" ht="16.5" customHeight="1" outlineLevel="1" x14ac:dyDescent="0.55000000000000004">
      <c r="B129" s="71" t="s">
        <v>62</v>
      </c>
      <c r="C129" s="72"/>
      <c r="D129" s="72"/>
      <c r="E129" s="72"/>
      <c r="F129" s="76"/>
      <c r="G129" s="76"/>
      <c r="H129" s="76"/>
      <c r="I129" s="76"/>
      <c r="J129" s="77"/>
      <c r="K129" s="97"/>
    </row>
    <row r="130" spans="1:28" ht="14.4" hidden="1" outlineLevel="2" x14ac:dyDescent="0.55000000000000004">
      <c r="B130" s="86" t="s">
        <v>63</v>
      </c>
      <c r="C130" s="72"/>
      <c r="D130" s="72"/>
      <c r="E130" s="72"/>
      <c r="F130" s="96">
        <f>F63</f>
        <v>8006.3075102643606</v>
      </c>
      <c r="G130" s="96">
        <f>G63</f>
        <v>5523.4359399724381</v>
      </c>
      <c r="H130" s="96">
        <f>H63</f>
        <v>4374.1911438221614</v>
      </c>
      <c r="I130" s="96">
        <f>I63</f>
        <v>3120.3743839864774</v>
      </c>
      <c r="J130" s="85">
        <f>J63</f>
        <v>2021.8764315160997</v>
      </c>
      <c r="K130" s="97"/>
    </row>
    <row r="131" spans="1:28" ht="14.4" hidden="1" outlineLevel="2" x14ac:dyDescent="0.55000000000000004">
      <c r="B131" s="87" t="s">
        <v>131</v>
      </c>
      <c r="C131" s="72"/>
      <c r="D131" s="72"/>
      <c r="E131" s="72"/>
      <c r="F131" s="96"/>
      <c r="G131" s="96"/>
      <c r="H131" s="96"/>
      <c r="I131" s="96"/>
      <c r="J131" s="85"/>
      <c r="K131" s="97"/>
    </row>
    <row r="132" spans="1:28" ht="14.4" hidden="1" outlineLevel="2" x14ac:dyDescent="0.55000000000000004">
      <c r="B132" s="142" t="s">
        <v>132</v>
      </c>
      <c r="C132" s="72"/>
      <c r="D132" s="72"/>
      <c r="E132" s="72"/>
      <c r="F132" s="102">
        <f>F36</f>
        <v>5076.1615827046417</v>
      </c>
      <c r="G132" s="102">
        <f>G36</f>
        <v>5243.0658454515151</v>
      </c>
      <c r="H132" s="102">
        <f>H36</f>
        <v>5243.0658454515151</v>
      </c>
      <c r="I132" s="102">
        <f>I36</f>
        <v>5243.0658454515151</v>
      </c>
      <c r="J132" s="79">
        <f>J36</f>
        <v>5243.0658454515151</v>
      </c>
      <c r="K132" s="97" t="s">
        <v>170</v>
      </c>
    </row>
    <row r="133" spans="1:28" s="19" customFormat="1" ht="14.7" outlineLevel="1" collapsed="1" thickBot="1" x14ac:dyDescent="0.6">
      <c r="A133" s="123"/>
      <c r="B133" s="80" t="s">
        <v>130</v>
      </c>
      <c r="C133" s="176"/>
      <c r="D133" s="176"/>
      <c r="E133" s="176"/>
      <c r="F133" s="41">
        <f>SUM(F130:F132)</f>
        <v>13082.469092969002</v>
      </c>
      <c r="G133" s="41">
        <f>SUM(G130:G132)</f>
        <v>10766.501785423952</v>
      </c>
      <c r="H133" s="41">
        <f>SUM(H130:H132)</f>
        <v>9617.2569892736756</v>
      </c>
      <c r="I133" s="41">
        <f>SUM(I130:I132)</f>
        <v>8363.4402294379925</v>
      </c>
      <c r="J133" s="49">
        <f>SUM(J130:J132)</f>
        <v>7264.9422769676148</v>
      </c>
      <c r="K133" s="117"/>
      <c r="L133" s="164"/>
      <c r="M133" s="164"/>
      <c r="N133" s="164"/>
      <c r="O133" s="164"/>
      <c r="P133" s="164"/>
      <c r="Q133" s="164"/>
      <c r="R133" s="164"/>
      <c r="S133" s="164"/>
      <c r="T133" s="164"/>
      <c r="U133" s="164"/>
      <c r="V133" s="164"/>
      <c r="W133" s="164"/>
      <c r="X133" s="164"/>
      <c r="Y133" s="164"/>
      <c r="Z133" s="164"/>
      <c r="AA133" s="164"/>
      <c r="AB133" s="164"/>
    </row>
    <row r="134" spans="1:28" ht="14.7" outlineLevel="1" thickTop="1" x14ac:dyDescent="0.55000000000000004">
      <c r="B134" s="56"/>
      <c r="C134" s="72"/>
      <c r="D134" s="72"/>
      <c r="E134" s="72"/>
      <c r="F134" s="78"/>
      <c r="G134" s="102"/>
      <c r="H134" s="102"/>
      <c r="I134" s="102"/>
      <c r="J134" s="79"/>
      <c r="K134" s="97"/>
    </row>
    <row r="135" spans="1:28" ht="14.4" outlineLevel="1" x14ac:dyDescent="0.55000000000000004">
      <c r="B135" s="63" t="s">
        <v>64</v>
      </c>
      <c r="C135" s="72"/>
      <c r="D135" s="72"/>
      <c r="E135" s="72"/>
      <c r="F135" s="78"/>
      <c r="G135" s="102"/>
      <c r="H135" s="102"/>
      <c r="I135" s="102"/>
      <c r="J135" s="79"/>
      <c r="K135" s="97"/>
    </row>
    <row r="136" spans="1:28" ht="14.4" outlineLevel="2" x14ac:dyDescent="0.55000000000000004">
      <c r="B136" s="57" t="s">
        <v>65</v>
      </c>
      <c r="C136" s="72"/>
      <c r="D136" s="72"/>
      <c r="E136" s="72"/>
      <c r="F136" s="78"/>
      <c r="G136" s="102"/>
      <c r="H136" s="102"/>
      <c r="I136" s="102"/>
      <c r="J136" s="79"/>
      <c r="K136" s="97"/>
    </row>
    <row r="137" spans="1:28" ht="14.4" hidden="1" outlineLevel="3" x14ac:dyDescent="0.55000000000000004">
      <c r="B137" s="87" t="s">
        <v>66</v>
      </c>
      <c r="C137" s="72"/>
      <c r="D137" s="72"/>
      <c r="E137" s="72"/>
      <c r="F137" s="78">
        <f t="shared" ref="F137:J139" si="94">E83-F83</f>
        <v>-1090.303311010045</v>
      </c>
      <c r="G137" s="102">
        <f t="shared" si="94"/>
        <v>369.1170848118345</v>
      </c>
      <c r="H137" s="102">
        <f t="shared" si="94"/>
        <v>476.35135439052374</v>
      </c>
      <c r="I137" s="102">
        <f t="shared" si="94"/>
        <v>538.69948273277078</v>
      </c>
      <c r="J137" s="79">
        <f t="shared" si="94"/>
        <v>469.91353890749178</v>
      </c>
      <c r="K137" s="97"/>
    </row>
    <row r="138" spans="1:28" ht="14.4" hidden="1" outlineLevel="3" x14ac:dyDescent="0.55000000000000004">
      <c r="B138" s="87" t="s">
        <v>129</v>
      </c>
      <c r="C138" s="72"/>
      <c r="D138" s="72"/>
      <c r="E138" s="72"/>
      <c r="F138" s="78">
        <f t="shared" si="94"/>
        <v>-3704.1668239656419</v>
      </c>
      <c r="G138" s="102">
        <f t="shared" si="94"/>
        <v>471.16765260614102</v>
      </c>
      <c r="H138" s="102">
        <f t="shared" si="94"/>
        <v>608.04920362424673</v>
      </c>
      <c r="I138" s="102">
        <f t="shared" si="94"/>
        <v>687.63484862460609</v>
      </c>
      <c r="J138" s="79">
        <f t="shared" si="94"/>
        <v>599.83151191106481</v>
      </c>
      <c r="K138" s="97"/>
    </row>
    <row r="139" spans="1:28" ht="14.4" hidden="1" outlineLevel="3" x14ac:dyDescent="0.55000000000000004">
      <c r="B139" s="87" t="s">
        <v>67</v>
      </c>
      <c r="C139" s="72"/>
      <c r="D139" s="72"/>
      <c r="E139" s="72"/>
      <c r="F139" s="78">
        <f t="shared" si="94"/>
        <v>0</v>
      </c>
      <c r="G139" s="102">
        <f t="shared" si="94"/>
        <v>0</v>
      </c>
      <c r="H139" s="102">
        <f t="shared" si="94"/>
        <v>0</v>
      </c>
      <c r="I139" s="102">
        <f t="shared" si="94"/>
        <v>0</v>
      </c>
      <c r="J139" s="79">
        <f t="shared" si="94"/>
        <v>0</v>
      </c>
      <c r="K139" s="97"/>
    </row>
    <row r="140" spans="1:28" ht="14.4" hidden="1" outlineLevel="3" x14ac:dyDescent="0.55000000000000004">
      <c r="B140" s="87" t="s">
        <v>68</v>
      </c>
      <c r="C140" s="72"/>
      <c r="D140" s="72"/>
      <c r="E140" s="72"/>
      <c r="F140" s="78">
        <f>F99-E99</f>
        <v>3596.0302150352973</v>
      </c>
      <c r="G140" s="102">
        <f>G99-F99</f>
        <v>-422.4963450003961</v>
      </c>
      <c r="H140" s="102">
        <f>H99-G99</f>
        <v>-545.23812212208941</v>
      </c>
      <c r="I140" s="102">
        <f>I99-H99</f>
        <v>-616.60262250993492</v>
      </c>
      <c r="J140" s="79">
        <f>J99-I99</f>
        <v>-537.86931254028786</v>
      </c>
      <c r="K140" s="97"/>
    </row>
    <row r="141" spans="1:28" ht="14.4" hidden="1" outlineLevel="3" x14ac:dyDescent="0.55000000000000004">
      <c r="B141" s="87" t="s">
        <v>69</v>
      </c>
      <c r="C141" s="72"/>
      <c r="D141" s="72"/>
      <c r="E141" s="72"/>
      <c r="F141" s="78">
        <f>F101-E101</f>
        <v>0</v>
      </c>
      <c r="G141" s="102">
        <f>G101-F101</f>
        <v>0</v>
      </c>
      <c r="H141" s="102">
        <f>H101-G101</f>
        <v>0</v>
      </c>
      <c r="I141" s="102">
        <f>I101-H101</f>
        <v>0</v>
      </c>
      <c r="J141" s="79">
        <f>J101-I101</f>
        <v>0</v>
      </c>
      <c r="K141" s="97"/>
    </row>
    <row r="142" spans="1:28" ht="14.4" hidden="1" outlineLevel="3" x14ac:dyDescent="0.55000000000000004">
      <c r="B142" s="87" t="s">
        <v>143</v>
      </c>
      <c r="C142" s="72"/>
      <c r="D142" s="72"/>
      <c r="E142" s="72"/>
      <c r="F142" s="259">
        <f t="shared" ref="F142:J144" si="95">F106-E106</f>
        <v>0</v>
      </c>
      <c r="G142" s="260">
        <f t="shared" si="95"/>
        <v>0</v>
      </c>
      <c r="H142" s="260">
        <f t="shared" si="95"/>
        <v>0</v>
      </c>
      <c r="I142" s="260">
        <f t="shared" si="95"/>
        <v>0</v>
      </c>
      <c r="J142" s="261">
        <f t="shared" si="95"/>
        <v>0</v>
      </c>
      <c r="K142" s="97"/>
    </row>
    <row r="143" spans="1:28" ht="14.4" hidden="1" outlineLevel="3" x14ac:dyDescent="0.55000000000000004">
      <c r="B143" s="87" t="s">
        <v>144</v>
      </c>
      <c r="C143" s="72"/>
      <c r="D143" s="72"/>
      <c r="E143" s="72"/>
      <c r="F143" s="259">
        <f t="shared" si="95"/>
        <v>0</v>
      </c>
      <c r="G143" s="260">
        <f t="shared" si="95"/>
        <v>0</v>
      </c>
      <c r="H143" s="260">
        <f t="shared" si="95"/>
        <v>0</v>
      </c>
      <c r="I143" s="260">
        <f t="shared" si="95"/>
        <v>0</v>
      </c>
      <c r="J143" s="261">
        <f t="shared" si="95"/>
        <v>0</v>
      </c>
      <c r="K143" s="97"/>
    </row>
    <row r="144" spans="1:28" ht="14.4" hidden="1" outlineLevel="3" x14ac:dyDescent="0.55000000000000004">
      <c r="B144" s="87" t="s">
        <v>145</v>
      </c>
      <c r="C144" s="72"/>
      <c r="D144" s="72"/>
      <c r="E144" s="72"/>
      <c r="F144" s="259">
        <f t="shared" si="95"/>
        <v>0</v>
      </c>
      <c r="G144" s="260">
        <f t="shared" si="95"/>
        <v>0</v>
      </c>
      <c r="H144" s="260">
        <f t="shared" si="95"/>
        <v>0</v>
      </c>
      <c r="I144" s="260">
        <f t="shared" si="95"/>
        <v>0</v>
      </c>
      <c r="J144" s="261">
        <f t="shared" si="95"/>
        <v>0</v>
      </c>
      <c r="K144" s="97"/>
    </row>
    <row r="145" spans="1:28" ht="14.4" hidden="1" outlineLevel="3" x14ac:dyDescent="0.55000000000000004">
      <c r="B145" s="87" t="s">
        <v>142</v>
      </c>
      <c r="C145" s="72"/>
      <c r="D145" s="72"/>
      <c r="E145" s="72"/>
      <c r="F145" s="78">
        <f>E89-F89+F105-E105</f>
        <v>0</v>
      </c>
      <c r="G145" s="102">
        <f>F89-G89+G105-F105</f>
        <v>0</v>
      </c>
      <c r="H145" s="102">
        <f>G89-H89+H105-G105</f>
        <v>0</v>
      </c>
      <c r="I145" s="102">
        <f>H89-I89+I105-H105</f>
        <v>0</v>
      </c>
      <c r="J145" s="79">
        <f>I89-J89+J105-I105</f>
        <v>0</v>
      </c>
      <c r="K145" s="97"/>
    </row>
    <row r="146" spans="1:28" ht="14.4" hidden="1" outlineLevel="3" x14ac:dyDescent="0.55000000000000004">
      <c r="B146" s="87" t="s">
        <v>146</v>
      </c>
      <c r="C146" s="72"/>
      <c r="D146" s="72"/>
      <c r="E146" s="72"/>
      <c r="F146" s="78">
        <f>F109-E109+E92-F92</f>
        <v>0</v>
      </c>
      <c r="G146" s="102">
        <f>G109-F109+F92-G92</f>
        <v>0</v>
      </c>
      <c r="H146" s="102">
        <f>H109-G109+G92-H92</f>
        <v>0</v>
      </c>
      <c r="I146" s="102">
        <f>I109-H109+H92-I92</f>
        <v>0</v>
      </c>
      <c r="J146" s="79">
        <f>J109-I109+I92-J92</f>
        <v>0</v>
      </c>
      <c r="K146" s="97"/>
    </row>
    <row r="147" spans="1:28" ht="14.4" outlineLevel="2" collapsed="1" x14ac:dyDescent="0.55000000000000004">
      <c r="B147" s="57" t="s">
        <v>70</v>
      </c>
      <c r="C147" s="72"/>
      <c r="D147" s="72"/>
      <c r="E147" s="72"/>
      <c r="F147" s="58">
        <f>SUM(F137:F146)</f>
        <v>-1198.4399199403897</v>
      </c>
      <c r="G147" s="96">
        <f t="shared" ref="G147:J147" si="96">SUM(G137:G146)</f>
        <v>417.78839241757942</v>
      </c>
      <c r="H147" s="96">
        <f t="shared" si="96"/>
        <v>539.16243589268106</v>
      </c>
      <c r="I147" s="96">
        <f t="shared" si="96"/>
        <v>609.73170884744195</v>
      </c>
      <c r="J147" s="85">
        <f t="shared" si="96"/>
        <v>531.87573827826873</v>
      </c>
      <c r="K147" s="97"/>
    </row>
    <row r="148" spans="1:28" ht="14.4" outlineLevel="2" x14ac:dyDescent="0.55000000000000004">
      <c r="B148" s="57"/>
      <c r="C148" s="72"/>
      <c r="D148" s="72"/>
      <c r="E148" s="72"/>
      <c r="F148" s="78"/>
      <c r="G148" s="102"/>
      <c r="H148" s="102"/>
      <c r="I148" s="102"/>
      <c r="J148" s="79"/>
      <c r="K148" s="97"/>
    </row>
    <row r="149" spans="1:28" s="19" customFormat="1" ht="14.7" outlineLevel="1" thickBot="1" x14ac:dyDescent="0.6">
      <c r="A149" s="123"/>
      <c r="B149" s="141" t="s">
        <v>133</v>
      </c>
      <c r="C149" s="176"/>
      <c r="D149" s="176"/>
      <c r="E149" s="176"/>
      <c r="F149" s="81">
        <f>F133+F147</f>
        <v>11884.029173028612</v>
      </c>
      <c r="G149" s="41">
        <f>G133+G147</f>
        <v>11184.290177841533</v>
      </c>
      <c r="H149" s="41">
        <f>H133+H147</f>
        <v>10156.419425166358</v>
      </c>
      <c r="I149" s="41">
        <f>I133+I147</f>
        <v>8973.1719382854353</v>
      </c>
      <c r="J149" s="49">
        <f>J133+J147</f>
        <v>7796.8180152458835</v>
      </c>
      <c r="K149" s="117"/>
      <c r="L149" s="164"/>
      <c r="M149" s="164"/>
      <c r="N149" s="164"/>
      <c r="O149" s="164"/>
      <c r="P149" s="164"/>
      <c r="Q149" s="164"/>
      <c r="R149" s="164"/>
      <c r="S149" s="164"/>
      <c r="T149" s="164"/>
      <c r="U149" s="164"/>
      <c r="V149" s="164"/>
      <c r="W149" s="164"/>
      <c r="X149" s="164"/>
      <c r="Y149" s="164"/>
      <c r="Z149" s="164"/>
      <c r="AA149" s="164"/>
      <c r="AB149" s="164"/>
    </row>
    <row r="150" spans="1:28" s="19" customFormat="1" ht="14.7" outlineLevel="1" thickTop="1" x14ac:dyDescent="0.55000000000000004">
      <c r="A150" s="123"/>
      <c r="B150" s="84"/>
      <c r="C150" s="72"/>
      <c r="D150" s="72"/>
      <c r="E150" s="72"/>
      <c r="F150" s="96"/>
      <c r="G150" s="96"/>
      <c r="H150" s="96"/>
      <c r="I150" s="96"/>
      <c r="J150" s="85"/>
      <c r="K150" s="117"/>
      <c r="L150" s="164"/>
      <c r="M150" s="164"/>
      <c r="N150" s="164"/>
      <c r="O150" s="164"/>
      <c r="P150" s="164"/>
      <c r="Q150" s="164"/>
      <c r="R150" s="164"/>
      <c r="S150" s="164"/>
      <c r="T150" s="164"/>
      <c r="U150" s="164"/>
      <c r="V150" s="164"/>
      <c r="W150" s="164"/>
      <c r="X150" s="164"/>
      <c r="Y150" s="164"/>
      <c r="Z150" s="164"/>
      <c r="AA150" s="164"/>
      <c r="AB150" s="164"/>
    </row>
    <row r="151" spans="1:28" ht="14.4" outlineLevel="1" x14ac:dyDescent="0.55000000000000004">
      <c r="B151" s="63" t="s">
        <v>71</v>
      </c>
      <c r="C151" s="72"/>
      <c r="D151" s="72"/>
      <c r="E151" s="72"/>
      <c r="F151" s="102"/>
      <c r="G151" s="102"/>
      <c r="H151" s="102"/>
      <c r="I151" s="102"/>
      <c r="J151" s="79"/>
      <c r="K151" s="97"/>
    </row>
    <row r="152" spans="1:28" ht="14.4" outlineLevel="2" x14ac:dyDescent="0.55000000000000004">
      <c r="B152" s="56" t="s">
        <v>72</v>
      </c>
      <c r="C152" s="72"/>
      <c r="D152" s="72"/>
      <c r="E152" s="72"/>
      <c r="F152" s="190">
        <f>-F199</f>
        <v>-5809</v>
      </c>
      <c r="G152" s="190">
        <f t="shared" ref="G152:J152" si="97">-G199</f>
        <v>-6000</v>
      </c>
      <c r="H152" s="190">
        <f t="shared" si="97"/>
        <v>-6000</v>
      </c>
      <c r="I152" s="190">
        <f t="shared" si="97"/>
        <v>-6000</v>
      </c>
      <c r="J152" s="191">
        <f t="shared" si="97"/>
        <v>-6000</v>
      </c>
      <c r="K152" s="97" t="s">
        <v>170</v>
      </c>
    </row>
    <row r="153" spans="1:28" ht="14.4" outlineLevel="2" x14ac:dyDescent="0.55000000000000004">
      <c r="B153" s="56" t="s">
        <v>73</v>
      </c>
      <c r="C153" s="72"/>
      <c r="D153" s="72"/>
      <c r="E153" s="72"/>
      <c r="F153" s="102">
        <f>E90-F90</f>
        <v>0</v>
      </c>
      <c r="G153" s="102">
        <f>F90-G90</f>
        <v>0</v>
      </c>
      <c r="H153" s="102">
        <f>G90-H90</f>
        <v>0</v>
      </c>
      <c r="I153" s="102">
        <f>H90-I90</f>
        <v>0</v>
      </c>
      <c r="J153" s="79">
        <f>I90-J90</f>
        <v>0</v>
      </c>
      <c r="K153" s="97"/>
    </row>
    <row r="154" spans="1:28" ht="14.4" outlineLevel="2" x14ac:dyDescent="0.55000000000000004">
      <c r="B154" s="56" t="s">
        <v>147</v>
      </c>
      <c r="C154" s="72"/>
      <c r="D154" s="72"/>
      <c r="E154" s="72"/>
      <c r="F154" s="102">
        <f>E91-F91</f>
        <v>0</v>
      </c>
      <c r="G154" s="102">
        <f>F90-G90</f>
        <v>0</v>
      </c>
      <c r="H154" s="102">
        <f>G90-H90</f>
        <v>0</v>
      </c>
      <c r="I154" s="102">
        <f>H90-I90</f>
        <v>0</v>
      </c>
      <c r="J154" s="79">
        <f>I90-J90</f>
        <v>0</v>
      </c>
      <c r="K154" s="97"/>
    </row>
    <row r="155" spans="1:28" s="19" customFormat="1" ht="14.7" outlineLevel="1" thickBot="1" x14ac:dyDescent="0.6">
      <c r="A155" s="123"/>
      <c r="B155" s="141" t="s">
        <v>74</v>
      </c>
      <c r="C155" s="176"/>
      <c r="D155" s="176"/>
      <c r="E155" s="176"/>
      <c r="F155" s="41">
        <f>SUM(F152:F154)</f>
        <v>-5809</v>
      </c>
      <c r="G155" s="41">
        <f t="shared" ref="G155:J155" si="98">SUM(G152:G154)</f>
        <v>-6000</v>
      </c>
      <c r="H155" s="41">
        <f t="shared" si="98"/>
        <v>-6000</v>
      </c>
      <c r="I155" s="41">
        <f t="shared" si="98"/>
        <v>-6000</v>
      </c>
      <c r="J155" s="49">
        <f t="shared" si="98"/>
        <v>-6000</v>
      </c>
      <c r="K155" s="117"/>
      <c r="L155" s="164"/>
      <c r="M155" s="164"/>
      <c r="N155" s="164"/>
      <c r="O155" s="164"/>
      <c r="P155" s="164"/>
      <c r="Q155" s="164"/>
      <c r="R155" s="164"/>
      <c r="S155" s="164"/>
      <c r="T155" s="164"/>
      <c r="U155" s="164"/>
      <c r="V155" s="164"/>
      <c r="W155" s="164"/>
      <c r="X155" s="164"/>
      <c r="Y155" s="164"/>
      <c r="Z155" s="164"/>
      <c r="AA155" s="164"/>
      <c r="AB155" s="164"/>
    </row>
    <row r="156" spans="1:28" ht="14.7" outlineLevel="1" thickTop="1" x14ac:dyDescent="0.55000000000000004">
      <c r="B156" s="56"/>
      <c r="C156" s="72"/>
      <c r="D156" s="72"/>
      <c r="E156" s="72"/>
      <c r="F156" s="102"/>
      <c r="G156" s="102"/>
      <c r="H156" s="102"/>
      <c r="I156" s="102"/>
      <c r="J156" s="79"/>
      <c r="K156" s="97"/>
    </row>
    <row r="157" spans="1:28" ht="14.4" outlineLevel="1" x14ac:dyDescent="0.55000000000000004">
      <c r="B157" s="63" t="s">
        <v>75</v>
      </c>
      <c r="C157" s="72"/>
      <c r="D157" s="72"/>
      <c r="E157" s="72"/>
      <c r="F157" s="102"/>
      <c r="G157" s="102"/>
      <c r="H157" s="102"/>
      <c r="I157" s="102"/>
      <c r="J157" s="79"/>
      <c r="K157" s="97"/>
    </row>
    <row r="158" spans="1:28" ht="14.4" outlineLevel="2" x14ac:dyDescent="0.55000000000000004">
      <c r="B158" s="56" t="s">
        <v>76</v>
      </c>
      <c r="C158" s="72"/>
      <c r="D158" s="72"/>
      <c r="E158" s="72"/>
      <c r="F158" s="102">
        <f>F104-E104</f>
        <v>0</v>
      </c>
      <c r="G158" s="102">
        <f>G104-F104</f>
        <v>0</v>
      </c>
      <c r="H158" s="102">
        <f>H104-G104</f>
        <v>0</v>
      </c>
      <c r="I158" s="102">
        <f>I104-H104</f>
        <v>0</v>
      </c>
      <c r="J158" s="79">
        <f>J104-I104</f>
        <v>0</v>
      </c>
      <c r="K158" s="97"/>
    </row>
    <row r="159" spans="1:28" ht="14.4" outlineLevel="2" x14ac:dyDescent="0.55000000000000004">
      <c r="B159" s="56" t="s">
        <v>77</v>
      </c>
      <c r="C159" s="72"/>
      <c r="D159" s="72"/>
      <c r="E159" s="72"/>
      <c r="F159" s="102">
        <f>F119-E119</f>
        <v>0</v>
      </c>
      <c r="G159" s="102">
        <f t="shared" ref="G159:J159" si="99">G119-F119</f>
        <v>0</v>
      </c>
      <c r="H159" s="102">
        <f t="shared" si="99"/>
        <v>0</v>
      </c>
      <c r="I159" s="102">
        <f t="shared" si="99"/>
        <v>0</v>
      </c>
      <c r="J159" s="79">
        <f t="shared" si="99"/>
        <v>0</v>
      </c>
      <c r="K159" s="97"/>
    </row>
    <row r="160" spans="1:28" ht="14.4" outlineLevel="2" x14ac:dyDescent="0.55000000000000004">
      <c r="B160" s="56" t="s">
        <v>80</v>
      </c>
      <c r="C160" s="72"/>
      <c r="D160" s="72"/>
      <c r="E160" s="72"/>
      <c r="F160" s="102">
        <f>F228</f>
        <v>0</v>
      </c>
      <c r="G160" s="102">
        <f t="shared" ref="G160:J160" si="100">G228</f>
        <v>0</v>
      </c>
      <c r="H160" s="102">
        <f t="shared" si="100"/>
        <v>0</v>
      </c>
      <c r="I160" s="102">
        <f t="shared" si="100"/>
        <v>0</v>
      </c>
      <c r="J160" s="79">
        <f t="shared" si="100"/>
        <v>0</v>
      </c>
      <c r="K160" s="97"/>
    </row>
    <row r="161" spans="1:28" ht="14.4" outlineLevel="2" x14ac:dyDescent="0.55000000000000004">
      <c r="B161" s="56" t="s">
        <v>78</v>
      </c>
      <c r="C161" s="72"/>
      <c r="D161" s="72"/>
      <c r="E161" s="72"/>
      <c r="F161" s="102">
        <f>F115-E115</f>
        <v>0</v>
      </c>
      <c r="G161" s="102">
        <f>G115-F115</f>
        <v>0</v>
      </c>
      <c r="H161" s="102">
        <f>H115-G115</f>
        <v>0</v>
      </c>
      <c r="I161" s="102">
        <f>I115-H115</f>
        <v>0</v>
      </c>
      <c r="J161" s="79">
        <f>J115-I115</f>
        <v>0</v>
      </c>
      <c r="K161" s="97"/>
    </row>
    <row r="162" spans="1:28" ht="14.4" outlineLevel="2" x14ac:dyDescent="0.55000000000000004">
      <c r="B162" s="56" t="s">
        <v>79</v>
      </c>
      <c r="C162" s="72"/>
      <c r="D162" s="72"/>
      <c r="E162" s="72"/>
      <c r="F162" s="190">
        <f>F98-E98</f>
        <v>0</v>
      </c>
      <c r="G162" s="190">
        <f>G98-F98</f>
        <v>-2000</v>
      </c>
      <c r="H162" s="190">
        <f>H98-G98</f>
        <v>0</v>
      </c>
      <c r="I162" s="190">
        <f>I98-H98</f>
        <v>0</v>
      </c>
      <c r="J162" s="191">
        <f>J98-I98</f>
        <v>-3000</v>
      </c>
      <c r="K162" s="97" t="s">
        <v>195</v>
      </c>
    </row>
    <row r="163" spans="1:28" ht="14.4" outlineLevel="2" x14ac:dyDescent="0.55000000000000004">
      <c r="B163" s="56" t="s">
        <v>149</v>
      </c>
      <c r="C163" s="72"/>
      <c r="D163" s="72"/>
      <c r="E163" s="72"/>
      <c r="F163" s="190">
        <f>F226</f>
        <v>-6064.3338338926933</v>
      </c>
      <c r="G163" s="190">
        <f t="shared" ref="G163:J163" si="101">G226</f>
        <v>-4293.615551535353</v>
      </c>
      <c r="H163" s="190">
        <f t="shared" si="101"/>
        <v>-3474.0045834142479</v>
      </c>
      <c r="I163" s="190">
        <f t="shared" si="101"/>
        <v>-2579.8156588110896</v>
      </c>
      <c r="J163" s="191">
        <f t="shared" si="101"/>
        <v>-1796.3959963342643</v>
      </c>
      <c r="K163" s="97" t="s">
        <v>185</v>
      </c>
    </row>
    <row r="164" spans="1:28" ht="14.4" outlineLevel="2" x14ac:dyDescent="0.55000000000000004">
      <c r="B164" s="56" t="s">
        <v>81</v>
      </c>
      <c r="C164" s="72"/>
      <c r="D164" s="72"/>
      <c r="E164" s="72"/>
      <c r="F164" s="102">
        <f>F117-E117+F118-E118</f>
        <v>0</v>
      </c>
      <c r="G164" s="102">
        <f>G117-F117+G118-F118</f>
        <v>0</v>
      </c>
      <c r="H164" s="102">
        <f>H117-G117+H118-G118</f>
        <v>0</v>
      </c>
      <c r="I164" s="102">
        <f>I117-H117+I118-H118</f>
        <v>0</v>
      </c>
      <c r="J164" s="79">
        <f>J117-I117+J118-I118</f>
        <v>0</v>
      </c>
      <c r="K164" s="97"/>
    </row>
    <row r="165" spans="1:28" s="19" customFormat="1" ht="14.7" outlineLevel="1" thickBot="1" x14ac:dyDescent="0.6">
      <c r="A165" s="123"/>
      <c r="B165" s="141" t="s">
        <v>82</v>
      </c>
      <c r="C165" s="72"/>
      <c r="D165" s="72"/>
      <c r="E165" s="72"/>
      <c r="F165" s="41">
        <f>SUM(F158:F164)</f>
        <v>-6064.3338338926933</v>
      </c>
      <c r="G165" s="41">
        <f>SUM(G158:G164)</f>
        <v>-6293.615551535353</v>
      </c>
      <c r="H165" s="41">
        <f>SUM(H158:H164)</f>
        <v>-3474.0045834142479</v>
      </c>
      <c r="I165" s="41">
        <f>SUM(I158:I164)</f>
        <v>-2579.8156588110896</v>
      </c>
      <c r="J165" s="49">
        <f>SUM(J158:J164)</f>
        <v>-4796.3959963342641</v>
      </c>
      <c r="K165" s="117"/>
      <c r="L165" s="164"/>
      <c r="M165" s="164"/>
      <c r="N165" s="164"/>
      <c r="O165" s="164"/>
      <c r="P165" s="164"/>
      <c r="Q165" s="164"/>
      <c r="R165" s="164"/>
      <c r="S165" s="164"/>
      <c r="T165" s="164"/>
      <c r="U165" s="164"/>
      <c r="V165" s="164"/>
      <c r="W165" s="164"/>
      <c r="X165" s="164"/>
      <c r="Y165" s="164"/>
      <c r="Z165" s="164"/>
      <c r="AA165" s="164"/>
      <c r="AB165" s="164"/>
    </row>
    <row r="166" spans="1:28" ht="14.7" outlineLevel="1" thickTop="1" x14ac:dyDescent="0.55000000000000004">
      <c r="B166" s="56"/>
      <c r="C166" s="72"/>
      <c r="D166" s="72"/>
      <c r="E166" s="72"/>
      <c r="F166" s="102"/>
      <c r="G166" s="102"/>
      <c r="H166" s="102"/>
      <c r="I166" s="102"/>
      <c r="J166" s="79"/>
      <c r="K166" s="97"/>
    </row>
    <row r="167" spans="1:28" s="19" customFormat="1" ht="14.7" thickBot="1" x14ac:dyDescent="0.6">
      <c r="A167" s="123"/>
      <c r="B167" s="141" t="s">
        <v>83</v>
      </c>
      <c r="C167" s="72"/>
      <c r="D167" s="72"/>
      <c r="E167" s="72"/>
      <c r="F167" s="41">
        <f>F149+F155+F165</f>
        <v>10.695339135918402</v>
      </c>
      <c r="G167" s="41">
        <f>G149+G155+G165</f>
        <v>-1109.3253736938204</v>
      </c>
      <c r="H167" s="41">
        <f>H149+H155+H165</f>
        <v>682.41484175210962</v>
      </c>
      <c r="I167" s="41">
        <f>I149+I155+I165</f>
        <v>393.35627947434568</v>
      </c>
      <c r="J167" s="49">
        <f>J149+J155+J165</f>
        <v>-2999.5779810883805</v>
      </c>
      <c r="K167" s="117"/>
      <c r="L167" s="164"/>
      <c r="M167" s="164"/>
      <c r="N167" s="164"/>
      <c r="O167" s="164"/>
      <c r="P167" s="164"/>
      <c r="Q167" s="164"/>
      <c r="R167" s="164"/>
      <c r="S167" s="164"/>
      <c r="T167" s="164"/>
      <c r="U167" s="164"/>
      <c r="V167" s="164"/>
      <c r="W167" s="164"/>
      <c r="X167" s="164"/>
      <c r="Y167" s="164"/>
      <c r="Z167" s="164"/>
      <c r="AA167" s="164"/>
      <c r="AB167" s="164"/>
    </row>
    <row r="168" spans="1:28" ht="4.5" customHeight="1" thickTop="1" thickBot="1" x14ac:dyDescent="0.6">
      <c r="B168" s="64"/>
      <c r="C168" s="72"/>
      <c r="D168" s="72"/>
      <c r="E168" s="72"/>
      <c r="F168" s="93"/>
      <c r="G168" s="93"/>
      <c r="H168" s="93"/>
      <c r="I168" s="93"/>
      <c r="J168" s="94"/>
      <c r="K168" s="219"/>
    </row>
    <row r="171" spans="1:28" ht="15.3" thickBot="1" x14ac:dyDescent="0.55000000000000004">
      <c r="B171" s="172" t="s">
        <v>122</v>
      </c>
    </row>
    <row r="172" spans="1:28" ht="14.4" thickTop="1" thickBot="1" x14ac:dyDescent="0.5">
      <c r="C172" s="275" t="s">
        <v>11</v>
      </c>
      <c r="D172" s="276"/>
      <c r="E172" s="277"/>
      <c r="F172" s="280" t="s">
        <v>12</v>
      </c>
      <c r="G172" s="278"/>
      <c r="H172" s="278"/>
      <c r="I172" s="278"/>
      <c r="J172" s="279"/>
      <c r="K172" s="140"/>
    </row>
    <row r="173" spans="1:28" x14ac:dyDescent="0.45">
      <c r="B173" s="20" t="s">
        <v>121</v>
      </c>
      <c r="C173" s="21">
        <f>D173-1</f>
        <v>2018</v>
      </c>
      <c r="D173" s="22">
        <f>E173-1</f>
        <v>2019</v>
      </c>
      <c r="E173" s="23">
        <f>YEAR($C$9)</f>
        <v>2020</v>
      </c>
      <c r="F173" s="193">
        <f>E173+1</f>
        <v>2021</v>
      </c>
      <c r="G173" s="24">
        <f>F173+1</f>
        <v>2022</v>
      </c>
      <c r="H173" s="24">
        <f>G173+1</f>
        <v>2023</v>
      </c>
      <c r="I173" s="24">
        <f>H173+1</f>
        <v>2024</v>
      </c>
      <c r="J173" s="65">
        <f>I173+1</f>
        <v>2025</v>
      </c>
      <c r="K173" s="140"/>
    </row>
    <row r="174" spans="1:28" hidden="1" outlineLevel="1" x14ac:dyDescent="0.45">
      <c r="B174" s="56"/>
      <c r="C174" s="148"/>
      <c r="D174" s="146"/>
      <c r="E174" s="147"/>
      <c r="F174" s="204"/>
      <c r="G174" s="143"/>
      <c r="H174" s="143"/>
      <c r="I174" s="143"/>
      <c r="J174" s="144"/>
      <c r="K174" s="140"/>
    </row>
    <row r="175" spans="1:28" hidden="1" outlineLevel="1" x14ac:dyDescent="0.45">
      <c r="B175" s="87" t="s">
        <v>156</v>
      </c>
      <c r="C175" s="148">
        <v>2648</v>
      </c>
      <c r="D175" s="98">
        <f>D83</f>
        <v>2529</v>
      </c>
      <c r="E175" s="43">
        <f>E83</f>
        <v>4993</v>
      </c>
      <c r="F175" s="204">
        <f>F176/360*F19</f>
        <v>6083.303311010045</v>
      </c>
      <c r="G175" s="143">
        <f>G176/360*G19</f>
        <v>5714.1862261982105</v>
      </c>
      <c r="H175" s="143">
        <f>H176/360*H19</f>
        <v>5237.8348718076868</v>
      </c>
      <c r="I175" s="143">
        <f>I176/360*I19</f>
        <v>4699.135389074916</v>
      </c>
      <c r="J175" s="144">
        <f>J176/360*J19</f>
        <v>4229.2218501674242</v>
      </c>
      <c r="K175" s="140"/>
    </row>
    <row r="176" spans="1:28" s="162" customFormat="1" ht="12.6" hidden="1" outlineLevel="1" x14ac:dyDescent="0.45">
      <c r="A176" s="160"/>
      <c r="B176" s="121" t="s">
        <v>154</v>
      </c>
      <c r="C176" s="155">
        <f>2624/C19*360</f>
        <v>25.827477785372523</v>
      </c>
      <c r="D176" s="156">
        <f>AVERAGE(C175:D175)/D19*360</f>
        <v>24.80330050572265</v>
      </c>
      <c r="E176" s="157">
        <f>AVERAGE(D83,E83)/E19*360</f>
        <v>33.833774801339395</v>
      </c>
      <c r="F176" s="205">
        <f>E176</f>
        <v>33.833774801339395</v>
      </c>
      <c r="G176" s="165">
        <f t="shared" ref="G176:J176" si="102">F176</f>
        <v>33.833774801339395</v>
      </c>
      <c r="H176" s="165">
        <f t="shared" si="102"/>
        <v>33.833774801339395</v>
      </c>
      <c r="I176" s="165">
        <f t="shared" si="102"/>
        <v>33.833774801339395</v>
      </c>
      <c r="J176" s="166">
        <f t="shared" si="102"/>
        <v>33.833774801339395</v>
      </c>
      <c r="K176" s="203"/>
      <c r="L176" s="221"/>
      <c r="M176" s="221"/>
      <c r="N176" s="221"/>
      <c r="O176" s="221"/>
      <c r="P176" s="221"/>
      <c r="Q176" s="221"/>
      <c r="R176" s="221"/>
      <c r="S176" s="221"/>
      <c r="T176" s="221"/>
      <c r="U176" s="221"/>
      <c r="V176" s="221"/>
      <c r="W176" s="221"/>
      <c r="X176" s="221"/>
      <c r="Y176" s="221"/>
      <c r="Z176" s="221"/>
      <c r="AA176" s="221"/>
      <c r="AB176" s="221"/>
    </row>
    <row r="177" spans="1:28" hidden="1" outlineLevel="1" x14ac:dyDescent="0.45">
      <c r="B177" s="163" t="s">
        <v>150</v>
      </c>
      <c r="C177" s="151" t="s">
        <v>151</v>
      </c>
      <c r="D177" s="105">
        <f>D176/C176-1</f>
        <v>-3.9654560470860911E-2</v>
      </c>
      <c r="E177" s="111">
        <f t="shared" ref="E177:J177" si="103">E176/D176-1</f>
        <v>0.36408357402004721</v>
      </c>
      <c r="F177" s="130">
        <f t="shared" si="103"/>
        <v>0</v>
      </c>
      <c r="G177" s="106">
        <f t="shared" si="103"/>
        <v>0</v>
      </c>
      <c r="H177" s="106">
        <f t="shared" si="103"/>
        <v>0</v>
      </c>
      <c r="I177" s="106">
        <f t="shared" si="103"/>
        <v>0</v>
      </c>
      <c r="J177" s="131">
        <f t="shared" si="103"/>
        <v>0</v>
      </c>
      <c r="K177" s="97"/>
    </row>
    <row r="178" spans="1:28" hidden="1" outlineLevel="1" x14ac:dyDescent="0.45">
      <c r="B178" s="121"/>
      <c r="C178" s="151"/>
      <c r="D178" s="105"/>
      <c r="E178" s="111"/>
      <c r="F178" s="130"/>
      <c r="G178" s="106"/>
      <c r="H178" s="106"/>
      <c r="I178" s="106"/>
      <c r="J178" s="131"/>
      <c r="K178" s="97"/>
    </row>
    <row r="179" spans="1:28" hidden="1" outlineLevel="1" x14ac:dyDescent="0.45">
      <c r="B179" s="87" t="s">
        <v>157</v>
      </c>
      <c r="C179" s="148">
        <v>4443</v>
      </c>
      <c r="D179" s="98">
        <f>D84</f>
        <v>4274</v>
      </c>
      <c r="E179" s="43">
        <f>E84</f>
        <v>4061</v>
      </c>
      <c r="F179" s="78">
        <f>F180/360*ABS(F21)</f>
        <v>7765.1668239656419</v>
      </c>
      <c r="G179" s="102">
        <f>G180/360*ABS(G21)</f>
        <v>7293.9991713595009</v>
      </c>
      <c r="H179" s="102">
        <f>H180/360*ABS(H21)</f>
        <v>6685.9499677352542</v>
      </c>
      <c r="I179" s="102">
        <f>I180/360*ABS(I21)</f>
        <v>5998.3151191106481</v>
      </c>
      <c r="J179" s="79">
        <f>J180/360*ABS(J21)</f>
        <v>5398.4836071995833</v>
      </c>
      <c r="K179" s="140"/>
    </row>
    <row r="180" spans="1:28" s="48" customFormat="1" hidden="1" outlineLevel="1" x14ac:dyDescent="0.45">
      <c r="A180" s="124"/>
      <c r="B180" s="154" t="s">
        <v>152</v>
      </c>
      <c r="C180" s="155">
        <f>4184.5/ABS(C21)*360</f>
        <v>68.136053191008187</v>
      </c>
      <c r="D180" s="156">
        <f>AVERAGE(C179:D179)/ABS(D21)*360</f>
        <v>74.057676877330437</v>
      </c>
      <c r="E180" s="157">
        <f>AVERAGE(D179:E179)/ABS(E21)*360</f>
        <v>78.80140763695573</v>
      </c>
      <c r="F180" s="205">
        <f>E180</f>
        <v>78.80140763695573</v>
      </c>
      <c r="G180" s="165">
        <f t="shared" ref="G180:J180" si="104">F180</f>
        <v>78.80140763695573</v>
      </c>
      <c r="H180" s="165">
        <f t="shared" si="104"/>
        <v>78.80140763695573</v>
      </c>
      <c r="I180" s="165">
        <f t="shared" si="104"/>
        <v>78.80140763695573</v>
      </c>
      <c r="J180" s="166">
        <f t="shared" si="104"/>
        <v>78.80140763695573</v>
      </c>
      <c r="K180" s="203"/>
      <c r="L180" s="220"/>
      <c r="M180" s="220"/>
      <c r="N180" s="220"/>
      <c r="O180" s="220"/>
      <c r="P180" s="220"/>
      <c r="Q180" s="220"/>
      <c r="R180" s="220"/>
      <c r="S180" s="220"/>
      <c r="T180" s="220"/>
      <c r="U180" s="220"/>
      <c r="V180" s="220"/>
      <c r="W180" s="220"/>
      <c r="X180" s="220"/>
      <c r="Y180" s="220"/>
      <c r="Z180" s="220"/>
      <c r="AA180" s="220"/>
      <c r="AB180" s="220"/>
    </row>
    <row r="181" spans="1:28" hidden="1" outlineLevel="1" x14ac:dyDescent="0.45">
      <c r="B181" s="163" t="s">
        <v>150</v>
      </c>
      <c r="C181" s="151" t="s">
        <v>151</v>
      </c>
      <c r="D181" s="105">
        <f>D180/C180-1</f>
        <v>8.6908815656256966E-2</v>
      </c>
      <c r="E181" s="111">
        <f t="shared" ref="E181" si="105">E180/D180-1</f>
        <v>6.405454450701753E-2</v>
      </c>
      <c r="F181" s="130">
        <f t="shared" ref="F181" si="106">F180/E180-1</f>
        <v>0</v>
      </c>
      <c r="G181" s="106">
        <f t="shared" ref="G181" si="107">G180/F180-1</f>
        <v>0</v>
      </c>
      <c r="H181" s="106">
        <f t="shared" ref="H181" si="108">H180/G180-1</f>
        <v>0</v>
      </c>
      <c r="I181" s="106">
        <f t="shared" ref="I181" si="109">I180/H180-1</f>
        <v>0</v>
      </c>
      <c r="J181" s="131">
        <f t="shared" ref="J181" si="110">J180/I180-1</f>
        <v>0</v>
      </c>
      <c r="K181" s="97"/>
    </row>
    <row r="182" spans="1:28" hidden="1" outlineLevel="1" x14ac:dyDescent="0.45">
      <c r="B182" s="99"/>
      <c r="C182" s="151"/>
      <c r="D182" s="105"/>
      <c r="E182" s="111"/>
      <c r="F182" s="130"/>
      <c r="G182" s="106"/>
      <c r="H182" s="106"/>
      <c r="I182" s="106"/>
      <c r="J182" s="131"/>
      <c r="K182" s="97"/>
    </row>
    <row r="183" spans="1:28" s="153" customFormat="1" ht="14.1" hidden="1" outlineLevel="1" thickBot="1" x14ac:dyDescent="0.5">
      <c r="A183" s="152"/>
      <c r="B183" s="80" t="s">
        <v>155</v>
      </c>
      <c r="C183" s="38">
        <f>C175+C179</f>
        <v>7091</v>
      </c>
      <c r="D183" s="39">
        <f t="shared" ref="D183:J183" si="111">D175+D179</f>
        <v>6803</v>
      </c>
      <c r="E183" s="40">
        <f t="shared" si="111"/>
        <v>9054</v>
      </c>
      <c r="F183" s="81">
        <f t="shared" si="111"/>
        <v>13848.470134975687</v>
      </c>
      <c r="G183" s="41">
        <f t="shared" si="111"/>
        <v>13008.185397557711</v>
      </c>
      <c r="H183" s="41">
        <f t="shared" si="111"/>
        <v>11923.784839542941</v>
      </c>
      <c r="I183" s="41">
        <f t="shared" si="111"/>
        <v>10697.450508185564</v>
      </c>
      <c r="J183" s="49">
        <f t="shared" si="111"/>
        <v>9627.7054573670066</v>
      </c>
      <c r="K183" s="150"/>
      <c r="L183" s="220"/>
      <c r="M183" s="220"/>
      <c r="N183" s="220"/>
      <c r="O183" s="220"/>
      <c r="P183" s="220"/>
      <c r="Q183" s="220"/>
      <c r="R183" s="220"/>
      <c r="S183" s="220"/>
      <c r="T183" s="220"/>
      <c r="U183" s="220"/>
      <c r="V183" s="220"/>
      <c r="W183" s="220"/>
      <c r="X183" s="220"/>
      <c r="Y183" s="220"/>
      <c r="Z183" s="220"/>
      <c r="AA183" s="220"/>
      <c r="AB183" s="220"/>
    </row>
    <row r="184" spans="1:28" ht="14.1" hidden="1" outlineLevel="1" thickTop="1" x14ac:dyDescent="0.45">
      <c r="B184" s="127"/>
      <c r="C184" s="146"/>
      <c r="D184" s="98"/>
      <c r="E184" s="43"/>
      <c r="F184" s="78"/>
      <c r="G184" s="102"/>
      <c r="H184" s="102"/>
      <c r="I184" s="102"/>
      <c r="J184" s="79"/>
      <c r="K184" s="140"/>
    </row>
    <row r="185" spans="1:28" hidden="1" outlineLevel="1" x14ac:dyDescent="0.45">
      <c r="B185" s="87" t="s">
        <v>158</v>
      </c>
      <c r="C185" s="98">
        <v>3512</v>
      </c>
      <c r="D185" s="98">
        <f>D99</f>
        <v>4107</v>
      </c>
      <c r="E185" s="43">
        <f>E99</f>
        <v>3367</v>
      </c>
      <c r="F185" s="78">
        <f>F186/360*ABS(F21)</f>
        <v>6963.0302150352973</v>
      </c>
      <c r="G185" s="102">
        <f>G186/360*ABS(G21)</f>
        <v>6540.5338700349012</v>
      </c>
      <c r="H185" s="102">
        <f>H186/360*ABS(H21)</f>
        <v>5995.2957479128117</v>
      </c>
      <c r="I185" s="102">
        <f>I186/360*ABS(I21)</f>
        <v>5378.6931254028768</v>
      </c>
      <c r="J185" s="79">
        <f>J186/360*ABS(J21)</f>
        <v>4840.823812862589</v>
      </c>
      <c r="K185" s="140"/>
    </row>
    <row r="186" spans="1:28" s="162" customFormat="1" ht="12.6" hidden="1" outlineLevel="1" x14ac:dyDescent="0.45">
      <c r="A186" s="160"/>
      <c r="B186" s="121" t="s">
        <v>153</v>
      </c>
      <c r="C186" s="156">
        <f>3776.5/ABS(C21)*360</f>
        <v>61.492604821565877</v>
      </c>
      <c r="D186" s="156">
        <f>AVERAGE(C185:D185)/ABS(D21)*360</f>
        <v>64.72931514608014</v>
      </c>
      <c r="E186" s="157">
        <f>AVERAGE(D185:E185)/ABS(E21)*360</f>
        <v>70.661274226587537</v>
      </c>
      <c r="F186" s="161">
        <f>E186</f>
        <v>70.661274226587537</v>
      </c>
      <c r="G186" s="158">
        <f t="shared" ref="G186:J186" si="112">F186</f>
        <v>70.661274226587537</v>
      </c>
      <c r="H186" s="158">
        <f t="shared" si="112"/>
        <v>70.661274226587537</v>
      </c>
      <c r="I186" s="158">
        <f t="shared" si="112"/>
        <v>70.661274226587537</v>
      </c>
      <c r="J186" s="159">
        <f t="shared" si="112"/>
        <v>70.661274226587537</v>
      </c>
      <c r="K186" s="203"/>
      <c r="L186" s="221"/>
      <c r="M186" s="221"/>
      <c r="N186" s="221"/>
      <c r="O186" s="221"/>
      <c r="P186" s="221"/>
      <c r="Q186" s="221"/>
      <c r="R186" s="221"/>
      <c r="S186" s="221"/>
      <c r="T186" s="221"/>
      <c r="U186" s="221"/>
      <c r="V186" s="221"/>
      <c r="W186" s="221"/>
      <c r="X186" s="221"/>
      <c r="Y186" s="221"/>
      <c r="Z186" s="221"/>
      <c r="AA186" s="221"/>
      <c r="AB186" s="221"/>
    </row>
    <row r="187" spans="1:28" hidden="1" outlineLevel="1" x14ac:dyDescent="0.45">
      <c r="B187" s="163" t="s">
        <v>150</v>
      </c>
      <c r="C187" s="105" t="s">
        <v>151</v>
      </c>
      <c r="D187" s="110">
        <f>D186/C186-1</f>
        <v>5.263576545352544E-2</v>
      </c>
      <c r="E187" s="111">
        <f t="shared" ref="E187" si="113">E186/D186-1</f>
        <v>9.1642543523289932E-2</v>
      </c>
      <c r="F187" s="130">
        <f t="shared" ref="F187" si="114">F186/E186-1</f>
        <v>0</v>
      </c>
      <c r="G187" s="106">
        <f t="shared" ref="G187" si="115">G186/F186-1</f>
        <v>0</v>
      </c>
      <c r="H187" s="106">
        <f t="shared" ref="H187" si="116">H186/G186-1</f>
        <v>0</v>
      </c>
      <c r="I187" s="106">
        <f t="shared" ref="I187" si="117">I186/H186-1</f>
        <v>0</v>
      </c>
      <c r="J187" s="131">
        <f t="shared" ref="J187" si="118">J186/I186-1</f>
        <v>0</v>
      </c>
      <c r="K187" s="97"/>
    </row>
    <row r="188" spans="1:28" hidden="1" outlineLevel="1" x14ac:dyDescent="0.45">
      <c r="B188" s="99"/>
      <c r="C188" s="105"/>
      <c r="D188" s="110"/>
      <c r="E188" s="111"/>
      <c r="F188" s="130"/>
      <c r="G188" s="106"/>
      <c r="H188" s="106"/>
      <c r="I188" s="106"/>
      <c r="J188" s="131"/>
      <c r="K188" s="97"/>
    </row>
    <row r="189" spans="1:28" s="48" customFormat="1" ht="14.1" hidden="1" outlineLevel="1" thickBot="1" x14ac:dyDescent="0.5">
      <c r="A189" s="124"/>
      <c r="B189" s="80" t="s">
        <v>159</v>
      </c>
      <c r="C189" s="39">
        <f>C185</f>
        <v>3512</v>
      </c>
      <c r="D189" s="39">
        <f t="shared" ref="D189:J189" si="119">D185</f>
        <v>4107</v>
      </c>
      <c r="E189" s="40">
        <f t="shared" si="119"/>
        <v>3367</v>
      </c>
      <c r="F189" s="81">
        <f t="shared" si="119"/>
        <v>6963.0302150352973</v>
      </c>
      <c r="G189" s="41">
        <f t="shared" si="119"/>
        <v>6540.5338700349012</v>
      </c>
      <c r="H189" s="41">
        <f t="shared" si="119"/>
        <v>5995.2957479128117</v>
      </c>
      <c r="I189" s="41">
        <f t="shared" si="119"/>
        <v>5378.6931254028768</v>
      </c>
      <c r="J189" s="49">
        <f t="shared" si="119"/>
        <v>4840.823812862589</v>
      </c>
      <c r="K189" s="150"/>
      <c r="L189" s="220"/>
      <c r="M189" s="220"/>
      <c r="N189" s="220"/>
      <c r="O189" s="220"/>
      <c r="P189" s="220"/>
      <c r="Q189" s="220"/>
      <c r="R189" s="220"/>
      <c r="S189" s="220"/>
      <c r="T189" s="220"/>
      <c r="U189" s="220"/>
      <c r="V189" s="220"/>
      <c r="W189" s="220"/>
      <c r="X189" s="220"/>
      <c r="Y189" s="220"/>
      <c r="Z189" s="220"/>
      <c r="AA189" s="220"/>
      <c r="AB189" s="220"/>
    </row>
    <row r="190" spans="1:28" s="48" customFormat="1" ht="14.1" hidden="1" outlineLevel="1" thickTop="1" x14ac:dyDescent="0.45">
      <c r="A190" s="124"/>
      <c r="B190" s="57"/>
      <c r="C190" s="95"/>
      <c r="D190" s="95"/>
      <c r="E190" s="36"/>
      <c r="F190" s="58"/>
      <c r="G190" s="96"/>
      <c r="H190" s="96"/>
      <c r="I190" s="96"/>
      <c r="J190" s="85"/>
      <c r="K190" s="150"/>
      <c r="L190" s="220"/>
      <c r="M190" s="220"/>
      <c r="N190" s="220"/>
      <c r="O190" s="220"/>
      <c r="P190" s="220"/>
      <c r="Q190" s="220"/>
      <c r="R190" s="220"/>
      <c r="S190" s="220"/>
      <c r="T190" s="220"/>
      <c r="U190" s="220"/>
      <c r="V190" s="220"/>
      <c r="W190" s="220"/>
      <c r="X190" s="220"/>
      <c r="Y190" s="220"/>
      <c r="Z190" s="220"/>
      <c r="AA190" s="220"/>
      <c r="AB190" s="220"/>
    </row>
    <row r="191" spans="1:28" s="48" customFormat="1" ht="14.1" hidden="1" outlineLevel="1" thickBot="1" x14ac:dyDescent="0.5">
      <c r="A191" s="124"/>
      <c r="B191" s="80" t="s">
        <v>160</v>
      </c>
      <c r="C191" s="39">
        <f>C183-C189</f>
        <v>3579</v>
      </c>
      <c r="D191" s="39">
        <f t="shared" ref="D191:J191" si="120">D183-D189</f>
        <v>2696</v>
      </c>
      <c r="E191" s="40">
        <f t="shared" si="120"/>
        <v>5687</v>
      </c>
      <c r="F191" s="81">
        <f t="shared" si="120"/>
        <v>6885.4399199403897</v>
      </c>
      <c r="G191" s="41">
        <f t="shared" si="120"/>
        <v>6467.6515275228094</v>
      </c>
      <c r="H191" s="41">
        <f t="shared" si="120"/>
        <v>5928.4890916301292</v>
      </c>
      <c r="I191" s="41">
        <f t="shared" si="120"/>
        <v>5318.7573827826873</v>
      </c>
      <c r="J191" s="49">
        <f t="shared" si="120"/>
        <v>4786.8816445044176</v>
      </c>
      <c r="K191" s="150"/>
      <c r="L191" s="220"/>
      <c r="M191" s="220"/>
      <c r="N191" s="220"/>
      <c r="O191" s="220"/>
      <c r="P191" s="220"/>
      <c r="Q191" s="220"/>
      <c r="R191" s="220"/>
      <c r="S191" s="220"/>
      <c r="T191" s="220"/>
      <c r="U191" s="220"/>
      <c r="V191" s="220"/>
      <c r="W191" s="220"/>
      <c r="X191" s="220"/>
      <c r="Y191" s="220"/>
      <c r="Z191" s="220"/>
      <c r="AA191" s="220"/>
      <c r="AB191" s="220"/>
    </row>
    <row r="192" spans="1:28" s="48" customFormat="1" ht="14.4" hidden="1" outlineLevel="1" thickTop="1" thickBot="1" x14ac:dyDescent="0.5">
      <c r="A192" s="124"/>
      <c r="B192" s="167" t="s">
        <v>65</v>
      </c>
      <c r="C192" s="168" t="s">
        <v>151</v>
      </c>
      <c r="D192" s="168">
        <f>D191-C191</f>
        <v>-883</v>
      </c>
      <c r="E192" s="169">
        <f t="shared" ref="E192:J192" si="121">E191-D191</f>
        <v>2991</v>
      </c>
      <c r="F192" s="206">
        <f t="shared" si="121"/>
        <v>1198.4399199403897</v>
      </c>
      <c r="G192" s="170">
        <f t="shared" si="121"/>
        <v>-417.78839241758033</v>
      </c>
      <c r="H192" s="170">
        <f t="shared" si="121"/>
        <v>-539.16243589268015</v>
      </c>
      <c r="I192" s="170">
        <f t="shared" si="121"/>
        <v>-609.73170884744195</v>
      </c>
      <c r="J192" s="171">
        <f t="shared" si="121"/>
        <v>-531.87573827826964</v>
      </c>
      <c r="K192" s="150"/>
      <c r="L192" s="220"/>
      <c r="M192" s="220"/>
      <c r="N192" s="220"/>
      <c r="O192" s="220"/>
      <c r="P192" s="220"/>
      <c r="Q192" s="220"/>
      <c r="R192" s="220"/>
      <c r="S192" s="220"/>
      <c r="T192" s="220"/>
      <c r="U192" s="220"/>
      <c r="V192" s="220"/>
      <c r="W192" s="220"/>
      <c r="X192" s="220"/>
      <c r="Y192" s="220"/>
      <c r="Z192" s="220"/>
      <c r="AA192" s="220"/>
      <c r="AB192" s="220"/>
    </row>
    <row r="193" spans="1:12" ht="14.1" collapsed="1" thickBot="1" x14ac:dyDescent="0.5">
      <c r="B193" s="128"/>
      <c r="C193" s="149"/>
      <c r="D193" s="91"/>
      <c r="E193" s="92"/>
      <c r="F193" s="194"/>
      <c r="G193" s="93"/>
      <c r="H193" s="93"/>
      <c r="I193" s="93"/>
      <c r="J193" s="94"/>
      <c r="K193" s="140"/>
    </row>
    <row r="194" spans="1:12" ht="14.1" thickBot="1" x14ac:dyDescent="0.5"/>
    <row r="195" spans="1:12" ht="14.1" thickBot="1" x14ac:dyDescent="0.5">
      <c r="C195" s="275" t="s">
        <v>11</v>
      </c>
      <c r="D195" s="276"/>
      <c r="E195" s="277"/>
      <c r="F195" s="280" t="s">
        <v>12</v>
      </c>
      <c r="G195" s="278"/>
      <c r="H195" s="278"/>
      <c r="I195" s="278"/>
      <c r="J195" s="279"/>
    </row>
    <row r="196" spans="1:12" x14ac:dyDescent="0.45">
      <c r="B196" s="20" t="s">
        <v>120</v>
      </c>
      <c r="C196" s="21">
        <f>D196-1</f>
        <v>2018</v>
      </c>
      <c r="D196" s="22">
        <f>E196-1</f>
        <v>2019</v>
      </c>
      <c r="E196" s="23">
        <f>YEAR($C$9)</f>
        <v>2020</v>
      </c>
      <c r="F196" s="193">
        <f>E196+1</f>
        <v>2021</v>
      </c>
      <c r="G196" s="24">
        <f>F196+1</f>
        <v>2022</v>
      </c>
      <c r="H196" s="24">
        <f>G196+1</f>
        <v>2023</v>
      </c>
      <c r="I196" s="24">
        <f>H196+1</f>
        <v>2024</v>
      </c>
      <c r="J196" s="65">
        <f>I196+1</f>
        <v>2025</v>
      </c>
    </row>
    <row r="197" spans="1:12" outlineLevel="3" x14ac:dyDescent="0.45">
      <c r="B197" s="127"/>
      <c r="C197" s="98"/>
      <c r="D197" s="98"/>
      <c r="E197" s="98"/>
      <c r="F197" s="78"/>
      <c r="G197" s="102"/>
      <c r="H197" s="102"/>
      <c r="I197" s="102"/>
      <c r="J197" s="79"/>
    </row>
    <row r="198" spans="1:12" outlineLevel="3" x14ac:dyDescent="0.45">
      <c r="A198" s="122" t="s">
        <v>97</v>
      </c>
      <c r="B198" s="201" t="s">
        <v>163</v>
      </c>
      <c r="C198" s="98">
        <v>54878</v>
      </c>
      <c r="D198" s="98">
        <f>C204</f>
        <v>48385</v>
      </c>
      <c r="E198" s="98">
        <f>D204</f>
        <v>46576</v>
      </c>
      <c r="F198" s="78">
        <f>E204</f>
        <v>41148</v>
      </c>
      <c r="G198" s="102">
        <f t="shared" ref="G198:J198" si="122">F204</f>
        <v>41880.838417295359</v>
      </c>
      <c r="H198" s="102">
        <f t="shared" si="122"/>
        <v>42637.772571843845</v>
      </c>
      <c r="I198" s="102">
        <f t="shared" si="122"/>
        <v>43394.706726392331</v>
      </c>
      <c r="J198" s="79">
        <f t="shared" si="122"/>
        <v>44151.640880940817</v>
      </c>
    </row>
    <row r="199" spans="1:12" outlineLevel="3" x14ac:dyDescent="0.45">
      <c r="B199" s="142" t="s">
        <v>172</v>
      </c>
      <c r="C199" s="98">
        <v>3784</v>
      </c>
      <c r="D199" s="98">
        <v>3704</v>
      </c>
      <c r="E199" s="98">
        <v>4430</v>
      </c>
      <c r="F199" s="78">
        <v>5809</v>
      </c>
      <c r="G199" s="102">
        <v>6000</v>
      </c>
      <c r="H199" s="102">
        <v>6000</v>
      </c>
      <c r="I199" s="102">
        <v>6000</v>
      </c>
      <c r="J199" s="79">
        <v>6000</v>
      </c>
      <c r="K199" s="140"/>
    </row>
    <row r="200" spans="1:12" outlineLevel="3" x14ac:dyDescent="0.45">
      <c r="B200" s="142" t="s">
        <v>175</v>
      </c>
      <c r="C200" s="98">
        <v>-6926</v>
      </c>
      <c r="D200" s="98">
        <f>-1787</f>
        <v>-1787</v>
      </c>
      <c r="E200" s="98">
        <f>-6624</f>
        <v>-6624</v>
      </c>
      <c r="F200" s="78">
        <v>0</v>
      </c>
      <c r="G200" s="102">
        <v>0</v>
      </c>
      <c r="H200" s="102">
        <v>0</v>
      </c>
      <c r="I200" s="102">
        <v>0</v>
      </c>
      <c r="J200" s="79">
        <v>0</v>
      </c>
      <c r="K200" s="140"/>
    </row>
    <row r="201" spans="1:12" outlineLevel="3" x14ac:dyDescent="0.45">
      <c r="B201" s="142" t="s">
        <v>171</v>
      </c>
      <c r="C201" s="98">
        <f>-C36</f>
        <v>-3351</v>
      </c>
      <c r="D201" s="98">
        <f>-D36</f>
        <v>-3726</v>
      </c>
      <c r="E201" s="98">
        <f>-E36</f>
        <v>-3234</v>
      </c>
      <c r="F201" s="78">
        <f>-F199*F202</f>
        <v>-5076.1615827046417</v>
      </c>
      <c r="G201" s="102">
        <f t="shared" ref="G201:I201" si="123">-G199*G202</f>
        <v>-5243.0658454515151</v>
      </c>
      <c r="H201" s="102">
        <f t="shared" si="123"/>
        <v>-5243.0658454515151</v>
      </c>
      <c r="I201" s="102">
        <f t="shared" si="123"/>
        <v>-5243.0658454515151</v>
      </c>
      <c r="J201" s="79">
        <f>-J199*J202</f>
        <v>-5243.0658454515151</v>
      </c>
      <c r="K201" s="140"/>
    </row>
    <row r="202" spans="1:12" outlineLevel="3" x14ac:dyDescent="0.45">
      <c r="B202" s="163" t="s">
        <v>174</v>
      </c>
      <c r="C202" s="104">
        <f>ABS(C201)/C199</f>
        <v>0.88557082452431291</v>
      </c>
      <c r="D202" s="104">
        <f t="shared" ref="D202:E202" si="124">ABS(D201)/D199</f>
        <v>1.005939524838013</v>
      </c>
      <c r="E202" s="104">
        <f t="shared" si="124"/>
        <v>0.73002257336343113</v>
      </c>
      <c r="F202" s="225">
        <f>AVERAGE($C$202:$E$202)</f>
        <v>0.87384430757525244</v>
      </c>
      <c r="G202" s="226">
        <f t="shared" ref="G202:J202" si="125">AVERAGE($C$202:$E$202)</f>
        <v>0.87384430757525244</v>
      </c>
      <c r="H202" s="226">
        <f t="shared" si="125"/>
        <v>0.87384430757525244</v>
      </c>
      <c r="I202" s="226">
        <f t="shared" si="125"/>
        <v>0.87384430757525244</v>
      </c>
      <c r="J202" s="227">
        <f t="shared" si="125"/>
        <v>0.87384430757525244</v>
      </c>
      <c r="K202" s="224"/>
      <c r="L202" s="97"/>
    </row>
    <row r="203" spans="1:12" outlineLevel="3" x14ac:dyDescent="0.45">
      <c r="B203" s="163"/>
      <c r="C203" s="104"/>
      <c r="D203" s="104"/>
      <c r="E203" s="104"/>
      <c r="F203" s="78"/>
      <c r="G203" s="102"/>
      <c r="H203" s="102"/>
      <c r="I203" s="102"/>
      <c r="J203" s="79"/>
      <c r="K203" s="224"/>
      <c r="L203" s="97"/>
    </row>
    <row r="204" spans="1:12" ht="14.1" outlineLevel="3" thickBot="1" x14ac:dyDescent="0.5">
      <c r="B204" s="200" t="s">
        <v>173</v>
      </c>
      <c r="C204" s="195">
        <f t="shared" ref="C204:J204" si="126">SUM(C198:C201)</f>
        <v>48385</v>
      </c>
      <c r="D204" s="195">
        <f t="shared" si="126"/>
        <v>46576</v>
      </c>
      <c r="E204" s="195">
        <f t="shared" si="126"/>
        <v>41148</v>
      </c>
      <c r="F204" s="197">
        <f t="shared" si="126"/>
        <v>41880.838417295359</v>
      </c>
      <c r="G204" s="198">
        <f t="shared" si="126"/>
        <v>42637.772571843845</v>
      </c>
      <c r="H204" s="198">
        <f t="shared" si="126"/>
        <v>43394.706726392331</v>
      </c>
      <c r="I204" s="198">
        <f t="shared" si="126"/>
        <v>44151.640880940817</v>
      </c>
      <c r="J204" s="199">
        <f t="shared" si="126"/>
        <v>44908.575035489303</v>
      </c>
      <c r="K204" s="140"/>
    </row>
    <row r="205" spans="1:12" ht="14.7" outlineLevel="3" thickTop="1" x14ac:dyDescent="0.55000000000000004">
      <c r="B205" s="87"/>
      <c r="C205" s="72"/>
      <c r="D205" s="72"/>
      <c r="E205" s="72"/>
      <c r="F205" s="78"/>
      <c r="G205" s="102"/>
      <c r="H205" s="102"/>
      <c r="I205" s="102"/>
      <c r="J205" s="79"/>
      <c r="K205" s="140"/>
    </row>
    <row r="206" spans="1:12" ht="14.4" outlineLevel="3" x14ac:dyDescent="0.55000000000000004">
      <c r="B206" s="201" t="s">
        <v>164</v>
      </c>
      <c r="C206" s="202"/>
      <c r="D206" s="202"/>
      <c r="E206" s="202"/>
      <c r="F206" s="78"/>
      <c r="G206" s="102"/>
      <c r="H206" s="102"/>
      <c r="I206" s="102"/>
      <c r="J206" s="79"/>
    </row>
    <row r="207" spans="1:12" ht="14.4" outlineLevel="3" x14ac:dyDescent="0.55000000000000004">
      <c r="B207" s="87" t="s">
        <v>165</v>
      </c>
      <c r="C207" s="202"/>
      <c r="D207" s="202"/>
      <c r="E207" s="202"/>
      <c r="F207" s="78"/>
      <c r="G207" s="102"/>
      <c r="H207" s="102"/>
      <c r="I207" s="102"/>
      <c r="J207" s="79"/>
    </row>
    <row r="208" spans="1:12" ht="14.4" outlineLevel="3" x14ac:dyDescent="0.55000000000000004">
      <c r="B208" s="87" t="s">
        <v>166</v>
      </c>
      <c r="C208" s="72"/>
      <c r="D208" s="72"/>
      <c r="E208" s="72"/>
      <c r="F208" s="78"/>
      <c r="G208" s="102"/>
      <c r="H208" s="102"/>
      <c r="I208" s="102"/>
      <c r="J208" s="79"/>
    </row>
    <row r="209" spans="2:10" ht="14.4" outlineLevel="3" x14ac:dyDescent="0.55000000000000004">
      <c r="B209" s="87"/>
      <c r="C209" s="72"/>
      <c r="D209" s="72"/>
      <c r="E209" s="72"/>
      <c r="F209" s="78"/>
      <c r="G209" s="102"/>
      <c r="H209" s="102"/>
      <c r="I209" s="102"/>
      <c r="J209" s="79"/>
    </row>
    <row r="210" spans="2:10" ht="14.4" outlineLevel="3" x14ac:dyDescent="0.55000000000000004">
      <c r="B210" s="87" t="s">
        <v>167</v>
      </c>
      <c r="C210" s="72"/>
      <c r="D210" s="72"/>
      <c r="E210" s="72"/>
      <c r="F210" s="78"/>
      <c r="G210" s="102"/>
      <c r="H210" s="102"/>
      <c r="I210" s="102"/>
      <c r="J210" s="79"/>
    </row>
    <row r="211" spans="2:10" ht="2.4" customHeight="1" outlineLevel="3" x14ac:dyDescent="0.55000000000000004">
      <c r="B211" s="87"/>
      <c r="C211" s="72"/>
      <c r="D211" s="72"/>
      <c r="E211" s="72"/>
      <c r="F211" s="78"/>
      <c r="G211" s="102"/>
      <c r="H211" s="102"/>
      <c r="I211" s="102"/>
      <c r="J211" s="79"/>
    </row>
    <row r="212" spans="2:10" ht="14.4" outlineLevel="3" x14ac:dyDescent="0.55000000000000004">
      <c r="B212" s="142" t="s">
        <v>168</v>
      </c>
      <c r="C212" s="72"/>
      <c r="D212" s="72"/>
      <c r="E212" s="72"/>
      <c r="F212" s="78"/>
      <c r="G212" s="102"/>
      <c r="H212" s="102"/>
      <c r="I212" s="102"/>
      <c r="J212" s="79"/>
    </row>
    <row r="213" spans="2:10" ht="14.4" outlineLevel="3" x14ac:dyDescent="0.55000000000000004">
      <c r="B213" s="142" t="str">
        <f>F196 &amp; " CAPEX"</f>
        <v>2021 CAPEX</v>
      </c>
      <c r="C213" s="72"/>
      <c r="D213" s="72"/>
      <c r="E213" s="72"/>
      <c r="F213" s="78"/>
      <c r="G213" s="102"/>
      <c r="H213" s="102"/>
      <c r="I213" s="102"/>
      <c r="J213" s="79"/>
    </row>
    <row r="214" spans="2:10" ht="14.4" outlineLevel="3" x14ac:dyDescent="0.55000000000000004">
      <c r="B214" s="142" t="str">
        <f>G196 &amp; " CAPEX"</f>
        <v>2022 CAPEX</v>
      </c>
      <c r="C214" s="72"/>
      <c r="D214" s="72"/>
      <c r="E214" s="72"/>
      <c r="F214" s="78"/>
      <c r="G214" s="102"/>
      <c r="H214" s="102"/>
      <c r="I214" s="102"/>
      <c r="J214" s="79"/>
    </row>
    <row r="215" spans="2:10" ht="14.4" outlineLevel="3" x14ac:dyDescent="0.55000000000000004">
      <c r="B215" s="142" t="str">
        <f>H196 &amp; " CAPEX"</f>
        <v>2023 CAPEX</v>
      </c>
      <c r="C215" s="72"/>
      <c r="D215" s="72"/>
      <c r="E215" s="72"/>
      <c r="F215" s="78"/>
      <c r="G215" s="102"/>
      <c r="H215" s="102"/>
      <c r="I215" s="102"/>
      <c r="J215" s="79"/>
    </row>
    <row r="216" spans="2:10" ht="14.4" outlineLevel="3" x14ac:dyDescent="0.55000000000000004">
      <c r="B216" s="142" t="str">
        <f>I196 &amp; " CAPEX"</f>
        <v>2024 CAPEX</v>
      </c>
      <c r="C216" s="72"/>
      <c r="D216" s="72"/>
      <c r="E216" s="72"/>
      <c r="F216" s="78"/>
      <c r="G216" s="102"/>
      <c r="H216" s="102"/>
      <c r="I216" s="102"/>
      <c r="J216" s="79"/>
    </row>
    <row r="217" spans="2:10" ht="14.4" outlineLevel="3" x14ac:dyDescent="0.55000000000000004">
      <c r="B217" s="142" t="str">
        <f>J196 &amp; " CAPEX"</f>
        <v>2025 CAPEX</v>
      </c>
      <c r="C217" s="72"/>
      <c r="D217" s="72"/>
      <c r="E217" s="72"/>
      <c r="F217" s="78"/>
      <c r="G217" s="102"/>
      <c r="H217" s="102"/>
      <c r="I217" s="102"/>
      <c r="J217" s="79"/>
    </row>
    <row r="218" spans="2:10" ht="5.4" customHeight="1" outlineLevel="3" x14ac:dyDescent="0.55000000000000004">
      <c r="B218" s="87"/>
      <c r="C218" s="72"/>
      <c r="D218" s="72"/>
      <c r="E218" s="72"/>
      <c r="F218" s="78"/>
      <c r="G218" s="102"/>
      <c r="H218" s="102"/>
      <c r="I218" s="102"/>
      <c r="J218" s="79"/>
    </row>
    <row r="219" spans="2:10" ht="14.7" outlineLevel="3" thickBot="1" x14ac:dyDescent="0.6">
      <c r="B219" s="200" t="s">
        <v>169</v>
      </c>
      <c r="C219" s="176"/>
      <c r="D219" s="176"/>
      <c r="E219" s="176"/>
      <c r="F219" s="81"/>
      <c r="G219" s="41"/>
      <c r="H219" s="41"/>
      <c r="I219" s="41"/>
      <c r="J219" s="49"/>
    </row>
    <row r="220" spans="2:10" ht="14.4" thickTop="1" thickBot="1" x14ac:dyDescent="0.5">
      <c r="B220" s="192"/>
      <c r="C220" s="90"/>
      <c r="D220" s="91"/>
      <c r="E220" s="92"/>
      <c r="F220" s="194"/>
      <c r="G220" s="93"/>
      <c r="H220" s="93"/>
      <c r="I220" s="93"/>
      <c r="J220" s="94"/>
    </row>
    <row r="221" spans="2:10" ht="14.1" thickBot="1" x14ac:dyDescent="0.5">
      <c r="B221" s="145"/>
      <c r="C221" s="97"/>
      <c r="D221" s="97"/>
      <c r="E221" s="97"/>
      <c r="F221" s="97"/>
      <c r="G221" s="97"/>
      <c r="H221" s="97"/>
      <c r="I221" s="97"/>
      <c r="J221" s="97"/>
    </row>
    <row r="222" spans="2:10" ht="14.1" thickBot="1" x14ac:dyDescent="0.5">
      <c r="C222" s="275" t="s">
        <v>11</v>
      </c>
      <c r="D222" s="276"/>
      <c r="E222" s="277"/>
      <c r="F222" s="280" t="s">
        <v>12</v>
      </c>
      <c r="G222" s="278"/>
      <c r="H222" s="278"/>
      <c r="I222" s="278"/>
      <c r="J222" s="279"/>
    </row>
    <row r="223" spans="2:10" x14ac:dyDescent="0.45">
      <c r="B223" s="20" t="s">
        <v>176</v>
      </c>
      <c r="C223" s="21">
        <f>D223-1</f>
        <v>2018</v>
      </c>
      <c r="D223" s="22">
        <f>E223-1</f>
        <v>2019</v>
      </c>
      <c r="E223" s="23">
        <f>YEAR($C$9)</f>
        <v>2020</v>
      </c>
      <c r="F223" s="193">
        <f>E223+1</f>
        <v>2021</v>
      </c>
      <c r="G223" s="24">
        <f>F223+1</f>
        <v>2022</v>
      </c>
      <c r="H223" s="24">
        <f>G223+1</f>
        <v>2023</v>
      </c>
      <c r="I223" s="24">
        <f>H223+1</f>
        <v>2024</v>
      </c>
      <c r="J223" s="65">
        <f>I223+1</f>
        <v>2025</v>
      </c>
    </row>
    <row r="224" spans="2:10" hidden="1" outlineLevel="3" x14ac:dyDescent="0.45">
      <c r="B224" s="56" t="s">
        <v>177</v>
      </c>
      <c r="C224" s="98">
        <v>7419</v>
      </c>
      <c r="D224" s="98">
        <f>C230</f>
        <v>10968</v>
      </c>
      <c r="E224" s="98">
        <f>D230</f>
        <v>7090</v>
      </c>
      <c r="F224" s="78">
        <f>E116</f>
        <v>4601</v>
      </c>
      <c r="G224" s="102">
        <f>F116</f>
        <v>6542.9736763716664</v>
      </c>
      <c r="H224" s="102">
        <f>G116</f>
        <v>7772.7940648087515</v>
      </c>
      <c r="I224" s="102">
        <f>H116</f>
        <v>8672.9806252166654</v>
      </c>
      <c r="J224" s="79">
        <f>I116</f>
        <v>9213.5393503920532</v>
      </c>
    </row>
    <row r="225" spans="1:11" hidden="1" outlineLevel="3" x14ac:dyDescent="0.45">
      <c r="A225" s="122" t="s">
        <v>97</v>
      </c>
      <c r="B225" s="87" t="s">
        <v>178</v>
      </c>
      <c r="C225" s="98">
        <f t="shared" ref="C225:J225" si="127">C67</f>
        <v>6860</v>
      </c>
      <c r="D225" s="98">
        <f t="shared" si="127"/>
        <v>-1683</v>
      </c>
      <c r="E225" s="98">
        <f t="shared" si="127"/>
        <v>4881</v>
      </c>
      <c r="F225" s="78">
        <f t="shared" si="127"/>
        <v>8503.3075102643597</v>
      </c>
      <c r="G225" s="102">
        <f t="shared" si="127"/>
        <v>6020.4359399724381</v>
      </c>
      <c r="H225" s="102">
        <f t="shared" si="127"/>
        <v>4871.1911438221614</v>
      </c>
      <c r="I225" s="102">
        <f t="shared" si="127"/>
        <v>3617.3743839864774</v>
      </c>
      <c r="J225" s="79">
        <f t="shared" si="127"/>
        <v>2518.8764315160997</v>
      </c>
    </row>
    <row r="226" spans="1:11" hidden="1" outlineLevel="3" x14ac:dyDescent="0.45">
      <c r="B226" s="87" t="s">
        <v>179</v>
      </c>
      <c r="C226" s="98">
        <v>-2054</v>
      </c>
      <c r="D226" s="98">
        <v>-1767</v>
      </c>
      <c r="E226" s="98">
        <v>-3481</v>
      </c>
      <c r="F226" s="78">
        <f>-F225*F227</f>
        <v>-6064.3338338926933</v>
      </c>
      <c r="G226" s="102">
        <f t="shared" ref="G226:J226" si="128">-G225*G227</f>
        <v>-4293.615551535353</v>
      </c>
      <c r="H226" s="102">
        <f t="shared" si="128"/>
        <v>-3474.0045834142479</v>
      </c>
      <c r="I226" s="102">
        <f t="shared" si="128"/>
        <v>-2579.8156588110896</v>
      </c>
      <c r="J226" s="79">
        <f t="shared" si="128"/>
        <v>-1796.3959963342643</v>
      </c>
      <c r="K226" s="140"/>
    </row>
    <row r="227" spans="1:11" hidden="1" outlineLevel="3" x14ac:dyDescent="0.45">
      <c r="B227" s="163" t="s">
        <v>183</v>
      </c>
      <c r="C227" s="105">
        <f t="shared" ref="C227" si="129">ABS(C226)/C225</f>
        <v>0.29941690962099127</v>
      </c>
      <c r="D227" s="105" t="s">
        <v>151</v>
      </c>
      <c r="E227" s="105">
        <f>ABS(E226)/E225</f>
        <v>0.71317353001434136</v>
      </c>
      <c r="F227" s="225">
        <f>E227</f>
        <v>0.71317353001434136</v>
      </c>
      <c r="G227" s="226">
        <f t="shared" ref="G227:J227" si="130">F227</f>
        <v>0.71317353001434136</v>
      </c>
      <c r="H227" s="226">
        <f t="shared" si="130"/>
        <v>0.71317353001434136</v>
      </c>
      <c r="I227" s="226">
        <f t="shared" si="130"/>
        <v>0.71317353001434136</v>
      </c>
      <c r="J227" s="227">
        <f t="shared" si="130"/>
        <v>0.71317353001434136</v>
      </c>
      <c r="K227" s="140"/>
    </row>
    <row r="228" spans="1:11" hidden="1" outlineLevel="3" x14ac:dyDescent="0.45">
      <c r="B228" s="87" t="s">
        <v>180</v>
      </c>
      <c r="C228" s="98">
        <v>0</v>
      </c>
      <c r="D228" s="98">
        <v>0</v>
      </c>
      <c r="E228" s="98">
        <v>0</v>
      </c>
      <c r="F228" s="229">
        <v>0</v>
      </c>
      <c r="G228" s="223">
        <v>0</v>
      </c>
      <c r="H228" s="223">
        <v>0</v>
      </c>
      <c r="I228" s="223">
        <v>0</v>
      </c>
      <c r="J228" s="230">
        <v>0</v>
      </c>
      <c r="K228" s="140"/>
    </row>
    <row r="229" spans="1:11" hidden="1" outlineLevel="3" x14ac:dyDescent="0.45">
      <c r="B229" s="87" t="s">
        <v>182</v>
      </c>
      <c r="C229" s="98">
        <v>-1257</v>
      </c>
      <c r="D229" s="98">
        <v>-428</v>
      </c>
      <c r="E229" s="98">
        <v>-1448</v>
      </c>
      <c r="F229" s="78">
        <f>F65</f>
        <v>-497</v>
      </c>
      <c r="G229" s="102">
        <f t="shared" ref="G229:J229" si="131">F229</f>
        <v>-497</v>
      </c>
      <c r="H229" s="102">
        <f t="shared" si="131"/>
        <v>-497</v>
      </c>
      <c r="I229" s="102">
        <f t="shared" si="131"/>
        <v>-497</v>
      </c>
      <c r="J229" s="79">
        <f t="shared" si="131"/>
        <v>-497</v>
      </c>
      <c r="K229" s="140"/>
    </row>
    <row r="230" spans="1:11" ht="14.1" hidden="1" outlineLevel="3" thickBot="1" x14ac:dyDescent="0.5">
      <c r="B230" s="80" t="s">
        <v>181</v>
      </c>
      <c r="C230" s="39">
        <f t="shared" ref="C230:D230" si="132">C224+C225+C226+C228+C229</f>
        <v>10968</v>
      </c>
      <c r="D230" s="39">
        <f t="shared" si="132"/>
        <v>7090</v>
      </c>
      <c r="E230" s="39">
        <f>E224+E225+E226+E228+E229</f>
        <v>7042</v>
      </c>
      <c r="F230" s="81">
        <f>F224+F225+F226+F228+F229</f>
        <v>6542.9736763716664</v>
      </c>
      <c r="G230" s="41">
        <f t="shared" ref="G230:J230" si="133">G224+G225+G226+G228+G229</f>
        <v>7772.7940648087515</v>
      </c>
      <c r="H230" s="41">
        <f t="shared" si="133"/>
        <v>8672.9806252166654</v>
      </c>
      <c r="I230" s="41">
        <f t="shared" si="133"/>
        <v>9213.5393503920532</v>
      </c>
      <c r="J230" s="49">
        <f t="shared" si="133"/>
        <v>9439.0197855738879</v>
      </c>
      <c r="K230" s="140"/>
    </row>
    <row r="231" spans="1:11" ht="14.1" collapsed="1" thickBot="1" x14ac:dyDescent="0.5">
      <c r="B231" s="192"/>
      <c r="C231" s="90"/>
      <c r="D231" s="91"/>
      <c r="E231" s="92"/>
      <c r="F231" s="194"/>
      <c r="G231" s="93"/>
      <c r="H231" s="93"/>
      <c r="I231" s="93"/>
      <c r="J231" s="94"/>
    </row>
    <row r="232" spans="1:11" ht="14.1" thickBot="1" x14ac:dyDescent="0.5">
      <c r="B232" s="145"/>
      <c r="C232" s="97"/>
      <c r="D232" s="97"/>
      <c r="E232" s="97"/>
      <c r="F232" s="97"/>
      <c r="G232" s="97"/>
      <c r="H232" s="97"/>
      <c r="I232" s="97"/>
      <c r="J232" s="97"/>
    </row>
    <row r="233" spans="1:11" ht="14.1" thickBot="1" x14ac:dyDescent="0.5">
      <c r="C233" s="275" t="s">
        <v>11</v>
      </c>
      <c r="D233" s="276"/>
      <c r="E233" s="277"/>
      <c r="F233" s="280" t="s">
        <v>12</v>
      </c>
      <c r="G233" s="278"/>
      <c r="H233" s="278"/>
      <c r="I233" s="278"/>
      <c r="J233" s="279"/>
    </row>
    <row r="234" spans="1:11" x14ac:dyDescent="0.45">
      <c r="B234" s="20" t="s">
        <v>184</v>
      </c>
      <c r="C234" s="21">
        <f>D234-1</f>
        <v>2018</v>
      </c>
      <c r="D234" s="22">
        <f>E234-1</f>
        <v>2019</v>
      </c>
      <c r="E234" s="23">
        <f>YEAR($C$9)</f>
        <v>2020</v>
      </c>
      <c r="F234" s="193">
        <f>E234+1</f>
        <v>2021</v>
      </c>
      <c r="G234" s="24">
        <f>F234+1</f>
        <v>2022</v>
      </c>
      <c r="H234" s="24">
        <f>G234+1</f>
        <v>2023</v>
      </c>
      <c r="I234" s="24">
        <f>H234+1</f>
        <v>2024</v>
      </c>
      <c r="J234" s="65">
        <f>I234+1</f>
        <v>2025</v>
      </c>
    </row>
    <row r="235" spans="1:11" ht="14.4" x14ac:dyDescent="0.55000000000000004">
      <c r="B235" s="235" t="s">
        <v>194</v>
      </c>
      <c r="C235" s="72"/>
      <c r="D235" s="72"/>
      <c r="E235" s="72"/>
      <c r="F235" s="232"/>
      <c r="G235" s="233"/>
      <c r="H235" s="233"/>
      <c r="I235" s="233"/>
      <c r="J235" s="234"/>
    </row>
    <row r="236" spans="1:11" ht="14.4" hidden="1" outlineLevel="3" x14ac:dyDescent="0.55000000000000004">
      <c r="B236" s="87" t="s">
        <v>186</v>
      </c>
      <c r="C236" s="72"/>
      <c r="D236" s="72"/>
      <c r="E236" s="72"/>
      <c r="F236" s="78">
        <f>E82</f>
        <v>14258</v>
      </c>
      <c r="G236" s="102">
        <f t="shared" ref="G236:J236" si="134">F82</f>
        <v>14268.695339135918</v>
      </c>
      <c r="H236" s="102">
        <f t="shared" si="134"/>
        <v>13159.369965442098</v>
      </c>
      <c r="I236" s="102">
        <f t="shared" si="134"/>
        <v>13841.784807194208</v>
      </c>
      <c r="J236" s="79">
        <f t="shared" si="134"/>
        <v>14235.141086668555</v>
      </c>
    </row>
    <row r="237" spans="1:11" ht="14.4" hidden="1" outlineLevel="3" x14ac:dyDescent="0.55000000000000004">
      <c r="B237" s="142" t="s">
        <v>187</v>
      </c>
      <c r="C237" s="72"/>
      <c r="D237" s="72"/>
      <c r="E237" s="72"/>
      <c r="F237" s="78">
        <f>-F238*F19</f>
        <v>-2589.116</v>
      </c>
      <c r="G237" s="102">
        <f t="shared" ref="G237:J237" si="135">-G238*G19</f>
        <v>-2432.0160000000001</v>
      </c>
      <c r="H237" s="102">
        <f t="shared" si="135"/>
        <v>-2229.2760000000003</v>
      </c>
      <c r="I237" s="102">
        <f t="shared" si="135"/>
        <v>-2000</v>
      </c>
      <c r="J237" s="79">
        <f t="shared" si="135"/>
        <v>-1800</v>
      </c>
    </row>
    <row r="238" spans="1:11" ht="14.4" hidden="1" outlineLevel="3" x14ac:dyDescent="0.55000000000000004">
      <c r="B238" s="231" t="s">
        <v>193</v>
      </c>
      <c r="C238" s="72"/>
      <c r="D238" s="72"/>
      <c r="E238" s="72"/>
      <c r="F238" s="256">
        <v>0.04</v>
      </c>
      <c r="G238" s="257">
        <v>0.04</v>
      </c>
      <c r="H238" s="257">
        <v>0.04</v>
      </c>
      <c r="I238" s="257">
        <v>0.04</v>
      </c>
      <c r="J238" s="258">
        <v>0.04</v>
      </c>
    </row>
    <row r="239" spans="1:11" ht="14.4" hidden="1" outlineLevel="3" x14ac:dyDescent="0.55000000000000004">
      <c r="B239" s="142" t="s">
        <v>188</v>
      </c>
      <c r="C239" s="72"/>
      <c r="D239" s="72"/>
      <c r="E239" s="72"/>
      <c r="F239" s="78">
        <f>F149+F155+F158+F159+F160+F161+F163+F164</f>
        <v>10.695339135918402</v>
      </c>
      <c r="G239" s="102">
        <f t="shared" ref="G239:J239" si="136">G149+G155+G158+G159+G160+G161+G163+G164</f>
        <v>890.67462630617956</v>
      </c>
      <c r="H239" s="102">
        <f t="shared" si="136"/>
        <v>682.41484175210962</v>
      </c>
      <c r="I239" s="102">
        <f t="shared" si="136"/>
        <v>393.35627947434568</v>
      </c>
      <c r="J239" s="79">
        <f t="shared" si="136"/>
        <v>0.42201891161926142</v>
      </c>
      <c r="K239" s="140"/>
    </row>
    <row r="240" spans="1:11" ht="14.7" hidden="1" outlineLevel="3" thickBot="1" x14ac:dyDescent="0.6">
      <c r="B240" s="200" t="s">
        <v>189</v>
      </c>
      <c r="C240" s="176"/>
      <c r="D240" s="176"/>
      <c r="E240" s="176"/>
      <c r="F240" s="81">
        <f>F236+F237+F239</f>
        <v>11679.579339135918</v>
      </c>
      <c r="G240" s="41">
        <f t="shared" ref="G240:J240" si="137">G236+G237+G239</f>
        <v>12727.353965442098</v>
      </c>
      <c r="H240" s="41">
        <f t="shared" si="137"/>
        <v>11612.508807194208</v>
      </c>
      <c r="I240" s="41">
        <f t="shared" si="137"/>
        <v>12235.141086668555</v>
      </c>
      <c r="J240" s="49">
        <f t="shared" si="137"/>
        <v>12435.563105580173</v>
      </c>
      <c r="K240" s="140"/>
    </row>
    <row r="241" spans="2:12" ht="14.7" hidden="1" outlineLevel="3" thickTop="1" x14ac:dyDescent="0.55000000000000004">
      <c r="B241" s="142"/>
      <c r="C241" s="72"/>
      <c r="D241" s="72"/>
      <c r="E241" s="72"/>
      <c r="F241" s="78"/>
      <c r="G241" s="102"/>
      <c r="H241" s="102"/>
      <c r="I241" s="102"/>
      <c r="J241" s="79"/>
      <c r="K241" s="140"/>
    </row>
    <row r="242" spans="2:12" ht="14.4" hidden="1" outlineLevel="3" x14ac:dyDescent="0.55000000000000004">
      <c r="B242" s="235" t="s">
        <v>190</v>
      </c>
      <c r="C242" s="72"/>
      <c r="D242" s="72"/>
      <c r="E242" s="72"/>
      <c r="F242" s="78"/>
      <c r="G242" s="102"/>
      <c r="H242" s="102"/>
      <c r="I242" s="102"/>
      <c r="J242" s="79"/>
      <c r="K242" s="224"/>
      <c r="L242" s="97"/>
    </row>
    <row r="243" spans="2:12" ht="14.4" hidden="1" outlineLevel="3" x14ac:dyDescent="0.55000000000000004">
      <c r="B243" s="142" t="s">
        <v>177</v>
      </c>
      <c r="C243" s="72"/>
      <c r="D243" s="72"/>
      <c r="E243" s="72"/>
      <c r="F243" s="78">
        <f>E98</f>
        <v>5000</v>
      </c>
      <c r="G243" s="102">
        <f t="shared" ref="G243:J243" si="138">F98</f>
        <v>5000</v>
      </c>
      <c r="H243" s="102">
        <f t="shared" si="138"/>
        <v>3000</v>
      </c>
      <c r="I243" s="102">
        <f t="shared" si="138"/>
        <v>3000</v>
      </c>
      <c r="J243" s="79">
        <f t="shared" si="138"/>
        <v>3000</v>
      </c>
      <c r="K243" s="224"/>
      <c r="L243" s="97"/>
    </row>
    <row r="244" spans="2:12" ht="14.4" hidden="1" outlineLevel="3" x14ac:dyDescent="0.55000000000000004">
      <c r="B244" s="236" t="s">
        <v>191</v>
      </c>
      <c r="C244" s="72"/>
      <c r="D244" s="72"/>
      <c r="E244" s="72"/>
      <c r="F244" s="78">
        <f>-MIN(F240,F243)</f>
        <v>-5000</v>
      </c>
      <c r="G244" s="102">
        <f t="shared" ref="G244:J244" si="139">-MIN(G240,G243)</f>
        <v>-5000</v>
      </c>
      <c r="H244" s="102">
        <f t="shared" si="139"/>
        <v>-3000</v>
      </c>
      <c r="I244" s="102">
        <f t="shared" si="139"/>
        <v>-3000</v>
      </c>
      <c r="J244" s="79">
        <f t="shared" si="139"/>
        <v>-3000</v>
      </c>
      <c r="K244" s="224"/>
      <c r="L244" s="97"/>
    </row>
    <row r="245" spans="2:12" ht="14.4" hidden="1" outlineLevel="3" x14ac:dyDescent="0.55000000000000004">
      <c r="B245" s="236" t="s">
        <v>192</v>
      </c>
      <c r="C245" s="72"/>
      <c r="D245" s="72"/>
      <c r="E245" s="72"/>
      <c r="F245" s="78">
        <v>5000</v>
      </c>
      <c r="G245" s="102">
        <v>3000</v>
      </c>
      <c r="H245" s="102">
        <v>3000</v>
      </c>
      <c r="I245" s="102">
        <v>3000</v>
      </c>
      <c r="J245" s="79">
        <v>0</v>
      </c>
      <c r="K245" s="224"/>
      <c r="L245" s="97"/>
    </row>
    <row r="246" spans="2:12" ht="14.7" hidden="1" outlineLevel="3" thickBot="1" x14ac:dyDescent="0.6">
      <c r="B246" s="237" t="s">
        <v>181</v>
      </c>
      <c r="C246" s="176"/>
      <c r="D246" s="176"/>
      <c r="E246" s="176"/>
      <c r="F246" s="81">
        <f>SUM(F243:F245)</f>
        <v>5000</v>
      </c>
      <c r="G246" s="41">
        <f t="shared" ref="G246:J246" si="140">SUM(G243:G245)</f>
        <v>3000</v>
      </c>
      <c r="H246" s="41">
        <f t="shared" si="140"/>
        <v>3000</v>
      </c>
      <c r="I246" s="41">
        <f t="shared" si="140"/>
        <v>3000</v>
      </c>
      <c r="J246" s="49">
        <f t="shared" si="140"/>
        <v>0</v>
      </c>
      <c r="K246" s="224"/>
      <c r="L246" s="97"/>
    </row>
    <row r="247" spans="2:12" ht="14.7" collapsed="1" thickBot="1" x14ac:dyDescent="0.6">
      <c r="B247" s="192"/>
      <c r="C247" s="72"/>
      <c r="D247" s="72"/>
      <c r="E247" s="72"/>
      <c r="F247" s="194"/>
      <c r="G247" s="93"/>
      <c r="H247" s="93"/>
      <c r="I247" s="93"/>
      <c r="J247" s="94"/>
    </row>
    <row r="248" spans="2:12" x14ac:dyDescent="0.45">
      <c r="B248" s="145"/>
      <c r="C248" s="97"/>
      <c r="D248" s="97"/>
      <c r="E248" s="97"/>
      <c r="F248" s="97"/>
      <c r="G248" s="97"/>
      <c r="H248" s="97"/>
      <c r="I248" s="97"/>
      <c r="J248" s="97"/>
    </row>
    <row r="249" spans="2:12" ht="14.1" thickBot="1" x14ac:dyDescent="0.5"/>
    <row r="250" spans="2:12" ht="17.100000000000001" customHeight="1" x14ac:dyDescent="0.45">
      <c r="B250" s="20" t="s">
        <v>124</v>
      </c>
      <c r="C250" s="21">
        <f>D250-1</f>
        <v>2018</v>
      </c>
      <c r="D250" s="22">
        <f>E250-1</f>
        <v>2019</v>
      </c>
      <c r="E250" s="23">
        <f>YEAR($C$9)</f>
        <v>2020</v>
      </c>
      <c r="F250" s="193">
        <f>E250+1</f>
        <v>2021</v>
      </c>
      <c r="G250" s="24">
        <f>F250+1</f>
        <v>2022</v>
      </c>
      <c r="H250" s="24">
        <f>G250+1</f>
        <v>2023</v>
      </c>
      <c r="I250" s="24">
        <f>H250+1</f>
        <v>2024</v>
      </c>
      <c r="J250" s="65">
        <f>I250+1</f>
        <v>2025</v>
      </c>
    </row>
    <row r="251" spans="2:12" ht="17.100000000000001" customHeight="1" thickBot="1" x14ac:dyDescent="0.6">
      <c r="B251" s="80" t="s">
        <v>200</v>
      </c>
      <c r="C251" s="240"/>
      <c r="D251" s="195">
        <f>D82</f>
        <v>8176</v>
      </c>
      <c r="E251" s="195">
        <f t="shared" ref="E251:J251" si="141">E82</f>
        <v>14258</v>
      </c>
      <c r="F251" s="197">
        <f t="shared" si="141"/>
        <v>14268.695339135918</v>
      </c>
      <c r="G251" s="198">
        <f t="shared" si="141"/>
        <v>13159.369965442098</v>
      </c>
      <c r="H251" s="198">
        <f t="shared" si="141"/>
        <v>13841.784807194208</v>
      </c>
      <c r="I251" s="198">
        <f t="shared" si="141"/>
        <v>14235.141086668555</v>
      </c>
      <c r="J251" s="199">
        <f t="shared" si="141"/>
        <v>11235.563105580175</v>
      </c>
    </row>
    <row r="252" spans="2:12" ht="15" hidden="1" outlineLevel="3" thickTop="1" thickBot="1" x14ac:dyDescent="0.6">
      <c r="B252" s="80" t="s">
        <v>199</v>
      </c>
      <c r="C252" s="240"/>
      <c r="D252" s="195">
        <f>D48</f>
        <v>527</v>
      </c>
      <c r="E252" s="196">
        <f t="shared" ref="E252:J252" si="142">E48</f>
        <v>375</v>
      </c>
      <c r="F252" s="197">
        <f t="shared" si="142"/>
        <v>375</v>
      </c>
      <c r="G252" s="242">
        <f t="shared" si="142"/>
        <v>375.2812983711579</v>
      </c>
      <c r="H252" s="198">
        <f t="shared" si="142"/>
        <v>346.10490510876605</v>
      </c>
      <c r="I252" s="198">
        <f t="shared" si="142"/>
        <v>364.05311423045504</v>
      </c>
      <c r="J252" s="199">
        <f t="shared" si="142"/>
        <v>374.39878717216357</v>
      </c>
      <c r="K252" s="140"/>
    </row>
    <row r="253" spans="2:12" ht="15" hidden="1" outlineLevel="3" thickTop="1" thickBot="1" x14ac:dyDescent="0.6">
      <c r="B253" s="80" t="s">
        <v>198</v>
      </c>
      <c r="C253" s="240"/>
      <c r="D253" s="195">
        <f>D49</f>
        <v>-3746</v>
      </c>
      <c r="E253" s="196">
        <f t="shared" ref="E253:J253" si="143">E49</f>
        <v>-3283</v>
      </c>
      <c r="F253" s="197">
        <f t="shared" si="143"/>
        <v>-3996.96</v>
      </c>
      <c r="G253" s="198">
        <f t="shared" si="143"/>
        <v>-3996.96</v>
      </c>
      <c r="H253" s="198">
        <f t="shared" si="143"/>
        <v>-3996.96</v>
      </c>
      <c r="I253" s="198">
        <f t="shared" si="143"/>
        <v>-3996.96</v>
      </c>
      <c r="J253" s="199">
        <f t="shared" si="143"/>
        <v>-3996.96</v>
      </c>
      <c r="K253" s="140"/>
    </row>
    <row r="254" spans="2:12" ht="14.7" hidden="1" outlineLevel="3" thickTop="1" x14ac:dyDescent="0.55000000000000004">
      <c r="B254" s="56"/>
      <c r="C254" s="239"/>
      <c r="D254" s="98"/>
      <c r="E254" s="43"/>
      <c r="F254" s="78"/>
      <c r="G254" s="102"/>
      <c r="H254" s="102"/>
      <c r="I254" s="102"/>
      <c r="J254" s="79"/>
      <c r="K254" s="140"/>
    </row>
    <row r="255" spans="2:12" ht="14.4" hidden="1" outlineLevel="3" x14ac:dyDescent="0.55000000000000004">
      <c r="B255" s="235" t="s">
        <v>197</v>
      </c>
      <c r="C255" s="239"/>
      <c r="D255" s="98"/>
      <c r="E255" s="43"/>
      <c r="F255" s="78"/>
      <c r="G255" s="102"/>
      <c r="H255" s="102"/>
      <c r="I255" s="102"/>
      <c r="J255" s="79"/>
      <c r="K255" s="224"/>
      <c r="L255" s="97"/>
    </row>
    <row r="256" spans="2:12" ht="14.4" hidden="1" outlineLevel="3" x14ac:dyDescent="0.55000000000000004">
      <c r="B256" s="142" t="s">
        <v>206</v>
      </c>
      <c r="C256" s="239"/>
      <c r="D256" s="98">
        <f>D106</f>
        <v>9723</v>
      </c>
      <c r="E256" s="43">
        <f t="shared" ref="E256:J256" si="144">E106</f>
        <v>10260</v>
      </c>
      <c r="F256" s="78">
        <f t="shared" si="144"/>
        <v>10260</v>
      </c>
      <c r="G256" s="102">
        <f t="shared" si="144"/>
        <v>10260</v>
      </c>
      <c r="H256" s="102">
        <f t="shared" si="144"/>
        <v>10260</v>
      </c>
      <c r="I256" s="102">
        <f t="shared" si="144"/>
        <v>10260</v>
      </c>
      <c r="J256" s="79">
        <f t="shared" si="144"/>
        <v>10260</v>
      </c>
      <c r="K256" s="224"/>
      <c r="L256" s="97"/>
    </row>
    <row r="257" spans="2:12" ht="14.4" hidden="1" outlineLevel="3" x14ac:dyDescent="0.55000000000000004">
      <c r="B257" s="142" t="s">
        <v>205</v>
      </c>
      <c r="C257" s="239"/>
      <c r="D257" s="98">
        <f>D107</f>
        <v>5472</v>
      </c>
      <c r="E257" s="43">
        <f t="shared" ref="E257:J257" si="145">E107</f>
        <v>6864</v>
      </c>
      <c r="F257" s="78">
        <f t="shared" si="145"/>
        <v>6864</v>
      </c>
      <c r="G257" s="102">
        <f t="shared" si="145"/>
        <v>6864</v>
      </c>
      <c r="H257" s="102">
        <f t="shared" si="145"/>
        <v>6864</v>
      </c>
      <c r="I257" s="102">
        <f t="shared" si="145"/>
        <v>6864</v>
      </c>
      <c r="J257" s="79">
        <f t="shared" si="145"/>
        <v>6864</v>
      </c>
      <c r="K257" s="224"/>
      <c r="L257" s="97"/>
    </row>
    <row r="258" spans="2:12" ht="14.4" hidden="1" outlineLevel="3" x14ac:dyDescent="0.55000000000000004">
      <c r="B258" s="142" t="s">
        <v>204</v>
      </c>
      <c r="C258" s="239"/>
      <c r="D258" s="98">
        <f>D108</f>
        <v>3907</v>
      </c>
      <c r="E258" s="43">
        <f t="shared" ref="E258:J258" si="146">E108</f>
        <v>2744</v>
      </c>
      <c r="F258" s="78">
        <f t="shared" si="146"/>
        <v>2744</v>
      </c>
      <c r="G258" s="102">
        <f t="shared" si="146"/>
        <v>2744</v>
      </c>
      <c r="H258" s="102">
        <f t="shared" si="146"/>
        <v>2744</v>
      </c>
      <c r="I258" s="102">
        <f t="shared" si="146"/>
        <v>2744</v>
      </c>
      <c r="J258" s="79">
        <f t="shared" si="146"/>
        <v>2744</v>
      </c>
      <c r="K258" s="224"/>
      <c r="L258" s="97"/>
    </row>
    <row r="259" spans="2:12" ht="14.4" hidden="1" outlineLevel="3" x14ac:dyDescent="0.55000000000000004">
      <c r="B259" s="142" t="s">
        <v>201</v>
      </c>
      <c r="C259" s="239"/>
      <c r="D259" s="98">
        <f>D104</f>
        <v>12431</v>
      </c>
      <c r="E259" s="43">
        <f>E104</f>
        <v>13440</v>
      </c>
      <c r="F259" s="78">
        <f>F104</f>
        <v>13440</v>
      </c>
      <c r="G259" s="102">
        <f>G104</f>
        <v>13440</v>
      </c>
      <c r="H259" s="102">
        <f t="shared" ref="H259:J259" si="147">H104</f>
        <v>13440</v>
      </c>
      <c r="I259" s="102">
        <f t="shared" si="147"/>
        <v>13440</v>
      </c>
      <c r="J259" s="79">
        <f t="shared" si="147"/>
        <v>13440</v>
      </c>
      <c r="K259" s="224"/>
      <c r="L259" s="97"/>
    </row>
    <row r="260" spans="2:12" ht="14.7" hidden="1" outlineLevel="3" thickBot="1" x14ac:dyDescent="0.6">
      <c r="B260" s="200" t="s">
        <v>207</v>
      </c>
      <c r="C260" s="249"/>
      <c r="D260" s="39">
        <f>SUM(D256:D259)</f>
        <v>31533</v>
      </c>
      <c r="E260" s="40">
        <f t="shared" ref="E260:J260" si="148">SUM(E256:E259)</f>
        <v>33308</v>
      </c>
      <c r="F260" s="41">
        <f t="shared" si="148"/>
        <v>33308</v>
      </c>
      <c r="G260" s="41">
        <f t="shared" si="148"/>
        <v>33308</v>
      </c>
      <c r="H260" s="41">
        <f t="shared" si="148"/>
        <v>33308</v>
      </c>
      <c r="I260" s="41">
        <f t="shared" si="148"/>
        <v>33308</v>
      </c>
      <c r="J260" s="49">
        <f t="shared" si="148"/>
        <v>33308</v>
      </c>
      <c r="K260" s="224"/>
      <c r="L260" s="97"/>
    </row>
    <row r="261" spans="2:12" ht="14.7" hidden="1" outlineLevel="3" thickTop="1" x14ac:dyDescent="0.55000000000000004">
      <c r="B261" s="87" t="s">
        <v>24</v>
      </c>
      <c r="C261" s="239"/>
      <c r="D261" s="98">
        <v>-3746</v>
      </c>
      <c r="E261" s="43">
        <v>-3283</v>
      </c>
      <c r="F261" s="238"/>
      <c r="G261" s="238"/>
      <c r="H261" s="238"/>
      <c r="I261" s="238"/>
      <c r="J261" s="248"/>
      <c r="K261" s="224"/>
      <c r="L261" s="97"/>
    </row>
    <row r="262" spans="2:12" ht="14.4" hidden="1" outlineLevel="3" x14ac:dyDescent="0.55000000000000004">
      <c r="B262" s="87" t="s">
        <v>203</v>
      </c>
      <c r="C262" s="239"/>
      <c r="D262" s="243">
        <f>ABS(D261)/D260</f>
        <v>0.11879618177782006</v>
      </c>
      <c r="E262" s="244">
        <f t="shared" ref="E262" si="149">ABS(E261)/E260</f>
        <v>9.8564909331091632E-2</v>
      </c>
      <c r="F262" s="245">
        <v>0.12</v>
      </c>
      <c r="G262" s="246">
        <v>0.12</v>
      </c>
      <c r="H262" s="246">
        <v>0.12</v>
      </c>
      <c r="I262" s="246">
        <v>0.12</v>
      </c>
      <c r="J262" s="247">
        <v>0.12</v>
      </c>
      <c r="K262" s="224"/>
      <c r="L262" s="97"/>
    </row>
    <row r="263" spans="2:12" ht="14.7" hidden="1" outlineLevel="3" thickBot="1" x14ac:dyDescent="0.6">
      <c r="B263" s="80" t="s">
        <v>24</v>
      </c>
      <c r="C263" s="240"/>
      <c r="D263" s="39">
        <f>D253</f>
        <v>-3746</v>
      </c>
      <c r="E263" s="40">
        <v>-3283</v>
      </c>
      <c r="F263" s="81">
        <f>-F262*AVERAGE(E260:F260)</f>
        <v>-3996.96</v>
      </c>
      <c r="G263" s="41">
        <f t="shared" ref="G263:J263" si="150">-G262*AVERAGE(F260:G260)</f>
        <v>-3996.96</v>
      </c>
      <c r="H263" s="41">
        <f t="shared" si="150"/>
        <v>-3996.96</v>
      </c>
      <c r="I263" s="41">
        <f t="shared" si="150"/>
        <v>-3996.96</v>
      </c>
      <c r="J263" s="49">
        <f t="shared" si="150"/>
        <v>-3996.96</v>
      </c>
      <c r="K263" s="224"/>
      <c r="L263" s="97"/>
    </row>
    <row r="264" spans="2:12" ht="14.7" hidden="1" outlineLevel="3" thickTop="1" x14ac:dyDescent="0.55000000000000004">
      <c r="B264" s="57"/>
      <c r="C264" s="239"/>
      <c r="D264" s="98"/>
      <c r="E264" s="43"/>
      <c r="F264" s="58"/>
      <c r="G264" s="96"/>
      <c r="H264" s="96"/>
      <c r="I264" s="96"/>
      <c r="J264" s="85"/>
      <c r="K264" s="224"/>
      <c r="L264" s="97"/>
    </row>
    <row r="265" spans="2:12" ht="14.4" hidden="1" outlineLevel="3" x14ac:dyDescent="0.55000000000000004">
      <c r="B265" s="235" t="s">
        <v>196</v>
      </c>
      <c r="C265" s="239"/>
      <c r="D265" s="98"/>
      <c r="E265" s="43"/>
      <c r="F265" s="58"/>
      <c r="G265" s="96"/>
      <c r="H265" s="96"/>
      <c r="I265" s="96"/>
      <c r="J265" s="85"/>
      <c r="K265" s="224"/>
      <c r="L265" s="97"/>
    </row>
    <row r="266" spans="2:12" ht="14.4" hidden="1" outlineLevel="3" x14ac:dyDescent="0.55000000000000004">
      <c r="B266" s="87" t="s">
        <v>202</v>
      </c>
      <c r="C266" s="239"/>
      <c r="D266" s="98">
        <f>D82</f>
        <v>8176</v>
      </c>
      <c r="E266" s="43">
        <f>E82</f>
        <v>14258</v>
      </c>
      <c r="F266" s="78">
        <f t="shared" ref="F266:J266" si="151">F82</f>
        <v>14268.695339135918</v>
      </c>
      <c r="G266" s="102">
        <f t="shared" si="151"/>
        <v>13159.369965442098</v>
      </c>
      <c r="H266" s="102">
        <f t="shared" si="151"/>
        <v>13841.784807194208</v>
      </c>
      <c r="I266" s="102">
        <f t="shared" si="151"/>
        <v>14235.141086668555</v>
      </c>
      <c r="J266" s="79">
        <f t="shared" si="151"/>
        <v>11235.563105580175</v>
      </c>
      <c r="K266" s="224"/>
      <c r="L266" s="97"/>
    </row>
    <row r="267" spans="2:12" ht="14.4" hidden="1" outlineLevel="3" x14ac:dyDescent="0.55000000000000004">
      <c r="B267" s="87" t="s">
        <v>23</v>
      </c>
      <c r="C267" s="239"/>
      <c r="D267" s="98">
        <f>D48</f>
        <v>527</v>
      </c>
      <c r="E267" s="43">
        <f t="shared" ref="E267" si="152">E48</f>
        <v>375</v>
      </c>
      <c r="F267" s="72"/>
      <c r="G267" s="72"/>
      <c r="H267" s="72"/>
      <c r="I267" s="72"/>
      <c r="J267" s="72"/>
      <c r="K267" s="224"/>
      <c r="L267" s="97"/>
    </row>
    <row r="268" spans="2:12" ht="14.4" hidden="1" outlineLevel="3" x14ac:dyDescent="0.55000000000000004">
      <c r="B268" s="87" t="s">
        <v>203</v>
      </c>
      <c r="C268" s="239"/>
      <c r="D268" s="228">
        <f>D267/D266</f>
        <v>6.4456947162426614E-2</v>
      </c>
      <c r="E268" s="107">
        <f t="shared" ref="E268" si="153">E267/E266</f>
        <v>2.6301023986533875E-2</v>
      </c>
      <c r="F268" s="250">
        <f>E268</f>
        <v>2.6301023986533875E-2</v>
      </c>
      <c r="G268" s="251">
        <f t="shared" ref="G268:J268" si="154">F268</f>
        <v>2.6301023986533875E-2</v>
      </c>
      <c r="H268" s="251">
        <f t="shared" si="154"/>
        <v>2.6301023986533875E-2</v>
      </c>
      <c r="I268" s="251">
        <f t="shared" si="154"/>
        <v>2.6301023986533875E-2</v>
      </c>
      <c r="J268" s="252">
        <f t="shared" si="154"/>
        <v>2.6301023986533875E-2</v>
      </c>
      <c r="K268" s="224"/>
      <c r="L268" s="97"/>
    </row>
    <row r="269" spans="2:12" ht="14.7" hidden="1" outlineLevel="3" thickBot="1" x14ac:dyDescent="0.6">
      <c r="B269" s="80" t="s">
        <v>23</v>
      </c>
      <c r="C269" s="249"/>
      <c r="D269" s="39">
        <f>D267</f>
        <v>527</v>
      </c>
      <c r="E269" s="40">
        <f>E267</f>
        <v>375</v>
      </c>
      <c r="F269" s="81">
        <f>E266*F268</f>
        <v>375</v>
      </c>
      <c r="G269" s="41">
        <f t="shared" ref="G269:J269" si="155">F266*G268</f>
        <v>375.2812983711579</v>
      </c>
      <c r="H269" s="41">
        <f t="shared" si="155"/>
        <v>346.10490510876605</v>
      </c>
      <c r="I269" s="41">
        <f t="shared" si="155"/>
        <v>364.05311423045504</v>
      </c>
      <c r="J269" s="49">
        <f t="shared" si="155"/>
        <v>374.39878717216357</v>
      </c>
      <c r="K269" s="224"/>
      <c r="L269" s="97"/>
    </row>
    <row r="270" spans="2:12" ht="15" collapsed="1" thickTop="1" thickBot="1" x14ac:dyDescent="0.6">
      <c r="B270" s="192"/>
      <c r="C270" s="241"/>
      <c r="D270" s="91"/>
      <c r="E270" s="92"/>
      <c r="F270" s="194"/>
      <c r="G270" s="93"/>
      <c r="H270" s="93"/>
      <c r="I270" s="93"/>
      <c r="J270" s="94"/>
    </row>
    <row r="273" spans="2:10" ht="14.1" thickBot="1" x14ac:dyDescent="0.5">
      <c r="B273" s="129" t="s">
        <v>220</v>
      </c>
      <c r="C273" s="18"/>
      <c r="F273" s="15"/>
    </row>
    <row r="274" spans="2:10" ht="14.4" thickTop="1" thickBot="1" x14ac:dyDescent="0.5">
      <c r="C274" s="275" t="s">
        <v>11</v>
      </c>
      <c r="D274" s="276"/>
      <c r="E274" s="277"/>
      <c r="F274" s="278" t="s">
        <v>12</v>
      </c>
      <c r="G274" s="278"/>
      <c r="H274" s="278"/>
      <c r="I274" s="278"/>
      <c r="J274" s="279"/>
    </row>
    <row r="275" spans="2:10" x14ac:dyDescent="0.45">
      <c r="B275" s="263" t="s">
        <v>219</v>
      </c>
      <c r="C275" s="21">
        <f>D275-1</f>
        <v>2018</v>
      </c>
      <c r="D275" s="22">
        <f>E275-1</f>
        <v>2019</v>
      </c>
      <c r="E275" s="23">
        <f>YEAR($C$9)</f>
        <v>2020</v>
      </c>
      <c r="F275" s="24">
        <f>E275+1</f>
        <v>2021</v>
      </c>
      <c r="G275" s="24">
        <f>F275+1</f>
        <v>2022</v>
      </c>
      <c r="H275" s="24">
        <f>G275+1</f>
        <v>2023</v>
      </c>
      <c r="I275" s="24">
        <f>H275+1</f>
        <v>2024</v>
      </c>
      <c r="J275" s="65">
        <f>I275+1</f>
        <v>2025</v>
      </c>
    </row>
    <row r="276" spans="2:10" x14ac:dyDescent="0.45">
      <c r="B276" s="264"/>
      <c r="C276" s="268"/>
      <c r="D276" s="98"/>
      <c r="E276" s="43"/>
      <c r="F276" s="233"/>
      <c r="G276" s="233"/>
      <c r="H276" s="233"/>
      <c r="I276" s="233"/>
      <c r="J276" s="234"/>
    </row>
    <row r="277" spans="2:10" x14ac:dyDescent="0.45">
      <c r="B277" s="290" t="s">
        <v>221</v>
      </c>
      <c r="C277" s="268"/>
      <c r="D277" s="98"/>
      <c r="E277" s="43"/>
      <c r="F277" s="102"/>
      <c r="G277" s="102"/>
      <c r="H277" s="102"/>
      <c r="I277" s="102"/>
      <c r="J277" s="79"/>
    </row>
    <row r="278" spans="2:10" x14ac:dyDescent="0.45">
      <c r="B278" s="265" t="s">
        <v>222</v>
      </c>
      <c r="C278" s="268">
        <v>20354</v>
      </c>
      <c r="D278" s="98">
        <v>23343</v>
      </c>
      <c r="E278" s="43">
        <v>27285</v>
      </c>
      <c r="F278" s="102"/>
      <c r="G278" s="102"/>
      <c r="H278" s="102"/>
      <c r="I278" s="102"/>
      <c r="J278" s="79"/>
    </row>
    <row r="279" spans="2:10" x14ac:dyDescent="0.45">
      <c r="B279" s="291" t="s">
        <v>233</v>
      </c>
      <c r="C279" s="268"/>
      <c r="D279" s="104">
        <f>D278/C278-1</f>
        <v>0.14685074186892022</v>
      </c>
      <c r="E279" s="113">
        <f t="shared" ref="E279:J279" si="156">E278/D278-1</f>
        <v>0.1688728955147154</v>
      </c>
      <c r="F279" s="174">
        <f t="shared" si="156"/>
        <v>-1</v>
      </c>
      <c r="G279" s="174" t="e">
        <f t="shared" si="156"/>
        <v>#DIV/0!</v>
      </c>
      <c r="H279" s="174" t="e">
        <f t="shared" si="156"/>
        <v>#DIV/0!</v>
      </c>
      <c r="I279" s="174" t="e">
        <f t="shared" si="156"/>
        <v>#DIV/0!</v>
      </c>
      <c r="J279" s="175" t="e">
        <f t="shared" si="156"/>
        <v>#DIV/0!</v>
      </c>
    </row>
    <row r="280" spans="2:10" x14ac:dyDescent="0.45">
      <c r="B280" s="265" t="s">
        <v>224</v>
      </c>
      <c r="C280" s="268">
        <v>6651</v>
      </c>
      <c r="D280" s="98">
        <v>5948</v>
      </c>
      <c r="E280" s="43">
        <v>4242</v>
      </c>
      <c r="F280" s="257"/>
      <c r="G280" s="257"/>
      <c r="H280" s="257"/>
      <c r="I280" s="257"/>
      <c r="J280" s="258"/>
    </row>
    <row r="281" spans="2:10" x14ac:dyDescent="0.45">
      <c r="B281" s="291" t="s">
        <v>233</v>
      </c>
      <c r="C281" s="268"/>
      <c r="D281" s="104">
        <f>D280/C280-1</f>
        <v>-0.10569839121936553</v>
      </c>
      <c r="E281" s="113">
        <f t="shared" ref="E281:J281" si="157">E280/D280-1</f>
        <v>-0.2868190988567586</v>
      </c>
      <c r="F281" s="174">
        <f t="shared" si="157"/>
        <v>-1</v>
      </c>
      <c r="G281" s="174" t="e">
        <f t="shared" si="157"/>
        <v>#DIV/0!</v>
      </c>
      <c r="H281" s="174" t="e">
        <f t="shared" si="157"/>
        <v>#DIV/0!</v>
      </c>
      <c r="I281" s="174" t="e">
        <f t="shared" si="157"/>
        <v>#DIV/0!</v>
      </c>
      <c r="J281" s="175" t="e">
        <f t="shared" si="157"/>
        <v>#DIV/0!</v>
      </c>
    </row>
    <row r="282" spans="2:10" x14ac:dyDescent="0.45">
      <c r="B282" s="265" t="s">
        <v>225</v>
      </c>
      <c r="C282" s="268">
        <v>454</v>
      </c>
      <c r="D282" s="98">
        <v>282</v>
      </c>
      <c r="E282" s="43">
        <v>225</v>
      </c>
      <c r="F282" s="102"/>
      <c r="G282" s="102"/>
      <c r="H282" s="102"/>
      <c r="I282" s="102"/>
      <c r="J282" s="79"/>
    </row>
    <row r="283" spans="2:10" x14ac:dyDescent="0.45">
      <c r="B283" s="291" t="s">
        <v>233</v>
      </c>
      <c r="C283" s="268"/>
      <c r="D283" s="104">
        <f>D282/C282-1</f>
        <v>-0.37885462555066074</v>
      </c>
      <c r="E283" s="113">
        <f t="shared" ref="E283" si="158">E282/D282-1</f>
        <v>-0.2021276595744681</v>
      </c>
      <c r="F283" s="174">
        <f t="shared" ref="F283" si="159">F282/E282-1</f>
        <v>-1</v>
      </c>
      <c r="G283" s="174" t="e">
        <f t="shared" ref="G283" si="160">G282/F282-1</f>
        <v>#DIV/0!</v>
      </c>
      <c r="H283" s="174" t="e">
        <f t="shared" ref="H283" si="161">H282/G282-1</f>
        <v>#DIV/0!</v>
      </c>
      <c r="I283" s="174" t="e">
        <f t="shared" ref="I283" si="162">I282/H282-1</f>
        <v>#DIV/0!</v>
      </c>
      <c r="J283" s="175" t="e">
        <f t="shared" ref="J283" si="163">J282/I282-1</f>
        <v>#DIV/0!</v>
      </c>
    </row>
    <row r="284" spans="2:10" x14ac:dyDescent="0.45">
      <c r="B284" s="265" t="s">
        <v>226</v>
      </c>
      <c r="C284" s="268">
        <v>474</v>
      </c>
      <c r="D284" s="98">
        <v>432</v>
      </c>
      <c r="E284" s="43">
        <v>326</v>
      </c>
      <c r="F284" s="96"/>
      <c r="G284" s="96"/>
      <c r="H284" s="96"/>
      <c r="I284" s="96"/>
      <c r="J284" s="85"/>
    </row>
    <row r="285" spans="2:10" x14ac:dyDescent="0.45">
      <c r="B285" s="291" t="s">
        <v>233</v>
      </c>
      <c r="C285" s="268"/>
      <c r="D285" s="104">
        <f>D284/C284-1</f>
        <v>-8.8607594936708889E-2</v>
      </c>
      <c r="E285" s="113">
        <f t="shared" ref="E285" si="164">E284/D284-1</f>
        <v>-0.24537037037037035</v>
      </c>
      <c r="F285" s="174">
        <f t="shared" ref="F285" si="165">F284/E284-1</f>
        <v>-1</v>
      </c>
      <c r="G285" s="174" t="e">
        <f t="shared" ref="G285" si="166">G284/F284-1</f>
        <v>#DIV/0!</v>
      </c>
      <c r="H285" s="174" t="e">
        <f t="shared" ref="H285" si="167">H284/G284-1</f>
        <v>#DIV/0!</v>
      </c>
      <c r="I285" s="174" t="e">
        <f t="shared" ref="I285" si="168">I284/H284-1</f>
        <v>#DIV/0!</v>
      </c>
      <c r="J285" s="175" t="e">
        <f t="shared" ref="J285" si="169">J284/I284-1</f>
        <v>#DIV/0!</v>
      </c>
    </row>
    <row r="286" spans="2:10" x14ac:dyDescent="0.45">
      <c r="B286" s="291"/>
      <c r="C286" s="268"/>
      <c r="D286" s="98"/>
      <c r="E286" s="43"/>
      <c r="F286" s="96"/>
      <c r="G286" s="96"/>
      <c r="H286" s="96"/>
      <c r="I286" s="96"/>
      <c r="J286" s="85"/>
    </row>
    <row r="287" spans="2:10" ht="14.1" thickBot="1" x14ac:dyDescent="0.5">
      <c r="B287" s="200" t="s">
        <v>230</v>
      </c>
      <c r="C287" s="38">
        <f>C278+C280+C282+C284</f>
        <v>27933</v>
      </c>
      <c r="D287" s="39">
        <f t="shared" ref="D287:J287" si="170">D278+D280+D282+D284</f>
        <v>30005</v>
      </c>
      <c r="E287" s="40">
        <f t="shared" si="170"/>
        <v>32078</v>
      </c>
      <c r="F287" s="41">
        <f t="shared" si="170"/>
        <v>0</v>
      </c>
      <c r="G287" s="41">
        <f t="shared" si="170"/>
        <v>0</v>
      </c>
      <c r="H287" s="41">
        <f t="shared" si="170"/>
        <v>0</v>
      </c>
      <c r="I287" s="41">
        <f t="shared" si="170"/>
        <v>0</v>
      </c>
      <c r="J287" s="49">
        <f t="shared" si="170"/>
        <v>0</v>
      </c>
    </row>
    <row r="288" spans="2:10" ht="14.1" thickTop="1" x14ac:dyDescent="0.45">
      <c r="B288" s="87"/>
      <c r="C288" s="268"/>
      <c r="D288" s="98"/>
      <c r="E288" s="43"/>
      <c r="F288" s="102"/>
      <c r="G288" s="102"/>
      <c r="H288" s="102"/>
      <c r="I288" s="102"/>
      <c r="J288" s="79"/>
    </row>
    <row r="289" spans="1:10" x14ac:dyDescent="0.45">
      <c r="B289" s="87" t="s">
        <v>223</v>
      </c>
      <c r="C289" s="268"/>
      <c r="D289" s="98"/>
      <c r="E289" s="43"/>
      <c r="F289" s="102"/>
      <c r="G289" s="102"/>
      <c r="H289" s="102"/>
      <c r="I289" s="102"/>
      <c r="J289" s="79"/>
    </row>
    <row r="290" spans="1:10" x14ac:dyDescent="0.45">
      <c r="A290" s="122" t="s">
        <v>97</v>
      </c>
      <c r="B290" s="265" t="s">
        <v>227</v>
      </c>
      <c r="C290" s="268">
        <v>4610</v>
      </c>
      <c r="D290" s="98">
        <v>4257</v>
      </c>
      <c r="E290" s="43">
        <v>4995</v>
      </c>
      <c r="F290" s="102"/>
      <c r="G290" s="102"/>
      <c r="H290" s="102"/>
      <c r="I290" s="102"/>
      <c r="J290" s="79"/>
    </row>
    <row r="291" spans="1:10" x14ac:dyDescent="0.45">
      <c r="B291" s="291" t="s">
        <v>233</v>
      </c>
      <c r="C291" s="268"/>
      <c r="D291" s="104">
        <f>D290/C290-1</f>
        <v>-7.6572668112798281E-2</v>
      </c>
      <c r="E291" s="113">
        <f t="shared" ref="E291" si="171">E290/D290-1</f>
        <v>0.17336152219873147</v>
      </c>
      <c r="F291" s="174"/>
      <c r="G291" s="174"/>
      <c r="H291" s="174"/>
      <c r="I291" s="174"/>
      <c r="J291" s="175"/>
    </row>
    <row r="292" spans="1:10" x14ac:dyDescent="0.45">
      <c r="B292" s="265" t="s">
        <v>228</v>
      </c>
      <c r="C292" s="268">
        <v>2093</v>
      </c>
      <c r="D292" s="98">
        <v>1904</v>
      </c>
      <c r="E292" s="43">
        <v>2175</v>
      </c>
      <c r="F292" s="102"/>
      <c r="G292" s="102"/>
      <c r="H292" s="102"/>
      <c r="I292" s="102"/>
      <c r="J292" s="79"/>
    </row>
    <row r="293" spans="1:10" x14ac:dyDescent="0.45">
      <c r="B293" s="291" t="s">
        <v>233</v>
      </c>
      <c r="C293" s="268"/>
      <c r="D293" s="104">
        <f>D292/C292-1</f>
        <v>-9.0301003344481656E-2</v>
      </c>
      <c r="E293" s="113">
        <f t="shared" ref="E293" si="172">E292/D292-1</f>
        <v>0.14233193277310918</v>
      </c>
      <c r="F293" s="174"/>
      <c r="G293" s="174"/>
      <c r="H293" s="174"/>
      <c r="I293" s="174"/>
      <c r="J293" s="175"/>
    </row>
    <row r="294" spans="1:10" x14ac:dyDescent="0.45">
      <c r="B294" s="291"/>
      <c r="C294" s="268"/>
      <c r="D294" s="98"/>
      <c r="E294" s="43"/>
      <c r="F294" s="102"/>
      <c r="G294" s="102"/>
      <c r="H294" s="102"/>
      <c r="I294" s="102"/>
      <c r="J294" s="79"/>
    </row>
    <row r="295" spans="1:10" ht="14.1" thickBot="1" x14ac:dyDescent="0.5">
      <c r="B295" s="200" t="s">
        <v>231</v>
      </c>
      <c r="C295" s="38">
        <f>C290+C292</f>
        <v>6703</v>
      </c>
      <c r="D295" s="39">
        <f t="shared" ref="D295:J295" si="173">D290+D292</f>
        <v>6161</v>
      </c>
      <c r="E295" s="40">
        <f t="shared" si="173"/>
        <v>7170</v>
      </c>
      <c r="F295" s="41">
        <f t="shared" si="173"/>
        <v>0</v>
      </c>
      <c r="G295" s="41">
        <f t="shared" si="173"/>
        <v>0</v>
      </c>
      <c r="H295" s="41">
        <f t="shared" si="173"/>
        <v>0</v>
      </c>
      <c r="I295" s="41">
        <f t="shared" si="173"/>
        <v>0</v>
      </c>
      <c r="J295" s="49">
        <f t="shared" si="173"/>
        <v>0</v>
      </c>
    </row>
    <row r="296" spans="1:10" ht="14.1" thickTop="1" x14ac:dyDescent="0.45">
      <c r="B296" s="87"/>
      <c r="C296" s="268"/>
      <c r="D296" s="98"/>
      <c r="E296" s="43"/>
      <c r="F296" s="102"/>
      <c r="G296" s="102"/>
      <c r="H296" s="102"/>
      <c r="I296" s="102"/>
      <c r="J296" s="79"/>
    </row>
    <row r="297" spans="1:10" x14ac:dyDescent="0.45">
      <c r="B297" s="87" t="s">
        <v>217</v>
      </c>
      <c r="C297" s="268">
        <v>1643</v>
      </c>
      <c r="D297" s="98">
        <v>1021</v>
      </c>
      <c r="E297" s="43">
        <v>473</v>
      </c>
      <c r="F297" s="102"/>
      <c r="G297" s="102"/>
      <c r="H297" s="102"/>
      <c r="I297" s="102"/>
      <c r="J297" s="79"/>
    </row>
    <row r="298" spans="1:10" x14ac:dyDescent="0.45">
      <c r="B298" s="291" t="s">
        <v>233</v>
      </c>
      <c r="C298" s="268"/>
      <c r="D298" s="104">
        <f>D297/C297-1</f>
        <v>-0.37857577601947656</v>
      </c>
      <c r="E298" s="113">
        <f t="shared" ref="E298" si="174">E297/D297-1</f>
        <v>-0.53672869735553386</v>
      </c>
      <c r="F298" s="174"/>
      <c r="G298" s="174"/>
      <c r="H298" s="174"/>
      <c r="I298" s="174"/>
      <c r="J298" s="175"/>
    </row>
    <row r="299" spans="1:10" x14ac:dyDescent="0.45">
      <c r="B299" s="87" t="s">
        <v>229</v>
      </c>
      <c r="C299" s="268">
        <v>296</v>
      </c>
      <c r="D299" s="98">
        <v>383</v>
      </c>
      <c r="E299" s="43">
        <v>297</v>
      </c>
      <c r="F299" s="102"/>
      <c r="G299" s="102"/>
      <c r="H299" s="102"/>
      <c r="I299" s="102"/>
      <c r="J299" s="79"/>
    </row>
    <row r="300" spans="1:10" x14ac:dyDescent="0.45">
      <c r="B300" s="291" t="s">
        <v>233</v>
      </c>
      <c r="C300" s="268"/>
      <c r="D300" s="104">
        <f>D299/C299-1</f>
        <v>0.29391891891891886</v>
      </c>
      <c r="E300" s="113">
        <f t="shared" ref="E300" si="175">E299/D299-1</f>
        <v>-0.22454308093994779</v>
      </c>
      <c r="F300" s="174"/>
      <c r="G300" s="174"/>
      <c r="H300" s="174"/>
      <c r="I300" s="174"/>
      <c r="J300" s="175"/>
    </row>
    <row r="301" spans="1:10" x14ac:dyDescent="0.45">
      <c r="B301" s="87"/>
      <c r="C301" s="268"/>
      <c r="D301" s="98"/>
      <c r="E301" s="43"/>
      <c r="F301" s="102"/>
      <c r="G301" s="102"/>
      <c r="H301" s="102"/>
      <c r="I301" s="102"/>
      <c r="J301" s="79"/>
    </row>
    <row r="302" spans="1:10" ht="14.1" thickBot="1" x14ac:dyDescent="0.5">
      <c r="B302" s="200" t="s">
        <v>232</v>
      </c>
      <c r="C302" s="38">
        <f>C287+C295+C297+C299</f>
        <v>36575</v>
      </c>
      <c r="D302" s="39">
        <f t="shared" ref="D302:J302" si="176">D287+D295+D297+D299</f>
        <v>37570</v>
      </c>
      <c r="E302" s="40">
        <f t="shared" si="176"/>
        <v>40018</v>
      </c>
      <c r="F302" s="41">
        <f t="shared" si="176"/>
        <v>0</v>
      </c>
      <c r="G302" s="41">
        <f t="shared" si="176"/>
        <v>0</v>
      </c>
      <c r="H302" s="41">
        <f t="shared" si="176"/>
        <v>0</v>
      </c>
      <c r="I302" s="41">
        <f t="shared" si="176"/>
        <v>0</v>
      </c>
      <c r="J302" s="49">
        <f t="shared" si="176"/>
        <v>0</v>
      </c>
    </row>
    <row r="303" spans="1:10" ht="14.1" thickTop="1" x14ac:dyDescent="0.45">
      <c r="B303" s="87"/>
      <c r="C303" s="268"/>
      <c r="D303" s="98"/>
      <c r="E303" s="43"/>
      <c r="F303" s="102"/>
      <c r="G303" s="102"/>
      <c r="H303" s="102"/>
      <c r="I303" s="102"/>
      <c r="J303" s="79"/>
    </row>
    <row r="304" spans="1:10" x14ac:dyDescent="0.45">
      <c r="B304" s="87" t="s">
        <v>234</v>
      </c>
      <c r="C304" s="268"/>
      <c r="D304" s="98"/>
      <c r="E304" s="43"/>
      <c r="F304" s="102"/>
      <c r="G304" s="102"/>
      <c r="H304" s="102"/>
      <c r="I304" s="102"/>
      <c r="J304" s="79"/>
    </row>
    <row r="305" spans="2:10" x14ac:dyDescent="0.45">
      <c r="B305" s="262" t="s">
        <v>222</v>
      </c>
      <c r="C305" s="300">
        <f>C278/C302</f>
        <v>0.55650034176349961</v>
      </c>
      <c r="D305" s="301">
        <f t="shared" ref="D305:J305" si="177">D278/D302</f>
        <v>0.62132020228906037</v>
      </c>
      <c r="E305" s="302">
        <f t="shared" si="177"/>
        <v>0.68181818181818177</v>
      </c>
      <c r="F305" s="298" t="e">
        <f t="shared" si="177"/>
        <v>#DIV/0!</v>
      </c>
      <c r="G305" s="298" t="e">
        <f t="shared" si="177"/>
        <v>#DIV/0!</v>
      </c>
      <c r="H305" s="298" t="e">
        <f t="shared" si="177"/>
        <v>#DIV/0!</v>
      </c>
      <c r="I305" s="298" t="e">
        <f t="shared" si="177"/>
        <v>#DIV/0!</v>
      </c>
      <c r="J305" s="299" t="e">
        <f t="shared" si="177"/>
        <v>#DIV/0!</v>
      </c>
    </row>
    <row r="306" spans="2:10" x14ac:dyDescent="0.45">
      <c r="B306" s="262" t="s">
        <v>224</v>
      </c>
      <c r="C306" s="300">
        <f>C280/C302</f>
        <v>0.18184552289815448</v>
      </c>
      <c r="D306" s="301">
        <f t="shared" ref="D306:J306" si="178">D280/D302</f>
        <v>0.15831780676071333</v>
      </c>
      <c r="E306" s="302">
        <f t="shared" si="178"/>
        <v>0.10600229896546554</v>
      </c>
      <c r="F306" s="298" t="e">
        <f t="shared" si="178"/>
        <v>#DIV/0!</v>
      </c>
      <c r="G306" s="298" t="e">
        <f t="shared" si="178"/>
        <v>#DIV/0!</v>
      </c>
      <c r="H306" s="298" t="e">
        <f t="shared" si="178"/>
        <v>#DIV/0!</v>
      </c>
      <c r="I306" s="298" t="e">
        <f t="shared" si="178"/>
        <v>#DIV/0!</v>
      </c>
      <c r="J306" s="299" t="e">
        <f t="shared" si="178"/>
        <v>#DIV/0!</v>
      </c>
    </row>
    <row r="307" spans="2:10" x14ac:dyDescent="0.45">
      <c r="B307" s="265" t="s">
        <v>225</v>
      </c>
      <c r="C307" s="295">
        <f>C282/C302</f>
        <v>1.241285030758715E-2</v>
      </c>
      <c r="D307" s="296">
        <f t="shared" ref="D307:J307" si="179">D282/D302</f>
        <v>7.505988820867714E-3</v>
      </c>
      <c r="E307" s="297">
        <f t="shared" si="179"/>
        <v>5.6224698885501525E-3</v>
      </c>
      <c r="F307" s="298" t="e">
        <f t="shared" si="179"/>
        <v>#DIV/0!</v>
      </c>
      <c r="G307" s="298" t="e">
        <f t="shared" si="179"/>
        <v>#DIV/0!</v>
      </c>
      <c r="H307" s="298" t="e">
        <f t="shared" si="179"/>
        <v>#DIV/0!</v>
      </c>
      <c r="I307" s="298" t="e">
        <f t="shared" si="179"/>
        <v>#DIV/0!</v>
      </c>
      <c r="J307" s="299" t="e">
        <f t="shared" si="179"/>
        <v>#DIV/0!</v>
      </c>
    </row>
    <row r="308" spans="2:10" x14ac:dyDescent="0.45">
      <c r="B308" s="265" t="s">
        <v>226</v>
      </c>
      <c r="C308" s="295">
        <f>C284/C302</f>
        <v>1.2959671907040327E-2</v>
      </c>
      <c r="D308" s="296">
        <f t="shared" ref="D308:J308" si="180">D284/D302</f>
        <v>1.1498536066010114E-2</v>
      </c>
      <c r="E308" s="297">
        <f t="shared" si="180"/>
        <v>8.1463341496326655E-3</v>
      </c>
      <c r="F308" s="298" t="e">
        <f t="shared" si="180"/>
        <v>#DIV/0!</v>
      </c>
      <c r="G308" s="298" t="e">
        <f t="shared" si="180"/>
        <v>#DIV/0!</v>
      </c>
      <c r="H308" s="298" t="e">
        <f t="shared" si="180"/>
        <v>#DIV/0!</v>
      </c>
      <c r="I308" s="298" t="e">
        <f t="shared" si="180"/>
        <v>#DIV/0!</v>
      </c>
      <c r="J308" s="299" t="e">
        <f t="shared" si="180"/>
        <v>#DIV/0!</v>
      </c>
    </row>
    <row r="309" spans="2:10" x14ac:dyDescent="0.45">
      <c r="B309" s="87"/>
      <c r="C309" s="295"/>
      <c r="D309" s="296"/>
      <c r="E309" s="297"/>
      <c r="F309" s="298"/>
      <c r="G309" s="298"/>
      <c r="H309" s="298"/>
      <c r="I309" s="298"/>
      <c r="J309" s="299"/>
    </row>
    <row r="310" spans="2:10" x14ac:dyDescent="0.45">
      <c r="B310" s="262" t="s">
        <v>227</v>
      </c>
      <c r="C310" s="300">
        <f>C290/C302</f>
        <v>0.12604237867395762</v>
      </c>
      <c r="D310" s="301">
        <f t="shared" ref="D310:J310" si="181">D290/D302</f>
        <v>0.11330849081714134</v>
      </c>
      <c r="E310" s="302">
        <f t="shared" si="181"/>
        <v>0.12481883152581338</v>
      </c>
      <c r="F310" s="298" t="e">
        <f t="shared" si="181"/>
        <v>#DIV/0!</v>
      </c>
      <c r="G310" s="298" t="e">
        <f t="shared" si="181"/>
        <v>#DIV/0!</v>
      </c>
      <c r="H310" s="298" t="e">
        <f t="shared" si="181"/>
        <v>#DIV/0!</v>
      </c>
      <c r="I310" s="298" t="e">
        <f t="shared" si="181"/>
        <v>#DIV/0!</v>
      </c>
      <c r="J310" s="299" t="e">
        <f t="shared" si="181"/>
        <v>#DIV/0!</v>
      </c>
    </row>
    <row r="311" spans="2:10" x14ac:dyDescent="0.45">
      <c r="B311" s="303" t="s">
        <v>228</v>
      </c>
      <c r="C311" s="304">
        <f>C292/C302</f>
        <v>5.7224880382775123E-2</v>
      </c>
      <c r="D311" s="305">
        <f t="shared" ref="D311:J311" si="182">D292/D302</f>
        <v>5.0678733031674209E-2</v>
      </c>
      <c r="E311" s="306">
        <f t="shared" si="182"/>
        <v>5.4350542255984804E-2</v>
      </c>
      <c r="F311" s="298" t="e">
        <f t="shared" si="182"/>
        <v>#DIV/0!</v>
      </c>
      <c r="G311" s="298" t="e">
        <f t="shared" si="182"/>
        <v>#DIV/0!</v>
      </c>
      <c r="H311" s="298" t="e">
        <f t="shared" si="182"/>
        <v>#DIV/0!</v>
      </c>
      <c r="I311" s="298" t="e">
        <f t="shared" si="182"/>
        <v>#DIV/0!</v>
      </c>
      <c r="J311" s="299" t="e">
        <f t="shared" si="182"/>
        <v>#DIV/0!</v>
      </c>
    </row>
    <row r="312" spans="2:10" x14ac:dyDescent="0.45">
      <c r="B312" s="87"/>
      <c r="C312" s="295"/>
      <c r="D312" s="296"/>
      <c r="E312" s="297"/>
      <c r="F312" s="298"/>
      <c r="G312" s="298"/>
      <c r="H312" s="298"/>
      <c r="I312" s="298"/>
      <c r="J312" s="299"/>
    </row>
    <row r="313" spans="2:10" x14ac:dyDescent="0.45">
      <c r="B313" s="303" t="s">
        <v>217</v>
      </c>
      <c r="C313" s="295">
        <f>C297/C302</f>
        <v>4.4921394395078605E-2</v>
      </c>
      <c r="D313" s="296">
        <f t="shared" ref="D313:J313" si="183">D297/D302</f>
        <v>2.7175938248602607E-2</v>
      </c>
      <c r="E313" s="297">
        <f t="shared" si="183"/>
        <v>1.1819681143485432E-2</v>
      </c>
      <c r="F313" s="298" t="e">
        <f t="shared" si="183"/>
        <v>#DIV/0!</v>
      </c>
      <c r="G313" s="298" t="e">
        <f t="shared" si="183"/>
        <v>#DIV/0!</v>
      </c>
      <c r="H313" s="298" t="e">
        <f t="shared" si="183"/>
        <v>#DIV/0!</v>
      </c>
      <c r="I313" s="298" t="e">
        <f t="shared" si="183"/>
        <v>#DIV/0!</v>
      </c>
      <c r="J313" s="299" t="e">
        <f t="shared" si="183"/>
        <v>#DIV/0!</v>
      </c>
    </row>
    <row r="314" spans="2:10" x14ac:dyDescent="0.45">
      <c r="B314" s="265" t="s">
        <v>229</v>
      </c>
      <c r="C314" s="295">
        <f>C299/C302</f>
        <v>8.0929596719070407E-3</v>
      </c>
      <c r="D314" s="296">
        <f t="shared" ref="D314:J314" si="184">D299/D302</f>
        <v>1.0194303965930263E-2</v>
      </c>
      <c r="E314" s="297">
        <f t="shared" si="184"/>
        <v>7.4216602528862016E-3</v>
      </c>
      <c r="F314" s="298" t="e">
        <f t="shared" si="184"/>
        <v>#DIV/0!</v>
      </c>
      <c r="G314" s="298" t="e">
        <f t="shared" si="184"/>
        <v>#DIV/0!</v>
      </c>
      <c r="H314" s="298" t="e">
        <f t="shared" si="184"/>
        <v>#DIV/0!</v>
      </c>
      <c r="I314" s="298" t="e">
        <f t="shared" si="184"/>
        <v>#DIV/0!</v>
      </c>
      <c r="J314" s="299" t="e">
        <f t="shared" si="184"/>
        <v>#DIV/0!</v>
      </c>
    </row>
    <row r="315" spans="2:10" x14ac:dyDescent="0.45">
      <c r="B315" s="266"/>
      <c r="C315" s="268"/>
      <c r="D315" s="98"/>
      <c r="E315" s="43"/>
      <c r="F315" s="102"/>
      <c r="G315" s="102"/>
      <c r="H315" s="102"/>
      <c r="I315" s="102"/>
      <c r="J315" s="79"/>
    </row>
    <row r="316" spans="2:10" x14ac:dyDescent="0.45">
      <c r="B316" s="262" t="s">
        <v>218</v>
      </c>
      <c r="C316" s="292">
        <f>SUM(C305:C314)</f>
        <v>0.99999999999999978</v>
      </c>
      <c r="D316" s="293">
        <f t="shared" ref="D316:J316" si="185">SUM(D305:D314)</f>
        <v>1</v>
      </c>
      <c r="E316" s="294">
        <f t="shared" si="185"/>
        <v>0.99999999999999989</v>
      </c>
      <c r="F316" s="307" t="e">
        <f t="shared" si="185"/>
        <v>#DIV/0!</v>
      </c>
      <c r="G316" s="307" t="e">
        <f t="shared" si="185"/>
        <v>#DIV/0!</v>
      </c>
      <c r="H316" s="307" t="e">
        <f t="shared" si="185"/>
        <v>#DIV/0!</v>
      </c>
      <c r="I316" s="307" t="e">
        <f t="shared" si="185"/>
        <v>#DIV/0!</v>
      </c>
      <c r="J316" s="308" t="e">
        <f t="shared" si="185"/>
        <v>#DIV/0!</v>
      </c>
    </row>
    <row r="317" spans="2:10" ht="14.1" thickBot="1" x14ac:dyDescent="0.5">
      <c r="B317" s="267"/>
      <c r="C317" s="90"/>
      <c r="D317" s="91"/>
      <c r="E317" s="92"/>
      <c r="F317" s="93"/>
      <c r="G317" s="93"/>
      <c r="H317" s="93"/>
      <c r="I317" s="93"/>
      <c r="J317" s="94"/>
    </row>
    <row r="320" spans="2:10" ht="14.1" thickBot="1" x14ac:dyDescent="0.5">
      <c r="B320" s="129" t="s">
        <v>210</v>
      </c>
      <c r="C320" s="18"/>
      <c r="F320" s="15"/>
    </row>
    <row r="321" spans="2:10" ht="14.4" thickTop="1" thickBot="1" x14ac:dyDescent="0.5">
      <c r="C321" s="275" t="s">
        <v>11</v>
      </c>
      <c r="D321" s="276"/>
      <c r="E321" s="277"/>
      <c r="F321" s="278" t="s">
        <v>12</v>
      </c>
      <c r="G321" s="278"/>
      <c r="H321" s="278"/>
      <c r="I321" s="278"/>
      <c r="J321" s="279"/>
    </row>
    <row r="322" spans="2:10" x14ac:dyDescent="0.45">
      <c r="B322" s="263" t="s">
        <v>209</v>
      </c>
      <c r="C322" s="21">
        <f>D322-1</f>
        <v>2018</v>
      </c>
      <c r="D322" s="22">
        <f>E322-1</f>
        <v>2019</v>
      </c>
      <c r="E322" s="23">
        <f>YEAR($C$9)</f>
        <v>2020</v>
      </c>
      <c r="F322" s="24">
        <f>E322+1</f>
        <v>2021</v>
      </c>
      <c r="G322" s="24">
        <f>F322+1</f>
        <v>2022</v>
      </c>
      <c r="H322" s="24">
        <f>G322+1</f>
        <v>2023</v>
      </c>
      <c r="I322" s="24">
        <f>H322+1</f>
        <v>2024</v>
      </c>
      <c r="J322" s="65">
        <f>I322+1</f>
        <v>2025</v>
      </c>
    </row>
    <row r="323" spans="2:10" x14ac:dyDescent="0.45">
      <c r="B323" s="264" t="s">
        <v>211</v>
      </c>
      <c r="C323" s="268"/>
      <c r="D323" s="98"/>
      <c r="E323" s="43"/>
      <c r="F323" s="233"/>
      <c r="G323" s="233"/>
      <c r="H323" s="233"/>
      <c r="I323" s="233"/>
      <c r="J323" s="234"/>
    </row>
    <row r="324" spans="2:10" x14ac:dyDescent="0.45">
      <c r="B324" s="273" t="str">
        <f>C11</f>
        <v>Base</v>
      </c>
      <c r="C324" s="268"/>
      <c r="D324" s="98"/>
      <c r="E324" s="43"/>
      <c r="F324" s="102"/>
      <c r="G324" s="102"/>
      <c r="H324" s="102"/>
      <c r="I324" s="102"/>
      <c r="J324" s="79"/>
    </row>
    <row r="325" spans="2:10" x14ac:dyDescent="0.45">
      <c r="B325" s="265"/>
      <c r="C325" s="268"/>
      <c r="D325" s="98"/>
      <c r="E325" s="43"/>
      <c r="F325" s="102"/>
      <c r="G325" s="102"/>
      <c r="H325" s="102"/>
      <c r="I325" s="102"/>
      <c r="J325" s="79"/>
    </row>
    <row r="326" spans="2:10" x14ac:dyDescent="0.45">
      <c r="B326" s="87" t="s">
        <v>214</v>
      </c>
      <c r="C326" s="268"/>
      <c r="D326" s="98"/>
      <c r="E326" s="43"/>
      <c r="F326" s="257"/>
      <c r="G326" s="257"/>
      <c r="H326" s="257"/>
      <c r="I326" s="257"/>
      <c r="J326" s="258"/>
    </row>
    <row r="327" spans="2:10" x14ac:dyDescent="0.45">
      <c r="B327" s="87" t="s">
        <v>215</v>
      </c>
      <c r="C327" s="268"/>
      <c r="D327" s="98"/>
      <c r="E327" s="43"/>
      <c r="F327" s="102"/>
      <c r="G327" s="102"/>
      <c r="H327" s="102"/>
      <c r="I327" s="102"/>
      <c r="J327" s="79"/>
    </row>
    <row r="328" spans="2:10" x14ac:dyDescent="0.45">
      <c r="B328" s="87" t="s">
        <v>111</v>
      </c>
      <c r="C328" s="268"/>
      <c r="D328" s="98"/>
      <c r="E328" s="43"/>
      <c r="F328" s="96"/>
      <c r="G328" s="96"/>
      <c r="H328" s="96"/>
      <c r="I328" s="96"/>
      <c r="J328" s="85"/>
    </row>
    <row r="329" spans="2:10" x14ac:dyDescent="0.45">
      <c r="B329" s="87" t="s">
        <v>90</v>
      </c>
      <c r="C329" s="268"/>
      <c r="D329" s="98"/>
      <c r="E329" s="43"/>
      <c r="F329" s="102"/>
      <c r="G329" s="102"/>
      <c r="H329" s="102"/>
      <c r="I329" s="102"/>
      <c r="J329" s="79"/>
    </row>
    <row r="330" spans="2:10" x14ac:dyDescent="0.45">
      <c r="B330" s="87" t="s">
        <v>216</v>
      </c>
      <c r="C330" s="268"/>
      <c r="D330" s="98"/>
      <c r="E330" s="43"/>
      <c r="F330" s="102"/>
      <c r="G330" s="102"/>
      <c r="H330" s="102"/>
      <c r="I330" s="102"/>
      <c r="J330" s="79"/>
    </row>
    <row r="331" spans="2:10" x14ac:dyDescent="0.45">
      <c r="B331" s="265"/>
      <c r="C331" s="268"/>
      <c r="D331" s="98"/>
      <c r="E331" s="43"/>
      <c r="F331" s="102"/>
      <c r="G331" s="102"/>
      <c r="H331" s="102"/>
      <c r="I331" s="102"/>
      <c r="J331" s="79"/>
    </row>
    <row r="332" spans="2:10" x14ac:dyDescent="0.45">
      <c r="B332" s="266"/>
      <c r="C332" s="268"/>
      <c r="D332" s="98"/>
      <c r="E332" s="43"/>
      <c r="F332" s="102"/>
      <c r="G332" s="102"/>
      <c r="H332" s="102"/>
      <c r="I332" s="102"/>
      <c r="J332" s="79"/>
    </row>
    <row r="333" spans="2:10" x14ac:dyDescent="0.45">
      <c r="B333" s="266"/>
      <c r="C333" s="268"/>
      <c r="D333" s="98"/>
      <c r="E333" s="43"/>
      <c r="F333" s="102"/>
      <c r="G333" s="102"/>
      <c r="H333" s="102"/>
      <c r="I333" s="102"/>
      <c r="J333" s="79"/>
    </row>
    <row r="334" spans="2:10" x14ac:dyDescent="0.45">
      <c r="B334" s="262"/>
      <c r="C334" s="268"/>
      <c r="D334" s="98"/>
      <c r="E334" s="43"/>
      <c r="F334" s="96"/>
      <c r="G334" s="96"/>
      <c r="H334" s="96"/>
      <c r="I334" s="96"/>
      <c r="J334" s="85"/>
    </row>
    <row r="335" spans="2:10" ht="14.1" thickBot="1" x14ac:dyDescent="0.5">
      <c r="B335" s="267"/>
      <c r="C335" s="90"/>
      <c r="D335" s="91"/>
      <c r="E335" s="92"/>
      <c r="F335" s="93"/>
      <c r="G335" s="93"/>
      <c r="H335" s="93"/>
      <c r="I335" s="93"/>
      <c r="J335" s="94"/>
    </row>
  </sheetData>
  <mergeCells count="22">
    <mergeCell ref="K16:K17"/>
    <mergeCell ref="K78:K80"/>
    <mergeCell ref="K125:K127"/>
    <mergeCell ref="I5:J5"/>
    <mergeCell ref="I6:J6"/>
    <mergeCell ref="I7:J7"/>
    <mergeCell ref="I8:J8"/>
    <mergeCell ref="I9:J9"/>
    <mergeCell ref="C321:E321"/>
    <mergeCell ref="F321:J321"/>
    <mergeCell ref="C15:E15"/>
    <mergeCell ref="F15:J15"/>
    <mergeCell ref="C222:E222"/>
    <mergeCell ref="F222:J222"/>
    <mergeCell ref="C233:E233"/>
    <mergeCell ref="F233:J233"/>
    <mergeCell ref="C172:E172"/>
    <mergeCell ref="F172:J172"/>
    <mergeCell ref="C195:E195"/>
    <mergeCell ref="F195:J195"/>
    <mergeCell ref="C274:E274"/>
    <mergeCell ref="F274:J274"/>
  </mergeCells>
  <dataValidations count="2">
    <dataValidation type="list" allowBlank="1" showInputMessage="1" showErrorMessage="1" sqref="B3" xr:uid="{FBE4D15A-8FB7-4F95-B265-31FDCE117460}">
      <formula1>"$ bns except per share, $ mm except per share,$ in thousands except per share"</formula1>
    </dataValidation>
    <dataValidation type="list" allowBlank="1" showInputMessage="1" showErrorMessage="1" sqref="C11" xr:uid="{A0418B72-CAAE-43EA-83CB-A83C3345A3EF}">
      <formula1>"Weak,Base,Best"</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iconSet" priority="3" id="{A9D3F645-4CBE-450A-932B-E637D407154E}">
            <x14:iconSet custom="1">
              <x14:cfvo type="percent">
                <xm:f>0</xm:f>
              </x14:cfvo>
              <x14:cfvo type="num">
                <xm:f>0</xm:f>
              </x14:cfvo>
              <x14:cfvo type="num" gte="0">
                <xm:f>9.9999999999999995E-7</xm:f>
              </x14:cfvo>
              <x14:cfIcon iconSet="3Symbols2" iconId="0"/>
              <x14:cfIcon iconSet="3Symbols2" iconId="2"/>
              <x14:cfIcon iconSet="3Symbols2" iconId="0"/>
            </x14:iconSet>
          </x14:cfRule>
          <xm:sqref>D111:J111</xm:sqref>
        </x14:conditionalFormatting>
        <x14:conditionalFormatting xmlns:xm="http://schemas.microsoft.com/office/excel/2006/main">
          <x14:cfRule type="iconSet" priority="2" id="{7455856E-1DD7-4216-96F1-17BDC7D6B6C1}">
            <x14:iconSet custom="1">
              <x14:cfvo type="percent">
                <xm:f>0</xm:f>
              </x14:cfvo>
              <x14:cfvo type="num" gte="0">
                <xm:f>-1E-4</xm:f>
              </x14:cfvo>
              <x14:cfvo type="num" gte="0">
                <xm:f>1E-4</xm:f>
              </x14:cfvo>
              <x14:cfIcon iconSet="3Symbols2" iconId="0"/>
              <x14:cfIcon iconSet="3Symbols2" iconId="2"/>
              <x14:cfIcon iconSet="3Symbols2" iconId="0"/>
            </x14:iconSet>
          </x14:cfRule>
          <xm:sqref>D122:J122</xm:sqref>
        </x14:conditionalFormatting>
        <x14:conditionalFormatting xmlns:xm="http://schemas.microsoft.com/office/excel/2006/main">
          <x14:cfRule type="iconSet" priority="1" id="{40636358-99B5-4448-A2AE-77B7A1FB9027}">
            <x14:iconSet custom="1">
              <x14:cfvo type="percent">
                <xm:f>0</xm:f>
              </x14:cfvo>
              <x14:cfvo type="num" gte="0">
                <xm:f>-1E-4</xm:f>
              </x14:cfvo>
              <x14:cfvo type="num" gte="0">
                <xm:f>1E-4</xm:f>
              </x14:cfvo>
              <x14:cfIcon iconSet="3Symbols2" iconId="0"/>
              <x14:cfIcon iconSet="3Symbols2" iconId="2"/>
              <x14:cfIcon iconSet="3Symbols2" iconId="0"/>
            </x14:iconSet>
          </x14:cfRule>
          <xm:sqref>B123:B124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9F5C-B64A-4075-9441-E97C49CEFC6F}">
  <dimension ref="A1:R907"/>
  <sheetViews>
    <sheetView tabSelected="1" workbookViewId="0">
      <selection activeCell="A143" sqref="A143"/>
    </sheetView>
  </sheetViews>
  <sheetFormatPr defaultRowHeight="14.4" outlineLevelRow="1" x14ac:dyDescent="0.55000000000000004"/>
  <cols>
    <col min="2" max="2" width="30.05078125" bestFit="1" customWidth="1"/>
    <col min="3" max="3" width="7.20703125" bestFit="1" customWidth="1"/>
  </cols>
  <sheetData>
    <row r="1" spans="1:18" s="1" customFormat="1" ht="13.8" x14ac:dyDescent="0.45">
      <c r="A1" s="122"/>
      <c r="C1" s="2"/>
      <c r="D1" s="2"/>
      <c r="E1" s="2"/>
      <c r="F1" s="2"/>
      <c r="G1" s="2"/>
      <c r="H1" s="2"/>
      <c r="I1" s="2"/>
      <c r="J1" s="2"/>
      <c r="K1" s="2"/>
      <c r="L1" s="2"/>
      <c r="M1" s="145"/>
      <c r="N1" s="145"/>
      <c r="O1" s="145"/>
      <c r="P1" s="145"/>
      <c r="Q1" s="145"/>
      <c r="R1" s="145"/>
    </row>
    <row r="2" spans="1:18" s="1" customFormat="1" ht="14.1" thickBot="1" x14ac:dyDescent="0.5">
      <c r="A2" s="122"/>
      <c r="B2" s="129" t="s">
        <v>240</v>
      </c>
      <c r="C2" s="18"/>
      <c r="D2" s="2"/>
      <c r="E2" s="2"/>
      <c r="F2" s="2"/>
      <c r="G2" s="15"/>
      <c r="H2" s="2"/>
      <c r="I2" s="2"/>
      <c r="J2" s="2"/>
      <c r="K2" s="2"/>
      <c r="L2" s="2"/>
      <c r="M2" s="145"/>
      <c r="N2" s="145"/>
      <c r="O2" s="145"/>
      <c r="P2" s="145"/>
      <c r="Q2" s="145"/>
      <c r="R2" s="145"/>
    </row>
    <row r="3" spans="1:18" s="1" customFormat="1" ht="15" thickTop="1" thickBot="1" x14ac:dyDescent="0.6">
      <c r="A3" s="122"/>
      <c r="C3" s="275" t="s">
        <v>11</v>
      </c>
      <c r="D3" s="276"/>
      <c r="E3" s="276"/>
      <c r="F3" s="277"/>
      <c r="G3" s="278" t="s">
        <v>12</v>
      </c>
      <c r="H3" s="278"/>
      <c r="I3" s="278"/>
      <c r="J3" s="278"/>
      <c r="K3" s="279"/>
      <c r="L3" s="2"/>
      <c r="M3" s="313" t="s">
        <v>259</v>
      </c>
      <c r="N3" s="145"/>
      <c r="O3" s="145"/>
      <c r="P3" s="145"/>
      <c r="Q3" s="145"/>
      <c r="R3" s="145"/>
    </row>
    <row r="4" spans="1:18" s="1" customFormat="1" x14ac:dyDescent="0.55000000000000004">
      <c r="A4" s="122"/>
      <c r="B4" s="263" t="s">
        <v>219</v>
      </c>
      <c r="C4" s="21">
        <v>2018</v>
      </c>
      <c r="D4" s="22">
        <v>2019</v>
      </c>
      <c r="E4" s="23">
        <v>2020</v>
      </c>
      <c r="F4" s="23" t="s">
        <v>275</v>
      </c>
      <c r="G4" s="24">
        <v>2021</v>
      </c>
      <c r="H4" s="24">
        <v>2022</v>
      </c>
      <c r="I4" s="24">
        <v>2023</v>
      </c>
      <c r="J4" s="24">
        <v>2024</v>
      </c>
      <c r="K4" s="65">
        <v>2025</v>
      </c>
      <c r="L4" s="2"/>
      <c r="M4" s="313" t="s">
        <v>260</v>
      </c>
      <c r="N4" s="145"/>
      <c r="O4" s="145"/>
      <c r="P4" s="145"/>
      <c r="Q4" s="145"/>
      <c r="R4" s="145"/>
    </row>
    <row r="5" spans="1:18" s="1" customFormat="1" ht="13.8" hidden="1" outlineLevel="1" x14ac:dyDescent="0.45">
      <c r="A5" s="122"/>
      <c r="B5" s="264"/>
      <c r="C5" s="268"/>
      <c r="D5" s="98"/>
      <c r="E5" s="43"/>
      <c r="F5" s="43"/>
      <c r="G5" s="233"/>
      <c r="H5" s="233"/>
      <c r="I5" s="233"/>
      <c r="J5" s="233"/>
      <c r="K5" s="234"/>
      <c r="L5" s="2"/>
      <c r="M5" s="145"/>
      <c r="N5" s="145"/>
      <c r="O5" s="145"/>
      <c r="P5" s="145"/>
      <c r="Q5" s="145"/>
      <c r="R5" s="145"/>
    </row>
    <row r="6" spans="1:18" s="1" customFormat="1" ht="13.8" hidden="1" outlineLevel="1" x14ac:dyDescent="0.45">
      <c r="A6" s="122"/>
      <c r="B6" s="290" t="s">
        <v>221</v>
      </c>
      <c r="C6" s="268"/>
      <c r="D6" s="98"/>
      <c r="E6" s="43"/>
      <c r="F6" s="43"/>
      <c r="G6" s="102"/>
      <c r="H6" s="102"/>
      <c r="I6" s="102"/>
      <c r="J6" s="102"/>
      <c r="K6" s="79"/>
      <c r="L6" s="2"/>
      <c r="M6" s="145"/>
      <c r="N6" s="145"/>
      <c r="O6" s="145"/>
      <c r="P6" s="145"/>
      <c r="Q6" s="145"/>
      <c r="R6" s="145"/>
    </row>
    <row r="7" spans="1:18" s="1" customFormat="1" ht="13.8" hidden="1" outlineLevel="1" x14ac:dyDescent="0.45">
      <c r="A7" s="122"/>
      <c r="B7" s="265" t="s">
        <v>222</v>
      </c>
      <c r="C7" s="268">
        <v>20354</v>
      </c>
      <c r="D7" s="98">
        <v>23343</v>
      </c>
      <c r="E7" s="43">
        <v>27285</v>
      </c>
      <c r="F7" s="111">
        <f>E7/$E$31</f>
        <v>0.68181818181818177</v>
      </c>
      <c r="G7" s="102"/>
      <c r="H7" s="102"/>
      <c r="I7" s="102"/>
      <c r="J7" s="102"/>
      <c r="K7" s="79"/>
      <c r="L7" s="2"/>
      <c r="M7" s="145"/>
      <c r="N7" s="145"/>
      <c r="O7" s="145"/>
      <c r="P7" s="145"/>
      <c r="Q7" s="145"/>
      <c r="R7" s="145"/>
    </row>
    <row r="8" spans="1:18" s="1" customFormat="1" ht="13.8" hidden="1" outlineLevel="1" x14ac:dyDescent="0.45">
      <c r="A8" s="122"/>
      <c r="B8" s="291" t="s">
        <v>233</v>
      </c>
      <c r="C8" s="268"/>
      <c r="D8" s="104">
        <f>D7/C7-1</f>
        <v>0.14685074186892022</v>
      </c>
      <c r="E8" s="113">
        <f>E7/D7-1</f>
        <v>0.1688728955147154</v>
      </c>
      <c r="F8" s="113"/>
      <c r="G8" s="174"/>
      <c r="H8" s="174"/>
      <c r="I8" s="174"/>
      <c r="J8" s="174"/>
      <c r="K8" s="175"/>
      <c r="L8" s="2"/>
      <c r="M8" s="145"/>
      <c r="N8" s="145"/>
      <c r="O8" s="145"/>
      <c r="P8" s="145"/>
      <c r="Q8" s="145"/>
      <c r="R8" s="145"/>
    </row>
    <row r="9" spans="1:18" s="1" customFormat="1" ht="13.8" hidden="1" outlineLevel="1" x14ac:dyDescent="0.45">
      <c r="A9" s="122"/>
      <c r="B9" s="265" t="s">
        <v>224</v>
      </c>
      <c r="C9" s="268">
        <v>6651</v>
      </c>
      <c r="D9" s="98">
        <v>5948</v>
      </c>
      <c r="E9" s="43">
        <v>4242</v>
      </c>
      <c r="F9" s="111">
        <f>E9/$E$31</f>
        <v>0.10600229896546554</v>
      </c>
      <c r="G9" s="257"/>
      <c r="H9" s="257"/>
      <c r="I9" s="257"/>
      <c r="J9" s="257"/>
      <c r="K9" s="258"/>
      <c r="L9" s="2"/>
      <c r="M9" s="145"/>
      <c r="N9" s="145"/>
      <c r="O9" s="145"/>
      <c r="P9" s="145"/>
      <c r="Q9" s="145"/>
      <c r="R9" s="145"/>
    </row>
    <row r="10" spans="1:18" s="1" customFormat="1" ht="13.8" hidden="1" outlineLevel="1" x14ac:dyDescent="0.45">
      <c r="A10" s="122"/>
      <c r="B10" s="291" t="s">
        <v>233</v>
      </c>
      <c r="C10" s="268"/>
      <c r="D10" s="104">
        <f>D9/C9-1</f>
        <v>-0.10569839121936553</v>
      </c>
      <c r="E10" s="113">
        <f>E9/D9-1</f>
        <v>-0.2868190988567586</v>
      </c>
      <c r="F10" s="113"/>
      <c r="G10" s="174"/>
      <c r="H10" s="174"/>
      <c r="I10" s="174"/>
      <c r="J10" s="174"/>
      <c r="K10" s="175"/>
      <c r="L10" s="2"/>
      <c r="M10" s="145"/>
      <c r="N10" s="145"/>
      <c r="O10" s="145"/>
      <c r="P10" s="145"/>
      <c r="Q10" s="145"/>
      <c r="R10" s="145"/>
    </row>
    <row r="11" spans="1:18" s="1" customFormat="1" ht="13.8" hidden="1" outlineLevel="1" x14ac:dyDescent="0.45">
      <c r="A11" s="122"/>
      <c r="B11" s="265" t="s">
        <v>225</v>
      </c>
      <c r="C11" s="268">
        <v>454</v>
      </c>
      <c r="D11" s="98">
        <v>282</v>
      </c>
      <c r="E11" s="43">
        <v>225</v>
      </c>
      <c r="F11" s="111">
        <f>E11/$E$31</f>
        <v>5.6224698885501525E-3</v>
      </c>
      <c r="G11" s="102"/>
      <c r="H11" s="102"/>
      <c r="I11" s="102"/>
      <c r="J11" s="102"/>
      <c r="K11" s="79"/>
      <c r="L11" s="2"/>
      <c r="M11" s="145"/>
      <c r="N11" s="145"/>
      <c r="O11" s="145"/>
      <c r="P11" s="145"/>
      <c r="Q11" s="145"/>
      <c r="R11" s="145"/>
    </row>
    <row r="12" spans="1:18" s="1" customFormat="1" ht="13.8" hidden="1" outlineLevel="1" x14ac:dyDescent="0.45">
      <c r="A12" s="122"/>
      <c r="B12" s="291" t="s">
        <v>233</v>
      </c>
      <c r="C12" s="268"/>
      <c r="D12" s="104">
        <f>D11/C11-1</f>
        <v>-0.37885462555066074</v>
      </c>
      <c r="E12" s="113">
        <f>E11/D11-1</f>
        <v>-0.2021276595744681</v>
      </c>
      <c r="F12" s="113"/>
      <c r="G12" s="174"/>
      <c r="H12" s="174"/>
      <c r="I12" s="174"/>
      <c r="J12" s="174"/>
      <c r="K12" s="175"/>
      <c r="L12" s="2"/>
      <c r="M12" s="145"/>
      <c r="N12" s="145"/>
      <c r="O12" s="145"/>
      <c r="P12" s="145"/>
      <c r="Q12" s="145"/>
      <c r="R12" s="145"/>
    </row>
    <row r="13" spans="1:18" s="1" customFormat="1" ht="13.8" hidden="1" outlineLevel="1" x14ac:dyDescent="0.45">
      <c r="A13" s="122"/>
      <c r="B13" s="265" t="s">
        <v>229</v>
      </c>
      <c r="C13" s="268">
        <v>474</v>
      </c>
      <c r="D13" s="98">
        <v>432</v>
      </c>
      <c r="E13" s="43">
        <v>326</v>
      </c>
      <c r="F13" s="111">
        <f>E13/$E$31</f>
        <v>8.1463341496326655E-3</v>
      </c>
      <c r="G13" s="96"/>
      <c r="H13" s="96"/>
      <c r="I13" s="96"/>
      <c r="J13" s="96"/>
      <c r="K13" s="85"/>
      <c r="L13" s="2"/>
      <c r="M13" s="145"/>
      <c r="N13" s="145"/>
      <c r="O13" s="145"/>
      <c r="P13" s="145"/>
      <c r="Q13" s="145"/>
      <c r="R13" s="145"/>
    </row>
    <row r="14" spans="1:18" s="1" customFormat="1" ht="13.8" hidden="1" outlineLevel="1" x14ac:dyDescent="0.45">
      <c r="A14" s="122"/>
      <c r="B14" s="291" t="s">
        <v>233</v>
      </c>
      <c r="C14" s="268"/>
      <c r="D14" s="104">
        <f>D13/C13-1</f>
        <v>-8.8607594936708889E-2</v>
      </c>
      <c r="E14" s="113">
        <f>E13/D13-1</f>
        <v>-0.24537037037037035</v>
      </c>
      <c r="F14" s="113"/>
      <c r="G14" s="174"/>
      <c r="H14" s="174"/>
      <c r="I14" s="174"/>
      <c r="J14" s="174"/>
      <c r="K14" s="175"/>
      <c r="L14" s="2"/>
      <c r="M14" s="145"/>
      <c r="N14" s="145"/>
      <c r="O14" s="145"/>
      <c r="P14" s="145"/>
      <c r="Q14" s="145"/>
      <c r="R14" s="145"/>
    </row>
    <row r="15" spans="1:18" s="1" customFormat="1" ht="13.8" hidden="1" outlineLevel="1" x14ac:dyDescent="0.45">
      <c r="A15" s="122"/>
      <c r="B15" s="291"/>
      <c r="C15" s="268"/>
      <c r="D15" s="98"/>
      <c r="E15" s="43"/>
      <c r="F15" s="43"/>
      <c r="G15" s="96"/>
      <c r="H15" s="96"/>
      <c r="I15" s="96"/>
      <c r="J15" s="96"/>
      <c r="K15" s="85"/>
      <c r="L15" s="2"/>
      <c r="M15" s="145"/>
      <c r="N15" s="145"/>
      <c r="O15" s="145"/>
      <c r="P15" s="145"/>
      <c r="Q15" s="145"/>
      <c r="R15" s="145"/>
    </row>
    <row r="16" spans="1:18" s="1" customFormat="1" ht="14.1" hidden="1" outlineLevel="1" thickBot="1" x14ac:dyDescent="0.5">
      <c r="A16" s="122"/>
      <c r="B16" s="200" t="s">
        <v>241</v>
      </c>
      <c r="C16" s="38">
        <f>C7+C9+C11+C13</f>
        <v>27933</v>
      </c>
      <c r="D16" s="39">
        <f>D7+D9+D11+D13</f>
        <v>30005</v>
      </c>
      <c r="E16" s="40">
        <f>E7+E9+E11+E13</f>
        <v>32078</v>
      </c>
      <c r="F16" s="340">
        <f>E16/$E$31</f>
        <v>0.80158928482183023</v>
      </c>
      <c r="G16" s="41">
        <f>G7+G9+G11+G13</f>
        <v>0</v>
      </c>
      <c r="H16" s="41">
        <f>H7+H9+H11+H13</f>
        <v>0</v>
      </c>
      <c r="I16" s="41">
        <f>I7+I9+I11+I13</f>
        <v>0</v>
      </c>
      <c r="J16" s="41">
        <f>J7+J9+J11+J13</f>
        <v>0</v>
      </c>
      <c r="K16" s="49">
        <f>K7+K9+K11+K13</f>
        <v>0</v>
      </c>
      <c r="L16" s="2"/>
      <c r="M16" s="145"/>
      <c r="N16" s="145"/>
      <c r="O16" s="145"/>
      <c r="P16" s="145"/>
      <c r="Q16" s="145"/>
      <c r="R16" s="145"/>
    </row>
    <row r="17" spans="1:18" s="1" customFormat="1" ht="14.1" hidden="1" outlineLevel="1" thickTop="1" x14ac:dyDescent="0.45">
      <c r="A17" s="122"/>
      <c r="B17" s="87"/>
      <c r="C17" s="268"/>
      <c r="D17" s="98"/>
      <c r="E17" s="43"/>
      <c r="F17" s="43"/>
      <c r="G17" s="102"/>
      <c r="H17" s="102"/>
      <c r="I17" s="102"/>
      <c r="J17" s="102"/>
      <c r="K17" s="79"/>
      <c r="L17" s="2"/>
      <c r="M17" s="145"/>
      <c r="N17" s="145"/>
      <c r="O17" s="145"/>
      <c r="P17" s="145"/>
      <c r="Q17" s="145"/>
      <c r="R17" s="145"/>
    </row>
    <row r="18" spans="1:18" s="1" customFormat="1" ht="13.8" hidden="1" outlineLevel="1" x14ac:dyDescent="0.45">
      <c r="A18" s="122"/>
      <c r="B18" s="87" t="s">
        <v>223</v>
      </c>
      <c r="C18" s="268"/>
      <c r="D18" s="98"/>
      <c r="E18" s="43"/>
      <c r="F18" s="43"/>
      <c r="G18" s="102"/>
      <c r="H18" s="102"/>
      <c r="I18" s="102"/>
      <c r="J18" s="102"/>
      <c r="K18" s="79"/>
      <c r="L18" s="2"/>
      <c r="M18" s="145"/>
      <c r="N18" s="145"/>
      <c r="O18" s="145"/>
      <c r="P18" s="145"/>
      <c r="Q18" s="145"/>
      <c r="R18" s="145"/>
    </row>
    <row r="19" spans="1:18" s="1" customFormat="1" ht="13.8" hidden="1" outlineLevel="1" x14ac:dyDescent="0.45">
      <c r="A19" s="122"/>
      <c r="B19" s="265" t="s">
        <v>227</v>
      </c>
      <c r="C19" s="268">
        <v>4610</v>
      </c>
      <c r="D19" s="98">
        <v>4257</v>
      </c>
      <c r="E19" s="43">
        <v>4995</v>
      </c>
      <c r="F19" s="111">
        <f>E19/$E$31</f>
        <v>0.12481883152581338</v>
      </c>
      <c r="G19" s="102"/>
      <c r="H19" s="102"/>
      <c r="I19" s="102"/>
      <c r="J19" s="102"/>
      <c r="K19" s="79"/>
      <c r="L19" s="2"/>
      <c r="M19" s="145"/>
      <c r="N19" s="145"/>
      <c r="O19" s="145"/>
      <c r="P19" s="145"/>
      <c r="Q19" s="145"/>
      <c r="R19" s="145"/>
    </row>
    <row r="20" spans="1:18" s="1" customFormat="1" ht="13.8" hidden="1" outlineLevel="1" x14ac:dyDescent="0.45">
      <c r="A20" s="122"/>
      <c r="B20" s="291" t="s">
        <v>233</v>
      </c>
      <c r="C20" s="268"/>
      <c r="D20" s="104">
        <f>D19/C19-1</f>
        <v>-7.6572668112798281E-2</v>
      </c>
      <c r="E20" s="113">
        <f>E19/D19-1</f>
        <v>0.17336152219873147</v>
      </c>
      <c r="F20" s="113"/>
      <c r="G20" s="174"/>
      <c r="H20" s="174"/>
      <c r="I20" s="174"/>
      <c r="J20" s="174"/>
      <c r="K20" s="175"/>
      <c r="L20" s="2"/>
      <c r="M20" s="145"/>
      <c r="N20" s="145"/>
      <c r="O20" s="145"/>
      <c r="P20" s="145"/>
      <c r="Q20" s="145"/>
      <c r="R20" s="145"/>
    </row>
    <row r="21" spans="1:18" s="1" customFormat="1" ht="13.8" hidden="1" outlineLevel="1" x14ac:dyDescent="0.45">
      <c r="A21" s="122"/>
      <c r="B21" s="265" t="s">
        <v>228</v>
      </c>
      <c r="C21" s="268">
        <v>2093</v>
      </c>
      <c r="D21" s="98">
        <v>1904</v>
      </c>
      <c r="E21" s="43">
        <v>2175</v>
      </c>
      <c r="F21" s="111">
        <f>E21/$E$31</f>
        <v>5.4350542255984804E-2</v>
      </c>
      <c r="G21" s="102"/>
      <c r="H21" s="102"/>
      <c r="I21" s="102"/>
      <c r="J21" s="102"/>
      <c r="K21" s="79"/>
      <c r="L21" s="2"/>
      <c r="M21" s="145"/>
      <c r="N21" s="145"/>
      <c r="O21" s="145"/>
      <c r="P21" s="145"/>
      <c r="Q21" s="145"/>
      <c r="R21" s="145"/>
    </row>
    <row r="22" spans="1:18" s="1" customFormat="1" ht="13.8" hidden="1" outlineLevel="1" x14ac:dyDescent="0.45">
      <c r="A22" s="122"/>
      <c r="B22" s="291" t="s">
        <v>233</v>
      </c>
      <c r="C22" s="268"/>
      <c r="D22" s="104">
        <f>D21/C21-1</f>
        <v>-9.0301003344481656E-2</v>
      </c>
      <c r="E22" s="113">
        <f>E21/D21-1</f>
        <v>0.14233193277310918</v>
      </c>
      <c r="F22" s="113"/>
      <c r="G22" s="174"/>
      <c r="H22" s="174"/>
      <c r="I22" s="174"/>
      <c r="J22" s="174"/>
      <c r="K22" s="175"/>
      <c r="L22" s="2"/>
      <c r="M22" s="145"/>
      <c r="N22" s="145"/>
      <c r="O22" s="145"/>
      <c r="P22" s="145"/>
      <c r="Q22" s="145"/>
      <c r="R22" s="145"/>
    </row>
    <row r="23" spans="1:18" s="1" customFormat="1" ht="13.8" hidden="1" outlineLevel="1" x14ac:dyDescent="0.45">
      <c r="A23" s="122"/>
      <c r="B23" s="291"/>
      <c r="C23" s="268"/>
      <c r="D23" s="98"/>
      <c r="E23" s="43"/>
      <c r="F23" s="43"/>
      <c r="G23" s="102"/>
      <c r="H23" s="102"/>
      <c r="I23" s="102"/>
      <c r="J23" s="102"/>
      <c r="K23" s="79"/>
      <c r="L23" s="2"/>
      <c r="M23" s="145"/>
      <c r="N23" s="145"/>
      <c r="O23" s="145"/>
      <c r="P23" s="145"/>
      <c r="Q23" s="145"/>
      <c r="R23" s="145"/>
    </row>
    <row r="24" spans="1:18" s="1" customFormat="1" ht="14.1" hidden="1" outlineLevel="1" thickBot="1" x14ac:dyDescent="0.5">
      <c r="A24" s="122"/>
      <c r="B24" s="200" t="s">
        <v>242</v>
      </c>
      <c r="C24" s="38">
        <f>C19+C21</f>
        <v>6703</v>
      </c>
      <c r="D24" s="39">
        <f t="shared" ref="D24:K24" si="0">D19+D21</f>
        <v>6161</v>
      </c>
      <c r="E24" s="40">
        <f t="shared" si="0"/>
        <v>7170</v>
      </c>
      <c r="F24" s="340">
        <f>E24/$E$31</f>
        <v>0.1791693737817982</v>
      </c>
      <c r="G24" s="41">
        <f t="shared" si="0"/>
        <v>0</v>
      </c>
      <c r="H24" s="41">
        <f t="shared" si="0"/>
        <v>0</v>
      </c>
      <c r="I24" s="41">
        <f t="shared" si="0"/>
        <v>0</v>
      </c>
      <c r="J24" s="41">
        <f t="shared" si="0"/>
        <v>0</v>
      </c>
      <c r="K24" s="49">
        <f t="shared" si="0"/>
        <v>0</v>
      </c>
      <c r="L24" s="2"/>
      <c r="M24" s="145"/>
      <c r="N24" s="145"/>
      <c r="O24" s="145"/>
      <c r="P24" s="145"/>
      <c r="Q24" s="145"/>
      <c r="R24" s="145"/>
    </row>
    <row r="25" spans="1:18" s="1" customFormat="1" ht="14.1" hidden="1" outlineLevel="1" thickTop="1" x14ac:dyDescent="0.45">
      <c r="A25" s="122"/>
      <c r="B25" s="87"/>
      <c r="C25" s="268"/>
      <c r="D25" s="98"/>
      <c r="E25" s="43"/>
      <c r="F25" s="43"/>
      <c r="G25" s="102"/>
      <c r="H25" s="102"/>
      <c r="I25" s="102"/>
      <c r="J25" s="102"/>
      <c r="K25" s="79"/>
      <c r="L25" s="2"/>
      <c r="M25" s="145"/>
      <c r="N25" s="145"/>
      <c r="O25" s="145"/>
      <c r="P25" s="145"/>
      <c r="Q25" s="145"/>
      <c r="R25" s="145"/>
    </row>
    <row r="26" spans="1:18" s="1" customFormat="1" ht="13.8" hidden="1" outlineLevel="1" x14ac:dyDescent="0.45">
      <c r="A26" s="122"/>
      <c r="B26" s="87" t="s">
        <v>217</v>
      </c>
      <c r="C26" s="268">
        <v>1643</v>
      </c>
      <c r="D26" s="98">
        <v>1021</v>
      </c>
      <c r="E26" s="43">
        <v>473</v>
      </c>
      <c r="F26" s="111">
        <f>E26/$E$31</f>
        <v>1.1819681143485432E-2</v>
      </c>
      <c r="G26" s="102"/>
      <c r="H26" s="102"/>
      <c r="I26" s="102"/>
      <c r="J26" s="102"/>
      <c r="K26" s="79"/>
      <c r="L26" s="2"/>
      <c r="M26" s="145"/>
      <c r="N26" s="145"/>
      <c r="O26" s="145"/>
      <c r="P26" s="145"/>
      <c r="Q26" s="145"/>
      <c r="R26" s="145"/>
    </row>
    <row r="27" spans="1:18" s="1" customFormat="1" ht="13.8" hidden="1" outlineLevel="1" x14ac:dyDescent="0.45">
      <c r="A27" s="122"/>
      <c r="B27" s="291" t="s">
        <v>233</v>
      </c>
      <c r="C27" s="268"/>
      <c r="D27" s="104">
        <f>D26/C26-1</f>
        <v>-0.37857577601947656</v>
      </c>
      <c r="E27" s="113">
        <f>E26/D26-1</f>
        <v>-0.53672869735553386</v>
      </c>
      <c r="F27" s="113"/>
      <c r="G27" s="174"/>
      <c r="H27" s="174"/>
      <c r="I27" s="174"/>
      <c r="J27" s="174"/>
      <c r="K27" s="175"/>
      <c r="L27" s="2"/>
      <c r="M27" s="145"/>
      <c r="N27" s="145"/>
      <c r="O27" s="145"/>
      <c r="P27" s="145"/>
      <c r="Q27" s="145"/>
      <c r="R27" s="145"/>
    </row>
    <row r="28" spans="1:18" s="1" customFormat="1" ht="13.8" hidden="1" outlineLevel="1" x14ac:dyDescent="0.45">
      <c r="A28" s="122"/>
      <c r="B28" s="87" t="s">
        <v>229</v>
      </c>
      <c r="C28" s="268">
        <v>296</v>
      </c>
      <c r="D28" s="98">
        <v>383</v>
      </c>
      <c r="E28" s="43">
        <v>297</v>
      </c>
      <c r="F28" s="111">
        <f>E28/$E$31</f>
        <v>7.4216602528862016E-3</v>
      </c>
      <c r="G28" s="102"/>
      <c r="H28" s="102"/>
      <c r="I28" s="102"/>
      <c r="J28" s="102"/>
      <c r="K28" s="79"/>
      <c r="L28" s="2"/>
      <c r="M28" s="145"/>
      <c r="N28" s="145"/>
      <c r="O28" s="145"/>
      <c r="P28" s="145"/>
      <c r="Q28" s="145"/>
      <c r="R28" s="145"/>
    </row>
    <row r="29" spans="1:18" s="1" customFormat="1" ht="13.8" hidden="1" outlineLevel="1" x14ac:dyDescent="0.45">
      <c r="A29" s="122"/>
      <c r="B29" s="291" t="s">
        <v>233</v>
      </c>
      <c r="C29" s="268"/>
      <c r="D29" s="104">
        <f>D28/C28-1</f>
        <v>0.29391891891891886</v>
      </c>
      <c r="E29" s="113">
        <f>E28/D28-1</f>
        <v>-0.22454308093994779</v>
      </c>
      <c r="F29" s="113"/>
      <c r="G29" s="174"/>
      <c r="H29" s="174"/>
      <c r="I29" s="174"/>
      <c r="J29" s="174"/>
      <c r="K29" s="175"/>
      <c r="L29" s="2"/>
      <c r="M29" s="145"/>
      <c r="N29" s="145"/>
      <c r="O29" s="145"/>
      <c r="P29" s="145"/>
      <c r="Q29" s="145"/>
      <c r="R29" s="145"/>
    </row>
    <row r="30" spans="1:18" s="1" customFormat="1" ht="13.8" hidden="1" outlineLevel="1" x14ac:dyDescent="0.45">
      <c r="A30" s="122"/>
      <c r="B30" s="87"/>
      <c r="C30" s="268"/>
      <c r="D30" s="98"/>
      <c r="E30" s="43"/>
      <c r="F30" s="43"/>
      <c r="G30" s="102"/>
      <c r="H30" s="102"/>
      <c r="I30" s="102"/>
      <c r="J30" s="102"/>
      <c r="K30" s="79"/>
      <c r="L30" s="2"/>
      <c r="M30" s="145"/>
      <c r="N30" s="145"/>
      <c r="O30" s="145"/>
      <c r="P30" s="145"/>
      <c r="Q30" s="145"/>
      <c r="R30" s="145"/>
    </row>
    <row r="31" spans="1:18" s="1" customFormat="1" ht="14.1" hidden="1" outlineLevel="1" thickBot="1" x14ac:dyDescent="0.5">
      <c r="A31" s="122"/>
      <c r="B31" s="200" t="s">
        <v>232</v>
      </c>
      <c r="C31" s="38">
        <f>C16+C24+C26+C28</f>
        <v>36575</v>
      </c>
      <c r="D31" s="39">
        <f t="shared" ref="D31:K31" si="1">D16+D24+D26+D28</f>
        <v>37570</v>
      </c>
      <c r="E31" s="40">
        <f t="shared" ref="E31" si="2">E16+E24+E26+E28</f>
        <v>40018</v>
      </c>
      <c r="F31" s="40"/>
      <c r="G31" s="41">
        <f t="shared" si="1"/>
        <v>0</v>
      </c>
      <c r="H31" s="41">
        <f t="shared" si="1"/>
        <v>0</v>
      </c>
      <c r="I31" s="41">
        <f t="shared" si="1"/>
        <v>0</v>
      </c>
      <c r="J31" s="41">
        <f t="shared" si="1"/>
        <v>0</v>
      </c>
      <c r="K31" s="49">
        <f t="shared" si="1"/>
        <v>0</v>
      </c>
      <c r="L31" s="2"/>
      <c r="M31" s="145"/>
      <c r="N31" s="145"/>
      <c r="O31" s="145"/>
      <c r="P31" s="145"/>
      <c r="Q31" s="145"/>
      <c r="R31" s="145"/>
    </row>
    <row r="32" spans="1:18" s="1" customFormat="1" ht="14.1" hidden="1" outlineLevel="1" thickTop="1" x14ac:dyDescent="0.45">
      <c r="A32" s="122"/>
      <c r="B32" s="87"/>
      <c r="C32" s="268"/>
      <c r="D32" s="98"/>
      <c r="E32" s="43"/>
      <c r="F32" s="43"/>
      <c r="G32" s="102"/>
      <c r="H32" s="102"/>
      <c r="I32" s="102"/>
      <c r="J32" s="102"/>
      <c r="K32" s="79"/>
      <c r="L32" s="2"/>
      <c r="M32" s="145"/>
      <c r="N32" s="145"/>
      <c r="O32" s="145"/>
      <c r="P32" s="145"/>
      <c r="Q32" s="145"/>
      <c r="R32" s="145"/>
    </row>
    <row r="33" spans="1:18" s="1" customFormat="1" ht="13.8" hidden="1" outlineLevel="1" x14ac:dyDescent="0.45">
      <c r="A33" s="122"/>
      <c r="B33" s="87" t="s">
        <v>234</v>
      </c>
      <c r="C33" s="268"/>
      <c r="D33" s="98"/>
      <c r="E33" s="43"/>
      <c r="F33" s="43"/>
      <c r="G33" s="102"/>
      <c r="H33" s="102"/>
      <c r="I33" s="102"/>
      <c r="J33" s="102"/>
      <c r="K33" s="79"/>
      <c r="L33" s="2"/>
      <c r="M33" s="145"/>
      <c r="N33" s="145"/>
      <c r="O33" s="145"/>
      <c r="P33" s="145"/>
      <c r="Q33" s="145"/>
      <c r="R33" s="145"/>
    </row>
    <row r="34" spans="1:18" s="1" customFormat="1" ht="13.8" hidden="1" outlineLevel="1" x14ac:dyDescent="0.45">
      <c r="A34" s="122"/>
      <c r="B34" s="262" t="s">
        <v>222</v>
      </c>
      <c r="C34" s="300">
        <f>C7/C31</f>
        <v>0.55650034176349961</v>
      </c>
      <c r="D34" s="301">
        <f>D7/D31</f>
        <v>0.62132020228906037</v>
      </c>
      <c r="E34" s="302">
        <f>E7/E31</f>
        <v>0.68181818181818177</v>
      </c>
      <c r="F34" s="302"/>
      <c r="G34" s="298"/>
      <c r="H34" s="298"/>
      <c r="I34" s="298"/>
      <c r="J34" s="298"/>
      <c r="K34" s="299"/>
      <c r="L34" s="2"/>
      <c r="M34" s="145"/>
      <c r="N34" s="145"/>
      <c r="O34" s="145"/>
      <c r="P34" s="145"/>
      <c r="Q34" s="145"/>
      <c r="R34" s="145"/>
    </row>
    <row r="35" spans="1:18" s="1" customFormat="1" ht="13.8" hidden="1" outlineLevel="1" x14ac:dyDescent="0.45">
      <c r="A35" s="122"/>
      <c r="B35" s="262" t="s">
        <v>224</v>
      </c>
      <c r="C35" s="300">
        <f>C9/C31</f>
        <v>0.18184552289815448</v>
      </c>
      <c r="D35" s="301">
        <f t="shared" ref="D35" si="3">D9/D31</f>
        <v>0.15831780676071333</v>
      </c>
      <c r="E35" s="302">
        <f t="shared" ref="E35" si="4">E9/E31</f>
        <v>0.10600229896546554</v>
      </c>
      <c r="F35" s="302"/>
      <c r="G35" s="298"/>
      <c r="H35" s="298"/>
      <c r="I35" s="298"/>
      <c r="J35" s="298"/>
      <c r="K35" s="299"/>
      <c r="L35" s="2"/>
      <c r="M35" s="145"/>
      <c r="N35" s="145"/>
      <c r="O35" s="145"/>
      <c r="P35" s="145"/>
      <c r="Q35" s="145"/>
      <c r="R35" s="145"/>
    </row>
    <row r="36" spans="1:18" s="1" customFormat="1" ht="13.8" hidden="1" outlineLevel="1" x14ac:dyDescent="0.45">
      <c r="A36" s="122"/>
      <c r="B36" s="265" t="s">
        <v>225</v>
      </c>
      <c r="C36" s="295">
        <f>C11/C31</f>
        <v>1.241285030758715E-2</v>
      </c>
      <c r="D36" s="296">
        <f t="shared" ref="D36" si="5">D11/D31</f>
        <v>7.505988820867714E-3</v>
      </c>
      <c r="E36" s="297">
        <f t="shared" ref="E36" si="6">E11/E31</f>
        <v>5.6224698885501525E-3</v>
      </c>
      <c r="F36" s="297"/>
      <c r="G36" s="298"/>
      <c r="H36" s="298"/>
      <c r="I36" s="298"/>
      <c r="J36" s="298"/>
      <c r="K36" s="299"/>
      <c r="L36" s="2"/>
      <c r="M36" s="145"/>
      <c r="N36" s="145"/>
      <c r="O36" s="145"/>
      <c r="P36" s="145"/>
      <c r="Q36" s="145"/>
      <c r="R36" s="145"/>
    </row>
    <row r="37" spans="1:18" s="1" customFormat="1" ht="13.8" hidden="1" outlineLevel="1" x14ac:dyDescent="0.45">
      <c r="A37" s="122"/>
      <c r="B37" s="265" t="s">
        <v>229</v>
      </c>
      <c r="C37" s="295">
        <f>C13/C31</f>
        <v>1.2959671907040327E-2</v>
      </c>
      <c r="D37" s="296">
        <f t="shared" ref="D37" si="7">D13/D31</f>
        <v>1.1498536066010114E-2</v>
      </c>
      <c r="E37" s="297">
        <f t="shared" ref="E37" si="8">E13/E31</f>
        <v>8.1463341496326655E-3</v>
      </c>
      <c r="F37" s="297"/>
      <c r="G37" s="298"/>
      <c r="H37" s="298"/>
      <c r="I37" s="298"/>
      <c r="J37" s="298"/>
      <c r="K37" s="299"/>
      <c r="L37" s="2"/>
      <c r="M37" s="145"/>
      <c r="N37" s="145"/>
      <c r="O37" s="145"/>
      <c r="P37" s="145"/>
      <c r="Q37" s="145"/>
      <c r="R37" s="145"/>
    </row>
    <row r="38" spans="1:18" s="1" customFormat="1" ht="13.8" hidden="1" outlineLevel="1" x14ac:dyDescent="0.45">
      <c r="A38" s="122"/>
      <c r="B38" s="87"/>
      <c r="C38" s="295"/>
      <c r="D38" s="296"/>
      <c r="E38" s="297"/>
      <c r="F38" s="297"/>
      <c r="G38" s="298"/>
      <c r="H38" s="298"/>
      <c r="I38" s="298"/>
      <c r="J38" s="298"/>
      <c r="K38" s="299"/>
      <c r="L38" s="2"/>
      <c r="M38" s="145"/>
      <c r="N38" s="145"/>
      <c r="O38" s="145"/>
      <c r="P38" s="145"/>
      <c r="Q38" s="145"/>
      <c r="R38" s="145"/>
    </row>
    <row r="39" spans="1:18" s="1" customFormat="1" ht="13.8" hidden="1" outlineLevel="1" x14ac:dyDescent="0.45">
      <c r="A39" s="122"/>
      <c r="B39" s="262" t="s">
        <v>227</v>
      </c>
      <c r="C39" s="300">
        <f>C19/C31</f>
        <v>0.12604237867395762</v>
      </c>
      <c r="D39" s="301">
        <f t="shared" ref="D39" si="9">D19/D31</f>
        <v>0.11330849081714134</v>
      </c>
      <c r="E39" s="302">
        <f t="shared" ref="E39" si="10">E19/E31</f>
        <v>0.12481883152581338</v>
      </c>
      <c r="F39" s="302"/>
      <c r="G39" s="298"/>
      <c r="H39" s="298"/>
      <c r="I39" s="298"/>
      <c r="J39" s="298"/>
      <c r="K39" s="299"/>
      <c r="L39" s="2"/>
      <c r="M39" s="145"/>
      <c r="N39" s="145"/>
      <c r="O39" s="145"/>
      <c r="P39" s="145"/>
      <c r="Q39" s="145"/>
      <c r="R39" s="145"/>
    </row>
    <row r="40" spans="1:18" s="1" customFormat="1" ht="13.8" hidden="1" outlineLevel="1" x14ac:dyDescent="0.45">
      <c r="A40" s="122"/>
      <c r="B40" s="262" t="s">
        <v>228</v>
      </c>
      <c r="C40" s="300">
        <f>C21/C31</f>
        <v>5.7224880382775123E-2</v>
      </c>
      <c r="D40" s="301">
        <f t="shared" ref="D40" si="11">D21/D31</f>
        <v>5.0678733031674209E-2</v>
      </c>
      <c r="E40" s="302">
        <f t="shared" ref="E40" si="12">E21/E31</f>
        <v>5.4350542255984804E-2</v>
      </c>
      <c r="F40" s="306"/>
      <c r="G40" s="298"/>
      <c r="H40" s="298"/>
      <c r="I40" s="298"/>
      <c r="J40" s="298"/>
      <c r="K40" s="299"/>
      <c r="L40" s="2"/>
      <c r="M40" s="145"/>
      <c r="N40" s="145"/>
      <c r="O40" s="145"/>
      <c r="P40" s="145"/>
      <c r="Q40" s="145"/>
      <c r="R40" s="145"/>
    </row>
    <row r="41" spans="1:18" s="1" customFormat="1" ht="13.8" hidden="1" outlineLevel="1" x14ac:dyDescent="0.45">
      <c r="A41" s="122"/>
      <c r="B41" s="87"/>
      <c r="C41" s="295"/>
      <c r="D41" s="296"/>
      <c r="E41" s="297"/>
      <c r="F41" s="297"/>
      <c r="G41" s="298"/>
      <c r="H41" s="298"/>
      <c r="I41" s="298"/>
      <c r="J41" s="298"/>
      <c r="K41" s="299"/>
      <c r="L41" s="2"/>
      <c r="M41" s="145"/>
      <c r="N41" s="145"/>
      <c r="O41" s="145"/>
      <c r="P41" s="145"/>
      <c r="Q41" s="145"/>
      <c r="R41" s="145"/>
    </row>
    <row r="42" spans="1:18" s="1" customFormat="1" ht="13.8" hidden="1" outlineLevel="1" x14ac:dyDescent="0.45">
      <c r="A42" s="122"/>
      <c r="B42" s="303" t="s">
        <v>217</v>
      </c>
      <c r="C42" s="295">
        <f>C26/C31</f>
        <v>4.4921394395078605E-2</v>
      </c>
      <c r="D42" s="296">
        <f t="shared" ref="D42" si="13">D26/D31</f>
        <v>2.7175938248602607E-2</v>
      </c>
      <c r="E42" s="297">
        <f t="shared" ref="E42" si="14">E26/E31</f>
        <v>1.1819681143485432E-2</v>
      </c>
      <c r="F42" s="297"/>
      <c r="G42" s="298"/>
      <c r="H42" s="298"/>
      <c r="I42" s="298"/>
      <c r="J42" s="298"/>
      <c r="K42" s="299"/>
      <c r="L42" s="2"/>
      <c r="M42" s="145"/>
      <c r="N42" s="145"/>
      <c r="O42" s="145"/>
      <c r="P42" s="145"/>
      <c r="Q42" s="145"/>
      <c r="R42" s="145"/>
    </row>
    <row r="43" spans="1:18" s="1" customFormat="1" ht="13.8" hidden="1" outlineLevel="1" x14ac:dyDescent="0.45">
      <c r="A43" s="122"/>
      <c r="B43" s="265" t="s">
        <v>229</v>
      </c>
      <c r="C43" s="295">
        <f>C28/C31</f>
        <v>8.0929596719070407E-3</v>
      </c>
      <c r="D43" s="296">
        <f t="shared" ref="D43" si="15">D28/D31</f>
        <v>1.0194303965930263E-2</v>
      </c>
      <c r="E43" s="297">
        <f t="shared" ref="E43" si="16">E28/E31</f>
        <v>7.4216602528862016E-3</v>
      </c>
      <c r="F43" s="297"/>
      <c r="G43" s="298"/>
      <c r="H43" s="298"/>
      <c r="I43" s="298"/>
      <c r="J43" s="298"/>
      <c r="K43" s="299"/>
      <c r="L43" s="2"/>
      <c r="M43" s="145"/>
      <c r="N43" s="145"/>
      <c r="O43" s="145"/>
      <c r="P43" s="145"/>
      <c r="Q43" s="145"/>
      <c r="R43" s="145"/>
    </row>
    <row r="44" spans="1:18" s="1" customFormat="1" ht="13.8" hidden="1" outlineLevel="1" x14ac:dyDescent="0.45">
      <c r="A44" s="122"/>
      <c r="B44" s="266"/>
      <c r="C44" s="268"/>
      <c r="D44" s="98"/>
      <c r="E44" s="43"/>
      <c r="F44" s="43"/>
      <c r="G44" s="102"/>
      <c r="H44" s="102"/>
      <c r="I44" s="102"/>
      <c r="J44" s="102"/>
      <c r="K44" s="79"/>
      <c r="L44" s="2"/>
      <c r="M44" s="145"/>
      <c r="N44" s="145"/>
      <c r="O44" s="145"/>
      <c r="P44" s="145"/>
      <c r="Q44" s="145"/>
      <c r="R44" s="145"/>
    </row>
    <row r="45" spans="1:18" s="1" customFormat="1" ht="13.8" hidden="1" outlineLevel="1" x14ac:dyDescent="0.45">
      <c r="A45" s="122"/>
      <c r="B45" s="262" t="s">
        <v>218</v>
      </c>
      <c r="C45" s="292">
        <f>SUM(C34:C43)</f>
        <v>0.99999999999999978</v>
      </c>
      <c r="D45" s="293">
        <f t="shared" ref="D45" si="17">SUM(D34:D43)</f>
        <v>1</v>
      </c>
      <c r="E45" s="294">
        <f t="shared" ref="E45" si="18">SUM(E34:E43)</f>
        <v>0.99999999999999989</v>
      </c>
      <c r="F45" s="294"/>
      <c r="G45" s="307"/>
      <c r="H45" s="307"/>
      <c r="I45" s="307"/>
      <c r="J45" s="307"/>
      <c r="K45" s="308"/>
      <c r="L45" s="2"/>
      <c r="M45" s="145"/>
      <c r="N45" s="145"/>
      <c r="O45" s="145"/>
      <c r="P45" s="145"/>
      <c r="Q45" s="145"/>
      <c r="R45" s="145"/>
    </row>
    <row r="46" spans="1:18" s="1" customFormat="1" ht="14.1" collapsed="1" thickBot="1" x14ac:dyDescent="0.5">
      <c r="A46" s="122"/>
      <c r="B46" s="267"/>
      <c r="C46" s="90"/>
      <c r="D46" s="91"/>
      <c r="E46" s="92"/>
      <c r="F46" s="92"/>
      <c r="G46" s="93"/>
      <c r="H46" s="93"/>
      <c r="I46" s="93"/>
      <c r="J46" s="93"/>
      <c r="K46" s="94"/>
      <c r="L46" s="2"/>
      <c r="M46" s="145"/>
      <c r="N46" s="145"/>
      <c r="O46" s="145"/>
      <c r="P46" s="145"/>
      <c r="Q46" s="145"/>
      <c r="R46" s="145"/>
    </row>
    <row r="47" spans="1:18" s="310" customFormat="1" ht="13.8" x14ac:dyDescent="0.45">
      <c r="A47" s="309"/>
      <c r="C47" s="311"/>
      <c r="D47" s="311"/>
      <c r="E47" s="311"/>
      <c r="F47" s="311"/>
      <c r="G47" s="311"/>
      <c r="H47" s="311"/>
      <c r="I47" s="311"/>
      <c r="J47" s="311"/>
      <c r="K47" s="311"/>
      <c r="L47" s="311"/>
      <c r="M47" s="312"/>
      <c r="N47" s="312"/>
      <c r="O47" s="312"/>
      <c r="P47" s="312"/>
      <c r="Q47" s="312"/>
      <c r="R47" s="312"/>
    </row>
    <row r="48" spans="1:18" s="310" customFormat="1" ht="13.8" x14ac:dyDescent="0.45">
      <c r="A48" s="309"/>
      <c r="C48" s="311"/>
      <c r="D48" s="311"/>
      <c r="E48" s="311"/>
      <c r="F48" s="311"/>
      <c r="G48" s="311"/>
      <c r="H48" s="311"/>
      <c r="I48" s="311"/>
      <c r="J48" s="311"/>
      <c r="K48" s="311"/>
      <c r="L48" s="311"/>
      <c r="M48" s="312"/>
      <c r="N48" s="312"/>
      <c r="O48" s="312"/>
      <c r="P48" s="312"/>
      <c r="Q48" s="312"/>
      <c r="R48" s="312"/>
    </row>
    <row r="49" spans="2:11" s="313" customFormat="1" ht="15.9" thickBot="1" x14ac:dyDescent="0.65">
      <c r="B49" s="345" t="s">
        <v>286</v>
      </c>
      <c r="C49" s="345"/>
      <c r="D49" s="345"/>
      <c r="E49" s="345"/>
      <c r="F49" s="345"/>
      <c r="G49" s="345"/>
      <c r="H49" s="345"/>
      <c r="I49" s="345"/>
      <c r="J49" s="345"/>
      <c r="K49" s="345"/>
    </row>
    <row r="50" spans="2:11" s="313" customFormat="1" ht="14.7" thickTop="1" x14ac:dyDescent="0.55000000000000004"/>
    <row r="51" spans="2:11" s="313" customFormat="1" ht="14.7" thickBot="1" x14ac:dyDescent="0.6">
      <c r="B51" s="129" t="s">
        <v>284</v>
      </c>
      <c r="C51" s="18"/>
      <c r="D51" s="2"/>
      <c r="E51" s="2"/>
      <c r="F51" s="2"/>
      <c r="G51" s="15"/>
      <c r="H51" s="2"/>
      <c r="I51" s="2"/>
      <c r="J51" s="2"/>
      <c r="K51" s="2"/>
    </row>
    <row r="52" spans="2:11" s="313" customFormat="1" ht="15" thickTop="1" thickBot="1" x14ac:dyDescent="0.6">
      <c r="B52" s="1"/>
      <c r="C52" s="314" t="s">
        <v>11</v>
      </c>
      <c r="D52" s="315"/>
      <c r="E52" s="315"/>
      <c r="F52" s="316"/>
      <c r="G52" s="317" t="s">
        <v>12</v>
      </c>
      <c r="H52" s="317"/>
      <c r="I52" s="317"/>
      <c r="J52" s="317"/>
      <c r="K52" s="318"/>
    </row>
    <row r="53" spans="2:11" s="313" customFormat="1" x14ac:dyDescent="0.55000000000000004">
      <c r="B53" s="319" t="s">
        <v>282</v>
      </c>
      <c r="C53" s="21">
        <v>2018</v>
      </c>
      <c r="D53" s="22">
        <v>2019</v>
      </c>
      <c r="E53" s="23">
        <v>2020</v>
      </c>
      <c r="F53" s="23" t="s">
        <v>275</v>
      </c>
      <c r="G53" s="24">
        <v>2021</v>
      </c>
      <c r="H53" s="24">
        <v>2022</v>
      </c>
      <c r="I53" s="24">
        <v>2023</v>
      </c>
      <c r="J53" s="24">
        <v>2024</v>
      </c>
      <c r="K53" s="65">
        <v>2025</v>
      </c>
    </row>
    <row r="54" spans="2:11" s="313" customFormat="1" hidden="1" outlineLevel="1" x14ac:dyDescent="0.55000000000000004">
      <c r="B54" s="323" t="s">
        <v>279</v>
      </c>
      <c r="C54" s="148"/>
      <c r="D54" s="146"/>
      <c r="E54" s="147"/>
      <c r="F54" s="147"/>
      <c r="G54" s="143"/>
      <c r="H54" s="143"/>
      <c r="I54" s="143"/>
      <c r="J54" s="143"/>
      <c r="K54" s="144"/>
    </row>
    <row r="55" spans="2:11" s="313" customFormat="1" ht="23.7" hidden="1" outlineLevel="1" x14ac:dyDescent="0.55000000000000004">
      <c r="B55" s="346" t="s">
        <v>315</v>
      </c>
      <c r="C55" s="148"/>
      <c r="D55" s="146"/>
      <c r="E55" s="147"/>
      <c r="F55" s="147"/>
      <c r="G55" s="143"/>
      <c r="H55" s="143"/>
      <c r="I55" s="143"/>
      <c r="J55" s="143"/>
      <c r="K55" s="144"/>
    </row>
    <row r="56" spans="2:11" s="313" customFormat="1" hidden="1" outlineLevel="1" x14ac:dyDescent="0.55000000000000004">
      <c r="B56" s="346"/>
      <c r="C56" s="148"/>
      <c r="D56" s="146"/>
      <c r="E56" s="147"/>
      <c r="F56" s="147"/>
      <c r="G56" s="143"/>
      <c r="H56" s="143"/>
      <c r="I56" s="143"/>
      <c r="J56" s="143"/>
      <c r="K56" s="144"/>
    </row>
    <row r="57" spans="2:11" s="313" customFormat="1" hidden="1" outlineLevel="1" x14ac:dyDescent="0.55000000000000004">
      <c r="B57" s="321" t="s">
        <v>243</v>
      </c>
      <c r="C57" s="148"/>
      <c r="D57" s="146"/>
      <c r="E57" s="147"/>
      <c r="F57" s="147"/>
      <c r="G57" s="143"/>
      <c r="H57" s="143"/>
      <c r="I57" s="143"/>
      <c r="J57" s="143"/>
      <c r="K57" s="144"/>
    </row>
    <row r="58" spans="2:11" s="313" customFormat="1" hidden="1" outlineLevel="1" x14ac:dyDescent="0.55000000000000004">
      <c r="B58" s="82" t="s">
        <v>248</v>
      </c>
      <c r="C58" s="148">
        <v>41.7</v>
      </c>
      <c r="D58" s="146">
        <v>35.9</v>
      </c>
      <c r="E58" s="147">
        <v>23.9</v>
      </c>
      <c r="F58" s="113">
        <f>E58/$E$77</f>
        <v>7.9534109816971704E-2</v>
      </c>
      <c r="G58" s="143"/>
      <c r="H58" s="143"/>
      <c r="I58" s="143"/>
      <c r="J58" s="143"/>
      <c r="K58" s="144"/>
    </row>
    <row r="59" spans="2:11" s="313" customFormat="1" hidden="1" outlineLevel="1" x14ac:dyDescent="0.55000000000000004">
      <c r="B59" s="82" t="s">
        <v>249</v>
      </c>
      <c r="C59" s="148">
        <v>36</v>
      </c>
      <c r="D59" s="146">
        <v>25.9</v>
      </c>
      <c r="E59" s="147">
        <v>15.7</v>
      </c>
      <c r="F59" s="113">
        <f>E59/$E$77</f>
        <v>5.2246256239600664E-2</v>
      </c>
      <c r="G59" s="143"/>
      <c r="H59" s="143"/>
      <c r="I59" s="143"/>
      <c r="J59" s="143"/>
      <c r="K59" s="144"/>
    </row>
    <row r="60" spans="2:11" s="313" customFormat="1" hidden="1" outlineLevel="1" x14ac:dyDescent="0.55000000000000004">
      <c r="B60" s="82" t="s">
        <v>250</v>
      </c>
      <c r="C60" s="148">
        <v>26.7</v>
      </c>
      <c r="D60" s="146">
        <v>11.3</v>
      </c>
      <c r="E60" s="147">
        <v>17.7</v>
      </c>
      <c r="F60" s="113">
        <f>E60/$E$77</f>
        <v>5.8901830282861896E-2</v>
      </c>
      <c r="G60" s="143"/>
      <c r="H60" s="143"/>
      <c r="I60" s="143"/>
      <c r="J60" s="143"/>
      <c r="K60" s="144"/>
    </row>
    <row r="61" spans="2:11" s="313" customFormat="1" ht="14.7" hidden="1" outlineLevel="1" thickBot="1" x14ac:dyDescent="0.6">
      <c r="B61" s="322" t="s">
        <v>251</v>
      </c>
      <c r="C61" s="328">
        <f>SUM(C58:C60)</f>
        <v>104.4</v>
      </c>
      <c r="D61" s="329">
        <f t="shared" ref="D61:K61" si="19">SUM(D58:D60)</f>
        <v>73.099999999999994</v>
      </c>
      <c r="E61" s="330">
        <f t="shared" si="19"/>
        <v>57.3</v>
      </c>
      <c r="F61" s="339">
        <f>E61/$E$77</f>
        <v>0.19068219633943426</v>
      </c>
      <c r="G61" s="331">
        <f t="shared" si="19"/>
        <v>0</v>
      </c>
      <c r="H61" s="331">
        <f t="shared" si="19"/>
        <v>0</v>
      </c>
      <c r="I61" s="331">
        <f t="shared" si="19"/>
        <v>0</v>
      </c>
      <c r="J61" s="331">
        <f t="shared" si="19"/>
        <v>0</v>
      </c>
      <c r="K61" s="332">
        <f t="shared" si="19"/>
        <v>0</v>
      </c>
    </row>
    <row r="62" spans="2:11" s="313" customFormat="1" ht="14.7" hidden="1" outlineLevel="1" thickTop="1" x14ac:dyDescent="0.55000000000000004">
      <c r="B62" s="127"/>
      <c r="C62" s="148"/>
      <c r="D62" s="146"/>
      <c r="E62" s="147"/>
      <c r="F62" s="113"/>
      <c r="G62" s="143"/>
      <c r="H62" s="143"/>
      <c r="I62" s="143"/>
      <c r="J62" s="143"/>
      <c r="K62" s="144"/>
    </row>
    <row r="63" spans="2:11" s="313" customFormat="1" hidden="1" outlineLevel="1" x14ac:dyDescent="0.55000000000000004">
      <c r="B63" s="321" t="s">
        <v>244</v>
      </c>
      <c r="C63" s="148"/>
      <c r="D63" s="146"/>
      <c r="E63" s="147"/>
      <c r="F63" s="113"/>
      <c r="G63" s="143"/>
      <c r="H63" s="143"/>
      <c r="I63" s="143"/>
      <c r="J63" s="143"/>
      <c r="K63" s="144"/>
    </row>
    <row r="64" spans="2:11" s="313" customFormat="1" hidden="1" outlineLevel="1" x14ac:dyDescent="0.55000000000000004">
      <c r="B64" s="82" t="s">
        <v>252</v>
      </c>
      <c r="C64" s="148">
        <v>43.1</v>
      </c>
      <c r="D64" s="146">
        <v>13.1</v>
      </c>
      <c r="E64" s="147">
        <v>25.1</v>
      </c>
      <c r="F64" s="113">
        <f>E64/$E$77</f>
        <v>8.3527454242928456E-2</v>
      </c>
      <c r="G64" s="143"/>
      <c r="H64" s="143"/>
      <c r="I64" s="143"/>
      <c r="J64" s="143"/>
      <c r="K64" s="144"/>
    </row>
    <row r="65" spans="2:11" s="313" customFormat="1" hidden="1" outlineLevel="1" x14ac:dyDescent="0.55000000000000004">
      <c r="B65" s="82" t="s">
        <v>253</v>
      </c>
      <c r="C65" s="148">
        <v>41</v>
      </c>
      <c r="D65" s="146">
        <v>24.7</v>
      </c>
      <c r="E65" s="147">
        <v>23.3</v>
      </c>
      <c r="F65" s="113">
        <f>E65/$E$77</f>
        <v>7.7537437603993342E-2</v>
      </c>
      <c r="G65" s="143"/>
      <c r="H65" s="143"/>
      <c r="I65" s="143"/>
      <c r="J65" s="143"/>
      <c r="K65" s="144"/>
    </row>
    <row r="66" spans="2:11" s="313" customFormat="1" ht="14.7" hidden="1" outlineLevel="1" thickBot="1" x14ac:dyDescent="0.6">
      <c r="B66" s="322" t="s">
        <v>254</v>
      </c>
      <c r="C66" s="328">
        <f>SUM(C64:C65)</f>
        <v>84.1</v>
      </c>
      <c r="D66" s="329">
        <f t="shared" ref="D66:K66" si="20">SUM(D64:D65)</f>
        <v>37.799999999999997</v>
      </c>
      <c r="E66" s="330">
        <f t="shared" si="20"/>
        <v>48.400000000000006</v>
      </c>
      <c r="F66" s="339">
        <f>E66/$E$77</f>
        <v>0.16106489184692183</v>
      </c>
      <c r="G66" s="331">
        <f t="shared" si="20"/>
        <v>0</v>
      </c>
      <c r="H66" s="331">
        <f t="shared" si="20"/>
        <v>0</v>
      </c>
      <c r="I66" s="331">
        <f t="shared" si="20"/>
        <v>0</v>
      </c>
      <c r="J66" s="331">
        <f t="shared" si="20"/>
        <v>0</v>
      </c>
      <c r="K66" s="332">
        <f t="shared" si="20"/>
        <v>0</v>
      </c>
    </row>
    <row r="67" spans="2:11" s="313" customFormat="1" ht="14.7" hidden="1" outlineLevel="1" thickTop="1" x14ac:dyDescent="0.55000000000000004">
      <c r="B67" s="127"/>
      <c r="C67" s="148"/>
      <c r="D67" s="146"/>
      <c r="E67" s="147"/>
      <c r="F67" s="113"/>
      <c r="G67" s="143"/>
      <c r="H67" s="143"/>
      <c r="I67" s="143"/>
      <c r="J67" s="143"/>
      <c r="K67" s="144"/>
    </row>
    <row r="68" spans="2:11" s="313" customFormat="1" hidden="1" outlineLevel="1" x14ac:dyDescent="0.55000000000000004">
      <c r="B68" s="321" t="s">
        <v>245</v>
      </c>
      <c r="C68" s="148"/>
      <c r="D68" s="146"/>
      <c r="E68" s="147"/>
      <c r="F68" s="113"/>
      <c r="G68" s="143"/>
      <c r="H68" s="143"/>
      <c r="I68" s="143"/>
      <c r="J68" s="143"/>
      <c r="K68" s="144"/>
    </row>
    <row r="69" spans="2:11" s="313" customFormat="1" hidden="1" outlineLevel="1" x14ac:dyDescent="0.55000000000000004">
      <c r="B69" s="82" t="s">
        <v>246</v>
      </c>
      <c r="C69" s="148">
        <v>135.6</v>
      </c>
      <c r="D69" s="146">
        <v>115.3</v>
      </c>
      <c r="E69" s="147">
        <v>109.4</v>
      </c>
      <c r="F69" s="113">
        <f>E69/$E$77</f>
        <v>0.36405990016638939</v>
      </c>
      <c r="G69" s="143"/>
      <c r="H69" s="143"/>
      <c r="I69" s="143"/>
      <c r="J69" s="143"/>
      <c r="K69" s="144"/>
    </row>
    <row r="70" spans="2:11" s="313" customFormat="1" hidden="1" outlineLevel="1" x14ac:dyDescent="0.55000000000000004">
      <c r="B70" s="82" t="s">
        <v>255</v>
      </c>
      <c r="C70" s="148">
        <v>58</v>
      </c>
      <c r="D70" s="146">
        <v>73.400000000000006</v>
      </c>
      <c r="E70" s="147">
        <v>82.9</v>
      </c>
      <c r="F70" s="113">
        <f>E70/$E$77</f>
        <v>0.27587354409317805</v>
      </c>
      <c r="G70" s="143"/>
      <c r="H70" s="143"/>
      <c r="I70" s="143"/>
      <c r="J70" s="143"/>
      <c r="K70" s="144"/>
    </row>
    <row r="71" spans="2:11" s="313" customFormat="1" ht="14.7" hidden="1" outlineLevel="1" thickBot="1" x14ac:dyDescent="0.6">
      <c r="B71" s="322" t="s">
        <v>256</v>
      </c>
      <c r="C71" s="328">
        <f>SUM(C69:C70)</f>
        <v>193.6</v>
      </c>
      <c r="D71" s="329">
        <f t="shared" ref="D71:K71" si="21">SUM(D69:D70)</f>
        <v>188.7</v>
      </c>
      <c r="E71" s="330">
        <f t="shared" si="21"/>
        <v>192.3</v>
      </c>
      <c r="F71" s="339">
        <f>E71/$E$77</f>
        <v>0.63993344425956744</v>
      </c>
      <c r="G71" s="331">
        <f t="shared" si="21"/>
        <v>0</v>
      </c>
      <c r="H71" s="331">
        <f t="shared" si="21"/>
        <v>0</v>
      </c>
      <c r="I71" s="331">
        <f t="shared" si="21"/>
        <v>0</v>
      </c>
      <c r="J71" s="331">
        <f t="shared" si="21"/>
        <v>0</v>
      </c>
      <c r="K71" s="332">
        <f t="shared" si="21"/>
        <v>0</v>
      </c>
    </row>
    <row r="72" spans="2:11" s="313" customFormat="1" ht="14.7" hidden="1" outlineLevel="1" thickTop="1" x14ac:dyDescent="0.55000000000000004">
      <c r="B72" s="127"/>
      <c r="C72" s="148"/>
      <c r="D72" s="146"/>
      <c r="E72" s="147"/>
      <c r="F72" s="113"/>
      <c r="G72" s="143"/>
      <c r="H72" s="143"/>
      <c r="I72" s="143"/>
      <c r="J72" s="143"/>
      <c r="K72" s="144"/>
    </row>
    <row r="73" spans="2:11" s="313" customFormat="1" hidden="1" outlineLevel="1" x14ac:dyDescent="0.55000000000000004">
      <c r="B73" s="321" t="s">
        <v>247</v>
      </c>
      <c r="C73" s="148"/>
      <c r="D73" s="146"/>
      <c r="E73" s="147"/>
      <c r="F73" s="113"/>
      <c r="G73" s="143"/>
      <c r="H73" s="143"/>
      <c r="I73" s="143"/>
      <c r="J73" s="143"/>
      <c r="K73" s="144"/>
    </row>
    <row r="74" spans="2:11" s="313" customFormat="1" hidden="1" outlineLevel="1" x14ac:dyDescent="0.55000000000000004">
      <c r="B74" s="82" t="s">
        <v>257</v>
      </c>
      <c r="C74" s="148">
        <v>2.5</v>
      </c>
      <c r="D74" s="146">
        <v>2.4</v>
      </c>
      <c r="E74" s="147">
        <v>2.5</v>
      </c>
      <c r="F74" s="113">
        <f>E74/$E$77</f>
        <v>8.3194675540765387E-3</v>
      </c>
      <c r="G74" s="143"/>
      <c r="H74" s="143"/>
      <c r="I74" s="143"/>
      <c r="J74" s="143"/>
      <c r="K74" s="144"/>
    </row>
    <row r="75" spans="2:11" s="313" customFormat="1" ht="14.7" hidden="1" outlineLevel="1" thickBot="1" x14ac:dyDescent="0.6">
      <c r="B75" s="322" t="s">
        <v>258</v>
      </c>
      <c r="C75" s="328">
        <f>SUM(C74)</f>
        <v>2.5</v>
      </c>
      <c r="D75" s="329">
        <f t="shared" ref="D75:K75" si="22">SUM(D74)</f>
        <v>2.4</v>
      </c>
      <c r="E75" s="330">
        <f t="shared" si="22"/>
        <v>2.5</v>
      </c>
      <c r="F75" s="339">
        <f>E75/$E$77</f>
        <v>8.3194675540765387E-3</v>
      </c>
      <c r="G75" s="331">
        <f t="shared" si="22"/>
        <v>0</v>
      </c>
      <c r="H75" s="331">
        <f t="shared" si="22"/>
        <v>0</v>
      </c>
      <c r="I75" s="331">
        <f t="shared" si="22"/>
        <v>0</v>
      </c>
      <c r="J75" s="331">
        <f t="shared" si="22"/>
        <v>0</v>
      </c>
      <c r="K75" s="332">
        <f t="shared" si="22"/>
        <v>0</v>
      </c>
    </row>
    <row r="76" spans="2:11" s="313" customFormat="1" ht="14.7" hidden="1" outlineLevel="1" thickTop="1" x14ac:dyDescent="0.55000000000000004">
      <c r="B76" s="127"/>
      <c r="C76" s="148"/>
      <c r="D76" s="146"/>
      <c r="E76" s="147"/>
      <c r="F76" s="147"/>
      <c r="G76" s="143"/>
      <c r="H76" s="143"/>
      <c r="I76" s="143"/>
      <c r="J76" s="143"/>
      <c r="K76" s="144"/>
    </row>
    <row r="77" spans="2:11" s="313" customFormat="1" ht="14.7" hidden="1" outlineLevel="1" thickBot="1" x14ac:dyDescent="0.6">
      <c r="B77" s="322" t="s">
        <v>273</v>
      </c>
      <c r="C77" s="328">
        <f>C61+C66+C71+C75</f>
        <v>384.6</v>
      </c>
      <c r="D77" s="329">
        <f>D61+D66+D71+D75</f>
        <v>301.99999999999994</v>
      </c>
      <c r="E77" s="330">
        <f>E61+E66+E71+E75</f>
        <v>300.5</v>
      </c>
      <c r="F77" s="330"/>
      <c r="G77" s="331">
        <f>G61+G66+G71+G75</f>
        <v>0</v>
      </c>
      <c r="H77" s="331">
        <f>H61+H66+H71+H75</f>
        <v>0</v>
      </c>
      <c r="I77" s="331">
        <f>I61+I66+I71+I75</f>
        <v>0</v>
      </c>
      <c r="J77" s="331">
        <f>J61+J66+J71+J75</f>
        <v>0</v>
      </c>
      <c r="K77" s="332">
        <f>K61+K66+K71+K75</f>
        <v>0</v>
      </c>
    </row>
    <row r="78" spans="2:11" s="313" customFormat="1" ht="14.7" hidden="1" outlineLevel="1" thickTop="1" x14ac:dyDescent="0.55000000000000004">
      <c r="B78" s="323" t="s">
        <v>280</v>
      </c>
      <c r="C78" s="333"/>
      <c r="D78" s="104">
        <f>D77/C77-1</f>
        <v>-0.21476859074362997</v>
      </c>
      <c r="E78" s="113">
        <f>E77/D77-1</f>
        <v>-4.9668874172184019E-3</v>
      </c>
      <c r="F78" s="335"/>
      <c r="G78" s="336"/>
      <c r="H78" s="336"/>
      <c r="I78" s="336"/>
      <c r="J78" s="336"/>
      <c r="K78" s="337"/>
    </row>
    <row r="79" spans="2:11" s="313" customFormat="1" hidden="1" outlineLevel="1" x14ac:dyDescent="0.55000000000000004">
      <c r="B79" s="323" t="s">
        <v>278</v>
      </c>
      <c r="C79" s="341">
        <f>C81/C77</f>
        <v>52.922516900676023</v>
      </c>
      <c r="D79" s="338">
        <f t="shared" ref="D79:E79" si="23">D81/D77</f>
        <v>77.294701986754987</v>
      </c>
      <c r="E79" s="342">
        <f t="shared" si="23"/>
        <v>90.798668885191347</v>
      </c>
      <c r="F79" s="342"/>
      <c r="G79" s="343"/>
      <c r="H79" s="343"/>
      <c r="I79" s="343"/>
      <c r="J79" s="343"/>
      <c r="K79" s="344"/>
    </row>
    <row r="80" spans="2:11" s="313" customFormat="1" hidden="1" outlineLevel="1" x14ac:dyDescent="0.55000000000000004">
      <c r="B80" s="323" t="s">
        <v>281</v>
      </c>
      <c r="C80" s="341"/>
      <c r="D80" s="104">
        <f>D79/C79-1</f>
        <v>0.46052581232710876</v>
      </c>
      <c r="E80" s="113">
        <f>E79/D79-1</f>
        <v>0.17470753559215946</v>
      </c>
      <c r="F80" s="342"/>
      <c r="G80" s="343"/>
      <c r="H80" s="343"/>
      <c r="I80" s="343"/>
      <c r="J80" s="343"/>
      <c r="K80" s="344"/>
    </row>
    <row r="81" spans="2:11" s="313" customFormat="1" ht="14.7" hidden="1" outlineLevel="1" thickBot="1" x14ac:dyDescent="0.6">
      <c r="B81" s="322" t="s">
        <v>276</v>
      </c>
      <c r="C81" s="38">
        <v>20354</v>
      </c>
      <c r="D81" s="39">
        <v>23343</v>
      </c>
      <c r="E81" s="40">
        <v>27285</v>
      </c>
      <c r="F81" s="330"/>
      <c r="G81" s="331"/>
      <c r="H81" s="331"/>
      <c r="I81" s="331"/>
      <c r="J81" s="331"/>
      <c r="K81" s="332"/>
    </row>
    <row r="82" spans="2:11" s="313" customFormat="1" ht="14.7" hidden="1" outlineLevel="1" thickTop="1" x14ac:dyDescent="0.55000000000000004">
      <c r="B82" s="321"/>
      <c r="C82" s="333"/>
      <c r="D82" s="334"/>
      <c r="E82" s="335"/>
      <c r="F82" s="335"/>
      <c r="G82" s="336"/>
      <c r="H82" s="336"/>
      <c r="I82" s="336"/>
      <c r="J82" s="336"/>
      <c r="K82" s="337"/>
    </row>
    <row r="83" spans="2:11" s="313" customFormat="1" ht="14.7" hidden="1" outlineLevel="1" thickBot="1" x14ac:dyDescent="0.6">
      <c r="B83" s="322" t="s">
        <v>274</v>
      </c>
      <c r="C83" s="328">
        <v>55.3</v>
      </c>
      <c r="D83" s="329">
        <v>41.8</v>
      </c>
      <c r="E83" s="330">
        <v>29.7</v>
      </c>
      <c r="F83" s="330"/>
      <c r="G83" s="331"/>
      <c r="H83" s="331"/>
      <c r="I83" s="331"/>
      <c r="J83" s="331"/>
      <c r="K83" s="332"/>
    </row>
    <row r="84" spans="2:11" s="313" customFormat="1" ht="14.7" hidden="1" outlineLevel="1" thickTop="1" x14ac:dyDescent="0.55000000000000004">
      <c r="B84" s="323" t="s">
        <v>280</v>
      </c>
      <c r="C84" s="333"/>
      <c r="D84" s="104">
        <f>D83/C83-1</f>
        <v>-0.24412296564195302</v>
      </c>
      <c r="E84" s="113">
        <f>E83/D83-1</f>
        <v>-0.28947368421052633</v>
      </c>
      <c r="F84" s="335"/>
      <c r="G84" s="336"/>
      <c r="H84" s="336"/>
      <c r="I84" s="336"/>
      <c r="J84" s="336"/>
      <c r="K84" s="337"/>
    </row>
    <row r="85" spans="2:11" s="313" customFormat="1" hidden="1" outlineLevel="1" x14ac:dyDescent="0.55000000000000004">
      <c r="B85" s="323" t="s">
        <v>278</v>
      </c>
      <c r="C85" s="341">
        <f>C87/C83</f>
        <v>120.27124773960217</v>
      </c>
      <c r="D85" s="338">
        <f t="shared" ref="D85" si="24">D87/D83</f>
        <v>142.29665071770336</v>
      </c>
      <c r="E85" s="342">
        <f t="shared" ref="E85" si="25">E87/E83</f>
        <v>142.82828282828282</v>
      </c>
      <c r="F85" s="335"/>
      <c r="G85" s="336"/>
      <c r="H85" s="336"/>
      <c r="I85" s="336"/>
      <c r="J85" s="336"/>
      <c r="K85" s="337"/>
    </row>
    <row r="86" spans="2:11" s="313" customFormat="1" hidden="1" outlineLevel="1" x14ac:dyDescent="0.55000000000000004">
      <c r="B86" s="323" t="s">
        <v>281</v>
      </c>
      <c r="C86" s="341"/>
      <c r="D86" s="104">
        <f>D85/C85-1</f>
        <v>0.18313107573131782</v>
      </c>
      <c r="E86" s="113">
        <f>E85/D85-1</f>
        <v>3.7360830904877851E-3</v>
      </c>
      <c r="F86" s="335"/>
      <c r="G86" s="336"/>
      <c r="H86" s="336"/>
      <c r="I86" s="336"/>
      <c r="J86" s="336"/>
      <c r="K86" s="337"/>
    </row>
    <row r="87" spans="2:11" s="313" customFormat="1" ht="14.7" hidden="1" outlineLevel="1" thickBot="1" x14ac:dyDescent="0.6">
      <c r="B87" s="322" t="s">
        <v>277</v>
      </c>
      <c r="C87" s="38">
        <f>C9</f>
        <v>6651</v>
      </c>
      <c r="D87" s="39">
        <f t="shared" ref="D87:E87" si="26">D9</f>
        <v>5948</v>
      </c>
      <c r="E87" s="40">
        <f t="shared" si="26"/>
        <v>4242</v>
      </c>
      <c r="F87" s="330"/>
      <c r="G87" s="331"/>
      <c r="H87" s="331"/>
      <c r="I87" s="331"/>
      <c r="J87" s="331"/>
      <c r="K87" s="332"/>
    </row>
    <row r="88" spans="2:11" s="313" customFormat="1" ht="14.7" hidden="1" outlineLevel="1" thickTop="1" x14ac:dyDescent="0.55000000000000004">
      <c r="B88" s="321"/>
      <c r="C88" s="333"/>
      <c r="D88" s="334"/>
      <c r="E88" s="335"/>
      <c r="F88" s="335"/>
      <c r="G88" s="336"/>
      <c r="H88" s="336"/>
      <c r="I88" s="336"/>
      <c r="J88" s="336"/>
      <c r="K88" s="337"/>
    </row>
    <row r="89" spans="2:11" s="313" customFormat="1" hidden="1" outlineLevel="1" x14ac:dyDescent="0.55000000000000004">
      <c r="B89" s="320" t="s">
        <v>261</v>
      </c>
      <c r="C89" s="333"/>
      <c r="D89" s="334"/>
      <c r="E89" s="335"/>
      <c r="F89" s="335"/>
      <c r="G89" s="336"/>
      <c r="H89" s="336"/>
      <c r="I89" s="336"/>
      <c r="J89" s="336"/>
      <c r="K89" s="337"/>
    </row>
    <row r="90" spans="2:11" s="313" customFormat="1" hidden="1" outlineLevel="1" x14ac:dyDescent="0.55000000000000004">
      <c r="B90" s="320"/>
      <c r="C90" s="333"/>
      <c r="D90" s="334"/>
      <c r="E90" s="335"/>
      <c r="F90" s="335"/>
      <c r="G90" s="336"/>
      <c r="H90" s="336"/>
      <c r="I90" s="336"/>
      <c r="J90" s="336"/>
      <c r="K90" s="337"/>
    </row>
    <row r="91" spans="2:11" s="313" customFormat="1" hidden="1" outlineLevel="1" x14ac:dyDescent="0.55000000000000004">
      <c r="B91" s="63" t="s">
        <v>265</v>
      </c>
      <c r="C91" s="333"/>
      <c r="D91" s="334"/>
      <c r="E91" s="335"/>
      <c r="F91" s="335"/>
      <c r="G91" s="336"/>
      <c r="H91" s="336"/>
      <c r="I91" s="336"/>
      <c r="J91" s="336"/>
      <c r="K91" s="337"/>
    </row>
    <row r="92" spans="2:11" s="313" customFormat="1" hidden="1" outlineLevel="1" x14ac:dyDescent="0.55000000000000004">
      <c r="B92" s="57" t="s">
        <v>262</v>
      </c>
      <c r="C92" s="333"/>
      <c r="D92" s="334"/>
      <c r="E92" s="335"/>
      <c r="F92" s="335"/>
      <c r="G92" s="336"/>
      <c r="H92" s="336"/>
      <c r="I92" s="336"/>
      <c r="J92" s="336"/>
      <c r="K92" s="337"/>
    </row>
    <row r="93" spans="2:11" s="313" customFormat="1" hidden="1" outlineLevel="1" x14ac:dyDescent="0.55000000000000004">
      <c r="B93" s="57" t="s">
        <v>263</v>
      </c>
      <c r="C93" s="333"/>
      <c r="D93" s="334"/>
      <c r="E93" s="335"/>
      <c r="F93" s="335"/>
      <c r="G93" s="336"/>
      <c r="H93" s="336"/>
      <c r="I93" s="336"/>
      <c r="J93" s="336"/>
      <c r="K93" s="337"/>
    </row>
    <row r="94" spans="2:11" s="313" customFormat="1" hidden="1" outlineLevel="1" x14ac:dyDescent="0.55000000000000004">
      <c r="B94" s="57" t="s">
        <v>264</v>
      </c>
      <c r="C94" s="333"/>
      <c r="D94" s="334"/>
      <c r="E94" s="335"/>
      <c r="F94" s="335"/>
      <c r="G94" s="336"/>
      <c r="H94" s="336"/>
      <c r="I94" s="336"/>
      <c r="J94" s="336"/>
      <c r="K94" s="337"/>
    </row>
    <row r="95" spans="2:11" s="313" customFormat="1" hidden="1" outlineLevel="1" x14ac:dyDescent="0.55000000000000004">
      <c r="B95" s="320"/>
      <c r="C95" s="333"/>
      <c r="D95" s="334"/>
      <c r="E95" s="335"/>
      <c r="F95" s="335"/>
      <c r="G95" s="336"/>
      <c r="H95" s="336"/>
      <c r="I95" s="336"/>
      <c r="J95" s="336"/>
      <c r="K95" s="337"/>
    </row>
    <row r="96" spans="2:11" s="313" customFormat="1" hidden="1" outlineLevel="1" x14ac:dyDescent="0.55000000000000004">
      <c r="B96" s="63" t="s">
        <v>266</v>
      </c>
      <c r="C96" s="333"/>
      <c r="D96" s="334"/>
      <c r="E96" s="335"/>
      <c r="F96" s="335"/>
      <c r="G96" s="336"/>
      <c r="H96" s="336"/>
      <c r="I96" s="336"/>
      <c r="J96" s="336"/>
      <c r="K96" s="337"/>
    </row>
    <row r="97" spans="2:11" s="313" customFormat="1" hidden="1" outlineLevel="1" x14ac:dyDescent="0.55000000000000004">
      <c r="B97" s="57" t="s">
        <v>270</v>
      </c>
      <c r="C97" s="333"/>
      <c r="D97" s="334"/>
      <c r="E97" s="335"/>
      <c r="F97" s="335"/>
      <c r="G97" s="336"/>
      <c r="H97" s="336"/>
      <c r="I97" s="336"/>
      <c r="J97" s="336"/>
      <c r="K97" s="337"/>
    </row>
    <row r="98" spans="2:11" s="313" customFormat="1" hidden="1" outlineLevel="1" x14ac:dyDescent="0.55000000000000004">
      <c r="B98" s="57" t="s">
        <v>271</v>
      </c>
      <c r="C98" s="333"/>
      <c r="D98" s="334"/>
      <c r="E98" s="335"/>
      <c r="F98" s="335"/>
      <c r="G98" s="336"/>
      <c r="H98" s="336"/>
      <c r="I98" s="336"/>
      <c r="J98" s="336"/>
      <c r="K98" s="337"/>
    </row>
    <row r="99" spans="2:11" s="313" customFormat="1" hidden="1" outlineLevel="1" x14ac:dyDescent="0.55000000000000004">
      <c r="B99" s="57" t="s">
        <v>272</v>
      </c>
      <c r="C99" s="333"/>
      <c r="D99" s="334"/>
      <c r="E99" s="335"/>
      <c r="F99" s="335"/>
      <c r="G99" s="336"/>
      <c r="H99" s="336"/>
      <c r="I99" s="336"/>
      <c r="J99" s="336"/>
      <c r="K99" s="337"/>
    </row>
    <row r="100" spans="2:11" s="313" customFormat="1" hidden="1" outlineLevel="1" x14ac:dyDescent="0.55000000000000004">
      <c r="B100" s="320"/>
      <c r="C100" s="333"/>
      <c r="D100" s="334"/>
      <c r="E100" s="335"/>
      <c r="F100" s="335"/>
      <c r="G100" s="336"/>
      <c r="H100" s="336"/>
      <c r="I100" s="336"/>
      <c r="J100" s="336"/>
      <c r="K100" s="337"/>
    </row>
    <row r="101" spans="2:11" s="313" customFormat="1" hidden="1" outlineLevel="1" x14ac:dyDescent="0.55000000000000004">
      <c r="B101" s="63" t="s">
        <v>267</v>
      </c>
      <c r="C101" s="333"/>
      <c r="D101" s="334"/>
      <c r="E101" s="335"/>
      <c r="F101" s="335"/>
      <c r="G101" s="336"/>
      <c r="H101" s="336"/>
      <c r="I101" s="336"/>
      <c r="J101" s="336"/>
      <c r="K101" s="337"/>
    </row>
    <row r="102" spans="2:11" s="313" customFormat="1" hidden="1" outlineLevel="1" x14ac:dyDescent="0.55000000000000004">
      <c r="B102" s="57" t="s">
        <v>268</v>
      </c>
      <c r="C102" s="333"/>
      <c r="D102" s="334"/>
      <c r="E102" s="335"/>
      <c r="F102" s="335"/>
      <c r="G102" s="336"/>
      <c r="H102" s="336"/>
      <c r="I102" s="336"/>
      <c r="J102" s="336"/>
      <c r="K102" s="337"/>
    </row>
    <row r="103" spans="2:11" s="313" customFormat="1" hidden="1" outlineLevel="1" x14ac:dyDescent="0.55000000000000004">
      <c r="B103" s="57" t="s">
        <v>269</v>
      </c>
      <c r="C103" s="333"/>
      <c r="D103" s="334"/>
      <c r="E103" s="335"/>
      <c r="F103" s="335"/>
      <c r="G103" s="336"/>
      <c r="H103" s="336"/>
      <c r="I103" s="336"/>
      <c r="J103" s="336"/>
      <c r="K103" s="337"/>
    </row>
    <row r="104" spans="2:11" s="313" customFormat="1" ht="14.7" collapsed="1" thickBot="1" x14ac:dyDescent="0.6">
      <c r="B104" s="128"/>
      <c r="C104" s="324"/>
      <c r="D104" s="149"/>
      <c r="E104" s="325"/>
      <c r="F104" s="325"/>
      <c r="G104" s="326"/>
      <c r="H104" s="326"/>
      <c r="I104" s="326"/>
      <c r="J104" s="326"/>
      <c r="K104" s="327"/>
    </row>
    <row r="105" spans="2:11" s="313" customFormat="1" x14ac:dyDescent="0.55000000000000004">
      <c r="B105" s="145"/>
      <c r="C105" s="145"/>
      <c r="D105" s="145"/>
      <c r="E105" s="145"/>
      <c r="F105" s="145"/>
      <c r="G105" s="145"/>
      <c r="H105" s="145"/>
      <c r="I105" s="145"/>
      <c r="J105" s="145"/>
      <c r="K105" s="145"/>
    </row>
    <row r="106" spans="2:11" s="313" customFormat="1" x14ac:dyDescent="0.55000000000000004"/>
    <row r="107" spans="2:11" s="313" customFormat="1" ht="14.7" thickBot="1" x14ac:dyDescent="0.6">
      <c r="B107" s="129" t="s">
        <v>283</v>
      </c>
      <c r="C107" s="18"/>
      <c r="D107" s="2"/>
      <c r="E107" s="2"/>
      <c r="F107" s="2"/>
      <c r="G107" s="15"/>
      <c r="H107" s="2"/>
      <c r="I107" s="2"/>
      <c r="J107" s="2"/>
      <c r="K107" s="2"/>
    </row>
    <row r="108" spans="2:11" s="313" customFormat="1" ht="15" thickTop="1" thickBot="1" x14ac:dyDescent="0.6">
      <c r="B108" s="1"/>
      <c r="C108" s="314" t="s">
        <v>11</v>
      </c>
      <c r="D108" s="315"/>
      <c r="E108" s="315"/>
      <c r="F108" s="316"/>
      <c r="G108" s="317" t="s">
        <v>12</v>
      </c>
      <c r="H108" s="317"/>
      <c r="I108" s="317"/>
      <c r="J108" s="317"/>
      <c r="K108" s="318"/>
    </row>
    <row r="109" spans="2:11" s="313" customFormat="1" x14ac:dyDescent="0.55000000000000004">
      <c r="B109" s="319" t="s">
        <v>282</v>
      </c>
      <c r="C109" s="21">
        <v>2018</v>
      </c>
      <c r="D109" s="22">
        <v>2019</v>
      </c>
      <c r="E109" s="23">
        <v>2020</v>
      </c>
      <c r="F109" s="23" t="s">
        <v>275</v>
      </c>
      <c r="G109" s="24">
        <v>2021</v>
      </c>
      <c r="H109" s="24">
        <v>2022</v>
      </c>
      <c r="I109" s="24">
        <v>2023</v>
      </c>
      <c r="J109" s="24">
        <v>2024</v>
      </c>
      <c r="K109" s="65">
        <v>2025</v>
      </c>
    </row>
    <row r="110" spans="2:11" s="313" customFormat="1" hidden="1" outlineLevel="1" x14ac:dyDescent="0.55000000000000004">
      <c r="B110" s="323" t="s">
        <v>309</v>
      </c>
      <c r="C110" s="148"/>
      <c r="D110" s="146"/>
      <c r="E110" s="147"/>
      <c r="F110" s="147"/>
      <c r="G110" s="143"/>
      <c r="H110" s="143"/>
      <c r="I110" s="143"/>
      <c r="J110" s="143"/>
      <c r="K110" s="144"/>
    </row>
    <row r="111" spans="2:11" s="313" customFormat="1" hidden="1" outlineLevel="1" x14ac:dyDescent="0.55000000000000004">
      <c r="B111" s="323" t="s">
        <v>316</v>
      </c>
      <c r="C111" s="148"/>
      <c r="D111" s="146"/>
      <c r="E111" s="147"/>
      <c r="F111" s="147"/>
      <c r="G111" s="143"/>
      <c r="H111" s="143"/>
      <c r="I111" s="143"/>
      <c r="J111" s="143"/>
      <c r="K111" s="144"/>
    </row>
    <row r="112" spans="2:11" s="313" customFormat="1" hidden="1" outlineLevel="1" x14ac:dyDescent="0.55000000000000004">
      <c r="B112" s="323"/>
      <c r="C112" s="148"/>
      <c r="D112" s="146"/>
      <c r="E112" s="147"/>
      <c r="F112" s="147"/>
      <c r="G112" s="143"/>
      <c r="H112" s="143"/>
      <c r="I112" s="143"/>
      <c r="J112" s="143"/>
      <c r="K112" s="144"/>
    </row>
    <row r="113" spans="2:11" s="313" customFormat="1" hidden="1" outlineLevel="1" x14ac:dyDescent="0.55000000000000004">
      <c r="B113" s="82" t="s">
        <v>287</v>
      </c>
      <c r="C113" s="148">
        <v>50.6</v>
      </c>
      <c r="D113" s="146">
        <v>50.8</v>
      </c>
      <c r="E113" s="147">
        <v>43.3</v>
      </c>
      <c r="F113" s="113">
        <f>E113/$E$121</f>
        <v>0.2015828677839851</v>
      </c>
      <c r="G113" s="143"/>
      <c r="H113" s="143"/>
      <c r="I113" s="143"/>
      <c r="J113" s="143"/>
      <c r="K113" s="144"/>
    </row>
    <row r="114" spans="2:11" s="313" customFormat="1" hidden="1" outlineLevel="1" x14ac:dyDescent="0.55000000000000004">
      <c r="B114" s="82" t="s">
        <v>288</v>
      </c>
      <c r="C114" s="148">
        <v>14.8</v>
      </c>
      <c r="D114" s="146">
        <v>11.3</v>
      </c>
      <c r="E114" s="147">
        <v>10.6</v>
      </c>
      <c r="F114" s="113">
        <f t="shared" ref="F114:F119" si="27">E114/$E$121</f>
        <v>4.9348230912476726E-2</v>
      </c>
      <c r="G114" s="143"/>
      <c r="H114" s="143"/>
      <c r="I114" s="143"/>
      <c r="J114" s="143"/>
      <c r="K114" s="144"/>
    </row>
    <row r="115" spans="2:11" s="313" customFormat="1" hidden="1" outlineLevel="1" x14ac:dyDescent="0.55000000000000004">
      <c r="B115" s="82" t="s">
        <v>289</v>
      </c>
      <c r="C115" s="148">
        <v>38.6</v>
      </c>
      <c r="D115" s="146">
        <v>35.4</v>
      </c>
      <c r="E115" s="147">
        <v>35.700000000000003</v>
      </c>
      <c r="F115" s="113">
        <f t="shared" si="27"/>
        <v>0.16620111731843579</v>
      </c>
      <c r="G115" s="143"/>
      <c r="H115" s="143"/>
      <c r="I115" s="143"/>
      <c r="J115" s="143"/>
      <c r="K115" s="144"/>
    </row>
    <row r="116" spans="2:11" s="313" customFormat="1" hidden="1" outlineLevel="1" x14ac:dyDescent="0.55000000000000004">
      <c r="B116" s="82" t="s">
        <v>290</v>
      </c>
      <c r="C116" s="148">
        <v>72.099999999999994</v>
      </c>
      <c r="D116" s="146">
        <v>68.2</v>
      </c>
      <c r="E116" s="147">
        <v>71.599999999999994</v>
      </c>
      <c r="F116" s="113">
        <f t="shared" si="27"/>
        <v>0.33333333333333331</v>
      </c>
      <c r="G116" s="143"/>
      <c r="H116" s="143"/>
      <c r="I116" s="143"/>
      <c r="J116" s="143"/>
      <c r="K116" s="144"/>
    </row>
    <row r="117" spans="2:11" s="313" customFormat="1" hidden="1" outlineLevel="1" x14ac:dyDescent="0.55000000000000004">
      <c r="B117" s="82" t="s">
        <v>291</v>
      </c>
      <c r="C117" s="148">
        <v>22.9</v>
      </c>
      <c r="D117" s="146">
        <v>11.6</v>
      </c>
      <c r="E117" s="147">
        <v>16</v>
      </c>
      <c r="F117" s="113">
        <f t="shared" si="27"/>
        <v>7.4487895716946001E-2</v>
      </c>
      <c r="G117" s="143"/>
      <c r="H117" s="143"/>
      <c r="I117" s="143"/>
      <c r="J117" s="143"/>
      <c r="K117" s="144"/>
    </row>
    <row r="118" spans="2:11" s="313" customFormat="1" hidden="1" outlineLevel="1" x14ac:dyDescent="0.55000000000000004">
      <c r="B118" s="82" t="s">
        <v>292</v>
      </c>
      <c r="C118" s="148">
        <v>32.5</v>
      </c>
      <c r="D118" s="146">
        <v>23.4</v>
      </c>
      <c r="E118" s="147">
        <v>31</v>
      </c>
      <c r="F118" s="113">
        <f t="shared" si="27"/>
        <v>0.14432029795158288</v>
      </c>
      <c r="G118" s="143"/>
      <c r="H118" s="143"/>
      <c r="I118" s="143"/>
      <c r="J118" s="143"/>
      <c r="K118" s="144"/>
    </row>
    <row r="119" spans="2:11" s="313" customFormat="1" hidden="1" outlineLevel="1" x14ac:dyDescent="0.55000000000000004">
      <c r="B119" s="82" t="s">
        <v>293</v>
      </c>
      <c r="C119" s="148">
        <v>13.1</v>
      </c>
      <c r="D119" s="146">
        <v>7.3</v>
      </c>
      <c r="E119" s="147">
        <v>6.6</v>
      </c>
      <c r="F119" s="113">
        <f t="shared" si="27"/>
        <v>3.0726256983240226E-2</v>
      </c>
      <c r="G119" s="143"/>
      <c r="H119" s="143"/>
      <c r="I119" s="143"/>
      <c r="J119" s="143"/>
      <c r="K119" s="144"/>
    </row>
    <row r="120" spans="2:11" s="313" customFormat="1" hidden="1" outlineLevel="1" x14ac:dyDescent="0.55000000000000004">
      <c r="B120" s="82"/>
      <c r="C120" s="148"/>
      <c r="D120" s="146"/>
      <c r="E120" s="147"/>
      <c r="F120" s="113"/>
      <c r="G120" s="143"/>
      <c r="H120" s="143"/>
      <c r="I120" s="143"/>
      <c r="J120" s="143"/>
      <c r="K120" s="144"/>
    </row>
    <row r="121" spans="2:11" s="313" customFormat="1" ht="14.7" hidden="1" outlineLevel="1" thickBot="1" x14ac:dyDescent="0.6">
      <c r="B121" s="322" t="s">
        <v>294</v>
      </c>
      <c r="C121" s="328">
        <f>C113+C114+C115+C116+C117+C118+C119</f>
        <v>244.6</v>
      </c>
      <c r="D121" s="329">
        <f t="shared" ref="D121:E121" si="28">D113+D114+D115+D116+D117+D118+D119</f>
        <v>208</v>
      </c>
      <c r="E121" s="330">
        <f t="shared" si="28"/>
        <v>214.79999999999998</v>
      </c>
      <c r="F121" s="339"/>
      <c r="G121" s="331"/>
      <c r="H121" s="331"/>
      <c r="I121" s="331"/>
      <c r="J121" s="331"/>
      <c r="K121" s="332"/>
    </row>
    <row r="122" spans="2:11" s="313" customFormat="1" ht="14.7" hidden="1" outlineLevel="1" thickTop="1" x14ac:dyDescent="0.55000000000000004">
      <c r="B122" s="323" t="s">
        <v>280</v>
      </c>
      <c r="C122" s="333"/>
      <c r="D122" s="104">
        <f>D121/C121-1</f>
        <v>-0.14963205233033527</v>
      </c>
      <c r="E122" s="113">
        <f>E121/D121-1</f>
        <v>3.2692307692307576E-2</v>
      </c>
      <c r="F122" s="113"/>
      <c r="G122" s="143"/>
      <c r="H122" s="143"/>
      <c r="I122" s="143"/>
      <c r="J122" s="143"/>
      <c r="K122" s="144"/>
    </row>
    <row r="123" spans="2:11" s="313" customFormat="1" hidden="1" outlineLevel="1" x14ac:dyDescent="0.55000000000000004">
      <c r="B123" s="323" t="s">
        <v>278</v>
      </c>
      <c r="C123" s="341">
        <f>C125/C121</f>
        <v>18.847097301717088</v>
      </c>
      <c r="D123" s="338">
        <f t="shared" ref="D123" si="29">D125/D121</f>
        <v>20.466346153846153</v>
      </c>
      <c r="E123" s="342">
        <f t="shared" ref="E123" si="30">E125/E121</f>
        <v>23.25418994413408</v>
      </c>
      <c r="F123" s="113"/>
      <c r="G123" s="143"/>
      <c r="H123" s="143"/>
      <c r="I123" s="143"/>
      <c r="J123" s="143"/>
      <c r="K123" s="144"/>
    </row>
    <row r="124" spans="2:11" s="313" customFormat="1" hidden="1" outlineLevel="1" x14ac:dyDescent="0.55000000000000004">
      <c r="B124" s="323" t="s">
        <v>281</v>
      </c>
      <c r="C124" s="341"/>
      <c r="D124" s="104">
        <f>D123/C123-1</f>
        <v>8.5915025863507521E-2</v>
      </c>
      <c r="E124" s="113">
        <f>E123/D123-1</f>
        <v>0.13621599914960969</v>
      </c>
      <c r="F124" s="113"/>
      <c r="G124" s="143"/>
      <c r="H124" s="143"/>
      <c r="I124" s="143"/>
      <c r="J124" s="143"/>
      <c r="K124" s="144"/>
    </row>
    <row r="125" spans="2:11" s="313" customFormat="1" ht="14.7" hidden="1" outlineLevel="1" thickBot="1" x14ac:dyDescent="0.6">
      <c r="B125" s="322" t="s">
        <v>295</v>
      </c>
      <c r="C125" s="328">
        <f>C19</f>
        <v>4610</v>
      </c>
      <c r="D125" s="329">
        <f t="shared" ref="D125:E125" si="31">D19</f>
        <v>4257</v>
      </c>
      <c r="E125" s="330">
        <f t="shared" si="31"/>
        <v>4995</v>
      </c>
      <c r="F125" s="339"/>
      <c r="G125" s="331"/>
      <c r="H125" s="331"/>
      <c r="I125" s="331"/>
      <c r="J125" s="331"/>
      <c r="K125" s="332"/>
    </row>
    <row r="126" spans="2:11" s="313" customFormat="1" ht="14.7" hidden="1" outlineLevel="1" thickTop="1" x14ac:dyDescent="0.55000000000000004">
      <c r="B126" s="321"/>
      <c r="C126" s="333"/>
      <c r="D126" s="334"/>
      <c r="E126" s="335"/>
      <c r="F126" s="335"/>
      <c r="G126" s="336"/>
      <c r="H126" s="336"/>
      <c r="I126" s="336"/>
      <c r="J126" s="336"/>
      <c r="K126" s="337"/>
    </row>
    <row r="127" spans="2:11" s="313" customFormat="1" hidden="1" outlineLevel="1" x14ac:dyDescent="0.55000000000000004">
      <c r="B127" s="320" t="s">
        <v>261</v>
      </c>
      <c r="C127" s="333"/>
      <c r="D127" s="334"/>
      <c r="E127" s="335"/>
      <c r="F127" s="335"/>
      <c r="G127" s="336"/>
      <c r="H127" s="336"/>
      <c r="I127" s="336"/>
      <c r="J127" s="336"/>
      <c r="K127" s="337"/>
    </row>
    <row r="128" spans="2:11" s="313" customFormat="1" hidden="1" outlineLevel="1" x14ac:dyDescent="0.55000000000000004">
      <c r="B128" s="320"/>
      <c r="C128" s="333"/>
      <c r="D128" s="334"/>
      <c r="E128" s="335"/>
      <c r="F128" s="335"/>
      <c r="G128" s="336"/>
      <c r="H128" s="336"/>
      <c r="I128" s="336"/>
      <c r="J128" s="336"/>
      <c r="K128" s="337"/>
    </row>
    <row r="129" spans="2:11" s="313" customFormat="1" hidden="1" outlineLevel="1" x14ac:dyDescent="0.55000000000000004">
      <c r="B129" s="84" t="s">
        <v>296</v>
      </c>
      <c r="C129" s="333"/>
      <c r="D129" s="334"/>
      <c r="E129" s="335"/>
      <c r="F129" s="335"/>
      <c r="G129" s="336"/>
      <c r="H129" s="336"/>
      <c r="I129" s="336"/>
      <c r="J129" s="336"/>
      <c r="K129" s="337"/>
    </row>
    <row r="130" spans="2:11" s="313" customFormat="1" hidden="1" outlineLevel="1" x14ac:dyDescent="0.55000000000000004">
      <c r="B130" s="84" t="s">
        <v>297</v>
      </c>
      <c r="C130" s="333"/>
      <c r="D130" s="334"/>
      <c r="E130" s="335"/>
      <c r="F130" s="335"/>
      <c r="G130" s="336"/>
      <c r="H130" s="336"/>
      <c r="I130" s="336"/>
      <c r="J130" s="336"/>
      <c r="K130" s="337"/>
    </row>
    <row r="131" spans="2:11" s="313" customFormat="1" hidden="1" outlineLevel="1" x14ac:dyDescent="0.55000000000000004">
      <c r="B131" s="84" t="s">
        <v>300</v>
      </c>
      <c r="C131" s="333"/>
      <c r="D131" s="334"/>
      <c r="E131" s="335"/>
      <c r="F131" s="335"/>
      <c r="G131" s="336"/>
      <c r="H131" s="336"/>
      <c r="I131" s="336"/>
      <c r="J131" s="336"/>
      <c r="K131" s="337"/>
    </row>
    <row r="132" spans="2:11" s="313" customFormat="1" hidden="1" outlineLevel="1" x14ac:dyDescent="0.55000000000000004">
      <c r="B132" s="84" t="s">
        <v>298</v>
      </c>
      <c r="C132" s="333"/>
      <c r="D132" s="334"/>
      <c r="E132" s="335"/>
      <c r="F132" s="335"/>
      <c r="G132" s="336"/>
      <c r="H132" s="336"/>
      <c r="I132" s="336"/>
      <c r="J132" s="336"/>
      <c r="K132" s="337"/>
    </row>
    <row r="133" spans="2:11" s="313" customFormat="1" hidden="1" outlineLevel="1" x14ac:dyDescent="0.55000000000000004">
      <c r="B133" s="84" t="s">
        <v>299</v>
      </c>
      <c r="C133" s="333"/>
      <c r="D133" s="334"/>
      <c r="E133" s="335"/>
      <c r="F133" s="335"/>
      <c r="G133" s="336"/>
      <c r="H133" s="336"/>
      <c r="I133" s="336"/>
      <c r="J133" s="336"/>
      <c r="K133" s="337"/>
    </row>
    <row r="134" spans="2:11" s="313" customFormat="1" ht="14.7" collapsed="1" thickBot="1" x14ac:dyDescent="0.6">
      <c r="B134" s="128"/>
      <c r="C134" s="324"/>
      <c r="D134" s="149"/>
      <c r="E134" s="325"/>
      <c r="F134" s="325"/>
      <c r="G134" s="326"/>
      <c r="H134" s="326"/>
      <c r="I134" s="326"/>
      <c r="J134" s="326"/>
      <c r="K134" s="327"/>
    </row>
    <row r="135" spans="2:11" s="313" customFormat="1" x14ac:dyDescent="0.55000000000000004">
      <c r="B135" s="145"/>
      <c r="C135" s="145"/>
      <c r="D135" s="145"/>
      <c r="E135" s="145"/>
      <c r="F135" s="145"/>
      <c r="G135" s="145"/>
      <c r="H135" s="145"/>
      <c r="I135" s="145"/>
      <c r="J135" s="145"/>
      <c r="K135" s="145"/>
    </row>
    <row r="136" spans="2:11" s="313" customFormat="1" x14ac:dyDescent="0.55000000000000004"/>
    <row r="137" spans="2:11" s="313" customFormat="1" ht="14.7" thickBot="1" x14ac:dyDescent="0.6">
      <c r="B137" s="129" t="s">
        <v>285</v>
      </c>
      <c r="C137" s="18"/>
      <c r="D137" s="2"/>
      <c r="E137" s="2"/>
      <c r="F137" s="2"/>
      <c r="G137" s="15"/>
      <c r="H137" s="2"/>
      <c r="I137" s="2"/>
      <c r="J137" s="2"/>
      <c r="K137" s="2"/>
    </row>
    <row r="138" spans="2:11" s="313" customFormat="1" ht="15" thickTop="1" thickBot="1" x14ac:dyDescent="0.6">
      <c r="B138" s="1"/>
      <c r="C138" s="275" t="s">
        <v>11</v>
      </c>
      <c r="D138" s="276"/>
      <c r="E138" s="276"/>
      <c r="F138" s="277"/>
      <c r="G138" s="280" t="s">
        <v>12</v>
      </c>
      <c r="H138" s="278"/>
      <c r="I138" s="278"/>
      <c r="J138" s="278"/>
      <c r="K138" s="279"/>
    </row>
    <row r="139" spans="2:11" s="313" customFormat="1" x14ac:dyDescent="0.55000000000000004">
      <c r="B139" s="319" t="s">
        <v>282</v>
      </c>
      <c r="C139" s="21">
        <v>2018</v>
      </c>
      <c r="D139" s="22">
        <v>2019</v>
      </c>
      <c r="E139" s="23">
        <v>2020</v>
      </c>
      <c r="F139" s="23" t="s">
        <v>275</v>
      </c>
      <c r="G139" s="24">
        <v>2021</v>
      </c>
      <c r="H139" s="24">
        <v>2022</v>
      </c>
      <c r="I139" s="24">
        <v>2023</v>
      </c>
      <c r="J139" s="24">
        <v>2024</v>
      </c>
      <c r="K139" s="65">
        <v>2025</v>
      </c>
    </row>
    <row r="140" spans="2:11" s="313" customFormat="1" hidden="1" outlineLevel="1" x14ac:dyDescent="0.55000000000000004">
      <c r="B140" s="323" t="s">
        <v>308</v>
      </c>
      <c r="C140" s="148"/>
      <c r="D140" s="146"/>
      <c r="E140" s="147"/>
      <c r="F140" s="147"/>
      <c r="G140" s="143"/>
      <c r="H140" s="143"/>
      <c r="I140" s="143"/>
      <c r="J140" s="143"/>
      <c r="K140" s="144"/>
    </row>
    <row r="141" spans="2:11" s="313" customFormat="1" hidden="1" outlineLevel="1" x14ac:dyDescent="0.55000000000000004">
      <c r="B141" s="323" t="s">
        <v>317</v>
      </c>
      <c r="C141" s="148"/>
      <c r="D141" s="146"/>
      <c r="E141" s="147"/>
      <c r="F141" s="147"/>
      <c r="G141" s="143"/>
      <c r="H141" s="143"/>
      <c r="I141" s="143"/>
      <c r="J141" s="143"/>
      <c r="K141" s="144"/>
    </row>
    <row r="142" spans="2:11" s="313" customFormat="1" hidden="1" outlineLevel="1" x14ac:dyDescent="0.55000000000000004">
      <c r="B142" s="323"/>
      <c r="C142" s="148"/>
      <c r="D142" s="146"/>
      <c r="E142" s="147"/>
      <c r="F142" s="147"/>
      <c r="G142" s="143"/>
      <c r="H142" s="143"/>
      <c r="I142" s="143"/>
      <c r="J142" s="143"/>
      <c r="K142" s="144"/>
    </row>
    <row r="143" spans="2:11" s="313" customFormat="1" hidden="1" outlineLevel="1" x14ac:dyDescent="0.55000000000000004">
      <c r="B143" s="321" t="s">
        <v>267</v>
      </c>
      <c r="C143" s="148"/>
      <c r="D143" s="146"/>
      <c r="E143" s="147"/>
      <c r="F143" s="147"/>
      <c r="G143" s="143"/>
      <c r="H143" s="143"/>
      <c r="I143" s="143"/>
      <c r="J143" s="143"/>
      <c r="K143" s="144"/>
    </row>
    <row r="144" spans="2:11" s="313" customFormat="1" hidden="1" outlineLevel="1" x14ac:dyDescent="0.55000000000000004">
      <c r="B144" s="82" t="s">
        <v>304</v>
      </c>
      <c r="C144" s="148">
        <v>92.2</v>
      </c>
      <c r="D144" s="146">
        <v>65.5</v>
      </c>
      <c r="E144" s="147">
        <v>87.7</v>
      </c>
      <c r="F144" s="113">
        <f>E144/$E$155</f>
        <v>0.24361111111111111</v>
      </c>
      <c r="G144" s="143"/>
      <c r="H144" s="143"/>
      <c r="I144" s="143"/>
      <c r="J144" s="143"/>
      <c r="K144" s="144"/>
    </row>
    <row r="145" spans="2:11" s="313" customFormat="1" hidden="1" outlineLevel="1" x14ac:dyDescent="0.55000000000000004">
      <c r="B145" s="82" t="s">
        <v>305</v>
      </c>
      <c r="C145" s="148">
        <v>192.6</v>
      </c>
      <c r="D145" s="146">
        <v>189.4</v>
      </c>
      <c r="E145" s="147">
        <v>172.7</v>
      </c>
      <c r="F145" s="113">
        <f t="shared" ref="F145:F146" si="32">E145/$E$155</f>
        <v>0.47972222222222222</v>
      </c>
      <c r="G145" s="143"/>
      <c r="H145" s="143"/>
      <c r="I145" s="143"/>
      <c r="J145" s="143"/>
      <c r="K145" s="144"/>
    </row>
    <row r="146" spans="2:11" s="313" customFormat="1" ht="14.7" hidden="1" outlineLevel="1" thickBot="1" x14ac:dyDescent="0.6">
      <c r="B146" s="322" t="s">
        <v>301</v>
      </c>
      <c r="C146" s="328">
        <f>C144+C145</f>
        <v>284.8</v>
      </c>
      <c r="D146" s="329">
        <f t="shared" ref="D146:E146" si="33">D144+D145</f>
        <v>254.9</v>
      </c>
      <c r="E146" s="330">
        <f t="shared" si="33"/>
        <v>260.39999999999998</v>
      </c>
      <c r="F146" s="339">
        <f t="shared" si="32"/>
        <v>0.72333333333333327</v>
      </c>
      <c r="G146" s="331"/>
      <c r="H146" s="331"/>
      <c r="I146" s="331"/>
      <c r="J146" s="331"/>
      <c r="K146" s="332"/>
    </row>
    <row r="147" spans="2:11" s="313" customFormat="1" ht="14.7" hidden="1" outlineLevel="1" thickTop="1" x14ac:dyDescent="0.55000000000000004">
      <c r="B147" s="127"/>
      <c r="C147" s="148"/>
      <c r="D147" s="146"/>
      <c r="E147" s="147"/>
      <c r="F147" s="113"/>
      <c r="G147" s="143"/>
      <c r="H147" s="143"/>
      <c r="I147" s="143"/>
      <c r="J147" s="143"/>
      <c r="K147" s="144"/>
    </row>
    <row r="148" spans="2:11" s="313" customFormat="1" hidden="1" outlineLevel="1" x14ac:dyDescent="0.55000000000000004">
      <c r="B148" s="321" t="s">
        <v>302</v>
      </c>
      <c r="C148" s="148"/>
      <c r="D148" s="146"/>
      <c r="E148" s="147"/>
      <c r="F148" s="113"/>
      <c r="G148" s="143"/>
      <c r="H148" s="143"/>
      <c r="I148" s="143"/>
      <c r="J148" s="143"/>
      <c r="K148" s="144"/>
    </row>
    <row r="149" spans="2:11" s="313" customFormat="1" hidden="1" outlineLevel="1" x14ac:dyDescent="0.55000000000000004">
      <c r="B149" s="82" t="s">
        <v>287</v>
      </c>
      <c r="C149" s="148">
        <v>72.3</v>
      </c>
      <c r="D149" s="146">
        <v>92.8</v>
      </c>
      <c r="E149" s="147">
        <v>76.5</v>
      </c>
      <c r="F149" s="113">
        <f t="shared" ref="F149:F153" si="34">E149/$E$155</f>
        <v>0.21249999999999999</v>
      </c>
      <c r="G149" s="143"/>
      <c r="H149" s="143"/>
      <c r="I149" s="143"/>
      <c r="J149" s="143"/>
      <c r="K149" s="144"/>
    </row>
    <row r="150" spans="2:11" s="313" customFormat="1" hidden="1" outlineLevel="1" x14ac:dyDescent="0.55000000000000004">
      <c r="B150" s="82" t="s">
        <v>306</v>
      </c>
      <c r="C150" s="148">
        <v>25.7</v>
      </c>
      <c r="D150" s="146">
        <v>25</v>
      </c>
      <c r="E150" s="147">
        <v>17.8</v>
      </c>
      <c r="F150" s="113">
        <f t="shared" si="34"/>
        <v>4.9444444444444444E-2</v>
      </c>
      <c r="G150" s="143"/>
      <c r="H150" s="143"/>
      <c r="I150" s="143"/>
      <c r="J150" s="143"/>
      <c r="K150" s="144"/>
    </row>
    <row r="151" spans="2:11" s="313" customFormat="1" hidden="1" outlineLevel="1" x14ac:dyDescent="0.55000000000000004">
      <c r="B151" s="82" t="s">
        <v>288</v>
      </c>
      <c r="C151" s="148">
        <v>1.3</v>
      </c>
      <c r="D151" s="146">
        <v>0.9</v>
      </c>
      <c r="E151" s="147">
        <v>0.8</v>
      </c>
      <c r="F151" s="113">
        <f t="shared" si="34"/>
        <v>2.2222222222222222E-3</v>
      </c>
      <c r="G151" s="143"/>
      <c r="H151" s="143"/>
      <c r="I151" s="143"/>
      <c r="J151" s="143"/>
      <c r="K151" s="144"/>
    </row>
    <row r="152" spans="2:11" s="313" customFormat="1" hidden="1" outlineLevel="1" x14ac:dyDescent="0.55000000000000004">
      <c r="B152" s="82" t="s">
        <v>293</v>
      </c>
      <c r="C152" s="148">
        <v>11.3</v>
      </c>
      <c r="D152" s="146">
        <v>7.5</v>
      </c>
      <c r="E152" s="147">
        <v>4.5</v>
      </c>
      <c r="F152" s="113">
        <f t="shared" si="34"/>
        <v>1.2500000000000001E-2</v>
      </c>
      <c r="G152" s="143"/>
      <c r="H152" s="143"/>
      <c r="I152" s="143"/>
      <c r="J152" s="143"/>
      <c r="K152" s="144"/>
    </row>
    <row r="153" spans="2:11" s="313" customFormat="1" ht="14.7" hidden="1" outlineLevel="1" thickBot="1" x14ac:dyDescent="0.6">
      <c r="B153" s="322" t="s">
        <v>303</v>
      </c>
      <c r="C153" s="328">
        <f>C149+C150+C151+C152</f>
        <v>110.6</v>
      </c>
      <c r="D153" s="329">
        <f t="shared" ref="D153:E153" si="35">D149+D150+D151+D152</f>
        <v>126.2</v>
      </c>
      <c r="E153" s="330">
        <f t="shared" si="35"/>
        <v>99.6</v>
      </c>
      <c r="F153" s="339">
        <f t="shared" si="34"/>
        <v>0.27666666666666667</v>
      </c>
      <c r="G153" s="331"/>
      <c r="H153" s="331"/>
      <c r="I153" s="331"/>
      <c r="J153" s="331"/>
      <c r="K153" s="332"/>
    </row>
    <row r="154" spans="2:11" s="313" customFormat="1" ht="14.7" hidden="1" outlineLevel="1" thickTop="1" x14ac:dyDescent="0.55000000000000004">
      <c r="B154" s="127"/>
      <c r="C154" s="148"/>
      <c r="D154" s="146"/>
      <c r="E154" s="147"/>
      <c r="F154" s="147"/>
      <c r="G154" s="143"/>
      <c r="H154" s="143"/>
      <c r="I154" s="143"/>
      <c r="J154" s="143"/>
      <c r="K154" s="144"/>
    </row>
    <row r="155" spans="2:11" s="313" customFormat="1" ht="14.7" hidden="1" outlineLevel="1" thickBot="1" x14ac:dyDescent="0.6">
      <c r="B155" s="322" t="s">
        <v>307</v>
      </c>
      <c r="C155" s="328">
        <f>C146+C153</f>
        <v>395.4</v>
      </c>
      <c r="D155" s="329">
        <f t="shared" ref="D155:E155" si="36">D146+D153</f>
        <v>381.1</v>
      </c>
      <c r="E155" s="330">
        <f t="shared" si="36"/>
        <v>360</v>
      </c>
      <c r="F155" s="330"/>
      <c r="G155" s="331"/>
      <c r="H155" s="331"/>
      <c r="I155" s="331"/>
      <c r="J155" s="331"/>
      <c r="K155" s="332"/>
    </row>
    <row r="156" spans="2:11" s="313" customFormat="1" ht="14.7" hidden="1" outlineLevel="1" thickTop="1" x14ac:dyDescent="0.55000000000000004">
      <c r="B156" s="323" t="s">
        <v>280</v>
      </c>
      <c r="C156" s="333"/>
      <c r="D156" s="104">
        <f>D155/C155-1</f>
        <v>-3.6165907941325126E-2</v>
      </c>
      <c r="E156" s="113">
        <f t="shared" ref="E156" si="37">E155/D155-1</f>
        <v>-5.536604565730785E-2</v>
      </c>
      <c r="F156" s="335"/>
      <c r="G156" s="336"/>
      <c r="H156" s="336"/>
      <c r="I156" s="336"/>
      <c r="J156" s="336"/>
      <c r="K156" s="337"/>
    </row>
    <row r="157" spans="2:11" s="313" customFormat="1" hidden="1" outlineLevel="1" x14ac:dyDescent="0.55000000000000004">
      <c r="B157" s="323" t="s">
        <v>278</v>
      </c>
      <c r="C157" s="341">
        <f>C159/C155</f>
        <v>5.2933737986848763</v>
      </c>
      <c r="D157" s="338">
        <f t="shared" ref="D157:E157" si="38">D159/D155</f>
        <v>4.9960640251902388</v>
      </c>
      <c r="E157" s="342">
        <f t="shared" si="38"/>
        <v>6.041666666666667</v>
      </c>
      <c r="F157" s="342"/>
      <c r="G157" s="343"/>
      <c r="H157" s="343"/>
      <c r="I157" s="343"/>
      <c r="J157" s="343"/>
      <c r="K157" s="344"/>
    </row>
    <row r="158" spans="2:11" s="313" customFormat="1" hidden="1" outlineLevel="1" x14ac:dyDescent="0.55000000000000004">
      <c r="B158" s="323" t="s">
        <v>281</v>
      </c>
      <c r="C158" s="341"/>
      <c r="D158" s="104">
        <f>D157/C157-1</f>
        <v>-5.6166404414610405E-2</v>
      </c>
      <c r="E158" s="113">
        <f t="shared" ref="E158" si="39">E157/D157-1</f>
        <v>0.20928527661064433</v>
      </c>
      <c r="F158" s="342"/>
      <c r="G158" s="343"/>
      <c r="H158" s="343"/>
      <c r="I158" s="343"/>
      <c r="J158" s="343"/>
      <c r="K158" s="344"/>
    </row>
    <row r="159" spans="2:11" s="313" customFormat="1" ht="14.7" hidden="1" outlineLevel="1" thickBot="1" x14ac:dyDescent="0.6">
      <c r="B159" s="322" t="s">
        <v>276</v>
      </c>
      <c r="C159" s="38">
        <f>C21</f>
        <v>2093</v>
      </c>
      <c r="D159" s="39">
        <f t="shared" ref="D159:E159" si="40">D21</f>
        <v>1904</v>
      </c>
      <c r="E159" s="40">
        <f t="shared" si="40"/>
        <v>2175</v>
      </c>
      <c r="F159" s="330"/>
      <c r="G159" s="331"/>
      <c r="H159" s="331"/>
      <c r="I159" s="331"/>
      <c r="J159" s="331"/>
      <c r="K159" s="332"/>
    </row>
    <row r="160" spans="2:11" s="313" customFormat="1" ht="14.7" hidden="1" outlineLevel="1" thickTop="1" x14ac:dyDescent="0.55000000000000004">
      <c r="B160" s="321"/>
      <c r="C160" s="333"/>
      <c r="D160" s="334"/>
      <c r="E160" s="335"/>
      <c r="F160" s="335"/>
      <c r="G160" s="336"/>
      <c r="H160" s="336"/>
      <c r="I160" s="336"/>
      <c r="J160" s="336"/>
      <c r="K160" s="337"/>
    </row>
    <row r="161" spans="2:11" s="313" customFormat="1" hidden="1" outlineLevel="1" x14ac:dyDescent="0.55000000000000004">
      <c r="B161" s="320" t="s">
        <v>261</v>
      </c>
      <c r="C161" s="333"/>
      <c r="D161" s="334"/>
      <c r="E161" s="335"/>
      <c r="F161" s="335"/>
      <c r="G161" s="336"/>
      <c r="H161" s="336"/>
      <c r="I161" s="336"/>
      <c r="J161" s="336"/>
      <c r="K161" s="337"/>
    </row>
    <row r="162" spans="2:11" s="313" customFormat="1" hidden="1" outlineLevel="1" x14ac:dyDescent="0.55000000000000004">
      <c r="B162" s="320"/>
      <c r="C162" s="333"/>
      <c r="D162" s="334"/>
      <c r="E162" s="335"/>
      <c r="F162" s="335"/>
      <c r="G162" s="336"/>
      <c r="H162" s="336"/>
      <c r="I162" s="336"/>
      <c r="J162" s="336"/>
      <c r="K162" s="337"/>
    </row>
    <row r="163" spans="2:11" s="313" customFormat="1" hidden="1" outlineLevel="1" x14ac:dyDescent="0.55000000000000004">
      <c r="B163" s="57" t="s">
        <v>311</v>
      </c>
      <c r="C163" s="333"/>
      <c r="D163" s="334"/>
      <c r="E163" s="335"/>
      <c r="F163" s="335"/>
      <c r="G163" s="336"/>
      <c r="H163" s="336"/>
      <c r="I163" s="336"/>
      <c r="J163" s="336"/>
      <c r="K163" s="337"/>
    </row>
    <row r="164" spans="2:11" s="313" customFormat="1" hidden="1" outlineLevel="1" x14ac:dyDescent="0.55000000000000004">
      <c r="B164" s="57" t="s">
        <v>297</v>
      </c>
      <c r="C164" s="333"/>
      <c r="D164" s="334"/>
      <c r="E164" s="335"/>
      <c r="F164" s="335"/>
      <c r="G164" s="336"/>
      <c r="H164" s="336"/>
      <c r="I164" s="336"/>
      <c r="J164" s="336"/>
      <c r="K164" s="337"/>
    </row>
    <row r="165" spans="2:11" s="313" customFormat="1" hidden="1" outlineLevel="1" x14ac:dyDescent="0.55000000000000004">
      <c r="B165" s="57" t="s">
        <v>262</v>
      </c>
      <c r="C165" s="333"/>
      <c r="D165" s="334"/>
      <c r="E165" s="335"/>
      <c r="F165" s="335"/>
      <c r="G165" s="336"/>
      <c r="H165" s="336"/>
      <c r="I165" s="336"/>
      <c r="J165" s="336"/>
      <c r="K165" s="337"/>
    </row>
    <row r="166" spans="2:11" s="313" customFormat="1" hidden="1" outlineLevel="1" x14ac:dyDescent="0.55000000000000004">
      <c r="B166" s="57" t="s">
        <v>310</v>
      </c>
      <c r="C166" s="333"/>
      <c r="D166" s="334"/>
      <c r="E166" s="335"/>
      <c r="F166" s="335"/>
      <c r="G166" s="336"/>
      <c r="H166" s="336"/>
      <c r="I166" s="336"/>
      <c r="J166" s="336"/>
      <c r="K166" s="337"/>
    </row>
    <row r="167" spans="2:11" s="313" customFormat="1" hidden="1" outlineLevel="1" x14ac:dyDescent="0.55000000000000004">
      <c r="B167" s="57" t="s">
        <v>312</v>
      </c>
      <c r="C167" s="333"/>
      <c r="D167" s="334"/>
      <c r="E167" s="335"/>
      <c r="F167" s="335"/>
      <c r="G167" s="336"/>
      <c r="H167" s="336"/>
      <c r="I167" s="336"/>
      <c r="J167" s="336"/>
      <c r="K167" s="337"/>
    </row>
    <row r="168" spans="2:11" s="313" customFormat="1" hidden="1" outlineLevel="1" x14ac:dyDescent="0.55000000000000004">
      <c r="B168" s="57" t="s">
        <v>263</v>
      </c>
      <c r="C168" s="333"/>
      <c r="D168" s="334"/>
      <c r="E168" s="335"/>
      <c r="F168" s="335"/>
      <c r="G168" s="336"/>
      <c r="H168" s="336"/>
      <c r="I168" s="336"/>
      <c r="J168" s="336"/>
      <c r="K168" s="337"/>
    </row>
    <row r="169" spans="2:11" s="313" customFormat="1" hidden="1" outlineLevel="1" x14ac:dyDescent="0.55000000000000004">
      <c r="B169" s="57" t="s">
        <v>314</v>
      </c>
      <c r="C169" s="333"/>
      <c r="D169" s="334"/>
      <c r="E169" s="335"/>
      <c r="F169" s="335"/>
      <c r="G169" s="336"/>
      <c r="H169" s="336"/>
      <c r="I169" s="336"/>
      <c r="J169" s="336"/>
      <c r="K169" s="337"/>
    </row>
    <row r="170" spans="2:11" s="313" customFormat="1" hidden="1" outlineLevel="1" x14ac:dyDescent="0.55000000000000004">
      <c r="B170" s="57" t="s">
        <v>313</v>
      </c>
      <c r="C170" s="333"/>
      <c r="D170" s="334"/>
      <c r="E170" s="335"/>
      <c r="F170" s="335"/>
      <c r="G170" s="336"/>
      <c r="H170" s="336"/>
      <c r="I170" s="336"/>
      <c r="J170" s="336"/>
      <c r="K170" s="337"/>
    </row>
    <row r="171" spans="2:11" s="313" customFormat="1" ht="14.7" collapsed="1" thickBot="1" x14ac:dyDescent="0.6">
      <c r="B171" s="128"/>
      <c r="C171" s="324"/>
      <c r="D171" s="149"/>
      <c r="E171" s="325"/>
      <c r="F171" s="325"/>
      <c r="G171" s="326"/>
      <c r="H171" s="326"/>
      <c r="I171" s="326"/>
      <c r="J171" s="326"/>
      <c r="K171" s="327"/>
    </row>
    <row r="172" spans="2:11" s="313" customFormat="1" x14ac:dyDescent="0.55000000000000004"/>
    <row r="173" spans="2:11" s="313" customFormat="1" x14ac:dyDescent="0.55000000000000004"/>
    <row r="174" spans="2:11" s="313" customFormat="1" x14ac:dyDescent="0.55000000000000004"/>
    <row r="175" spans="2:11" s="313" customFormat="1" x14ac:dyDescent="0.55000000000000004"/>
    <row r="176" spans="2:11" s="313" customFormat="1" x14ac:dyDescent="0.55000000000000004"/>
    <row r="177" s="313" customFormat="1" x14ac:dyDescent="0.55000000000000004"/>
    <row r="178" s="313" customFormat="1" x14ac:dyDescent="0.55000000000000004"/>
    <row r="179" s="313" customFormat="1" x14ac:dyDescent="0.55000000000000004"/>
    <row r="180" s="313" customFormat="1" x14ac:dyDescent="0.55000000000000004"/>
    <row r="181" s="313" customFormat="1" x14ac:dyDescent="0.55000000000000004"/>
    <row r="182" s="313" customFormat="1" x14ac:dyDescent="0.55000000000000004"/>
    <row r="183" s="313" customFormat="1" x14ac:dyDescent="0.55000000000000004"/>
    <row r="184" s="313" customFormat="1" x14ac:dyDescent="0.55000000000000004"/>
    <row r="185" s="313" customFormat="1" x14ac:dyDescent="0.55000000000000004"/>
    <row r="186" s="313" customFormat="1" x14ac:dyDescent="0.55000000000000004"/>
    <row r="187" s="313" customFormat="1" x14ac:dyDescent="0.55000000000000004"/>
    <row r="188" s="313" customFormat="1" x14ac:dyDescent="0.55000000000000004"/>
    <row r="189" s="313" customFormat="1" x14ac:dyDescent="0.55000000000000004"/>
    <row r="190" s="313" customFormat="1" x14ac:dyDescent="0.55000000000000004"/>
    <row r="191" s="313" customFormat="1" x14ac:dyDescent="0.55000000000000004"/>
    <row r="192" s="313" customFormat="1" x14ac:dyDescent="0.55000000000000004"/>
    <row r="193" s="313" customFormat="1" x14ac:dyDescent="0.55000000000000004"/>
    <row r="194" s="313" customFormat="1" x14ac:dyDescent="0.55000000000000004"/>
    <row r="195" s="313" customFormat="1" x14ac:dyDescent="0.55000000000000004"/>
    <row r="196" s="313" customFormat="1" x14ac:dyDescent="0.55000000000000004"/>
    <row r="197" s="313" customFormat="1" x14ac:dyDescent="0.55000000000000004"/>
    <row r="198" s="313" customFormat="1" x14ac:dyDescent="0.55000000000000004"/>
    <row r="199" s="313" customFormat="1" x14ac:dyDescent="0.55000000000000004"/>
    <row r="200" s="313" customFormat="1" x14ac:dyDescent="0.55000000000000004"/>
    <row r="201" s="313" customFormat="1" x14ac:dyDescent="0.55000000000000004"/>
    <row r="202" s="313" customFormat="1" x14ac:dyDescent="0.55000000000000004"/>
    <row r="203" s="313" customFormat="1" x14ac:dyDescent="0.55000000000000004"/>
    <row r="204" s="313" customFormat="1" x14ac:dyDescent="0.55000000000000004"/>
    <row r="205" s="313" customFormat="1" x14ac:dyDescent="0.55000000000000004"/>
    <row r="206" s="313" customFormat="1" x14ac:dyDescent="0.55000000000000004"/>
    <row r="207" s="313" customFormat="1" x14ac:dyDescent="0.55000000000000004"/>
    <row r="208" s="313" customFormat="1" x14ac:dyDescent="0.55000000000000004"/>
    <row r="209" s="313" customFormat="1" x14ac:dyDescent="0.55000000000000004"/>
    <row r="210" s="313" customFormat="1" x14ac:dyDescent="0.55000000000000004"/>
    <row r="211" s="313" customFormat="1" x14ac:dyDescent="0.55000000000000004"/>
    <row r="212" s="313" customFormat="1" x14ac:dyDescent="0.55000000000000004"/>
    <row r="213" s="313" customFormat="1" x14ac:dyDescent="0.55000000000000004"/>
    <row r="214" s="313" customFormat="1" x14ac:dyDescent="0.55000000000000004"/>
    <row r="215" s="313" customFormat="1" x14ac:dyDescent="0.55000000000000004"/>
    <row r="216" s="313" customFormat="1" x14ac:dyDescent="0.55000000000000004"/>
    <row r="217" s="313" customFormat="1" x14ac:dyDescent="0.55000000000000004"/>
    <row r="218" s="313" customFormat="1" x14ac:dyDescent="0.55000000000000004"/>
    <row r="219" s="313" customFormat="1" x14ac:dyDescent="0.55000000000000004"/>
    <row r="220" s="313" customFormat="1" x14ac:dyDescent="0.55000000000000004"/>
    <row r="221" s="313" customFormat="1" x14ac:dyDescent="0.55000000000000004"/>
    <row r="222" s="313" customFormat="1" x14ac:dyDescent="0.55000000000000004"/>
    <row r="223" s="313" customFormat="1" x14ac:dyDescent="0.55000000000000004"/>
    <row r="224" s="313" customFormat="1" x14ac:dyDescent="0.55000000000000004"/>
    <row r="225" s="313" customFormat="1" x14ac:dyDescent="0.55000000000000004"/>
    <row r="226" s="313" customFormat="1" x14ac:dyDescent="0.55000000000000004"/>
    <row r="227" s="313" customFormat="1" x14ac:dyDescent="0.55000000000000004"/>
    <row r="228" s="313" customFormat="1" x14ac:dyDescent="0.55000000000000004"/>
    <row r="229" s="313" customFormat="1" x14ac:dyDescent="0.55000000000000004"/>
    <row r="230" s="313" customFormat="1" x14ac:dyDescent="0.55000000000000004"/>
    <row r="231" s="313" customFormat="1" x14ac:dyDescent="0.55000000000000004"/>
    <row r="232" s="313" customFormat="1" x14ac:dyDescent="0.55000000000000004"/>
    <row r="233" s="313" customFormat="1" x14ac:dyDescent="0.55000000000000004"/>
    <row r="234" s="313" customFormat="1" x14ac:dyDescent="0.55000000000000004"/>
    <row r="235" s="313" customFormat="1" x14ac:dyDescent="0.55000000000000004"/>
    <row r="236" s="313" customFormat="1" x14ac:dyDescent="0.55000000000000004"/>
    <row r="237" s="313" customFormat="1" x14ac:dyDescent="0.55000000000000004"/>
    <row r="238" s="313" customFormat="1" x14ac:dyDescent="0.55000000000000004"/>
    <row r="239" s="313" customFormat="1" x14ac:dyDescent="0.55000000000000004"/>
    <row r="240" s="313" customFormat="1" x14ac:dyDescent="0.55000000000000004"/>
    <row r="241" s="313" customFormat="1" x14ac:dyDescent="0.55000000000000004"/>
    <row r="242" s="313" customFormat="1" x14ac:dyDescent="0.55000000000000004"/>
    <row r="243" s="313" customFormat="1" x14ac:dyDescent="0.55000000000000004"/>
    <row r="244" s="313" customFormat="1" x14ac:dyDescent="0.55000000000000004"/>
    <row r="245" s="313" customFormat="1" x14ac:dyDescent="0.55000000000000004"/>
    <row r="246" s="313" customFormat="1" x14ac:dyDescent="0.55000000000000004"/>
    <row r="247" s="313" customFormat="1" x14ac:dyDescent="0.55000000000000004"/>
    <row r="248" s="313" customFormat="1" x14ac:dyDescent="0.55000000000000004"/>
    <row r="249" s="313" customFormat="1" x14ac:dyDescent="0.55000000000000004"/>
    <row r="250" s="313" customFormat="1" x14ac:dyDescent="0.55000000000000004"/>
    <row r="251" s="313" customFormat="1" x14ac:dyDescent="0.55000000000000004"/>
    <row r="252" s="313" customFormat="1" x14ac:dyDescent="0.55000000000000004"/>
    <row r="253" s="313" customFormat="1" x14ac:dyDescent="0.55000000000000004"/>
    <row r="254" s="313" customFormat="1" x14ac:dyDescent="0.55000000000000004"/>
    <row r="255" s="313" customFormat="1" x14ac:dyDescent="0.55000000000000004"/>
    <row r="256" s="313" customFormat="1" x14ac:dyDescent="0.55000000000000004"/>
    <row r="257" s="313" customFormat="1" x14ac:dyDescent="0.55000000000000004"/>
    <row r="258" s="313" customFormat="1" x14ac:dyDescent="0.55000000000000004"/>
    <row r="259" s="313" customFormat="1" x14ac:dyDescent="0.55000000000000004"/>
    <row r="260" s="313" customFormat="1" x14ac:dyDescent="0.55000000000000004"/>
    <row r="261" s="313" customFormat="1" x14ac:dyDescent="0.55000000000000004"/>
    <row r="262" s="313" customFormat="1" x14ac:dyDescent="0.55000000000000004"/>
    <row r="263" s="313" customFormat="1" x14ac:dyDescent="0.55000000000000004"/>
    <row r="264" s="313" customFormat="1" x14ac:dyDescent="0.55000000000000004"/>
    <row r="265" s="313" customFormat="1" x14ac:dyDescent="0.55000000000000004"/>
    <row r="266" s="313" customFormat="1" x14ac:dyDescent="0.55000000000000004"/>
    <row r="267" s="313" customFormat="1" x14ac:dyDescent="0.55000000000000004"/>
    <row r="268" s="313" customFormat="1" x14ac:dyDescent="0.55000000000000004"/>
    <row r="269" s="313" customFormat="1" x14ac:dyDescent="0.55000000000000004"/>
    <row r="270" s="313" customFormat="1" x14ac:dyDescent="0.55000000000000004"/>
    <row r="271" s="313" customFormat="1" x14ac:dyDescent="0.55000000000000004"/>
    <row r="272" s="313" customFormat="1" x14ac:dyDescent="0.55000000000000004"/>
    <row r="273" s="313" customFormat="1" x14ac:dyDescent="0.55000000000000004"/>
    <row r="274" s="313" customFormat="1" x14ac:dyDescent="0.55000000000000004"/>
    <row r="275" s="313" customFormat="1" x14ac:dyDescent="0.55000000000000004"/>
    <row r="276" s="313" customFormat="1" x14ac:dyDescent="0.55000000000000004"/>
    <row r="277" s="313" customFormat="1" x14ac:dyDescent="0.55000000000000004"/>
    <row r="278" s="313" customFormat="1" x14ac:dyDescent="0.55000000000000004"/>
    <row r="279" s="313" customFormat="1" x14ac:dyDescent="0.55000000000000004"/>
    <row r="280" s="313" customFormat="1" x14ac:dyDescent="0.55000000000000004"/>
    <row r="281" s="313" customFormat="1" x14ac:dyDescent="0.55000000000000004"/>
    <row r="282" s="313" customFormat="1" x14ac:dyDescent="0.55000000000000004"/>
    <row r="283" s="313" customFormat="1" x14ac:dyDescent="0.55000000000000004"/>
    <row r="284" s="313" customFormat="1" x14ac:dyDescent="0.55000000000000004"/>
    <row r="285" s="313" customFormat="1" x14ac:dyDescent="0.55000000000000004"/>
    <row r="286" s="313" customFormat="1" x14ac:dyDescent="0.55000000000000004"/>
    <row r="287" s="313" customFormat="1" x14ac:dyDescent="0.55000000000000004"/>
    <row r="288" s="313" customFormat="1" x14ac:dyDescent="0.55000000000000004"/>
    <row r="289" s="313" customFormat="1" x14ac:dyDescent="0.55000000000000004"/>
    <row r="290" s="313" customFormat="1" x14ac:dyDescent="0.55000000000000004"/>
    <row r="291" s="313" customFormat="1" x14ac:dyDescent="0.55000000000000004"/>
    <row r="292" s="313" customFormat="1" x14ac:dyDescent="0.55000000000000004"/>
    <row r="293" s="313" customFormat="1" x14ac:dyDescent="0.55000000000000004"/>
    <row r="294" s="313" customFormat="1" x14ac:dyDescent="0.55000000000000004"/>
    <row r="295" s="313" customFormat="1" x14ac:dyDescent="0.55000000000000004"/>
    <row r="296" s="313" customFormat="1" x14ac:dyDescent="0.55000000000000004"/>
    <row r="297" s="313" customFormat="1" x14ac:dyDescent="0.55000000000000004"/>
    <row r="298" s="313" customFormat="1" x14ac:dyDescent="0.55000000000000004"/>
    <row r="299" s="313" customFormat="1" x14ac:dyDescent="0.55000000000000004"/>
    <row r="300" s="313" customFormat="1" x14ac:dyDescent="0.55000000000000004"/>
    <row r="301" s="313" customFormat="1" x14ac:dyDescent="0.55000000000000004"/>
    <row r="302" s="313" customFormat="1" x14ac:dyDescent="0.55000000000000004"/>
    <row r="303" s="313" customFormat="1" x14ac:dyDescent="0.55000000000000004"/>
    <row r="304" s="313" customFormat="1" x14ac:dyDescent="0.55000000000000004"/>
    <row r="305" s="313" customFormat="1" x14ac:dyDescent="0.55000000000000004"/>
    <row r="306" s="313" customFormat="1" x14ac:dyDescent="0.55000000000000004"/>
    <row r="307" s="313" customFormat="1" x14ac:dyDescent="0.55000000000000004"/>
    <row r="308" s="313" customFormat="1" x14ac:dyDescent="0.55000000000000004"/>
    <row r="309" s="313" customFormat="1" x14ac:dyDescent="0.55000000000000004"/>
    <row r="310" s="313" customFormat="1" x14ac:dyDescent="0.55000000000000004"/>
    <row r="311" s="313" customFormat="1" x14ac:dyDescent="0.55000000000000004"/>
    <row r="312" s="313" customFormat="1" x14ac:dyDescent="0.55000000000000004"/>
    <row r="313" s="313" customFormat="1" x14ac:dyDescent="0.55000000000000004"/>
    <row r="314" s="313" customFormat="1" x14ac:dyDescent="0.55000000000000004"/>
    <row r="315" s="313" customFormat="1" x14ac:dyDescent="0.55000000000000004"/>
    <row r="316" s="313" customFormat="1" x14ac:dyDescent="0.55000000000000004"/>
    <row r="317" s="313" customFormat="1" x14ac:dyDescent="0.55000000000000004"/>
    <row r="318" s="313" customFormat="1" x14ac:dyDescent="0.55000000000000004"/>
    <row r="319" s="313" customFormat="1" x14ac:dyDescent="0.55000000000000004"/>
    <row r="320" s="313" customFormat="1" x14ac:dyDescent="0.55000000000000004"/>
    <row r="321" s="313" customFormat="1" x14ac:dyDescent="0.55000000000000004"/>
    <row r="322" s="313" customFormat="1" x14ac:dyDescent="0.55000000000000004"/>
    <row r="323" s="313" customFormat="1" x14ac:dyDescent="0.55000000000000004"/>
    <row r="324" s="313" customFormat="1" x14ac:dyDescent="0.55000000000000004"/>
    <row r="325" s="313" customFormat="1" x14ac:dyDescent="0.55000000000000004"/>
    <row r="326" s="313" customFormat="1" x14ac:dyDescent="0.55000000000000004"/>
    <row r="327" s="313" customFormat="1" x14ac:dyDescent="0.55000000000000004"/>
    <row r="328" s="313" customFormat="1" x14ac:dyDescent="0.55000000000000004"/>
    <row r="329" s="313" customFormat="1" x14ac:dyDescent="0.55000000000000004"/>
    <row r="330" s="313" customFormat="1" x14ac:dyDescent="0.55000000000000004"/>
    <row r="331" s="313" customFormat="1" x14ac:dyDescent="0.55000000000000004"/>
    <row r="332" s="313" customFormat="1" x14ac:dyDescent="0.55000000000000004"/>
    <row r="333" s="313" customFormat="1" x14ac:dyDescent="0.55000000000000004"/>
    <row r="334" s="313" customFormat="1" x14ac:dyDescent="0.55000000000000004"/>
    <row r="335" s="313" customFormat="1" x14ac:dyDescent="0.55000000000000004"/>
    <row r="336" s="313" customFormat="1" x14ac:dyDescent="0.55000000000000004"/>
    <row r="337" s="313" customFormat="1" x14ac:dyDescent="0.55000000000000004"/>
    <row r="338" s="313" customFormat="1" x14ac:dyDescent="0.55000000000000004"/>
    <row r="339" s="313" customFormat="1" x14ac:dyDescent="0.55000000000000004"/>
    <row r="340" s="313" customFormat="1" x14ac:dyDescent="0.55000000000000004"/>
    <row r="341" s="313" customFormat="1" x14ac:dyDescent="0.55000000000000004"/>
    <row r="342" s="313" customFormat="1" x14ac:dyDescent="0.55000000000000004"/>
    <row r="343" s="313" customFormat="1" x14ac:dyDescent="0.55000000000000004"/>
    <row r="344" s="313" customFormat="1" x14ac:dyDescent="0.55000000000000004"/>
    <row r="345" s="313" customFormat="1" x14ac:dyDescent="0.55000000000000004"/>
    <row r="346" s="313" customFormat="1" x14ac:dyDescent="0.55000000000000004"/>
    <row r="347" s="313" customFormat="1" x14ac:dyDescent="0.55000000000000004"/>
    <row r="348" s="313" customFormat="1" x14ac:dyDescent="0.55000000000000004"/>
    <row r="349" s="313" customFormat="1" x14ac:dyDescent="0.55000000000000004"/>
    <row r="350" s="313" customFormat="1" x14ac:dyDescent="0.55000000000000004"/>
    <row r="351" s="313" customFormat="1" x14ac:dyDescent="0.55000000000000004"/>
    <row r="352" s="313" customFormat="1" x14ac:dyDescent="0.55000000000000004"/>
    <row r="353" s="313" customFormat="1" x14ac:dyDescent="0.55000000000000004"/>
    <row r="354" s="313" customFormat="1" x14ac:dyDescent="0.55000000000000004"/>
    <row r="355" s="313" customFormat="1" x14ac:dyDescent="0.55000000000000004"/>
    <row r="356" s="313" customFormat="1" x14ac:dyDescent="0.55000000000000004"/>
    <row r="357" s="313" customFormat="1" x14ac:dyDescent="0.55000000000000004"/>
    <row r="358" s="313" customFormat="1" x14ac:dyDescent="0.55000000000000004"/>
    <row r="359" s="313" customFormat="1" x14ac:dyDescent="0.55000000000000004"/>
    <row r="360" s="313" customFormat="1" x14ac:dyDescent="0.55000000000000004"/>
    <row r="361" s="313" customFormat="1" x14ac:dyDescent="0.55000000000000004"/>
    <row r="362" s="313" customFormat="1" x14ac:dyDescent="0.55000000000000004"/>
    <row r="363" s="313" customFormat="1" x14ac:dyDescent="0.55000000000000004"/>
    <row r="364" s="313" customFormat="1" x14ac:dyDescent="0.55000000000000004"/>
    <row r="365" s="313" customFormat="1" x14ac:dyDescent="0.55000000000000004"/>
    <row r="366" s="313" customFormat="1" x14ac:dyDescent="0.55000000000000004"/>
    <row r="367" s="313" customFormat="1" x14ac:dyDescent="0.55000000000000004"/>
    <row r="368" s="313" customFormat="1" x14ac:dyDescent="0.55000000000000004"/>
    <row r="369" s="313" customFormat="1" x14ac:dyDescent="0.55000000000000004"/>
    <row r="370" s="313" customFormat="1" x14ac:dyDescent="0.55000000000000004"/>
    <row r="371" s="313" customFormat="1" x14ac:dyDescent="0.55000000000000004"/>
    <row r="372" s="313" customFormat="1" x14ac:dyDescent="0.55000000000000004"/>
    <row r="373" s="313" customFormat="1" x14ac:dyDescent="0.55000000000000004"/>
    <row r="374" s="313" customFormat="1" x14ac:dyDescent="0.55000000000000004"/>
    <row r="375" s="313" customFormat="1" x14ac:dyDescent="0.55000000000000004"/>
    <row r="376" s="313" customFormat="1" x14ac:dyDescent="0.55000000000000004"/>
    <row r="377" s="313" customFormat="1" x14ac:dyDescent="0.55000000000000004"/>
    <row r="378" s="313" customFormat="1" x14ac:dyDescent="0.55000000000000004"/>
    <row r="379" s="313" customFormat="1" x14ac:dyDescent="0.55000000000000004"/>
    <row r="380" s="313" customFormat="1" x14ac:dyDescent="0.55000000000000004"/>
    <row r="381" s="313" customFormat="1" x14ac:dyDescent="0.55000000000000004"/>
    <row r="382" s="313" customFormat="1" x14ac:dyDescent="0.55000000000000004"/>
    <row r="383" s="313" customFormat="1" x14ac:dyDescent="0.55000000000000004"/>
    <row r="384" s="313" customFormat="1" x14ac:dyDescent="0.55000000000000004"/>
    <row r="385" s="313" customFormat="1" x14ac:dyDescent="0.55000000000000004"/>
    <row r="386" s="313" customFormat="1" x14ac:dyDescent="0.55000000000000004"/>
    <row r="387" s="313" customFormat="1" x14ac:dyDescent="0.55000000000000004"/>
    <row r="388" s="313" customFormat="1" x14ac:dyDescent="0.55000000000000004"/>
    <row r="389" s="313" customFormat="1" x14ac:dyDescent="0.55000000000000004"/>
    <row r="390" s="313" customFormat="1" x14ac:dyDescent="0.55000000000000004"/>
    <row r="391" s="313" customFormat="1" x14ac:dyDescent="0.55000000000000004"/>
    <row r="392" s="313" customFormat="1" x14ac:dyDescent="0.55000000000000004"/>
    <row r="393" s="313" customFormat="1" x14ac:dyDescent="0.55000000000000004"/>
    <row r="394" s="313" customFormat="1" x14ac:dyDescent="0.55000000000000004"/>
    <row r="395" s="313" customFormat="1" x14ac:dyDescent="0.55000000000000004"/>
    <row r="396" s="313" customFormat="1" x14ac:dyDescent="0.55000000000000004"/>
    <row r="397" s="313" customFormat="1" x14ac:dyDescent="0.55000000000000004"/>
    <row r="398" s="313" customFormat="1" x14ac:dyDescent="0.55000000000000004"/>
    <row r="399" s="313" customFormat="1" x14ac:dyDescent="0.55000000000000004"/>
    <row r="400" s="313" customFormat="1" x14ac:dyDescent="0.55000000000000004"/>
    <row r="401" s="313" customFormat="1" x14ac:dyDescent="0.55000000000000004"/>
    <row r="402" s="313" customFormat="1" x14ac:dyDescent="0.55000000000000004"/>
    <row r="403" s="313" customFormat="1" x14ac:dyDescent="0.55000000000000004"/>
    <row r="404" s="313" customFormat="1" x14ac:dyDescent="0.55000000000000004"/>
    <row r="405" s="313" customFormat="1" x14ac:dyDescent="0.55000000000000004"/>
    <row r="406" s="313" customFormat="1" x14ac:dyDescent="0.55000000000000004"/>
    <row r="407" s="313" customFormat="1" x14ac:dyDescent="0.55000000000000004"/>
    <row r="408" s="313" customFormat="1" x14ac:dyDescent="0.55000000000000004"/>
    <row r="409" s="313" customFormat="1" x14ac:dyDescent="0.55000000000000004"/>
    <row r="410" s="313" customFormat="1" x14ac:dyDescent="0.55000000000000004"/>
    <row r="411" s="313" customFormat="1" x14ac:dyDescent="0.55000000000000004"/>
    <row r="412" s="313" customFormat="1" x14ac:dyDescent="0.55000000000000004"/>
    <row r="413" s="313" customFormat="1" x14ac:dyDescent="0.55000000000000004"/>
    <row r="414" s="313" customFormat="1" x14ac:dyDescent="0.55000000000000004"/>
    <row r="415" s="313" customFormat="1" x14ac:dyDescent="0.55000000000000004"/>
    <row r="416" s="313" customFormat="1" x14ac:dyDescent="0.55000000000000004"/>
    <row r="417" s="313" customFormat="1" x14ac:dyDescent="0.55000000000000004"/>
    <row r="418" s="313" customFormat="1" x14ac:dyDescent="0.55000000000000004"/>
    <row r="419" s="313" customFormat="1" x14ac:dyDescent="0.55000000000000004"/>
    <row r="420" s="313" customFormat="1" x14ac:dyDescent="0.55000000000000004"/>
    <row r="421" s="313" customFormat="1" x14ac:dyDescent="0.55000000000000004"/>
    <row r="422" s="313" customFormat="1" x14ac:dyDescent="0.55000000000000004"/>
    <row r="423" s="313" customFormat="1" x14ac:dyDescent="0.55000000000000004"/>
    <row r="424" s="313" customFormat="1" x14ac:dyDescent="0.55000000000000004"/>
    <row r="425" s="313" customFormat="1" x14ac:dyDescent="0.55000000000000004"/>
    <row r="426" s="313" customFormat="1" x14ac:dyDescent="0.55000000000000004"/>
    <row r="427" s="313" customFormat="1" x14ac:dyDescent="0.55000000000000004"/>
    <row r="428" s="313" customFormat="1" x14ac:dyDescent="0.55000000000000004"/>
    <row r="429" s="313" customFormat="1" x14ac:dyDescent="0.55000000000000004"/>
    <row r="430" s="313" customFormat="1" x14ac:dyDescent="0.55000000000000004"/>
    <row r="431" s="313" customFormat="1" x14ac:dyDescent="0.55000000000000004"/>
    <row r="432" s="313" customFormat="1" x14ac:dyDescent="0.55000000000000004"/>
    <row r="433" s="313" customFormat="1" x14ac:dyDescent="0.55000000000000004"/>
    <row r="434" s="313" customFormat="1" x14ac:dyDescent="0.55000000000000004"/>
    <row r="435" s="313" customFormat="1" x14ac:dyDescent="0.55000000000000004"/>
    <row r="436" s="313" customFormat="1" x14ac:dyDescent="0.55000000000000004"/>
    <row r="437" s="313" customFormat="1" x14ac:dyDescent="0.55000000000000004"/>
    <row r="438" s="313" customFormat="1" x14ac:dyDescent="0.55000000000000004"/>
    <row r="439" s="313" customFormat="1" x14ac:dyDescent="0.55000000000000004"/>
    <row r="440" s="313" customFormat="1" x14ac:dyDescent="0.55000000000000004"/>
    <row r="441" s="313" customFormat="1" x14ac:dyDescent="0.55000000000000004"/>
    <row r="442" s="313" customFormat="1" x14ac:dyDescent="0.55000000000000004"/>
    <row r="443" s="313" customFormat="1" x14ac:dyDescent="0.55000000000000004"/>
    <row r="444" s="313" customFormat="1" x14ac:dyDescent="0.55000000000000004"/>
    <row r="445" s="313" customFormat="1" x14ac:dyDescent="0.55000000000000004"/>
    <row r="446" s="313" customFormat="1" x14ac:dyDescent="0.55000000000000004"/>
    <row r="447" s="313" customFormat="1" x14ac:dyDescent="0.55000000000000004"/>
    <row r="448" s="313" customFormat="1" x14ac:dyDescent="0.55000000000000004"/>
    <row r="449" s="313" customFormat="1" x14ac:dyDescent="0.55000000000000004"/>
    <row r="450" s="313" customFormat="1" x14ac:dyDescent="0.55000000000000004"/>
    <row r="451" s="313" customFormat="1" x14ac:dyDescent="0.55000000000000004"/>
    <row r="452" s="313" customFormat="1" x14ac:dyDescent="0.55000000000000004"/>
    <row r="453" s="313" customFormat="1" x14ac:dyDescent="0.55000000000000004"/>
    <row r="454" s="313" customFormat="1" x14ac:dyDescent="0.55000000000000004"/>
    <row r="455" s="313" customFormat="1" x14ac:dyDescent="0.55000000000000004"/>
    <row r="456" s="313" customFormat="1" x14ac:dyDescent="0.55000000000000004"/>
    <row r="457" s="313" customFormat="1" x14ac:dyDescent="0.55000000000000004"/>
    <row r="458" s="313" customFormat="1" x14ac:dyDescent="0.55000000000000004"/>
    <row r="459" s="313" customFormat="1" x14ac:dyDescent="0.55000000000000004"/>
    <row r="460" s="313" customFormat="1" x14ac:dyDescent="0.55000000000000004"/>
    <row r="461" s="313" customFormat="1" x14ac:dyDescent="0.55000000000000004"/>
    <row r="462" s="313" customFormat="1" x14ac:dyDescent="0.55000000000000004"/>
    <row r="463" s="313" customFormat="1" x14ac:dyDescent="0.55000000000000004"/>
    <row r="464" s="313" customFormat="1" x14ac:dyDescent="0.55000000000000004"/>
    <row r="465" s="313" customFormat="1" x14ac:dyDescent="0.55000000000000004"/>
    <row r="466" s="313" customFormat="1" x14ac:dyDescent="0.55000000000000004"/>
    <row r="467" s="313" customFormat="1" x14ac:dyDescent="0.55000000000000004"/>
    <row r="468" s="313" customFormat="1" x14ac:dyDescent="0.55000000000000004"/>
    <row r="469" s="313" customFormat="1" x14ac:dyDescent="0.55000000000000004"/>
    <row r="470" s="313" customFormat="1" x14ac:dyDescent="0.55000000000000004"/>
    <row r="471" s="313" customFormat="1" x14ac:dyDescent="0.55000000000000004"/>
    <row r="472" s="313" customFormat="1" x14ac:dyDescent="0.55000000000000004"/>
    <row r="473" s="313" customFormat="1" x14ac:dyDescent="0.55000000000000004"/>
    <row r="474" s="313" customFormat="1" x14ac:dyDescent="0.55000000000000004"/>
    <row r="475" s="313" customFormat="1" x14ac:dyDescent="0.55000000000000004"/>
    <row r="476" s="313" customFormat="1" x14ac:dyDescent="0.55000000000000004"/>
    <row r="477" s="313" customFormat="1" x14ac:dyDescent="0.55000000000000004"/>
    <row r="478" s="313" customFormat="1" x14ac:dyDescent="0.55000000000000004"/>
    <row r="479" s="313" customFormat="1" x14ac:dyDescent="0.55000000000000004"/>
    <row r="480" s="313" customFormat="1" x14ac:dyDescent="0.55000000000000004"/>
    <row r="481" s="313" customFormat="1" x14ac:dyDescent="0.55000000000000004"/>
    <row r="482" s="313" customFormat="1" x14ac:dyDescent="0.55000000000000004"/>
    <row r="483" s="313" customFormat="1" x14ac:dyDescent="0.55000000000000004"/>
    <row r="484" s="313" customFormat="1" x14ac:dyDescent="0.55000000000000004"/>
    <row r="485" s="313" customFormat="1" x14ac:dyDescent="0.55000000000000004"/>
    <row r="486" s="313" customFormat="1" x14ac:dyDescent="0.55000000000000004"/>
    <row r="487" s="313" customFormat="1" x14ac:dyDescent="0.55000000000000004"/>
    <row r="488" s="313" customFormat="1" x14ac:dyDescent="0.55000000000000004"/>
    <row r="489" s="313" customFormat="1" x14ac:dyDescent="0.55000000000000004"/>
    <row r="490" s="313" customFormat="1" x14ac:dyDescent="0.55000000000000004"/>
    <row r="491" s="313" customFormat="1" x14ac:dyDescent="0.55000000000000004"/>
    <row r="492" s="313" customFormat="1" x14ac:dyDescent="0.55000000000000004"/>
    <row r="493" s="313" customFormat="1" x14ac:dyDescent="0.55000000000000004"/>
    <row r="494" s="313" customFormat="1" x14ac:dyDescent="0.55000000000000004"/>
    <row r="495" s="313" customFormat="1" x14ac:dyDescent="0.55000000000000004"/>
    <row r="496" s="313" customFormat="1" x14ac:dyDescent="0.55000000000000004"/>
    <row r="497" s="313" customFormat="1" x14ac:dyDescent="0.55000000000000004"/>
    <row r="498" s="313" customFormat="1" x14ac:dyDescent="0.55000000000000004"/>
    <row r="499" s="313" customFormat="1" x14ac:dyDescent="0.55000000000000004"/>
    <row r="500" s="313" customFormat="1" x14ac:dyDescent="0.55000000000000004"/>
    <row r="501" s="313" customFormat="1" x14ac:dyDescent="0.55000000000000004"/>
    <row r="502" s="313" customFormat="1" x14ac:dyDescent="0.55000000000000004"/>
    <row r="503" s="313" customFormat="1" x14ac:dyDescent="0.55000000000000004"/>
    <row r="504" s="313" customFormat="1" x14ac:dyDescent="0.55000000000000004"/>
    <row r="505" s="313" customFormat="1" x14ac:dyDescent="0.55000000000000004"/>
    <row r="506" s="313" customFormat="1" x14ac:dyDescent="0.55000000000000004"/>
    <row r="507" s="313" customFormat="1" x14ac:dyDescent="0.55000000000000004"/>
    <row r="508" s="313" customFormat="1" x14ac:dyDescent="0.55000000000000004"/>
    <row r="509" s="313" customFormat="1" x14ac:dyDescent="0.55000000000000004"/>
    <row r="510" s="313" customFormat="1" x14ac:dyDescent="0.55000000000000004"/>
    <row r="511" s="313" customFormat="1" x14ac:dyDescent="0.55000000000000004"/>
    <row r="512" s="313" customFormat="1" x14ac:dyDescent="0.55000000000000004"/>
    <row r="513" s="313" customFormat="1" x14ac:dyDescent="0.55000000000000004"/>
    <row r="514" s="313" customFormat="1" x14ac:dyDescent="0.55000000000000004"/>
    <row r="515" s="313" customFormat="1" x14ac:dyDescent="0.55000000000000004"/>
    <row r="516" s="313" customFormat="1" x14ac:dyDescent="0.55000000000000004"/>
    <row r="517" s="313" customFormat="1" x14ac:dyDescent="0.55000000000000004"/>
    <row r="518" s="313" customFormat="1" x14ac:dyDescent="0.55000000000000004"/>
    <row r="519" s="313" customFormat="1" x14ac:dyDescent="0.55000000000000004"/>
    <row r="520" s="313" customFormat="1" x14ac:dyDescent="0.55000000000000004"/>
    <row r="521" s="313" customFormat="1" x14ac:dyDescent="0.55000000000000004"/>
    <row r="522" s="313" customFormat="1" x14ac:dyDescent="0.55000000000000004"/>
    <row r="523" s="313" customFormat="1" x14ac:dyDescent="0.55000000000000004"/>
    <row r="524" s="313" customFormat="1" x14ac:dyDescent="0.55000000000000004"/>
    <row r="525" s="313" customFormat="1" x14ac:dyDescent="0.55000000000000004"/>
    <row r="526" s="313" customFormat="1" x14ac:dyDescent="0.55000000000000004"/>
    <row r="527" s="313" customFormat="1" x14ac:dyDescent="0.55000000000000004"/>
    <row r="528" s="313" customFormat="1" x14ac:dyDescent="0.55000000000000004"/>
    <row r="529" s="313" customFormat="1" x14ac:dyDescent="0.55000000000000004"/>
    <row r="530" s="313" customFormat="1" x14ac:dyDescent="0.55000000000000004"/>
    <row r="531" s="313" customFormat="1" x14ac:dyDescent="0.55000000000000004"/>
    <row r="532" s="313" customFormat="1" x14ac:dyDescent="0.55000000000000004"/>
    <row r="533" s="313" customFormat="1" x14ac:dyDescent="0.55000000000000004"/>
    <row r="534" s="313" customFormat="1" x14ac:dyDescent="0.55000000000000004"/>
    <row r="535" s="313" customFormat="1" x14ac:dyDescent="0.55000000000000004"/>
    <row r="536" s="313" customFormat="1" x14ac:dyDescent="0.55000000000000004"/>
    <row r="537" s="313" customFormat="1" x14ac:dyDescent="0.55000000000000004"/>
    <row r="538" s="313" customFormat="1" x14ac:dyDescent="0.55000000000000004"/>
    <row r="539" s="313" customFormat="1" x14ac:dyDescent="0.55000000000000004"/>
    <row r="540" s="313" customFormat="1" x14ac:dyDescent="0.55000000000000004"/>
    <row r="541" s="313" customFormat="1" x14ac:dyDescent="0.55000000000000004"/>
    <row r="542" s="313" customFormat="1" x14ac:dyDescent="0.55000000000000004"/>
    <row r="543" s="313" customFormat="1" x14ac:dyDescent="0.55000000000000004"/>
    <row r="544" s="313" customFormat="1" x14ac:dyDescent="0.55000000000000004"/>
    <row r="545" s="313" customFormat="1" x14ac:dyDescent="0.55000000000000004"/>
    <row r="546" s="313" customFormat="1" x14ac:dyDescent="0.55000000000000004"/>
    <row r="547" s="313" customFormat="1" x14ac:dyDescent="0.55000000000000004"/>
    <row r="548" s="313" customFormat="1" x14ac:dyDescent="0.55000000000000004"/>
    <row r="549" s="313" customFormat="1" x14ac:dyDescent="0.55000000000000004"/>
    <row r="550" s="313" customFormat="1" x14ac:dyDescent="0.55000000000000004"/>
    <row r="551" s="313" customFormat="1" x14ac:dyDescent="0.55000000000000004"/>
    <row r="552" s="313" customFormat="1" x14ac:dyDescent="0.55000000000000004"/>
    <row r="553" s="313" customFormat="1" x14ac:dyDescent="0.55000000000000004"/>
    <row r="554" s="313" customFormat="1" x14ac:dyDescent="0.55000000000000004"/>
    <row r="555" s="313" customFormat="1" x14ac:dyDescent="0.55000000000000004"/>
    <row r="556" s="313" customFormat="1" x14ac:dyDescent="0.55000000000000004"/>
    <row r="557" s="313" customFormat="1" x14ac:dyDescent="0.55000000000000004"/>
    <row r="558" s="313" customFormat="1" x14ac:dyDescent="0.55000000000000004"/>
    <row r="559" s="313" customFormat="1" x14ac:dyDescent="0.55000000000000004"/>
    <row r="560" s="313" customFormat="1" x14ac:dyDescent="0.55000000000000004"/>
    <row r="561" s="313" customFormat="1" x14ac:dyDescent="0.55000000000000004"/>
    <row r="562" s="313" customFormat="1" x14ac:dyDescent="0.55000000000000004"/>
    <row r="563" s="313" customFormat="1" x14ac:dyDescent="0.55000000000000004"/>
    <row r="564" s="313" customFormat="1" x14ac:dyDescent="0.55000000000000004"/>
    <row r="565" s="313" customFormat="1" x14ac:dyDescent="0.55000000000000004"/>
    <row r="566" s="313" customFormat="1" x14ac:dyDescent="0.55000000000000004"/>
    <row r="567" s="313" customFormat="1" x14ac:dyDescent="0.55000000000000004"/>
    <row r="568" s="313" customFormat="1" x14ac:dyDescent="0.55000000000000004"/>
    <row r="569" s="313" customFormat="1" x14ac:dyDescent="0.55000000000000004"/>
    <row r="570" s="313" customFormat="1" x14ac:dyDescent="0.55000000000000004"/>
    <row r="571" s="313" customFormat="1" x14ac:dyDescent="0.55000000000000004"/>
    <row r="572" s="313" customFormat="1" x14ac:dyDescent="0.55000000000000004"/>
    <row r="573" s="313" customFormat="1" x14ac:dyDescent="0.55000000000000004"/>
    <row r="574" s="313" customFormat="1" x14ac:dyDescent="0.55000000000000004"/>
    <row r="575" s="313" customFormat="1" x14ac:dyDescent="0.55000000000000004"/>
    <row r="576" s="313" customFormat="1" x14ac:dyDescent="0.55000000000000004"/>
    <row r="577" s="313" customFormat="1" x14ac:dyDescent="0.55000000000000004"/>
    <row r="578" s="313" customFormat="1" x14ac:dyDescent="0.55000000000000004"/>
    <row r="579" s="313" customFormat="1" x14ac:dyDescent="0.55000000000000004"/>
    <row r="580" s="313" customFormat="1" x14ac:dyDescent="0.55000000000000004"/>
    <row r="581" s="313" customFormat="1" x14ac:dyDescent="0.55000000000000004"/>
    <row r="582" s="313" customFormat="1" x14ac:dyDescent="0.55000000000000004"/>
    <row r="583" s="313" customFormat="1" x14ac:dyDescent="0.55000000000000004"/>
    <row r="584" s="313" customFormat="1" x14ac:dyDescent="0.55000000000000004"/>
    <row r="585" s="313" customFormat="1" x14ac:dyDescent="0.55000000000000004"/>
    <row r="586" s="313" customFormat="1" x14ac:dyDescent="0.55000000000000004"/>
    <row r="587" s="313" customFormat="1" x14ac:dyDescent="0.55000000000000004"/>
    <row r="588" s="313" customFormat="1" x14ac:dyDescent="0.55000000000000004"/>
    <row r="589" s="313" customFormat="1" x14ac:dyDescent="0.55000000000000004"/>
    <row r="590" s="313" customFormat="1" x14ac:dyDescent="0.55000000000000004"/>
    <row r="591" s="313" customFormat="1" x14ac:dyDescent="0.55000000000000004"/>
    <row r="592" s="313" customFormat="1" x14ac:dyDescent="0.55000000000000004"/>
    <row r="593" s="313" customFormat="1" x14ac:dyDescent="0.55000000000000004"/>
    <row r="594" s="313" customFormat="1" x14ac:dyDescent="0.55000000000000004"/>
    <row r="595" s="313" customFormat="1" x14ac:dyDescent="0.55000000000000004"/>
    <row r="596" s="313" customFormat="1" x14ac:dyDescent="0.55000000000000004"/>
    <row r="597" s="313" customFormat="1" x14ac:dyDescent="0.55000000000000004"/>
    <row r="598" s="313" customFormat="1" x14ac:dyDescent="0.55000000000000004"/>
    <row r="599" s="313" customFormat="1" x14ac:dyDescent="0.55000000000000004"/>
    <row r="600" s="313" customFormat="1" x14ac:dyDescent="0.55000000000000004"/>
    <row r="601" s="313" customFormat="1" x14ac:dyDescent="0.55000000000000004"/>
    <row r="602" s="313" customFormat="1" x14ac:dyDescent="0.55000000000000004"/>
    <row r="603" s="313" customFormat="1" x14ac:dyDescent="0.55000000000000004"/>
    <row r="604" s="313" customFormat="1" x14ac:dyDescent="0.55000000000000004"/>
    <row r="605" s="313" customFormat="1" x14ac:dyDescent="0.55000000000000004"/>
    <row r="606" s="313" customFormat="1" x14ac:dyDescent="0.55000000000000004"/>
    <row r="607" s="313" customFormat="1" x14ac:dyDescent="0.55000000000000004"/>
    <row r="608" s="313" customFormat="1" x14ac:dyDescent="0.55000000000000004"/>
    <row r="609" s="313" customFormat="1" x14ac:dyDescent="0.55000000000000004"/>
    <row r="610" s="313" customFormat="1" x14ac:dyDescent="0.55000000000000004"/>
    <row r="611" s="313" customFormat="1" x14ac:dyDescent="0.55000000000000004"/>
    <row r="612" s="313" customFormat="1" x14ac:dyDescent="0.55000000000000004"/>
    <row r="613" s="313" customFormat="1" x14ac:dyDescent="0.55000000000000004"/>
    <row r="614" s="313" customFormat="1" x14ac:dyDescent="0.55000000000000004"/>
    <row r="615" s="313" customFormat="1" x14ac:dyDescent="0.55000000000000004"/>
    <row r="616" s="313" customFormat="1" x14ac:dyDescent="0.55000000000000004"/>
    <row r="617" s="313" customFormat="1" x14ac:dyDescent="0.55000000000000004"/>
    <row r="618" s="313" customFormat="1" x14ac:dyDescent="0.55000000000000004"/>
    <row r="619" s="313" customFormat="1" x14ac:dyDescent="0.55000000000000004"/>
    <row r="620" s="313" customFormat="1" x14ac:dyDescent="0.55000000000000004"/>
    <row r="621" s="313" customFormat="1" x14ac:dyDescent="0.55000000000000004"/>
    <row r="622" s="313" customFormat="1" x14ac:dyDescent="0.55000000000000004"/>
    <row r="623" s="313" customFormat="1" x14ac:dyDescent="0.55000000000000004"/>
    <row r="624" s="313" customFormat="1" x14ac:dyDescent="0.55000000000000004"/>
    <row r="625" s="313" customFormat="1" x14ac:dyDescent="0.55000000000000004"/>
    <row r="626" s="313" customFormat="1" x14ac:dyDescent="0.55000000000000004"/>
    <row r="627" s="313" customFormat="1" x14ac:dyDescent="0.55000000000000004"/>
    <row r="628" s="313" customFormat="1" x14ac:dyDescent="0.55000000000000004"/>
    <row r="629" s="313" customFormat="1" x14ac:dyDescent="0.55000000000000004"/>
    <row r="630" s="313" customFormat="1" x14ac:dyDescent="0.55000000000000004"/>
    <row r="631" s="313" customFormat="1" x14ac:dyDescent="0.55000000000000004"/>
    <row r="632" s="313" customFormat="1" x14ac:dyDescent="0.55000000000000004"/>
    <row r="633" s="313" customFormat="1" x14ac:dyDescent="0.55000000000000004"/>
    <row r="634" s="313" customFormat="1" x14ac:dyDescent="0.55000000000000004"/>
    <row r="635" s="313" customFormat="1" x14ac:dyDescent="0.55000000000000004"/>
    <row r="636" s="313" customFormat="1" x14ac:dyDescent="0.55000000000000004"/>
    <row r="637" s="313" customFormat="1" x14ac:dyDescent="0.55000000000000004"/>
    <row r="638" s="313" customFormat="1" x14ac:dyDescent="0.55000000000000004"/>
    <row r="639" s="313" customFormat="1" x14ac:dyDescent="0.55000000000000004"/>
    <row r="640" s="313" customFormat="1" x14ac:dyDescent="0.55000000000000004"/>
    <row r="641" s="313" customFormat="1" x14ac:dyDescent="0.55000000000000004"/>
    <row r="642" s="313" customFormat="1" x14ac:dyDescent="0.55000000000000004"/>
    <row r="643" s="313" customFormat="1" x14ac:dyDescent="0.55000000000000004"/>
    <row r="644" s="313" customFormat="1" x14ac:dyDescent="0.55000000000000004"/>
    <row r="645" s="313" customFormat="1" x14ac:dyDescent="0.55000000000000004"/>
    <row r="646" s="313" customFormat="1" x14ac:dyDescent="0.55000000000000004"/>
    <row r="647" s="313" customFormat="1" x14ac:dyDescent="0.55000000000000004"/>
    <row r="648" s="313" customFormat="1" x14ac:dyDescent="0.55000000000000004"/>
    <row r="649" s="313" customFormat="1" x14ac:dyDescent="0.55000000000000004"/>
    <row r="650" s="313" customFormat="1" x14ac:dyDescent="0.55000000000000004"/>
    <row r="651" s="313" customFormat="1" x14ac:dyDescent="0.55000000000000004"/>
    <row r="652" s="313" customFormat="1" x14ac:dyDescent="0.55000000000000004"/>
    <row r="653" s="313" customFormat="1" x14ac:dyDescent="0.55000000000000004"/>
    <row r="654" s="313" customFormat="1" x14ac:dyDescent="0.55000000000000004"/>
    <row r="655" s="313" customFormat="1" x14ac:dyDescent="0.55000000000000004"/>
    <row r="656" s="313" customFormat="1" x14ac:dyDescent="0.55000000000000004"/>
    <row r="657" s="313" customFormat="1" x14ac:dyDescent="0.55000000000000004"/>
    <row r="658" s="313" customFormat="1" x14ac:dyDescent="0.55000000000000004"/>
    <row r="659" s="313" customFormat="1" x14ac:dyDescent="0.55000000000000004"/>
    <row r="660" s="313" customFormat="1" x14ac:dyDescent="0.55000000000000004"/>
    <row r="661" s="313" customFormat="1" x14ac:dyDescent="0.55000000000000004"/>
    <row r="662" s="313" customFormat="1" x14ac:dyDescent="0.55000000000000004"/>
    <row r="663" s="313" customFormat="1" x14ac:dyDescent="0.55000000000000004"/>
    <row r="664" s="313" customFormat="1" x14ac:dyDescent="0.55000000000000004"/>
    <row r="665" s="313" customFormat="1" x14ac:dyDescent="0.55000000000000004"/>
    <row r="666" s="313" customFormat="1" x14ac:dyDescent="0.55000000000000004"/>
    <row r="667" s="313" customFormat="1" x14ac:dyDescent="0.55000000000000004"/>
    <row r="668" s="313" customFormat="1" x14ac:dyDescent="0.55000000000000004"/>
    <row r="669" s="313" customFormat="1" x14ac:dyDescent="0.55000000000000004"/>
    <row r="670" s="313" customFormat="1" x14ac:dyDescent="0.55000000000000004"/>
    <row r="671" s="313" customFormat="1" x14ac:dyDescent="0.55000000000000004"/>
    <row r="672" s="313" customFormat="1" x14ac:dyDescent="0.55000000000000004"/>
    <row r="673" s="313" customFormat="1" x14ac:dyDescent="0.55000000000000004"/>
    <row r="674" s="313" customFormat="1" x14ac:dyDescent="0.55000000000000004"/>
    <row r="675" s="313" customFormat="1" x14ac:dyDescent="0.55000000000000004"/>
    <row r="676" s="313" customFormat="1" x14ac:dyDescent="0.55000000000000004"/>
    <row r="677" s="313" customFormat="1" x14ac:dyDescent="0.55000000000000004"/>
    <row r="678" s="313" customFormat="1" x14ac:dyDescent="0.55000000000000004"/>
    <row r="679" s="313" customFormat="1" x14ac:dyDescent="0.55000000000000004"/>
    <row r="680" s="313" customFormat="1" x14ac:dyDescent="0.55000000000000004"/>
    <row r="681" s="313" customFormat="1" x14ac:dyDescent="0.55000000000000004"/>
    <row r="682" s="313" customFormat="1" x14ac:dyDescent="0.55000000000000004"/>
    <row r="683" s="313" customFormat="1" x14ac:dyDescent="0.55000000000000004"/>
    <row r="684" s="313" customFormat="1" x14ac:dyDescent="0.55000000000000004"/>
    <row r="685" s="313" customFormat="1" x14ac:dyDescent="0.55000000000000004"/>
    <row r="686" s="313" customFormat="1" x14ac:dyDescent="0.55000000000000004"/>
    <row r="687" s="313" customFormat="1" x14ac:dyDescent="0.55000000000000004"/>
    <row r="688" s="313" customFormat="1" x14ac:dyDescent="0.55000000000000004"/>
    <row r="689" s="313" customFormat="1" x14ac:dyDescent="0.55000000000000004"/>
    <row r="690" s="313" customFormat="1" x14ac:dyDescent="0.55000000000000004"/>
    <row r="691" s="313" customFormat="1" x14ac:dyDescent="0.55000000000000004"/>
    <row r="692" s="313" customFormat="1" x14ac:dyDescent="0.55000000000000004"/>
    <row r="693" s="313" customFormat="1" x14ac:dyDescent="0.55000000000000004"/>
    <row r="694" s="313" customFormat="1" x14ac:dyDescent="0.55000000000000004"/>
    <row r="695" s="313" customFormat="1" x14ac:dyDescent="0.55000000000000004"/>
    <row r="696" s="313" customFormat="1" x14ac:dyDescent="0.55000000000000004"/>
    <row r="697" s="313" customFormat="1" x14ac:dyDescent="0.55000000000000004"/>
    <row r="698" s="313" customFormat="1" x14ac:dyDescent="0.55000000000000004"/>
    <row r="699" s="313" customFormat="1" x14ac:dyDescent="0.55000000000000004"/>
    <row r="700" s="313" customFormat="1" x14ac:dyDescent="0.55000000000000004"/>
    <row r="701" s="313" customFormat="1" x14ac:dyDescent="0.55000000000000004"/>
    <row r="702" s="313" customFormat="1" x14ac:dyDescent="0.55000000000000004"/>
    <row r="703" s="313" customFormat="1" x14ac:dyDescent="0.55000000000000004"/>
    <row r="704" s="313" customFormat="1" x14ac:dyDescent="0.55000000000000004"/>
    <row r="705" s="313" customFormat="1" x14ac:dyDescent="0.55000000000000004"/>
    <row r="706" s="313" customFormat="1" x14ac:dyDescent="0.55000000000000004"/>
    <row r="707" s="313" customFormat="1" x14ac:dyDescent="0.55000000000000004"/>
    <row r="708" s="313" customFormat="1" x14ac:dyDescent="0.55000000000000004"/>
    <row r="709" s="313" customFormat="1" x14ac:dyDescent="0.55000000000000004"/>
    <row r="710" s="313" customFormat="1" x14ac:dyDescent="0.55000000000000004"/>
    <row r="711" s="313" customFormat="1" x14ac:dyDescent="0.55000000000000004"/>
    <row r="712" s="313" customFormat="1" x14ac:dyDescent="0.55000000000000004"/>
    <row r="713" s="313" customFormat="1" x14ac:dyDescent="0.55000000000000004"/>
    <row r="714" s="313" customFormat="1" x14ac:dyDescent="0.55000000000000004"/>
    <row r="715" s="313" customFormat="1" x14ac:dyDescent="0.55000000000000004"/>
    <row r="716" s="313" customFormat="1" x14ac:dyDescent="0.55000000000000004"/>
    <row r="717" s="313" customFormat="1" x14ac:dyDescent="0.55000000000000004"/>
    <row r="718" s="313" customFormat="1" x14ac:dyDescent="0.55000000000000004"/>
    <row r="719" s="313" customFormat="1" x14ac:dyDescent="0.55000000000000004"/>
    <row r="720" s="313" customFormat="1" x14ac:dyDescent="0.55000000000000004"/>
    <row r="721" s="313" customFormat="1" x14ac:dyDescent="0.55000000000000004"/>
    <row r="722" s="313" customFormat="1" x14ac:dyDescent="0.55000000000000004"/>
    <row r="723" s="313" customFormat="1" x14ac:dyDescent="0.55000000000000004"/>
    <row r="724" s="313" customFormat="1" x14ac:dyDescent="0.55000000000000004"/>
    <row r="725" s="313" customFormat="1" x14ac:dyDescent="0.55000000000000004"/>
    <row r="726" s="313" customFormat="1" x14ac:dyDescent="0.55000000000000004"/>
    <row r="727" s="313" customFormat="1" x14ac:dyDescent="0.55000000000000004"/>
    <row r="728" s="313" customFormat="1" x14ac:dyDescent="0.55000000000000004"/>
    <row r="729" s="313" customFormat="1" x14ac:dyDescent="0.55000000000000004"/>
    <row r="730" s="313" customFormat="1" x14ac:dyDescent="0.55000000000000004"/>
    <row r="731" s="313" customFormat="1" x14ac:dyDescent="0.55000000000000004"/>
    <row r="732" s="313" customFormat="1" x14ac:dyDescent="0.55000000000000004"/>
    <row r="733" s="313" customFormat="1" x14ac:dyDescent="0.55000000000000004"/>
    <row r="734" s="313" customFormat="1" x14ac:dyDescent="0.55000000000000004"/>
    <row r="735" s="313" customFormat="1" x14ac:dyDescent="0.55000000000000004"/>
    <row r="736" s="313" customFormat="1" x14ac:dyDescent="0.55000000000000004"/>
    <row r="737" s="313" customFormat="1" x14ac:dyDescent="0.55000000000000004"/>
    <row r="738" s="313" customFormat="1" x14ac:dyDescent="0.55000000000000004"/>
    <row r="739" s="313" customFormat="1" x14ac:dyDescent="0.55000000000000004"/>
    <row r="740" s="313" customFormat="1" x14ac:dyDescent="0.55000000000000004"/>
    <row r="741" s="313" customFormat="1" x14ac:dyDescent="0.55000000000000004"/>
    <row r="742" s="313" customFormat="1" x14ac:dyDescent="0.55000000000000004"/>
    <row r="743" s="313" customFormat="1" x14ac:dyDescent="0.55000000000000004"/>
    <row r="744" s="313" customFormat="1" x14ac:dyDescent="0.55000000000000004"/>
    <row r="745" s="313" customFormat="1" x14ac:dyDescent="0.55000000000000004"/>
    <row r="746" s="313" customFormat="1" x14ac:dyDescent="0.55000000000000004"/>
    <row r="747" s="313" customFormat="1" x14ac:dyDescent="0.55000000000000004"/>
    <row r="748" s="313" customFormat="1" x14ac:dyDescent="0.55000000000000004"/>
    <row r="749" s="313" customFormat="1" x14ac:dyDescent="0.55000000000000004"/>
    <row r="750" s="313" customFormat="1" x14ac:dyDescent="0.55000000000000004"/>
    <row r="751" s="313" customFormat="1" x14ac:dyDescent="0.55000000000000004"/>
    <row r="752" s="313" customFormat="1" x14ac:dyDescent="0.55000000000000004"/>
    <row r="753" s="313" customFormat="1" x14ac:dyDescent="0.55000000000000004"/>
    <row r="754" s="313" customFormat="1" x14ac:dyDescent="0.55000000000000004"/>
    <row r="755" s="313" customFormat="1" x14ac:dyDescent="0.55000000000000004"/>
    <row r="756" s="313" customFormat="1" x14ac:dyDescent="0.55000000000000004"/>
    <row r="757" s="313" customFormat="1" x14ac:dyDescent="0.55000000000000004"/>
    <row r="758" s="313" customFormat="1" x14ac:dyDescent="0.55000000000000004"/>
    <row r="759" s="313" customFormat="1" x14ac:dyDescent="0.55000000000000004"/>
    <row r="760" s="313" customFormat="1" x14ac:dyDescent="0.55000000000000004"/>
    <row r="761" s="313" customFormat="1" x14ac:dyDescent="0.55000000000000004"/>
    <row r="762" s="313" customFormat="1" x14ac:dyDescent="0.55000000000000004"/>
    <row r="763" s="313" customFormat="1" x14ac:dyDescent="0.55000000000000004"/>
    <row r="764" s="313" customFormat="1" x14ac:dyDescent="0.55000000000000004"/>
    <row r="765" s="313" customFormat="1" x14ac:dyDescent="0.55000000000000004"/>
    <row r="766" s="313" customFormat="1" x14ac:dyDescent="0.55000000000000004"/>
    <row r="767" s="313" customFormat="1" x14ac:dyDescent="0.55000000000000004"/>
    <row r="768" s="313" customFormat="1" x14ac:dyDescent="0.55000000000000004"/>
    <row r="769" s="313" customFormat="1" x14ac:dyDescent="0.55000000000000004"/>
    <row r="770" s="313" customFormat="1" x14ac:dyDescent="0.55000000000000004"/>
    <row r="771" s="313" customFormat="1" x14ac:dyDescent="0.55000000000000004"/>
    <row r="772" s="313" customFormat="1" x14ac:dyDescent="0.55000000000000004"/>
    <row r="773" s="313" customFormat="1" x14ac:dyDescent="0.55000000000000004"/>
    <row r="774" s="313" customFormat="1" x14ac:dyDescent="0.55000000000000004"/>
    <row r="775" s="313" customFormat="1" x14ac:dyDescent="0.55000000000000004"/>
    <row r="776" s="313" customFormat="1" x14ac:dyDescent="0.55000000000000004"/>
    <row r="777" s="313" customFormat="1" x14ac:dyDescent="0.55000000000000004"/>
    <row r="778" s="313" customFormat="1" x14ac:dyDescent="0.55000000000000004"/>
    <row r="779" s="313" customFormat="1" x14ac:dyDescent="0.55000000000000004"/>
    <row r="780" s="313" customFormat="1" x14ac:dyDescent="0.55000000000000004"/>
    <row r="781" s="313" customFormat="1" x14ac:dyDescent="0.55000000000000004"/>
    <row r="782" s="313" customFormat="1" x14ac:dyDescent="0.55000000000000004"/>
    <row r="783" s="313" customFormat="1" x14ac:dyDescent="0.55000000000000004"/>
    <row r="784" s="313" customFormat="1" x14ac:dyDescent="0.55000000000000004"/>
    <row r="785" s="313" customFormat="1" x14ac:dyDescent="0.55000000000000004"/>
    <row r="786" s="313" customFormat="1" x14ac:dyDescent="0.55000000000000004"/>
    <row r="787" s="313" customFormat="1" x14ac:dyDescent="0.55000000000000004"/>
    <row r="788" s="313" customFormat="1" x14ac:dyDescent="0.55000000000000004"/>
    <row r="789" s="313" customFormat="1" x14ac:dyDescent="0.55000000000000004"/>
    <row r="790" s="313" customFormat="1" x14ac:dyDescent="0.55000000000000004"/>
    <row r="791" s="313" customFormat="1" x14ac:dyDescent="0.55000000000000004"/>
    <row r="792" s="313" customFormat="1" x14ac:dyDescent="0.55000000000000004"/>
    <row r="793" s="313" customFormat="1" x14ac:dyDescent="0.55000000000000004"/>
    <row r="794" s="313" customFormat="1" x14ac:dyDescent="0.55000000000000004"/>
    <row r="795" s="313" customFormat="1" x14ac:dyDescent="0.55000000000000004"/>
    <row r="796" s="313" customFormat="1" x14ac:dyDescent="0.55000000000000004"/>
    <row r="797" s="313" customFormat="1" x14ac:dyDescent="0.55000000000000004"/>
    <row r="798" s="313" customFormat="1" x14ac:dyDescent="0.55000000000000004"/>
    <row r="799" s="313" customFormat="1" x14ac:dyDescent="0.55000000000000004"/>
    <row r="800" s="313" customFormat="1" x14ac:dyDescent="0.55000000000000004"/>
    <row r="801" s="313" customFormat="1" x14ac:dyDescent="0.55000000000000004"/>
    <row r="802" s="313" customFormat="1" x14ac:dyDescent="0.55000000000000004"/>
    <row r="803" s="313" customFormat="1" x14ac:dyDescent="0.55000000000000004"/>
    <row r="804" s="313" customFormat="1" x14ac:dyDescent="0.55000000000000004"/>
    <row r="805" s="313" customFormat="1" x14ac:dyDescent="0.55000000000000004"/>
    <row r="806" s="313" customFormat="1" x14ac:dyDescent="0.55000000000000004"/>
    <row r="807" s="313" customFormat="1" x14ac:dyDescent="0.55000000000000004"/>
    <row r="808" s="313" customFormat="1" x14ac:dyDescent="0.55000000000000004"/>
    <row r="809" s="313" customFormat="1" x14ac:dyDescent="0.55000000000000004"/>
    <row r="810" s="313" customFormat="1" x14ac:dyDescent="0.55000000000000004"/>
    <row r="811" s="313" customFormat="1" x14ac:dyDescent="0.55000000000000004"/>
    <row r="812" s="313" customFormat="1" x14ac:dyDescent="0.55000000000000004"/>
    <row r="813" s="313" customFormat="1" x14ac:dyDescent="0.55000000000000004"/>
    <row r="814" s="313" customFormat="1" x14ac:dyDescent="0.55000000000000004"/>
    <row r="815" s="313" customFormat="1" x14ac:dyDescent="0.55000000000000004"/>
    <row r="816" s="313" customFormat="1" x14ac:dyDescent="0.55000000000000004"/>
    <row r="817" s="313" customFormat="1" x14ac:dyDescent="0.55000000000000004"/>
    <row r="818" s="313" customFormat="1" x14ac:dyDescent="0.55000000000000004"/>
    <row r="819" s="313" customFormat="1" x14ac:dyDescent="0.55000000000000004"/>
    <row r="820" s="313" customFormat="1" x14ac:dyDescent="0.55000000000000004"/>
    <row r="821" s="313" customFormat="1" x14ac:dyDescent="0.55000000000000004"/>
    <row r="822" s="313" customFormat="1" x14ac:dyDescent="0.55000000000000004"/>
    <row r="823" s="313" customFormat="1" x14ac:dyDescent="0.55000000000000004"/>
    <row r="824" s="313" customFormat="1" x14ac:dyDescent="0.55000000000000004"/>
    <row r="825" s="313" customFormat="1" x14ac:dyDescent="0.55000000000000004"/>
    <row r="826" s="313" customFormat="1" x14ac:dyDescent="0.55000000000000004"/>
    <row r="827" s="313" customFormat="1" x14ac:dyDescent="0.55000000000000004"/>
    <row r="828" s="313" customFormat="1" x14ac:dyDescent="0.55000000000000004"/>
    <row r="829" s="313" customFormat="1" x14ac:dyDescent="0.55000000000000004"/>
    <row r="830" s="313" customFormat="1" x14ac:dyDescent="0.55000000000000004"/>
    <row r="831" s="313" customFormat="1" x14ac:dyDescent="0.55000000000000004"/>
    <row r="832" s="313" customFormat="1" x14ac:dyDescent="0.55000000000000004"/>
    <row r="833" s="313" customFormat="1" x14ac:dyDescent="0.55000000000000004"/>
    <row r="834" s="313" customFormat="1" x14ac:dyDescent="0.55000000000000004"/>
    <row r="835" s="313" customFormat="1" x14ac:dyDescent="0.55000000000000004"/>
    <row r="836" s="313" customFormat="1" x14ac:dyDescent="0.55000000000000004"/>
    <row r="837" s="313" customFormat="1" x14ac:dyDescent="0.55000000000000004"/>
    <row r="838" s="313" customFormat="1" x14ac:dyDescent="0.55000000000000004"/>
    <row r="839" s="313" customFormat="1" x14ac:dyDescent="0.55000000000000004"/>
    <row r="840" s="313" customFormat="1" x14ac:dyDescent="0.55000000000000004"/>
    <row r="841" s="313" customFormat="1" x14ac:dyDescent="0.55000000000000004"/>
    <row r="842" s="313" customFormat="1" x14ac:dyDescent="0.55000000000000004"/>
    <row r="843" s="313" customFormat="1" x14ac:dyDescent="0.55000000000000004"/>
    <row r="844" s="313" customFormat="1" x14ac:dyDescent="0.55000000000000004"/>
    <row r="845" s="313" customFormat="1" x14ac:dyDescent="0.55000000000000004"/>
    <row r="846" s="313" customFormat="1" x14ac:dyDescent="0.55000000000000004"/>
    <row r="847" s="313" customFormat="1" x14ac:dyDescent="0.55000000000000004"/>
    <row r="848" s="313" customFormat="1" x14ac:dyDescent="0.55000000000000004"/>
    <row r="849" s="313" customFormat="1" x14ac:dyDescent="0.55000000000000004"/>
    <row r="850" s="313" customFormat="1" x14ac:dyDescent="0.55000000000000004"/>
    <row r="851" s="313" customFormat="1" x14ac:dyDescent="0.55000000000000004"/>
    <row r="852" s="313" customFormat="1" x14ac:dyDescent="0.55000000000000004"/>
    <row r="853" s="313" customFormat="1" x14ac:dyDescent="0.55000000000000004"/>
    <row r="854" s="313" customFormat="1" x14ac:dyDescent="0.55000000000000004"/>
    <row r="855" s="313" customFormat="1" x14ac:dyDescent="0.55000000000000004"/>
    <row r="856" s="313" customFormat="1" x14ac:dyDescent="0.55000000000000004"/>
    <row r="857" s="313" customFormat="1" x14ac:dyDescent="0.55000000000000004"/>
    <row r="858" s="313" customFormat="1" x14ac:dyDescent="0.55000000000000004"/>
    <row r="859" s="313" customFormat="1" x14ac:dyDescent="0.55000000000000004"/>
    <row r="860" s="313" customFormat="1" x14ac:dyDescent="0.55000000000000004"/>
    <row r="861" s="313" customFormat="1" x14ac:dyDescent="0.55000000000000004"/>
    <row r="862" s="313" customFormat="1" x14ac:dyDescent="0.55000000000000004"/>
    <row r="863" s="313" customFormat="1" x14ac:dyDescent="0.55000000000000004"/>
    <row r="864" s="313" customFormat="1" x14ac:dyDescent="0.55000000000000004"/>
    <row r="865" s="313" customFormat="1" x14ac:dyDescent="0.55000000000000004"/>
    <row r="866" s="313" customFormat="1" x14ac:dyDescent="0.55000000000000004"/>
    <row r="867" s="313" customFormat="1" x14ac:dyDescent="0.55000000000000004"/>
    <row r="868" s="313" customFormat="1" x14ac:dyDescent="0.55000000000000004"/>
    <row r="869" s="313" customFormat="1" x14ac:dyDescent="0.55000000000000004"/>
    <row r="870" s="313" customFormat="1" x14ac:dyDescent="0.55000000000000004"/>
    <row r="871" s="313" customFormat="1" x14ac:dyDescent="0.55000000000000004"/>
    <row r="872" s="313" customFormat="1" x14ac:dyDescent="0.55000000000000004"/>
    <row r="873" s="313" customFormat="1" x14ac:dyDescent="0.55000000000000004"/>
    <row r="874" s="313" customFormat="1" x14ac:dyDescent="0.55000000000000004"/>
    <row r="875" s="313" customFormat="1" x14ac:dyDescent="0.55000000000000004"/>
    <row r="876" s="313" customFormat="1" x14ac:dyDescent="0.55000000000000004"/>
    <row r="877" s="313" customFormat="1" x14ac:dyDescent="0.55000000000000004"/>
    <row r="878" s="313" customFormat="1" x14ac:dyDescent="0.55000000000000004"/>
    <row r="879" s="313" customFormat="1" x14ac:dyDescent="0.55000000000000004"/>
    <row r="880" s="313" customFormat="1" x14ac:dyDescent="0.55000000000000004"/>
    <row r="881" s="313" customFormat="1" x14ac:dyDescent="0.55000000000000004"/>
    <row r="882" s="313" customFormat="1" x14ac:dyDescent="0.55000000000000004"/>
    <row r="883" s="313" customFormat="1" x14ac:dyDescent="0.55000000000000004"/>
    <row r="884" s="313" customFormat="1" x14ac:dyDescent="0.55000000000000004"/>
    <row r="885" s="313" customFormat="1" x14ac:dyDescent="0.55000000000000004"/>
    <row r="886" s="313" customFormat="1" x14ac:dyDescent="0.55000000000000004"/>
    <row r="887" s="313" customFormat="1" x14ac:dyDescent="0.55000000000000004"/>
    <row r="888" s="313" customFormat="1" x14ac:dyDescent="0.55000000000000004"/>
    <row r="889" s="313" customFormat="1" x14ac:dyDescent="0.55000000000000004"/>
    <row r="890" s="313" customFormat="1" x14ac:dyDescent="0.55000000000000004"/>
    <row r="891" s="313" customFormat="1" x14ac:dyDescent="0.55000000000000004"/>
    <row r="892" s="313" customFormat="1" x14ac:dyDescent="0.55000000000000004"/>
    <row r="893" s="313" customFormat="1" x14ac:dyDescent="0.55000000000000004"/>
    <row r="894" s="313" customFormat="1" x14ac:dyDescent="0.55000000000000004"/>
    <row r="895" s="313" customFormat="1" x14ac:dyDescent="0.55000000000000004"/>
    <row r="896" s="313" customFormat="1" x14ac:dyDescent="0.55000000000000004"/>
    <row r="897" s="313" customFormat="1" x14ac:dyDescent="0.55000000000000004"/>
    <row r="898" s="313" customFormat="1" x14ac:dyDescent="0.55000000000000004"/>
    <row r="899" s="313" customFormat="1" x14ac:dyDescent="0.55000000000000004"/>
    <row r="900" s="313" customFormat="1" x14ac:dyDescent="0.55000000000000004"/>
    <row r="901" s="313" customFormat="1" x14ac:dyDescent="0.55000000000000004"/>
    <row r="902" s="313" customFormat="1" x14ac:dyDescent="0.55000000000000004"/>
    <row r="903" s="313" customFormat="1" x14ac:dyDescent="0.55000000000000004"/>
    <row r="904" s="313" customFormat="1" x14ac:dyDescent="0.55000000000000004"/>
    <row r="905" s="313" customFormat="1" x14ac:dyDescent="0.55000000000000004"/>
    <row r="906" s="313" customFormat="1" x14ac:dyDescent="0.55000000000000004"/>
    <row r="907" s="313" customFormat="1" x14ac:dyDescent="0.55000000000000004"/>
  </sheetData>
  <mergeCells count="9">
    <mergeCell ref="C138:F138"/>
    <mergeCell ref="G138:K138"/>
    <mergeCell ref="B49:K49"/>
    <mergeCell ref="C52:F52"/>
    <mergeCell ref="G52:K52"/>
    <mergeCell ref="C108:F108"/>
    <mergeCell ref="G108:K108"/>
    <mergeCell ref="C3:F3"/>
    <mergeCell ref="G3:K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715A-B9B8-4E23-BC6E-F610B33E1479}">
  <dimension ref="A2:A6"/>
  <sheetViews>
    <sheetView topLeftCell="B1" zoomScaleNormal="100" workbookViewId="0">
      <selection activeCell="H19" sqref="H19"/>
    </sheetView>
  </sheetViews>
  <sheetFormatPr defaultRowHeight="14.4" x14ac:dyDescent="0.55000000000000004"/>
  <sheetData>
    <row r="2" spans="1:1" x14ac:dyDescent="0.55000000000000004">
      <c r="A2" t="s">
        <v>235</v>
      </c>
    </row>
    <row r="3" spans="1:1" x14ac:dyDescent="0.55000000000000004">
      <c r="A3" t="s">
        <v>236</v>
      </c>
    </row>
    <row r="4" spans="1:1" x14ac:dyDescent="0.55000000000000004">
      <c r="A4" t="s">
        <v>237</v>
      </c>
    </row>
    <row r="5" spans="1:1" x14ac:dyDescent="0.55000000000000004">
      <c r="A5" t="s">
        <v>238</v>
      </c>
    </row>
    <row r="6" spans="1:1" x14ac:dyDescent="0.55000000000000004">
      <c r="A6" t="s">
        <v>239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vt:lpstr>
      <vt:lpstr>Revenue Build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Arruda</dc:creator>
  <cp:lastModifiedBy>Lucas Arruda</cp:lastModifiedBy>
  <dcterms:created xsi:type="dcterms:W3CDTF">2021-08-14T14:54:12Z</dcterms:created>
  <dcterms:modified xsi:type="dcterms:W3CDTF">2021-09-07T13:19:13Z</dcterms:modified>
</cp:coreProperties>
</file>